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30" yWindow="465" windowWidth="6675" windowHeight="11760" tabRatio="789"/>
  </bookViews>
  <sheets>
    <sheet name="Kapak" sheetId="27" r:id="rId1"/>
    <sheet name="Kişiler" sheetId="28" r:id="rId2"/>
    <sheet name="Açıklamalar-Yöntem" sheetId="29" r:id="rId3"/>
    <sheet name="Önsöz" sheetId="31" r:id="rId4"/>
    <sheet name="Kavramlar-Tanımlar" sheetId="30" r:id="rId5"/>
    <sheet name="İçindekiler" sheetId="1" r:id="rId6"/>
    <sheet name="A-Yıl-Aya Göre G. Ziyaretçi" sheetId="2" r:id="rId7"/>
    <sheet name="B-Yıl-Ay Göre Günübirlikçi" sheetId="3" r:id="rId8"/>
    <sheet name="C-Mil Göre G.Yabancı" sheetId="4" r:id="rId9"/>
    <sheet name="G1-G.Y.Ziyaretçi" sheetId="5" r:id="rId10"/>
    <sheet name="G2-Ç.Y.Ziyaretçi" sheetId="6" r:id="rId11"/>
    <sheet name="G3-Aya Göre G.Ziyaretçi" sheetId="7" r:id="rId12"/>
    <sheet name="G4-Aya Göre Günübirlikçi" sheetId="8" r:id="rId13"/>
    <sheet name="G5-Milliyete Göre G.Yabancı" sheetId="9" r:id="rId14"/>
    <sheet name="T1-Yıl-Aya Göre G. Yabancı" sheetId="10" r:id="rId15"/>
    <sheet name="T2-Mil-TaşıtA. Göre G.Yabancı" sheetId="11" r:id="rId16"/>
    <sheet name="T3-Ay-TaşıtA. Göre G.Yabancı" sheetId="12" r:id="rId17"/>
    <sheet name="T4-İl-TaşıtA. Göre G.Yabancı" sheetId="13" r:id="rId18"/>
    <sheet name="T5-SınırK.-Ay Göre G.Yabancı" sheetId="14" r:id="rId19"/>
    <sheet name="T6-Mil-Yıl Göre G.Yabancı" sheetId="15" r:id="rId20"/>
    <sheet name="T7-Mil-Ay Göre G.Yabancı" sheetId="16" r:id="rId21"/>
    <sheet name="T8-Mil-SınırK Göre G.Yabancı" sheetId="17" r:id="rId22"/>
    <sheet name="T9-Ay-Yıl Göre Y.Günübirlikçi" sheetId="18" r:id="rId23"/>
    <sheet name="T10-SınırK. Ay Göre Y.Günübirl." sheetId="19" r:id="rId24"/>
    <sheet name="T11-GirişK-Ay Göre Y.Günübirl." sheetId="20" r:id="rId25"/>
    <sheet name="T12-SınırK.-Yıl Göre Y.Günübir." sheetId="21" r:id="rId26"/>
    <sheet name="T13-Yıl-Ay Göre Ç.Ziyaretçi" sheetId="22" r:id="rId27"/>
    <sheet name="T14-Mil-TaşıtA. Göre Ç.Yabancı" sheetId="23" r:id="rId28"/>
    <sheet name="T15-Ay-TaşıtA. Göre Ç Yabancı" sheetId="24" r:id="rId29"/>
    <sheet name="T16-SınırK.-TaşıtA Göre Ç.Yab." sheetId="25" r:id="rId30"/>
    <sheet name="T17-SınırK.-Ay Göre Ç.Yabancı" sheetId="26" r:id="rId31"/>
  </sheets>
  <definedNames>
    <definedName name="_xlnm._FilterDatabase" localSheetId="17" hidden="1">'T4-İl-TaşıtA. Göre G.Yabancı'!$B$4:$B$61</definedName>
    <definedName name="_xlnm.Print_Area" localSheetId="2">'Açıklamalar-Yöntem'!$A$1:$A$19</definedName>
    <definedName name="_xlnm.Print_Area" localSheetId="6">'A-Yıl-Aya Göre G. Ziyaretçi'!$C$1:$R$51</definedName>
    <definedName name="_xlnm.Print_Area" localSheetId="7">'B-Yıl-Ay Göre Günübirlikçi'!$B$1:$L$19</definedName>
    <definedName name="_xlnm.Print_Area" localSheetId="8">'C-Mil Göre G.Yabancı'!$B$1:$R$251</definedName>
    <definedName name="_xlnm.Print_Area" localSheetId="9">'G1-G.Y.Ziyaretçi'!$B$1:$M$30</definedName>
    <definedName name="_xlnm.Print_Area" localSheetId="10">'G2-Ç.Y.Ziyaretçi'!$B$1:$M$30</definedName>
    <definedName name="_xlnm.Print_Area" localSheetId="11">'G3-Aya Göre G.Ziyaretçi'!$B$1:$O$35</definedName>
    <definedName name="_xlnm.Print_Area" localSheetId="12">'G4-Aya Göre Günübirlikçi'!$B$1:$N$36</definedName>
    <definedName name="_xlnm.Print_Area" localSheetId="13">'G5-Milliyete Göre G.Yabancı'!$B$1:$O$44</definedName>
    <definedName name="_xlnm.Print_Area" localSheetId="5">İçindekiler!$A$1:$P$26</definedName>
    <definedName name="_xlnm.Print_Area" localSheetId="0">Kapak!$A$1:$L$58</definedName>
    <definedName name="_xlnm.Print_Area" localSheetId="4">'Kavramlar-Tanımlar'!$A$1:$A$29</definedName>
    <definedName name="_xlnm.Print_Area" localSheetId="1">Kişiler!$A$1:$K$67</definedName>
    <definedName name="_xlnm.Print_Area" localSheetId="3">Önsöz!$A$1:$A$19</definedName>
    <definedName name="_xlnm.Print_Area" localSheetId="23">'T10-SınırK. Ay Göre Y.Günübirl.'!$B$1:$T$56</definedName>
    <definedName name="_xlnm.Print_Area" localSheetId="24">'T11-GirişK-Ay Göre Y.Günübirl.'!$B$1:$CX$113</definedName>
    <definedName name="_xlnm.Print_Area" localSheetId="25">'T12-SınırK.-Yıl Göre Y.Günübir.'!$B$1:$L$65</definedName>
    <definedName name="_xlnm.Print_Area" localSheetId="26">'T13-Yıl-Ay Göre Ç.Ziyaretçi'!$B$1:$G$18</definedName>
    <definedName name="_xlnm.Print_Area" localSheetId="27">'T14-Mil-TaşıtA. Göre Ç.Yabancı'!$B$1:$H$119</definedName>
    <definedName name="_xlnm.Print_Area" localSheetId="28">'T15-Ay-TaşıtA. Göre Ç Yabancı'!$B$1:$H$18</definedName>
    <definedName name="_xlnm.Print_Area" localSheetId="29">'T16-SınırK.-TaşıtA Göre Ç.Yab.'!$B$1:$H$64</definedName>
    <definedName name="_xlnm.Print_Area" localSheetId="30">'T17-SınırK.-Ay Göre Ç.Yabancı'!$B$1:$T$192</definedName>
    <definedName name="_xlnm.Print_Area" localSheetId="14">'T1-Yıl-Aya Göre G. Yabancı'!$B$1:$G$17</definedName>
    <definedName name="_xlnm.Print_Area" localSheetId="15">'T2-Mil-TaşıtA. Göre G.Yabancı'!$B$1:$H$120</definedName>
    <definedName name="_xlnm.Print_Area" localSheetId="16">'T3-Ay-TaşıtA. Göre G.Yabancı'!$B$1:$H$17</definedName>
    <definedName name="_xlnm.Print_Area" localSheetId="17">'T4-İl-TaşıtA. Göre G.Yabancı'!$B$1:$H$63</definedName>
    <definedName name="_xlnm.Print_Area" localSheetId="18">'T5-SınırK.-Ay Göre G.Yabancı'!$B$1:$T$190</definedName>
    <definedName name="_xlnm.Print_Area" localSheetId="19">'T6-Mil-Yıl Göre G.Yabancı'!$B$1:$J$119</definedName>
    <definedName name="_xlnm.Print_Area" localSheetId="20">'T7-Mil-Ay Göre G.Yabancı'!$B$1:$O$119</definedName>
    <definedName name="_xlnm.Print_Area" localSheetId="21">'T8-Mil-SınırK Göre G.Yabancı'!$B$1:$GJ$114</definedName>
    <definedName name="_xlnm.Print_Area" localSheetId="22">'T9-Ay-Yıl Göre Y.Günübirlikçi'!$B$1:$G$17</definedName>
    <definedName name="_xlnm.Print_Titles" localSheetId="8">'C-Mil Göre G.Yabancı'!$1:$3</definedName>
    <definedName name="_xlnm.Print_Titles" localSheetId="24">'T11-GirişK-Ay Göre Y.Günübirl.'!$B:$B,'T11-GirişK-Ay Göre Y.Günübirl.'!$1:$3</definedName>
    <definedName name="_xlnm.Print_Titles" localSheetId="30">'T17-SınırK.-Ay Göre Ç.Yabancı'!$1:$4</definedName>
    <definedName name="_xlnm.Print_Titles" localSheetId="18">'T5-SınırK.-Ay Göre G.Yabancı'!$1:$3</definedName>
    <definedName name="_xlnm.Print_Titles" localSheetId="21">'T8-Mil-SınırK Göre G.Yabancı'!$B:$B,'T8-Mil-SınırK Göre G.Yabancı'!$1:$3</definedName>
  </definedNames>
  <calcPr calcId="145621"/>
</workbook>
</file>

<file path=xl/calcChain.xml><?xml version="1.0" encoding="utf-8"?>
<calcChain xmlns="http://schemas.openxmlformats.org/spreadsheetml/2006/main">
  <c r="CX113" i="20" l="1"/>
  <c r="CX112" i="20"/>
  <c r="CX111" i="20"/>
  <c r="CX110" i="20"/>
  <c r="CX109" i="20"/>
  <c r="CX108" i="20"/>
  <c r="CX107" i="20"/>
  <c r="CX106" i="20"/>
  <c r="CX105" i="20"/>
  <c r="CX104" i="20"/>
  <c r="CX103" i="20"/>
  <c r="CX102" i="20"/>
  <c r="CX101" i="20"/>
  <c r="CX100" i="20"/>
  <c r="CX99" i="20"/>
  <c r="CX98" i="20"/>
  <c r="CX97" i="20"/>
  <c r="CX96" i="20"/>
  <c r="CX95" i="20"/>
  <c r="CX94" i="20"/>
  <c r="CX93" i="20"/>
  <c r="CX92" i="20"/>
  <c r="CX91" i="20"/>
  <c r="CX90" i="20"/>
  <c r="CX89" i="20"/>
  <c r="CX88" i="20"/>
  <c r="CX87" i="20"/>
  <c r="CX86" i="20"/>
  <c r="CX85" i="20"/>
  <c r="CX84" i="20"/>
  <c r="CX83" i="20"/>
  <c r="CX82" i="20"/>
  <c r="CX81" i="20"/>
  <c r="CX80" i="20"/>
  <c r="CX79" i="20"/>
  <c r="CX78" i="20"/>
  <c r="CX77" i="20"/>
  <c r="CX76" i="20"/>
  <c r="CX75" i="20"/>
  <c r="CX74" i="20"/>
  <c r="CX73" i="20"/>
  <c r="CX72" i="20"/>
  <c r="CX71" i="20"/>
  <c r="CX70" i="20"/>
  <c r="CX69" i="20"/>
  <c r="CX68" i="20"/>
  <c r="CX67" i="20"/>
  <c r="CX66" i="20"/>
  <c r="CX65" i="20"/>
  <c r="CX64" i="20"/>
  <c r="CX63" i="20"/>
  <c r="CX62" i="20"/>
  <c r="CX61" i="20"/>
  <c r="CX60" i="20"/>
  <c r="CX59" i="20"/>
  <c r="CX58" i="20"/>
  <c r="CX57" i="20"/>
  <c r="CX56" i="20"/>
  <c r="CX55" i="20"/>
  <c r="CX54" i="20"/>
  <c r="CX53" i="20"/>
  <c r="CX52" i="20"/>
  <c r="CX51" i="20"/>
  <c r="CX50" i="20"/>
  <c r="CX49" i="20"/>
  <c r="CX48" i="20"/>
  <c r="CX47" i="20"/>
  <c r="CX46" i="20"/>
  <c r="CX45" i="20"/>
  <c r="CX44" i="20"/>
  <c r="CX43" i="20"/>
  <c r="CX42" i="20"/>
  <c r="CX41" i="20"/>
  <c r="CX40" i="20"/>
  <c r="CX39" i="20"/>
  <c r="CX38" i="20"/>
  <c r="CX37" i="20"/>
  <c r="CX36" i="20"/>
  <c r="CX35" i="20"/>
  <c r="CX34" i="20"/>
  <c r="CX33" i="20"/>
  <c r="CX32" i="20"/>
  <c r="CX31" i="20"/>
  <c r="CX30" i="20"/>
  <c r="CX29" i="20"/>
  <c r="CX28" i="20"/>
  <c r="CX27" i="20"/>
  <c r="CX26" i="20"/>
  <c r="CX25" i="20"/>
  <c r="CX24" i="20"/>
  <c r="CX23" i="20"/>
  <c r="CX22" i="20"/>
  <c r="CX21" i="20"/>
  <c r="CX20" i="20"/>
  <c r="CX19" i="20"/>
  <c r="CX18" i="20"/>
  <c r="CX17" i="20"/>
  <c r="CX16" i="20"/>
  <c r="CX15" i="20"/>
  <c r="CX14" i="20"/>
  <c r="CX13" i="20"/>
  <c r="CX12" i="20"/>
  <c r="CX11" i="20"/>
  <c r="CX10" i="20"/>
  <c r="CX9" i="20"/>
  <c r="CX8" i="20"/>
  <c r="CX7" i="20"/>
  <c r="CX6" i="20"/>
  <c r="CX5" i="20"/>
  <c r="CX4" i="20"/>
  <c r="GJ114" i="17" l="1"/>
  <c r="GJ113" i="17"/>
  <c r="GJ112" i="17"/>
  <c r="GJ111" i="17"/>
  <c r="GJ110" i="17"/>
  <c r="GJ109" i="17"/>
  <c r="GJ108" i="17"/>
  <c r="GJ107" i="17"/>
  <c r="GJ106" i="17"/>
  <c r="GJ105" i="17"/>
  <c r="GJ104" i="17"/>
  <c r="GJ103" i="17"/>
  <c r="GJ102" i="17"/>
  <c r="GJ101" i="17"/>
  <c r="GJ100" i="17"/>
  <c r="GJ99" i="17"/>
  <c r="GJ98" i="17"/>
  <c r="GJ97" i="17"/>
  <c r="GJ96" i="17"/>
  <c r="GJ95" i="17"/>
  <c r="GJ94" i="17"/>
  <c r="GJ93" i="17"/>
  <c r="GJ92" i="17"/>
  <c r="GJ91" i="17"/>
  <c r="GJ90" i="17"/>
  <c r="GJ89" i="17"/>
  <c r="GJ88" i="17"/>
  <c r="GJ87" i="17"/>
  <c r="GJ86" i="17"/>
  <c r="GJ85" i="17"/>
  <c r="GJ84" i="17"/>
  <c r="GJ83" i="17"/>
  <c r="GJ82" i="17"/>
  <c r="GJ81" i="17"/>
  <c r="GJ80" i="17"/>
  <c r="GJ79" i="17"/>
  <c r="GJ78" i="17"/>
  <c r="GJ77" i="17"/>
  <c r="GJ76" i="17"/>
  <c r="GJ75" i="17"/>
  <c r="GJ74" i="17"/>
  <c r="GJ73" i="17"/>
  <c r="GJ72" i="17"/>
  <c r="GJ70" i="17"/>
  <c r="GJ69" i="17"/>
  <c r="GJ68" i="17"/>
  <c r="GJ67" i="17"/>
  <c r="GJ66" i="17"/>
  <c r="GJ65" i="17"/>
  <c r="GJ64" i="17"/>
  <c r="GJ63" i="17"/>
  <c r="GJ62" i="17"/>
  <c r="GJ61" i="17"/>
  <c r="GJ60" i="17"/>
  <c r="GJ59" i="17"/>
  <c r="GJ58" i="17"/>
  <c r="GJ57" i="17"/>
  <c r="GJ56" i="17"/>
  <c r="GJ55" i="17"/>
  <c r="GJ54" i="17"/>
  <c r="GJ53" i="17"/>
  <c r="GJ52" i="17"/>
  <c r="GJ51" i="17"/>
  <c r="GJ50" i="17"/>
  <c r="GJ49" i="17"/>
  <c r="GJ48" i="17"/>
  <c r="GJ47" i="17"/>
  <c r="GJ46" i="17"/>
  <c r="GJ45" i="17"/>
  <c r="GJ44" i="17"/>
  <c r="GJ43" i="17"/>
  <c r="GJ42" i="17"/>
  <c r="GJ41" i="17"/>
  <c r="GJ40" i="17"/>
  <c r="GJ39" i="17"/>
  <c r="GJ38" i="17"/>
  <c r="GJ37" i="17"/>
  <c r="GJ36" i="17"/>
  <c r="GJ35" i="17"/>
  <c r="GJ34" i="17"/>
  <c r="GJ33" i="17"/>
  <c r="GJ32" i="17"/>
  <c r="GJ31" i="17"/>
  <c r="GJ30" i="17"/>
  <c r="GJ29" i="17"/>
  <c r="GJ28" i="17"/>
  <c r="GJ27" i="17"/>
  <c r="GJ26" i="17"/>
  <c r="GJ25" i="17"/>
  <c r="GJ24" i="17"/>
  <c r="GJ23" i="17"/>
  <c r="GJ22" i="17"/>
  <c r="GJ21" i="17"/>
  <c r="GJ20" i="17"/>
  <c r="GJ19" i="17"/>
  <c r="GJ18" i="17"/>
  <c r="GJ17" i="17"/>
  <c r="GJ16" i="17"/>
  <c r="GJ15" i="17"/>
  <c r="GJ14" i="17"/>
  <c r="GJ13" i="17"/>
  <c r="GJ12" i="17"/>
  <c r="GJ11" i="17"/>
  <c r="GJ10" i="17"/>
  <c r="GJ9" i="17"/>
  <c r="GJ8" i="17"/>
  <c r="GJ7" i="17"/>
  <c r="GJ6" i="17"/>
  <c r="GJ5" i="17"/>
  <c r="GJ4" i="17"/>
</calcChain>
</file>

<file path=xl/sharedStrings.xml><?xml version="1.0" encoding="utf-8"?>
<sst xmlns="http://schemas.openxmlformats.org/spreadsheetml/2006/main" count="23276" uniqueCount="730">
  <si>
    <t xml:space="preserve"> </t>
  </si>
  <si>
    <t>YILLAR</t>
  </si>
  <si>
    <t>Yabancı</t>
  </si>
  <si>
    <t>Vatandaş (Yurtdışı İkametli)</t>
  </si>
  <si>
    <t>Toplam</t>
  </si>
  <si>
    <t>OCAK</t>
  </si>
  <si>
    <t>ŞUBAT</t>
  </si>
  <si>
    <t>MART</t>
  </si>
  <si>
    <t>NİSAN</t>
  </si>
  <si>
    <t>MAYIS</t>
  </si>
  <si>
    <t>HAZİRAN</t>
  </si>
  <si>
    <t>TEMMUZ</t>
  </si>
  <si>
    <t>AĞUSTOS</t>
  </si>
  <si>
    <t>EYLÜL</t>
  </si>
  <si>
    <t>EKİM</t>
  </si>
  <si>
    <t>KASIM</t>
  </si>
  <si>
    <t>ARALIK</t>
  </si>
  <si>
    <t>TOPLAM</t>
  </si>
  <si>
    <t>NOT: T.C. Kültür ve Turizm Bakanlığı ile Türkiye İstatistik Kurumu Başkanlığı verilerinden derlenmiştir.</t>
  </si>
  <si>
    <t>(*) : Ziyaretçi = Yabancı Ziyaretçi + Yurtdışı İkametli Vatandaş Ziyaretçi</t>
  </si>
  <si>
    <t>Afganistan</t>
  </si>
  <si>
    <t>Almanya</t>
  </si>
  <si>
    <t>Amerika Birleşik Devletleri</t>
  </si>
  <si>
    <t>Amerikan Samoası</t>
  </si>
  <si>
    <t>Andorra</t>
  </si>
  <si>
    <t>Angola</t>
  </si>
  <si>
    <t>Anguilla</t>
  </si>
  <si>
    <t>Antigua ve Barbuda</t>
  </si>
  <si>
    <t>Arjantin</t>
  </si>
  <si>
    <t>Arnavutluk</t>
  </si>
  <si>
    <t>Aruba</t>
  </si>
  <si>
    <t>Avustralya</t>
  </si>
  <si>
    <t>Avusturya</t>
  </si>
  <si>
    <t>Azerbaycan</t>
  </si>
  <si>
    <t>Bahama Adaları</t>
  </si>
  <si>
    <t>Bahreyn</t>
  </si>
  <si>
    <t>Balear Adaları</t>
  </si>
  <si>
    <t>Bangladeş</t>
  </si>
  <si>
    <t>Barbados</t>
  </si>
  <si>
    <t>Batı Sahra</t>
  </si>
  <si>
    <t>Batı Samoa</t>
  </si>
  <si>
    <t>Batı Timor</t>
  </si>
  <si>
    <t>Belçika</t>
  </si>
  <si>
    <t>Belize</t>
  </si>
  <si>
    <t>Benin</t>
  </si>
  <si>
    <t>Bermuda</t>
  </si>
  <si>
    <t>Beyaz Rusya (Belarus)</t>
  </si>
  <si>
    <t>Bhutan</t>
  </si>
  <si>
    <t>Birleşik Arap Emirlikleri</t>
  </si>
  <si>
    <t>Birleşmiş Milletler</t>
  </si>
  <si>
    <t>Bolivya</t>
  </si>
  <si>
    <t>Bosna Hersek</t>
  </si>
  <si>
    <t>Botsvana</t>
  </si>
  <si>
    <t>Bouvet Adası</t>
  </si>
  <si>
    <t>Brezilya</t>
  </si>
  <si>
    <t>Brunei</t>
  </si>
  <si>
    <t>Bulgaristan</t>
  </si>
  <si>
    <t>Burkina Faso</t>
  </si>
  <si>
    <t>Burundi</t>
  </si>
  <si>
    <t>Cebelitarık</t>
  </si>
  <si>
    <t>Cezayir</t>
  </si>
  <si>
    <t>Cibuti</t>
  </si>
  <si>
    <t>Çad</t>
  </si>
  <si>
    <t>Çek Cumhuriyeti (Çekya)</t>
  </si>
  <si>
    <t>Çin Halk Cumhuriyeti</t>
  </si>
  <si>
    <t>Danimarka</t>
  </si>
  <si>
    <t>Demokratik Kongo Cumhuriyeti (Zaire)</t>
  </si>
  <si>
    <t>Doğu Timor</t>
  </si>
  <si>
    <t>Dominik Cumhuriyeti</t>
  </si>
  <si>
    <t>Dominika</t>
  </si>
  <si>
    <t>Ekvador</t>
  </si>
  <si>
    <t>Ekvator Ginesi</t>
  </si>
  <si>
    <t>El Salvador</t>
  </si>
  <si>
    <t>Endonezya</t>
  </si>
  <si>
    <t>Eritre</t>
  </si>
  <si>
    <t>Ermenistan</t>
  </si>
  <si>
    <t>Estonya</t>
  </si>
  <si>
    <t>Etiyopya (Habeşistan)</t>
  </si>
  <si>
    <t>Falkland Adaları</t>
  </si>
  <si>
    <t>Faroe Adaları</t>
  </si>
  <si>
    <t>Fas</t>
  </si>
  <si>
    <t>Fiji</t>
  </si>
  <si>
    <t>Fildişi Sahilleri (Cote d’Ivoire)</t>
  </si>
  <si>
    <t>Filipinler</t>
  </si>
  <si>
    <t>Filistin</t>
  </si>
  <si>
    <t>Finlandiya</t>
  </si>
  <si>
    <t>Fransa</t>
  </si>
  <si>
    <t>Fransız Guyanası</t>
  </si>
  <si>
    <t>Gabon</t>
  </si>
  <si>
    <t>Gambiya</t>
  </si>
  <si>
    <t>Gana</t>
  </si>
  <si>
    <t>Gayrı Muntazam</t>
  </si>
  <si>
    <t>Gine</t>
  </si>
  <si>
    <t>Gine Bissau</t>
  </si>
  <si>
    <t>Grenada</t>
  </si>
  <si>
    <t>Grönland</t>
  </si>
  <si>
    <t>Guadeloupe</t>
  </si>
  <si>
    <t>Guam</t>
  </si>
  <si>
    <t>Guatemala</t>
  </si>
  <si>
    <t>Guyana</t>
  </si>
  <si>
    <t>Güney Afrika Cumhuriyeti</t>
  </si>
  <si>
    <t>Güney Kıbrıs Rum Kesimi</t>
  </si>
  <si>
    <t>Güney Kore</t>
  </si>
  <si>
    <t>Güney Sudan</t>
  </si>
  <si>
    <t>Gürcistan</t>
  </si>
  <si>
    <t>Haiti</t>
  </si>
  <si>
    <t>Hırvatistan</t>
  </si>
  <si>
    <t>Hindistan</t>
  </si>
  <si>
    <t>Hollanda</t>
  </si>
  <si>
    <t>Honduras</t>
  </si>
  <si>
    <t>Hong Kong</t>
  </si>
  <si>
    <t>Irak</t>
  </si>
  <si>
    <t>Iskat</t>
  </si>
  <si>
    <t>İngiltere (Birleşik Krallık)</t>
  </si>
  <si>
    <t>İran</t>
  </si>
  <si>
    <t>İrlanda</t>
  </si>
  <si>
    <t>İspanya</t>
  </si>
  <si>
    <t>İsrail</t>
  </si>
  <si>
    <t>İsveç</t>
  </si>
  <si>
    <t>İsviçre</t>
  </si>
  <si>
    <t>İtalya</t>
  </si>
  <si>
    <t>İzlanda</t>
  </si>
  <si>
    <t>Jamaika</t>
  </si>
  <si>
    <t>Jan Mayen Adası</t>
  </si>
  <si>
    <t>Japonya</t>
  </si>
  <si>
    <t>Kamboçya</t>
  </si>
  <si>
    <t>Kamerun</t>
  </si>
  <si>
    <t>Kanada</t>
  </si>
  <si>
    <t>Karadağ</t>
  </si>
  <si>
    <t>Katar</t>
  </si>
  <si>
    <t>Kayman Adaları</t>
  </si>
  <si>
    <t>Kazakistan</t>
  </si>
  <si>
    <t>Kenya</t>
  </si>
  <si>
    <t>Kırgızistan</t>
  </si>
  <si>
    <t>Kiribati (Gilbert Adaları)</t>
  </si>
  <si>
    <t>Kolombiya</t>
  </si>
  <si>
    <t>Komorlar</t>
  </si>
  <si>
    <t>Kongo Cumhuriyeti</t>
  </si>
  <si>
    <t>Kosova</t>
  </si>
  <si>
    <t>Kosta Rika</t>
  </si>
  <si>
    <t>Kuveyt</t>
  </si>
  <si>
    <t>Kuzey Kıbrıs Türk Cumhuriyeti</t>
  </si>
  <si>
    <t>Kuzey Kore</t>
  </si>
  <si>
    <t>Kuzey Mariana Adaları</t>
  </si>
  <si>
    <t>Küba</t>
  </si>
  <si>
    <t>Laos</t>
  </si>
  <si>
    <t>Lesoto</t>
  </si>
  <si>
    <t>Letonya</t>
  </si>
  <si>
    <t>Liberya</t>
  </si>
  <si>
    <t>Libya</t>
  </si>
  <si>
    <t>Lihtenştayn</t>
  </si>
  <si>
    <t>Litvanya</t>
  </si>
  <si>
    <t>Lübnan</t>
  </si>
  <si>
    <t>Lüksemburg</t>
  </si>
  <si>
    <t>Macaristan</t>
  </si>
  <si>
    <t>Madagaskar (Malagazi)</t>
  </si>
  <si>
    <t>Makao</t>
  </si>
  <si>
    <t>Malavi</t>
  </si>
  <si>
    <t>Maldivler</t>
  </si>
  <si>
    <t>Malezya</t>
  </si>
  <si>
    <t>Mali</t>
  </si>
  <si>
    <t>Malta</t>
  </si>
  <si>
    <t>Man Adası</t>
  </si>
  <si>
    <t>Marshall Adaları</t>
  </si>
  <si>
    <t>Martinik</t>
  </si>
  <si>
    <t>Mauritius</t>
  </si>
  <si>
    <t>Mayotte</t>
  </si>
  <si>
    <t>Meksika</t>
  </si>
  <si>
    <t>Mısır</t>
  </si>
  <si>
    <t>Midway Adası</t>
  </si>
  <si>
    <t>Mikronezya Federe Devletleri</t>
  </si>
  <si>
    <t>Milliyetsiz (Haymatlos)</t>
  </si>
  <si>
    <t>Moğolistan</t>
  </si>
  <si>
    <t>Moldova</t>
  </si>
  <si>
    <t>Monako</t>
  </si>
  <si>
    <t>Montserrat</t>
  </si>
  <si>
    <t>Moritanya</t>
  </si>
  <si>
    <t>Mozambik</t>
  </si>
  <si>
    <t>Myanmar (Burma)</t>
  </si>
  <si>
    <t>Namibya</t>
  </si>
  <si>
    <t>Nauru</t>
  </si>
  <si>
    <t>Nepal</t>
  </si>
  <si>
    <t>Nijer</t>
  </si>
  <si>
    <t>Nijerya</t>
  </si>
  <si>
    <t>Nikaragua</t>
  </si>
  <si>
    <t>Niue</t>
  </si>
  <si>
    <t>Norfolk Adası</t>
  </si>
  <si>
    <t>Norveç</t>
  </si>
  <si>
    <t>Orta Afrika Cumhuriyeti</t>
  </si>
  <si>
    <t>Özbekistan</t>
  </si>
  <si>
    <t>Pakistan</t>
  </si>
  <si>
    <t>Palau</t>
  </si>
  <si>
    <t>Panama</t>
  </si>
  <si>
    <t>Papua Yeni Gine</t>
  </si>
  <si>
    <t>Paraguay</t>
  </si>
  <si>
    <t>Peru</t>
  </si>
  <si>
    <t>Pitcairn Adaları</t>
  </si>
  <si>
    <t>Polonya</t>
  </si>
  <si>
    <t>Portekiz</t>
  </si>
  <si>
    <t>Porto Riko</t>
  </si>
  <si>
    <t>Reunion</t>
  </si>
  <si>
    <t>Romanya</t>
  </si>
  <si>
    <t>Ruanda</t>
  </si>
  <si>
    <t>Rusya Fed.</t>
  </si>
  <si>
    <t>Saint Helena (St. Helen)</t>
  </si>
  <si>
    <t>Saint Kitts ve Nevis (St. Kitts)</t>
  </si>
  <si>
    <t>Saint Lucia (St. Lucia)</t>
  </si>
  <si>
    <t>Saint Pierre ve Miquelon (St. Pierre)</t>
  </si>
  <si>
    <t>Saint Vincent ve Grenadinler (St. Vincent)</t>
  </si>
  <si>
    <t>Samoa</t>
  </si>
  <si>
    <t>San Marino</t>
  </si>
  <si>
    <t>Sao Tome ve Principe</t>
  </si>
  <si>
    <t>Senegal</t>
  </si>
  <si>
    <t>Seyşeller</t>
  </si>
  <si>
    <t>Sırbistan</t>
  </si>
  <si>
    <t>Sierra Leone</t>
  </si>
  <si>
    <t>Singapur</t>
  </si>
  <si>
    <t>Slovakya</t>
  </si>
  <si>
    <t>Slovenya</t>
  </si>
  <si>
    <t>Solomon Adaları</t>
  </si>
  <si>
    <t>Somali</t>
  </si>
  <si>
    <t>Sri Lanka</t>
  </si>
  <si>
    <t>Sudan</t>
  </si>
  <si>
    <t>Surinam</t>
  </si>
  <si>
    <t>Suriye</t>
  </si>
  <si>
    <t>Suudi Arabistan</t>
  </si>
  <si>
    <t>Svalbard ve Jan Mayen Adaları</t>
  </si>
  <si>
    <t>Svaziland</t>
  </si>
  <si>
    <t>Şili</t>
  </si>
  <si>
    <t>Tacikistan</t>
  </si>
  <si>
    <t>Tahiti</t>
  </si>
  <si>
    <t>Tanzanya</t>
  </si>
  <si>
    <t>Tayland</t>
  </si>
  <si>
    <t>Tayvan</t>
  </si>
  <si>
    <t>Togo</t>
  </si>
  <si>
    <t>Tokelau</t>
  </si>
  <si>
    <t>Tonga</t>
  </si>
  <si>
    <t>Trinidad ve Tobago</t>
  </si>
  <si>
    <t>Tunus</t>
  </si>
  <si>
    <t>Turks ve Caicos Adaları</t>
  </si>
  <si>
    <t>Tuvalu</t>
  </si>
  <si>
    <t>Türkmenistan</t>
  </si>
  <si>
    <t>Uganda</t>
  </si>
  <si>
    <t>Ukrayna</t>
  </si>
  <si>
    <t>Umman</t>
  </si>
  <si>
    <t>Uruguay</t>
  </si>
  <si>
    <t>Ürdün</t>
  </si>
  <si>
    <t>Vanuatu</t>
  </si>
  <si>
    <t>Vatikan</t>
  </si>
  <si>
    <t>Venezuela</t>
  </si>
  <si>
    <t>Vietnam</t>
  </si>
  <si>
    <t>Wake Adası</t>
  </si>
  <si>
    <t>Wallis Futuna</t>
  </si>
  <si>
    <t>Yemen</t>
  </si>
  <si>
    <t>Yeni Kaledonya</t>
  </si>
  <si>
    <t>Yeni Zelanda</t>
  </si>
  <si>
    <t>Yeşil Burun Adaları (Cape Verde)</t>
  </si>
  <si>
    <t>Yunanistan</t>
  </si>
  <si>
    <t>Zambiya</t>
  </si>
  <si>
    <t>Zimbabve</t>
  </si>
  <si>
    <t>Gelen Yabancı Ziyaretçi</t>
  </si>
  <si>
    <t>Çıkan Yabancı Ziyaretçi</t>
  </si>
  <si>
    <t/>
  </si>
  <si>
    <t>AYLAR</t>
  </si>
  <si>
    <t>% DEĞİŞİM ORANI</t>
  </si>
  <si>
    <t>MİLLİYET</t>
  </si>
  <si>
    <t>TAŞIT ARACI</t>
  </si>
  <si>
    <t>Deniz</t>
  </si>
  <si>
    <t>Hava</t>
  </si>
  <si>
    <t>Kara</t>
  </si>
  <si>
    <t>Tren</t>
  </si>
  <si>
    <t>MİL.PAYI %</t>
  </si>
  <si>
    <t>DİĞ.  AFRİKA  ÜLKELERİ</t>
  </si>
  <si>
    <t>TOPLAM AFRİKA</t>
  </si>
  <si>
    <t>DİĞ.  GÜNEY AMERİKA  ÜLKELERİ</t>
  </si>
  <si>
    <t>TOPLAM GÜNEY AMERİKA</t>
  </si>
  <si>
    <t>TOPLAM KUZEY AMERİKA</t>
  </si>
  <si>
    <t>TOPLAM ORTA AMERİKA</t>
  </si>
  <si>
    <t>TOPLAM AMERİKA</t>
  </si>
  <si>
    <t>DİĞ.  BATI ASYA  ÜLKELERİ</t>
  </si>
  <si>
    <t>TOPLAM BATI ASYA</t>
  </si>
  <si>
    <t>DİĞ.  GÜNEY ASYA  ÜLKELERİ</t>
  </si>
  <si>
    <t>TOPLAM GÜNEY ASYA</t>
  </si>
  <si>
    <t>TOPLAM ASYA</t>
  </si>
  <si>
    <t>DİĞ.  AVRUPA OECD  ÜLKELERİ</t>
  </si>
  <si>
    <t>TOPLAM AVRUPA OECD</t>
  </si>
  <si>
    <t>DİĞ.  AVRUPA OECD DIŞI  ÜLKELERİ</t>
  </si>
  <si>
    <t>TOPLAM AVRUPA OECD DIŞI</t>
  </si>
  <si>
    <t>TOPLAM AVRUPA</t>
  </si>
  <si>
    <t>TOPLAM B.D.T.</t>
  </si>
  <si>
    <t>TOPLAM DİĞER OECD</t>
  </si>
  <si>
    <t>TOPLAM MİLLİYETSİZ</t>
  </si>
  <si>
    <t>TOPLAM OKYANUSYA</t>
  </si>
  <si>
    <t>YABANCI TOPLAM</t>
  </si>
  <si>
    <t>%ORANI</t>
  </si>
  <si>
    <t>DENİZ</t>
  </si>
  <si>
    <t>HAVA</t>
  </si>
  <si>
    <t>KARA</t>
  </si>
  <si>
    <t>TREN</t>
  </si>
  <si>
    <t>İLLER</t>
  </si>
  <si>
    <t>Adana</t>
  </si>
  <si>
    <t>Adıyaman</t>
  </si>
  <si>
    <t>Ağrı</t>
  </si>
  <si>
    <t>Amasya</t>
  </si>
  <si>
    <t>Ankara</t>
  </si>
  <si>
    <t>Antalya</t>
  </si>
  <si>
    <t>Ardahan</t>
  </si>
  <si>
    <t>Artvin</t>
  </si>
  <si>
    <t>Aydın</t>
  </si>
  <si>
    <t>Balıkesir</t>
  </si>
  <si>
    <t>Bartın</t>
  </si>
  <si>
    <t>Bingöl</t>
  </si>
  <si>
    <t>Bursa</t>
  </si>
  <si>
    <t>Çanakkale</t>
  </si>
  <si>
    <t>Denizli</t>
  </si>
  <si>
    <t>Diyarbakır</t>
  </si>
  <si>
    <t>Edirne</t>
  </si>
  <si>
    <t>Elazığ</t>
  </si>
  <si>
    <t>Erzincan</t>
  </si>
  <si>
    <t>Erzurum</t>
  </si>
  <si>
    <t>Eskişehir</t>
  </si>
  <si>
    <t>Gaziantep</t>
  </si>
  <si>
    <t>Giresun</t>
  </si>
  <si>
    <t>Hakkari</t>
  </si>
  <si>
    <t>Hatay</t>
  </si>
  <si>
    <t>Iğdır</t>
  </si>
  <si>
    <t>Isparta</t>
  </si>
  <si>
    <t>İstanbul</t>
  </si>
  <si>
    <t>İzmir</t>
  </si>
  <si>
    <t>Kahramanmaraş</t>
  </si>
  <si>
    <t>Kars</t>
  </si>
  <si>
    <t>Kastamonu</t>
  </si>
  <si>
    <t>Kayseri</t>
  </si>
  <si>
    <t>Kırklareli</t>
  </si>
  <si>
    <t>Kilis</t>
  </si>
  <si>
    <t>Kocaeli</t>
  </si>
  <si>
    <t>Konya</t>
  </si>
  <si>
    <t>Kütahya</t>
  </si>
  <si>
    <t>Malatya</t>
  </si>
  <si>
    <t>Mardin</t>
  </si>
  <si>
    <t>Mersin</t>
  </si>
  <si>
    <t>Muğla</t>
  </si>
  <si>
    <t>Muş</t>
  </si>
  <si>
    <t>Nevşehir</t>
  </si>
  <si>
    <t>Ordu</t>
  </si>
  <si>
    <t>Rize</t>
  </si>
  <si>
    <t>Sakarya</t>
  </si>
  <si>
    <t>Samsun</t>
  </si>
  <si>
    <t>Sinop</t>
  </si>
  <si>
    <t>Sivas</t>
  </si>
  <si>
    <t>Şanlıurfa</t>
  </si>
  <si>
    <t>Şırnak</t>
  </si>
  <si>
    <t>Tekirdağ</t>
  </si>
  <si>
    <t>Trabzon</t>
  </si>
  <si>
    <t>Uşak</t>
  </si>
  <si>
    <t>Van</t>
  </si>
  <si>
    <t>Yalova</t>
  </si>
  <si>
    <t>Zonguldak</t>
  </si>
  <si>
    <t>SINIR KAPILARI</t>
  </si>
  <si>
    <t>VASITA CİNSİ</t>
  </si>
  <si>
    <t>Şakirpaşa (H)</t>
  </si>
  <si>
    <t>Botaş (D)</t>
  </si>
  <si>
    <t>Toros Tarım Limanı (D)</t>
  </si>
  <si>
    <t>Merzifon (H)</t>
  </si>
  <si>
    <t>Esenboğa (H)</t>
  </si>
  <si>
    <t>Alanya (D)</t>
  </si>
  <si>
    <t>Kaş (D)</t>
  </si>
  <si>
    <t>Finike (D)</t>
  </si>
  <si>
    <t>Kemer (D)</t>
  </si>
  <si>
    <t>Hopa (D)</t>
  </si>
  <si>
    <t>Hopa (H)</t>
  </si>
  <si>
    <t>Sarp (K)</t>
  </si>
  <si>
    <t>Kuşadası (D)</t>
  </si>
  <si>
    <t>Didim (D)</t>
  </si>
  <si>
    <t>Koca Seyit (H)</t>
  </si>
  <si>
    <t>Bandırma (D)</t>
  </si>
  <si>
    <t>Ayvalık (D)</t>
  </si>
  <si>
    <t>Yenişehir (H)</t>
  </si>
  <si>
    <t>Gemlik (D)</t>
  </si>
  <si>
    <t>Kepez (D)</t>
  </si>
  <si>
    <t>Bozcaada Limanı (D)</t>
  </si>
  <si>
    <t>İçdaş (D)</t>
  </si>
  <si>
    <t>Belediye Yat Limanı (D)</t>
  </si>
  <si>
    <t>Çardak (H)</t>
  </si>
  <si>
    <t>Hamzabeyli (K)</t>
  </si>
  <si>
    <t>İpsala (K)</t>
  </si>
  <si>
    <t>Kapıkule (K)</t>
  </si>
  <si>
    <t>Pazarkule (K)</t>
  </si>
  <si>
    <t>Kapıkule (T)</t>
  </si>
  <si>
    <t>Karkamış (K)</t>
  </si>
  <si>
    <t>Esendere (K)</t>
  </si>
  <si>
    <t>Çukurca/Üzümlü (K)</t>
  </si>
  <si>
    <t>Cilvegözü (K)</t>
  </si>
  <si>
    <t>Yayladağ (K)</t>
  </si>
  <si>
    <t>İskenderun (D)</t>
  </si>
  <si>
    <t>S. Demirel (H)</t>
  </si>
  <si>
    <t>Taşucu Deniz (D)</t>
  </si>
  <si>
    <t>Taşucu Seka (D)</t>
  </si>
  <si>
    <t>Yeşilovacık (D)</t>
  </si>
  <si>
    <t>Zeytinburnu (D)</t>
  </si>
  <si>
    <t>A.H.L. (H)</t>
  </si>
  <si>
    <t>Pendik (D)</t>
  </si>
  <si>
    <t>S. Gökçen (H)</t>
  </si>
  <si>
    <t>Ambarlı (D)</t>
  </si>
  <si>
    <t>Karaköy (D)</t>
  </si>
  <si>
    <t>Haydarpaşa (D)</t>
  </si>
  <si>
    <t>Çeşme (D)</t>
  </si>
  <si>
    <t>Aliağa (D)</t>
  </si>
  <si>
    <t>A. Menderes (H)</t>
  </si>
  <si>
    <t>Seferihisar (D)</t>
  </si>
  <si>
    <t>Dikili (D)</t>
  </si>
  <si>
    <t>Foça (D)</t>
  </si>
  <si>
    <t>Harakani (H)</t>
  </si>
  <si>
    <t>İnebolu (D)</t>
  </si>
  <si>
    <t>Erkilet (H)</t>
  </si>
  <si>
    <t>Dereköy (K)</t>
  </si>
  <si>
    <t>Cengiz Topel (H)</t>
  </si>
  <si>
    <t>Derince (D)</t>
  </si>
  <si>
    <t>Zafer Bölgesel (H)</t>
  </si>
  <si>
    <t>Erhaç (H)</t>
  </si>
  <si>
    <t>Bodrum (D)</t>
  </si>
  <si>
    <t>Turgutreis (D)</t>
  </si>
  <si>
    <t>Dalaman (H)</t>
  </si>
  <si>
    <t>Milas-Bodrum (H)</t>
  </si>
  <si>
    <t>Datça (D)</t>
  </si>
  <si>
    <t>Güllük (D)</t>
  </si>
  <si>
    <t>Marmaris (D)</t>
  </si>
  <si>
    <t>Fethiye (D)</t>
  </si>
  <si>
    <t>Yalıkavak (D)</t>
  </si>
  <si>
    <t>Bozburun (D)</t>
  </si>
  <si>
    <t>Kapadokya (H)</t>
  </si>
  <si>
    <t>Ünye (D)</t>
  </si>
  <si>
    <t>Fatsa (D)</t>
  </si>
  <si>
    <t>Karasu Liman (D)</t>
  </si>
  <si>
    <t>Yeşilyurt Kıyı Tesisi (D)</t>
  </si>
  <si>
    <t>Çorlu (H)</t>
  </si>
  <si>
    <t>GAP (H)</t>
  </si>
  <si>
    <t>Kapıköy (T)</t>
  </si>
  <si>
    <t>Kapıköy (K)</t>
  </si>
  <si>
    <t>Çaycuma (H)</t>
  </si>
  <si>
    <t>Habur (K)</t>
  </si>
  <si>
    <t>Posof-Türközü (K)</t>
  </si>
  <si>
    <t>Çıldır-Aktaş (K)</t>
  </si>
  <si>
    <t>Dilucu (K)</t>
  </si>
  <si>
    <t>RO-RO Terminal (D)</t>
  </si>
  <si>
    <t>Öncüpınar (K)</t>
  </si>
  <si>
    <t>MİLLİYET PAYI (%)</t>
  </si>
  <si>
    <t>Adana Toplam</t>
  </si>
  <si>
    <t>Antalya Toplam</t>
  </si>
  <si>
    <t>Ardahan Toplam</t>
  </si>
  <si>
    <t>Artvin Toplam</t>
  </si>
  <si>
    <t>Aydın Toplam</t>
  </si>
  <si>
    <t>Ağrı Toplam</t>
  </si>
  <si>
    <t>Balıkesir Toplam</t>
  </si>
  <si>
    <t>Bursa Toplam</t>
  </si>
  <si>
    <t>Edirne Toplam</t>
  </si>
  <si>
    <t>Gaziantep Toplam</t>
  </si>
  <si>
    <t>Hakkari Toplam</t>
  </si>
  <si>
    <t>Hatay Toplam</t>
  </si>
  <si>
    <t>Kastamonu Toplam</t>
  </si>
  <si>
    <t>Kocaeli Toplam</t>
  </si>
  <si>
    <t>Mersin Toplam</t>
  </si>
  <si>
    <t>Muğla Toplam</t>
  </si>
  <si>
    <t>Ordu Toplam</t>
  </si>
  <si>
    <t>Samsun Toplam</t>
  </si>
  <si>
    <t>Sinop Toplam</t>
  </si>
  <si>
    <t>Tekirdağ Toplam</t>
  </si>
  <si>
    <t>Trabzon Toplam</t>
  </si>
  <si>
    <t>Van Toplam</t>
  </si>
  <si>
    <t>Zonguldak Toplam</t>
  </si>
  <si>
    <t>Çanakkale Toplam</t>
  </si>
  <si>
    <t>İstanbul Toplam</t>
  </si>
  <si>
    <t>İzmir Toplam</t>
  </si>
  <si>
    <t>% ORANI</t>
  </si>
  <si>
    <t>(*): Yurt dışında ikamet eden vatandaş sayıları dahil değildir.</t>
  </si>
  <si>
    <t>ADANA</t>
  </si>
  <si>
    <t>ADIYAMAN</t>
  </si>
  <si>
    <t>AĞRI</t>
  </si>
  <si>
    <t>AMASYA</t>
  </si>
  <si>
    <t>ANKARA</t>
  </si>
  <si>
    <t>ANTALYA</t>
  </si>
  <si>
    <t>ARDAHAN</t>
  </si>
  <si>
    <t>ARTVİN</t>
  </si>
  <si>
    <t>AYDIN</t>
  </si>
  <si>
    <t>BALIKESİR</t>
  </si>
  <si>
    <t>BARTIN</t>
  </si>
  <si>
    <t>BİNGÖL</t>
  </si>
  <si>
    <t>BURSA</t>
  </si>
  <si>
    <t>ÇANAKKALE</t>
  </si>
  <si>
    <t>DENİZLİ</t>
  </si>
  <si>
    <t>DİYARBAKIR</t>
  </si>
  <si>
    <t>EDİRNE</t>
  </si>
  <si>
    <t>ELAZIĞ</t>
  </si>
  <si>
    <t>ERZİNCAN</t>
  </si>
  <si>
    <t>ERZURUM</t>
  </si>
  <si>
    <t>ESKİŞEHİR</t>
  </si>
  <si>
    <t>GAZİANTEP</t>
  </si>
  <si>
    <t>GİRESUN</t>
  </si>
  <si>
    <t>HAKKARİ</t>
  </si>
  <si>
    <t>HATAY</t>
  </si>
  <si>
    <t>IĞDIR</t>
  </si>
  <si>
    <t>ISPARTA</t>
  </si>
  <si>
    <t>İSTANBUL</t>
  </si>
  <si>
    <t>İZMİR</t>
  </si>
  <si>
    <t>KAHRAMANMARAŞ</t>
  </si>
  <si>
    <t>KARS</t>
  </si>
  <si>
    <t>KASTAMONU</t>
  </si>
  <si>
    <t>KAYSERİ</t>
  </si>
  <si>
    <t>KIRKLARELİ</t>
  </si>
  <si>
    <t>KİLİS</t>
  </si>
  <si>
    <t>KOCAELİ</t>
  </si>
  <si>
    <t>KONYA</t>
  </si>
  <si>
    <t>KÜTAHYA</t>
  </si>
  <si>
    <t>MALATYA</t>
  </si>
  <si>
    <t>MARDİN</t>
  </si>
  <si>
    <t>MERSİN</t>
  </si>
  <si>
    <t>MUĞLA</t>
  </si>
  <si>
    <t>MUŞ</t>
  </si>
  <si>
    <t>NEVŞEHİR</t>
  </si>
  <si>
    <t>ORDU</t>
  </si>
  <si>
    <t>RİZE</t>
  </si>
  <si>
    <t>SAKARYA</t>
  </si>
  <si>
    <t>SAMSUN</t>
  </si>
  <si>
    <t>SİNOP</t>
  </si>
  <si>
    <t>SİVAS</t>
  </si>
  <si>
    <t>ŞANLIURFA</t>
  </si>
  <si>
    <t>ŞIRNAK</t>
  </si>
  <si>
    <t>TEKİRDAĞ</t>
  </si>
  <si>
    <t>TRABZON</t>
  </si>
  <si>
    <t>UŞAK</t>
  </si>
  <si>
    <t>VAN</t>
  </si>
  <si>
    <t>YALOVA</t>
  </si>
  <si>
    <t>ZONGULDAK</t>
  </si>
  <si>
    <t>SINIR KAPILARI VE VASITA CİNSİ</t>
  </si>
  <si>
    <t>GENEL TOPLAM</t>
  </si>
  <si>
    <t>Tuzla (D)</t>
  </si>
  <si>
    <t>Eren (D)</t>
  </si>
  <si>
    <t>Diğer Afrika Ülkeleri</t>
  </si>
  <si>
    <t>Toplam Afrika</t>
  </si>
  <si>
    <t>Diğer Güney Amerika Ülkeleri</t>
  </si>
  <si>
    <t>Toplam Güney Amerika</t>
  </si>
  <si>
    <t>Toplam Kuzey Amerika</t>
  </si>
  <si>
    <t>Toplam Orta Amerika</t>
  </si>
  <si>
    <t>Toplam Amerika</t>
  </si>
  <si>
    <t>Diğer Batı Asya Ülkeleri</t>
  </si>
  <si>
    <t>Diğer Güney Asya Ülkeleri</t>
  </si>
  <si>
    <t>Toplam Batı Asya</t>
  </si>
  <si>
    <t>Toplam Asya</t>
  </si>
  <si>
    <t>Toplam Güney Asya</t>
  </si>
  <si>
    <t>Toplam Avrupa OECD</t>
  </si>
  <si>
    <t>Diğer Avrupa OECD Ülkeleri</t>
  </si>
  <si>
    <t>Diğer Avrupa OECD Dışı Ülk.</t>
  </si>
  <si>
    <t>Toplam Avrupa OECD Dışı</t>
  </si>
  <si>
    <t>Toplam Avrupa</t>
  </si>
  <si>
    <t>Toplam B.D.T.</t>
  </si>
  <si>
    <t>Toplam Diğer OECD</t>
  </si>
  <si>
    <t>Toplam Milliyetsiz</t>
  </si>
  <si>
    <t>Toplam Okyanusya</t>
  </si>
  <si>
    <t>Karabiga (D)</t>
  </si>
  <si>
    <t>AÇIKLAMALAR</t>
  </si>
  <si>
    <t>Turizm Bakanlığı, 1972 yılından itibaren, Ülkemize giriş-çıkış yapan yabancı ziyaretçi sayılarına ilişkin verileri sınır kapılarımızda Emniyet Genel Müdürlüğü’ne bağlı Pasaport Polisi’nin tuttuğu milliyet bazındaki kayıtlardan elde etmektedir. Yabancı ziyaretçi sayılarına günübirlikçi sayıları da dâhildir. Ziyaretçi sayıları ise yabancı ziyaretçi sayıları ile yurt dışında ikamet eden vatandaş sayıları toplamından elde edilmektedir.</t>
  </si>
  <si>
    <t>YÖNTEM</t>
  </si>
  <si>
    <t>Giriş yapan ziyaretçilere ve yurt dışında ikamet eden vatandaşlara, giriş-çıkış yapan yabancı ziyaretçilere ve günübirlikçilere ait istatistikler Emniyet Genel Müdürlüğü Pasaport Polisi kayıtları ile Türkiye İstatistik Kurumu Vatandaş Giriş Anketi bilgileri derlenerek elde edilmektedir. Emniyet Genel Müdürlüğü veri tabanı kayıtları aylık olarak Bakanlığımız veri tabanına aktarılmaktadır. Türkiye İstatistik Kurumu verileri ise dört çeyreklik (üçer aylık) dönemlerde yayınlanan Turizm İstatistikleri Haber Bülteni yayınını takiben Bakanlık istatistiklerine dâhil edilmektedir. Her yılın ilk yarısının sonunda önceki yıla ait tüm veriler değerlendirilerek “Sınır İstatistikleri” adı altında yayınlanır.</t>
  </si>
  <si>
    <t>ÖNSÖZ</t>
  </si>
  <si>
    <t xml:space="preserve">Bakanlığımızca 1972 yılından bu yana yayınlanmakta olan bu kitap,  turizm alanında çalışma yapmak isteyen tüm kullanıcılar için temel kaynak niteliğindedir. </t>
  </si>
  <si>
    <t xml:space="preserve">Kitabımızda Ülkemize giriş-çıkış yapan, yabancı ziyaretçiler ile günübirlikçilere ilişkin ay-milliyet-giriş-çıkış yapılan sınır kapısı-kullanılan vasıta bazında bilgiler bulunmaktadır. </t>
  </si>
  <si>
    <t>KÜLTÜR VE TURİZM BAKANLIĞI</t>
  </si>
  <si>
    <t>KAVRAM VE TANIMLAR</t>
  </si>
  <si>
    <t>TURİZM</t>
  </si>
  <si>
    <t>Kişilerin ikamet ettiği yer dışındaki bir yere bir yılı aşmamak üzere, boş zaman değerlendirme, iş ve diğer benzeri amaçlarla yaptıkları seyahatlerdir.</t>
  </si>
  <si>
    <t>ULUSLARARASI ZİYARETÇİ</t>
  </si>
  <si>
    <t>Daimi ikametgâhı ve yaşadığı çevrenin dışındaki bir ülkeyi, 12 ayı aşmayan süreyle ve o ülkede para karşılığı bir iş yapmak dışında bir amaçla ziyaret eden kişidir.</t>
  </si>
  <si>
    <t>TURİST</t>
  </si>
  <si>
    <t>Ziyaret edilen ülkedeki özel (İkinci konut, arkadaş ve akraba evi vb. ) veya kamuya açık konaklama tesislerinde en az bir gece kalan ziyaretçidir.</t>
  </si>
  <si>
    <t>GÜNÜBİRLİKÇİ</t>
  </si>
  <si>
    <t>*  o ülkeye gemi ile gelen ve geceleme yapmak üzere geldiği gemiye (gemi o  limanda birden fazla gün kalsa bile) geri dönen yolcular</t>
  </si>
  <si>
    <t>*  trenle grup halinde yolculuk eden ve trende geceleyen yolcular</t>
  </si>
  <si>
    <t>*  o ülkede ikamet etmeyen ve gün boyu o  ülkede kalan mürettebat bu tanıma dahildir.</t>
  </si>
  <si>
    <t>KISALTMALAR</t>
  </si>
  <si>
    <t>TUİK : Türkiye İstatistik Kurumu</t>
  </si>
  <si>
    <t>: Türkiye İstatistik Kurumu</t>
  </si>
  <si>
    <t>MB    : Merkez Bankası</t>
  </si>
  <si>
    <t>: Merkez Bankası</t>
  </si>
  <si>
    <t>ÖZEL İŞARETLER:</t>
  </si>
  <si>
    <t>- :Bilgi yoktur.</t>
  </si>
  <si>
    <t>-</t>
  </si>
  <si>
    <t>* Ziyaret edilen ülkede özel veya kamuya açık konaklama tesislerinde geceleme yapmayan ziyaretçi</t>
  </si>
  <si>
    <t>İÇİNDEKİLER</t>
  </si>
  <si>
    <t>Cayman Adaları</t>
  </si>
  <si>
    <t>Cocos (Keeling) Adaları</t>
  </si>
  <si>
    <t>Cook Adaları</t>
  </si>
  <si>
    <t>2018/2017</t>
  </si>
  <si>
    <t>TÜRKİYE'YE GELEN YABANCI ZİYARETÇİLER (2009-2018)</t>
  </si>
  <si>
    <t>TÜRKİYE'DEN ÇIKAN YABANCI ZİYARETÇİLER (2009-2018)</t>
  </si>
  <si>
    <t>Sanko (D)</t>
  </si>
  <si>
    <t>Gürbulak (K)</t>
  </si>
  <si>
    <t>Gazipaşa (H)</t>
  </si>
  <si>
    <t>Bağfaş (D)</t>
  </si>
  <si>
    <t>Küçükkuyu (D)</t>
  </si>
  <si>
    <t>Deltarubis Petrol (D)</t>
  </si>
  <si>
    <t>Assan Limanı (D)</t>
  </si>
  <si>
    <t>Ekinci İskelesi (D)</t>
  </si>
  <si>
    <t>İsdemir Limanı (D)</t>
  </si>
  <si>
    <t>MMK Metalurji Limanı (D)</t>
  </si>
  <si>
    <t>Yazıcı Limanı (D)</t>
  </si>
  <si>
    <t>Gübretaş Limanı (D)</t>
  </si>
  <si>
    <t>Botaş Limanı (D)</t>
  </si>
  <si>
    <t>Atakaş Limanı (D)</t>
  </si>
  <si>
    <t>Aydıncık (D)</t>
  </si>
  <si>
    <t>Marmara (D)</t>
  </si>
  <si>
    <t>İğneada Limanı (D)</t>
  </si>
  <si>
    <t>Yolcu İskelesi (Mantar Burnu) (D)</t>
  </si>
  <si>
    <t>Karadeniz Ereğli (D)</t>
  </si>
  <si>
    <t>Çobanbey (T)</t>
  </si>
  <si>
    <t>Kilis Toplam</t>
  </si>
  <si>
    <t>Kırklareli Toplam</t>
  </si>
  <si>
    <t>Genel Toplam</t>
  </si>
  <si>
    <t>Karasu Limanı (D)</t>
  </si>
  <si>
    <t xml:space="preserve"> SINIR KAPILARI VE VASITA CİNSİ</t>
  </si>
  <si>
    <t>Sarayburnu (D)</t>
  </si>
  <si>
    <t>(EM-5) (D)</t>
  </si>
  <si>
    <t>DİĞ. AVRUPA OECD ÜLKELERİ</t>
  </si>
  <si>
    <t>PAY (%)</t>
  </si>
  <si>
    <t>A-TÜRKİYE'YE GELEN ZİYARETÇİLERİN YILLARA VE AYLARA GÖRE DAĞILIMI ( 2010 - 2019)</t>
  </si>
  <si>
    <t>B-GÜNÜBİRLİKÇİLERİN YILLARA VE AYLARA GÖRE DAĞILIMI (2010 - 2019)</t>
  </si>
  <si>
    <t>Avrupa Birliği</t>
  </si>
  <si>
    <t>Birleşmiş Milletler Örgütü</t>
  </si>
  <si>
    <t>Kuzey Makedonya Cumhuriyeti</t>
  </si>
  <si>
    <t>Somaliland</t>
  </si>
  <si>
    <t>2019/2018</t>
  </si>
  <si>
    <t>2- TÜRKİYE'YE GELEN YABANCI ZİYARETÇİLERİN MİLLİYETLERİNE VE TAŞIT ARAÇLARINA GÖRE DAĞILIMI - 2019</t>
  </si>
  <si>
    <t>3- TÜRKİYE'YE GELEN YABANCI ZİYARETÇİLERİN AYLARA VE TAŞIT ARACINA GÖRE DAĞILIMI 2019</t>
  </si>
  <si>
    <t>4- TÜRKİYE'YE GELEN YABANCI ZİYARETÇİLERİN SINIR KAPILARININ BAĞLI OLDUĞU İLLERE VE TAŞIT ARAÇLARINA GÖRE DAĞILIMI - 2019</t>
  </si>
  <si>
    <t>5- TÜRKİYE'YE GELEN YABANCI ZİYARETÇİLERİN SINIR KAPILARINA VE AYLARA GÖRE DAĞILIMI 2019</t>
  </si>
  <si>
    <t>Ağrı Merkez  (H)</t>
  </si>
  <si>
    <t>Antalya Merkez (D)</t>
  </si>
  <si>
    <t>Antalya Merkez (H)</t>
  </si>
  <si>
    <t>Didim Yat Limanı (D)</t>
  </si>
  <si>
    <t>Bingöl  Merkez (H)</t>
  </si>
  <si>
    <t>Çanakkale Merkez (H)</t>
  </si>
  <si>
    <t>Diyarbakır Merkez (H)</t>
  </si>
  <si>
    <t>Elazığ Merkez (H)</t>
  </si>
  <si>
    <t>Erzincan Merkez (H)</t>
  </si>
  <si>
    <t>Erzurum Merkez (H)</t>
  </si>
  <si>
    <t>Eskişehir Hasan Polatkan (H)</t>
  </si>
  <si>
    <t>Gaziantep Merkez (H)</t>
  </si>
  <si>
    <t>Giresun Merkez (D)</t>
  </si>
  <si>
    <t>Hatay Merkez (H)</t>
  </si>
  <si>
    <t>Kumlu (K)</t>
  </si>
  <si>
    <t>Mersin Merkez (D)</t>
  </si>
  <si>
    <t>Taşucu (D)</t>
  </si>
  <si>
    <t>Erdemli Kumkuyu Yat Limanı (D)</t>
  </si>
  <si>
    <t>İstanbul Yeni Havalimanı</t>
  </si>
  <si>
    <t>İzmir Merkez (D)</t>
  </si>
  <si>
    <t>Kars Tren Garı (T)</t>
  </si>
  <si>
    <t>Kastamonu Merkez (H)</t>
  </si>
  <si>
    <t>Konya Merkez (H)</t>
  </si>
  <si>
    <t>Kahramanmaraş Merkez (H)</t>
  </si>
  <si>
    <t>Mardin Merkez (H)</t>
  </si>
  <si>
    <t>Mandalya Deniz  Kapısı (D)</t>
  </si>
  <si>
    <t>Göcek  (D)</t>
  </si>
  <si>
    <t>Muş Merkez (H)</t>
  </si>
  <si>
    <t>Ordu-Giresun (H)</t>
  </si>
  <si>
    <t>Rize Merkez (D)</t>
  </si>
  <si>
    <t>Samsun Merkez (D)</t>
  </si>
  <si>
    <t>Samsun Merkez (H)</t>
  </si>
  <si>
    <t>Sinop Merkez (D)</t>
  </si>
  <si>
    <t>Sinop Merkez (H)</t>
  </si>
  <si>
    <t>Sivas Merkez (H)</t>
  </si>
  <si>
    <t>Asyaport Liman Tesisi (D)</t>
  </si>
  <si>
    <t>Tekirdağ Merkez (D)</t>
  </si>
  <si>
    <t>Trabzon Merkez (D)</t>
  </si>
  <si>
    <t>Trabzon Merkez (H)</t>
  </si>
  <si>
    <t>Akçakale (K)</t>
  </si>
  <si>
    <t>Uşak Merkez (H)</t>
  </si>
  <si>
    <t>Van Merkez (H)</t>
  </si>
  <si>
    <t>Zonguldak Merkez (D)</t>
  </si>
  <si>
    <t>Bartın Merkez (D)</t>
  </si>
  <si>
    <t>7- TÜRKİYE'YE GELEN YABANCI ZİYARETÇİLERİN MİLLİYETLERE VE AYLARA GÖRE DAĞILIMI - 2019</t>
  </si>
  <si>
    <t>8- TÜRKİYE'YE GELEN YABANCI ZİYARETÇİLERİN MİLLİYETLERİNE VE SINIR KAPILARINA GÖRE DAĞILIMI - 2019</t>
  </si>
  <si>
    <t>Iğdır Toplam</t>
  </si>
  <si>
    <t>Kars Toplam</t>
  </si>
  <si>
    <t>Şanlıurfa Toplam</t>
  </si>
  <si>
    <t>Adıyaman Merkez (H)</t>
  </si>
  <si>
    <t>Iğdır Havalimanı (H)</t>
  </si>
  <si>
    <t>Diğer Toplam</t>
  </si>
  <si>
    <t>Afrika Toplam</t>
  </si>
  <si>
    <t>Güney Amerika Toplam</t>
  </si>
  <si>
    <t>Kuzey Amerika Toplam</t>
  </si>
  <si>
    <t>Orta Amerika Toplam</t>
  </si>
  <si>
    <t>Amerika Toplam</t>
  </si>
  <si>
    <t>Batı Asya Toplam</t>
  </si>
  <si>
    <t>Güney Asya Toplam</t>
  </si>
  <si>
    <t>Asya Toplam</t>
  </si>
  <si>
    <t>Avrupa OECD Toplam</t>
  </si>
  <si>
    <t>Avrupa OECD Dışı Toplam</t>
  </si>
  <si>
    <t>Avrupa Toplam</t>
  </si>
  <si>
    <t>B.D.T. Toplam</t>
  </si>
  <si>
    <t>Diğer OECD Toplam</t>
  </si>
  <si>
    <t>Milliyetsiz Toplam</t>
  </si>
  <si>
    <t>Okyanusya Toplam</t>
  </si>
  <si>
    <t>9- YABANCI GÜNÜBİRLİKÇİLERİN YILLARA VE AYLARA GÖRE DAĞILIMI - 2019</t>
  </si>
  <si>
    <t>10- TÜRKİYE'YE GELEN  YABANCI GÜNÜBİRLİKÇİLERİN SINIR KAPILARINA VE AYLARA GÖRE DAĞILIMI - 2019</t>
  </si>
  <si>
    <t>11- YABANCI GÜNÜBİRLİKÇİLERİN MİLLİYETLERE VE SINIR KAPILARINA GÖRE DAĞILIMI - 2019</t>
  </si>
  <si>
    <t>12- 2017 - 2019 YILLARINDA YABANCI GÜNÜBİRLİKÇİLERİN SINIR KAPILARINA VE YILLARA GÖRE KARŞILAŞTIRILMASI</t>
  </si>
  <si>
    <t>14- TÜRKİYE'DEN ÇIKAN YABANCI ZİYARETÇİLERİN MİLLİYETLERİNE VE TAŞIT ARAÇLARINA GÖRE DAĞILIMI - 2019</t>
  </si>
  <si>
    <t>15- TÜRKİYE'DEN ÇIKAN YABANCI ZİYARETÇİLERİN AYLARA VE TAŞIT ARAÇLARINA GÖRE DAĞILIMI - 2019</t>
  </si>
  <si>
    <t>16- TÜRKİYE'DEN ÇIKAN YABANCI ZİYARETÇİLERİN SINIR KAPILARININ BAĞLI OLDUĞU İLLERE VE TAŞIT ARAÇLARINA GÖRE DAĞILIMI - 2019</t>
  </si>
  <si>
    <t>17-TÜRKİYE'DEN ÇIKAN YABANCI ZİYARETÇİLERİN SINIR KAPILARINA VE AYLARA GÖRE DAĞILIMI - 2019</t>
  </si>
  <si>
    <t>C-ÜLKEMİZE GELEN YABANCI ZİYARETÇİLERİN MİLLİYETLERİNE GÖRE DAĞILIMI (2004 - 2019)</t>
  </si>
  <si>
    <t>AYLARA GÖRE GELEN YABANCI ZİYARETÇİLER (2018-2019)</t>
  </si>
  <si>
    <t>AYLARA GÖRE GELEN YABANCI GÜNÜBİRLİKÇİLER (2018-2019)</t>
  </si>
  <si>
    <t>ÜLKELER</t>
  </si>
  <si>
    <t>MİLLİYETLERİNE GÖRE GELEN YABANCI ZİYARETÇİLER - 2018 - 2019 (İLK 10)</t>
  </si>
  <si>
    <t>1- TÜRKİYE'YE GELEN YABANCI ZİYARETÇİLERİN YILLARA VE AYLARA GÖRE DAĞILIMI (2017-2019)</t>
  </si>
  <si>
    <t>6- ÜLKEMİZE GELEN YABANCI ZİYARETÇİLERİN MİLLİYETLERİNE GÖRE KARŞILAŞTIRILMASI (2017-2019)</t>
  </si>
  <si>
    <t>6-ÜLKEMİZE GELEN YABANCI ZİYARETÇİLERİN MİLLİYETLERİNE GÖRE KARŞILAŞTIRILMASI (2017-2019)</t>
  </si>
  <si>
    <t>İstanbul Yeni Havalimanı (H)</t>
  </si>
  <si>
    <t>13- TÜRKİYE'DEN ÇIKAN YABANCI ZİYARETÇİLERİN YILLARA VE AYLARA GÖRE DAĞILIMI (2017-2019)</t>
  </si>
  <si>
    <t xml:space="preserve">Elinizdeki Turizm İstatistikleri Bülteni, 2019 yılında sınır kapılarımızda gerçekleşen turizm hareketlerine ilişkin aylık bazda son üç yılı karşılaştırmalı istatistik bilgiler içeren Bakanlığımız yayınıdır. </t>
  </si>
  <si>
    <t xml:space="preserve">2019 yılı Sınır İstatistikleri Bülteni’nin, turizm konusunda çalışma yapan herkese yararlı olacağını ümit ederiz.  </t>
  </si>
  <si>
    <t>TÜRKİYE'YE GELEN YABANCI ZİYARETÇİLER (2010 - 2019)</t>
  </si>
  <si>
    <t>TÜRKİYE'DEN ÇIKAN YABANCI ZİYARETÇİLER (2010 - 2019)</t>
  </si>
  <si>
    <t>MİLLİYETLERİNE GÖRE GELEN YABANCI ZİYARETÇİLER  (2018 - 2019) (İLK 10)</t>
  </si>
  <si>
    <t>1- TÜRKİYE'YE GELEN YABANCI ZİYARETÇİLERİN YILLARA VE AYLARA GÖRE DAĞILIMI (2017 - 2019)</t>
  </si>
  <si>
    <t>3- TÜRKİYE'YE GELEN YABANCI ZİYARETÇİLERİN AYLARA VE TAŞIT ARACINA GÖRE DAĞILIMI - 2019</t>
  </si>
  <si>
    <t>5- TÜRKİYE'YE GELEN YABANCI ZİYARETÇİLERİN SINIR KAPILARINA VE AYLARA GÖRE DAĞILIMI - 2019</t>
  </si>
  <si>
    <t>13- TÜRKİYE'DEN ÇIKAN YABANCI ZİYARETÇİLERİN YILLARA VE AYLARA GÖRE DAĞILIMI (2017 - 2019)</t>
  </si>
  <si>
    <t>17- TÜRKİYE'DEN ÇIKAN YABANCI ZİYARETÇİLERİN SINIR KAPILARINA VE AYLARA GÖRE DAĞILIMI - 2019</t>
  </si>
  <si>
    <t>ABD Virjin Adaları</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</si>
</sst>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 #,##0\ &quot;TL&quot;_-;\-* #,##0\ &quot;TL&quot;_-;_-* &quot;-&quot;\ &quot;TL&quot;_-;_-@_-"/>
    <numFmt numFmtId="165" formatCode="_-* #,##0\ _T_L_-;\-* #,##0\ _T_L_-;_-* &quot;-&quot;\ _T_L_-;_-@_-"/>
    <numFmt numFmtId="166" formatCode="_-* #,##0.00\ &quot;TL&quot;_-;\-* #,##0.00\ &quot;TL&quot;_-;_-* &quot;-&quot;??\ &quot;TL&quot;_-;_-@_-"/>
    <numFmt numFmtId="167" formatCode="_-* #,##0.00\ _T_L_-;\-* #,##0.00\ _T_L_-;_-* &quot;-&quot;??\ _T_L_-;_-@_-"/>
    <numFmt numFmtId="168" formatCode="###\ ###\ ###"/>
  </numFmts>
  <fonts count="48" x14ac:knownFonts="1">
    <font>
      <sz val="10"/>
      <name val="Arial"/>
      <family val="2"/>
    </font>
    <font>
      <sz val="11"/>
      <color theme="1"/>
      <name val="Calibri"/>
      <family val="2"/>
      <charset val="162"/>
      <scheme val="minor"/>
    </font>
    <font>
      <b/>
      <sz val="10"/>
      <name val="Arial"/>
      <family val="2"/>
    </font>
    <font>
      <sz val="10"/>
      <name val="Arial"/>
      <family val="2"/>
    </font>
    <font>
      <b/>
      <sz val="16"/>
      <name val="Arial"/>
      <family val="2"/>
    </font>
    <font>
      <b/>
      <sz val="11"/>
      <name val="Arial"/>
      <family val="2"/>
    </font>
    <font>
      <b/>
      <sz val="12"/>
      <name val="Arial"/>
      <family val="2"/>
    </font>
    <font>
      <sz val="11"/>
      <name val="Arial"/>
      <family val="2"/>
    </font>
    <font>
      <b/>
      <sz val="16"/>
      <name val="Arial"/>
      <family val="2"/>
      <charset val="162"/>
    </font>
    <font>
      <b/>
      <sz val="12"/>
      <color rgb="FF0000FF"/>
      <name val="Arial"/>
      <family val="2"/>
    </font>
    <font>
      <b/>
      <sz val="11"/>
      <color rgb="FF0000FF"/>
      <name val="Arial"/>
      <family val="2"/>
      <charset val="162"/>
    </font>
    <font>
      <b/>
      <sz val="10"/>
      <name val="Arial"/>
      <family val="2"/>
      <charset val="162"/>
    </font>
    <font>
      <b/>
      <sz val="10"/>
      <color rgb="FF0000FF"/>
      <name val="Arial"/>
      <family val="2"/>
      <charset val="162"/>
    </font>
    <font>
      <b/>
      <sz val="14"/>
      <name val="Arial"/>
      <family val="2"/>
    </font>
    <font>
      <sz val="14"/>
      <name val="Arial"/>
      <family val="2"/>
    </font>
    <font>
      <b/>
      <sz val="9"/>
      <name val="Arial"/>
      <family val="2"/>
    </font>
    <font>
      <sz val="9"/>
      <name val="Arial"/>
      <family val="2"/>
    </font>
    <font>
      <b/>
      <sz val="9"/>
      <color rgb="FF0000FF"/>
      <name val="Arial"/>
      <family val="2"/>
    </font>
    <font>
      <b/>
      <sz val="9"/>
      <name val="Arial"/>
      <family val="2"/>
      <charset val="162"/>
    </font>
    <font>
      <b/>
      <sz val="9"/>
      <color rgb="FF0000FF"/>
      <name val="Arial"/>
      <family val="2"/>
      <charset val="162"/>
    </font>
    <font>
      <b/>
      <sz val="10"/>
      <color rgb="FF0000FF"/>
      <name val="Arial"/>
      <family val="2"/>
    </font>
    <font>
      <sz val="10"/>
      <color rgb="FF0000FF"/>
      <name val="Arial"/>
      <family val="2"/>
    </font>
    <font>
      <sz val="9"/>
      <color rgb="FF0000FF"/>
      <name val="Arial"/>
      <family val="2"/>
    </font>
    <font>
      <u/>
      <sz val="10"/>
      <color theme="10"/>
      <name val="Arial"/>
      <family val="2"/>
    </font>
    <font>
      <b/>
      <sz val="12"/>
      <name val="Arial"/>
      <family val="2"/>
      <charset val="162"/>
    </font>
    <font>
      <b/>
      <sz val="26"/>
      <name val="Arial"/>
      <family val="2"/>
      <charset val="162"/>
    </font>
    <font>
      <b/>
      <sz val="11"/>
      <name val="Arial"/>
      <family val="2"/>
      <charset val="162"/>
    </font>
    <font>
      <sz val="10"/>
      <name val="Times New Roman"/>
      <family val="1"/>
      <charset val="162"/>
    </font>
    <font>
      <b/>
      <sz val="9"/>
      <name val="Times New Roman"/>
      <family val="1"/>
      <charset val="162"/>
    </font>
    <font>
      <b/>
      <sz val="10"/>
      <name val="Times New Roman"/>
      <family val="1"/>
      <charset val="162"/>
    </font>
    <font>
      <b/>
      <sz val="14"/>
      <name val="Times New Roman"/>
      <family val="1"/>
      <charset val="162"/>
    </font>
    <font>
      <sz val="11"/>
      <name val="Times New Roman"/>
      <family val="1"/>
      <charset val="162"/>
    </font>
    <font>
      <sz val="14"/>
      <name val="Times New Roman"/>
      <family val="1"/>
      <charset val="162"/>
    </font>
    <font>
      <b/>
      <sz val="11"/>
      <name val="Times New Roman"/>
      <family val="1"/>
      <charset val="162"/>
    </font>
    <font>
      <b/>
      <sz val="16"/>
      <name val="Times New Roman"/>
      <family val="1"/>
      <charset val="162"/>
    </font>
    <font>
      <sz val="12"/>
      <name val="Times New Roman"/>
      <family val="1"/>
      <charset val="162"/>
    </font>
    <font>
      <b/>
      <sz val="12"/>
      <name val="Times New Roman"/>
      <family val="1"/>
      <charset val="162"/>
    </font>
    <font>
      <sz val="8.5"/>
      <name val="Arial"/>
      <family val="2"/>
    </font>
    <font>
      <b/>
      <sz val="8.5"/>
      <name val="Arial"/>
      <family val="2"/>
    </font>
    <font>
      <sz val="12"/>
      <name val="Arial"/>
      <family val="2"/>
    </font>
    <font>
      <b/>
      <sz val="11"/>
      <color rgb="FF0000FF"/>
      <name val="Arial"/>
      <family val="2"/>
    </font>
    <font>
      <sz val="16"/>
      <name val="Arial"/>
      <family val="2"/>
    </font>
    <font>
      <sz val="8.5"/>
      <name val="Arial"/>
      <family val="2"/>
      <charset val="162"/>
    </font>
    <font>
      <sz val="8.5"/>
      <color rgb="FF0000FF"/>
      <name val="Arial"/>
      <family val="2"/>
    </font>
    <font>
      <b/>
      <sz val="8.5"/>
      <color rgb="FF0000FF"/>
      <name val="Arial"/>
      <family val="2"/>
    </font>
    <font>
      <sz val="9"/>
      <color rgb="FF0000FF"/>
      <name val="Arial"/>
      <family val="2"/>
      <charset val="162"/>
    </font>
    <font>
      <sz val="10"/>
      <color rgb="FF0000FF"/>
      <name val="Arial"/>
      <family val="2"/>
      <charset val="162"/>
    </font>
    <font>
      <sz val="10"/>
      <name val="Arial"/>
      <family val="2"/>
      <charset val="16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style="medium">
        <color indexed="64"/>
      </right>
      <top/>
      <bottom/>
      <diagonal/>
    </border>
    <border>
      <left style="thick">
        <color auto="1"/>
      </left>
      <right/>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auto="1"/>
      </left>
      <right style="medium">
        <color indexed="64"/>
      </right>
      <top/>
      <bottom style="thin">
        <color auto="1"/>
      </bottom>
      <diagonal/>
    </border>
    <border>
      <left style="medium">
        <color auto="1"/>
      </left>
      <right/>
      <top/>
      <bottom style="thin">
        <color auto="1"/>
      </bottom>
      <diagonal/>
    </border>
    <border>
      <left/>
      <right style="medium">
        <color indexed="64"/>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auto="1"/>
      </left>
      <right/>
      <top style="medium">
        <color auto="1"/>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auto="1"/>
      </right>
      <top style="medium">
        <color auto="1"/>
      </top>
      <bottom/>
      <diagonal/>
    </border>
    <border>
      <left/>
      <right style="thin">
        <color indexed="64"/>
      </right>
      <top/>
      <bottom style="medium">
        <color indexed="64"/>
      </bottom>
      <diagonal/>
    </border>
    <border>
      <left style="thin">
        <color auto="1"/>
      </left>
      <right style="medium">
        <color auto="1"/>
      </right>
      <top style="medium">
        <color auto="1"/>
      </top>
      <bottom/>
      <diagonal/>
    </border>
  </borders>
  <cellStyleXfs count="16">
    <xf numFmtId="0" fontId="0" fillId="0" borderId="0"/>
    <xf numFmtId="9"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0" borderId="0"/>
    <xf numFmtId="0" fontId="3" fillId="0" borderId="0"/>
  </cellStyleXfs>
  <cellXfs count="664">
    <xf numFmtId="0" fontId="0" fillId="0" borderId="0" xfId="0"/>
    <xf numFmtId="0" fontId="2" fillId="0" borderId="0" xfId="0" applyFont="1" applyAlignment="1">
      <alignment horizontal="center" wrapText="1"/>
    </xf>
    <xf numFmtId="0" fontId="0" fillId="0" borderId="0" xfId="0"/>
    <xf numFmtId="0" fontId="2" fillId="0" borderId="0" xfId="0" applyNumberFormat="1" applyFont="1" applyAlignment="1">
      <alignment wrapText="1"/>
    </xf>
    <xf numFmtId="168" fontId="0" fillId="0" borderId="0" xfId="0" applyNumberFormat="1"/>
    <xf numFmtId="168" fontId="0" fillId="0" borderId="0" xfId="0" applyNumberFormat="1" applyFont="1" applyAlignment="1">
      <alignment wrapText="1"/>
    </xf>
    <xf numFmtId="0" fontId="0" fillId="0" borderId="0" xfId="0" applyAlignment="1">
      <alignment vertical="center"/>
    </xf>
    <xf numFmtId="0" fontId="2" fillId="0" borderId="0" xfId="0" applyNumberFormat="1" applyFont="1" applyAlignment="1">
      <alignment horizontal="left" vertical="center" wrapText="1"/>
    </xf>
    <xf numFmtId="0" fontId="0" fillId="0" borderId="0" xfId="0" applyAlignment="1">
      <alignment horizontal="left"/>
    </xf>
    <xf numFmtId="0" fontId="0" fillId="0" borderId="0" xfId="0"/>
    <xf numFmtId="0" fontId="5" fillId="0" borderId="1" xfId="0" applyNumberFormat="1" applyFont="1" applyBorder="1" applyAlignment="1">
      <alignment horizontal="left" vertical="center" wrapText="1"/>
    </xf>
    <xf numFmtId="0" fontId="6" fillId="0" borderId="1" xfId="0" applyNumberFormat="1" applyFont="1" applyBorder="1" applyAlignment="1">
      <alignment horizontal="center" vertical="center" wrapText="1"/>
    </xf>
    <xf numFmtId="168" fontId="7" fillId="0" borderId="1" xfId="0" applyNumberFormat="1" applyFont="1" applyBorder="1" applyAlignment="1">
      <alignment horizontal="right" vertical="center" wrapText="1" indent="1"/>
    </xf>
    <xf numFmtId="0" fontId="6" fillId="0" borderId="1" xfId="0" applyNumberFormat="1" applyFont="1" applyBorder="1" applyAlignment="1">
      <alignment horizontal="center" wrapText="1"/>
    </xf>
    <xf numFmtId="0" fontId="0" fillId="0" borderId="0" xfId="0"/>
    <xf numFmtId="168" fontId="10" fillId="0" borderId="1" xfId="0" applyNumberFormat="1" applyFont="1" applyBorder="1" applyAlignment="1">
      <alignment horizontal="right" vertical="center" wrapText="1" indent="1"/>
    </xf>
    <xf numFmtId="0" fontId="2" fillId="0" borderId="0" xfId="0" applyFont="1" applyAlignment="1">
      <alignment horizontal="center" vertical="center" wrapText="1"/>
    </xf>
    <xf numFmtId="0" fontId="2" fillId="0" borderId="1" xfId="0" applyNumberFormat="1" applyFont="1" applyBorder="1" applyAlignment="1">
      <alignment horizontal="left" wrapText="1"/>
    </xf>
    <xf numFmtId="0" fontId="0" fillId="0" borderId="0" xfId="0"/>
    <xf numFmtId="0" fontId="2" fillId="0" borderId="0" xfId="0" applyFont="1" applyAlignment="1">
      <alignment horizontal="center" wrapText="1"/>
    </xf>
    <xf numFmtId="0" fontId="0" fillId="0" borderId="0" xfId="0"/>
    <xf numFmtId="0" fontId="0" fillId="0" borderId="0" xfId="0"/>
    <xf numFmtId="0" fontId="2" fillId="0" borderId="1" xfId="0" applyNumberFormat="1" applyFont="1" applyBorder="1" applyAlignment="1">
      <alignment horizontal="right" wrapText="1"/>
    </xf>
    <xf numFmtId="0" fontId="2" fillId="0" borderId="1" xfId="0" applyNumberFormat="1" applyFont="1" applyBorder="1" applyAlignment="1">
      <alignment horizontal="left" vertical="center" wrapText="1"/>
    </xf>
    <xf numFmtId="0" fontId="0" fillId="0" borderId="0" xfId="0"/>
    <xf numFmtId="0" fontId="0" fillId="0" borderId="0" xfId="0"/>
    <xf numFmtId="0" fontId="2" fillId="0" borderId="0" xfId="0" applyFont="1" applyAlignment="1">
      <alignment horizontal="center" wrapText="1"/>
    </xf>
    <xf numFmtId="0" fontId="11" fillId="0" borderId="0" xfId="0" applyFont="1"/>
    <xf numFmtId="0" fontId="0" fillId="0" borderId="0" xfId="0" applyAlignment="1">
      <alignment vertical="center"/>
    </xf>
    <xf numFmtId="0" fontId="2" fillId="0" borderId="0" xfId="0" applyNumberFormat="1" applyFont="1" applyAlignment="1">
      <alignment horizontal="left" vertical="center" wrapText="1"/>
    </xf>
    <xf numFmtId="0" fontId="2" fillId="0" borderId="4" xfId="0" applyNumberFormat="1" applyFont="1" applyBorder="1" applyAlignment="1">
      <alignment horizontal="center" vertical="center" wrapText="1"/>
    </xf>
    <xf numFmtId="0" fontId="15" fillId="0" borderId="0" xfId="0" applyNumberFormat="1" applyFont="1" applyBorder="1" applyAlignment="1">
      <alignment horizontal="left" vertical="center" wrapText="1"/>
    </xf>
    <xf numFmtId="0" fontId="15" fillId="0" borderId="4" xfId="0" applyNumberFormat="1" applyFont="1" applyBorder="1" applyAlignment="1">
      <alignment horizontal="left" vertical="center" wrapText="1"/>
    </xf>
    <xf numFmtId="0" fontId="16" fillId="0" borderId="0" xfId="0" applyFont="1"/>
    <xf numFmtId="0" fontId="15" fillId="0" borderId="0" xfId="0" applyNumberFormat="1" applyFont="1" applyAlignment="1">
      <alignment horizontal="left" vertical="center" wrapText="1"/>
    </xf>
    <xf numFmtId="0" fontId="0" fillId="0" borderId="0" xfId="0" applyAlignment="1">
      <alignment horizontal="left"/>
    </xf>
    <xf numFmtId="168" fontId="16" fillId="0" borderId="0" xfId="0" applyNumberFormat="1" applyFont="1" applyAlignment="1">
      <alignment wrapText="1"/>
    </xf>
    <xf numFmtId="168" fontId="16" fillId="0" borderId="0" xfId="0" applyNumberFormat="1" applyFont="1" applyBorder="1" applyAlignment="1">
      <alignment wrapText="1"/>
    </xf>
    <xf numFmtId="0" fontId="15" fillId="0" borderId="0" xfId="0" applyFont="1" applyAlignment="1">
      <alignment horizontal="center" wrapText="1"/>
    </xf>
    <xf numFmtId="168" fontId="17" fillId="0" borderId="0" xfId="0" applyNumberFormat="1" applyFont="1" applyBorder="1" applyAlignment="1">
      <alignment wrapText="1"/>
    </xf>
    <xf numFmtId="0" fontId="12" fillId="0" borderId="4" xfId="0" applyNumberFormat="1" applyFont="1" applyBorder="1" applyAlignment="1">
      <alignment horizontal="left" vertical="center" wrapText="1"/>
    </xf>
    <xf numFmtId="0" fontId="2" fillId="0" borderId="5" xfId="0" applyNumberFormat="1" applyFont="1" applyBorder="1" applyAlignment="1">
      <alignment horizontal="center" vertical="center" wrapText="1"/>
    </xf>
    <xf numFmtId="2" fontId="0" fillId="0" borderId="0" xfId="0" applyNumberFormat="1" applyFont="1" applyAlignment="1">
      <alignment horizontal="right" wrapText="1" indent="2"/>
    </xf>
    <xf numFmtId="2" fontId="12" fillId="0" borderId="4" xfId="0" applyNumberFormat="1" applyFont="1" applyBorder="1" applyAlignment="1">
      <alignment horizontal="right" wrapText="1" indent="2"/>
    </xf>
    <xf numFmtId="0" fontId="16" fillId="0" borderId="0" xfId="0" applyFont="1"/>
    <xf numFmtId="0" fontId="15" fillId="0" borderId="0" xfId="0" applyNumberFormat="1" applyFont="1" applyAlignment="1">
      <alignment horizontal="left" vertical="center" wrapText="1"/>
    </xf>
    <xf numFmtId="2" fontId="16" fillId="0" borderId="0" xfId="0" applyNumberFormat="1" applyFont="1" applyAlignment="1">
      <alignment horizontal="right" wrapText="1" indent="1"/>
    </xf>
    <xf numFmtId="0" fontId="15" fillId="0" borderId="5" xfId="0" applyNumberFormat="1" applyFont="1" applyBorder="1" applyAlignment="1">
      <alignment horizontal="left" vertical="center" wrapText="1"/>
    </xf>
    <xf numFmtId="0" fontId="15" fillId="0" borderId="6" xfId="0" applyNumberFormat="1" applyFont="1" applyBorder="1" applyAlignment="1">
      <alignment horizontal="left" vertical="center" wrapText="1"/>
    </xf>
    <xf numFmtId="0" fontId="15" fillId="0" borderId="7" xfId="0" applyNumberFormat="1" applyFont="1" applyBorder="1" applyAlignment="1">
      <alignment horizontal="right" wrapText="1"/>
    </xf>
    <xf numFmtId="2" fontId="16" fillId="0" borderId="4" xfId="0" applyNumberFormat="1" applyFont="1" applyBorder="1" applyAlignment="1">
      <alignment horizontal="right" wrapText="1" indent="1"/>
    </xf>
    <xf numFmtId="2" fontId="16" fillId="0" borderId="0" xfId="0" applyNumberFormat="1" applyFont="1" applyBorder="1" applyAlignment="1">
      <alignment horizontal="right" wrapText="1" indent="1"/>
    </xf>
    <xf numFmtId="0" fontId="19" fillId="0" borderId="4" xfId="0" applyNumberFormat="1" applyFont="1" applyBorder="1" applyAlignment="1">
      <alignment horizontal="left" vertical="center" wrapText="1"/>
    </xf>
    <xf numFmtId="2" fontId="18" fillId="0" borderId="4" xfId="0" applyNumberFormat="1" applyFont="1" applyBorder="1" applyAlignment="1">
      <alignment horizontal="right" wrapText="1" indent="1"/>
    </xf>
    <xf numFmtId="168" fontId="12" fillId="0" borderId="0" xfId="0" applyNumberFormat="1" applyFont="1" applyAlignment="1">
      <alignment horizontal="right" wrapText="1" indent="1"/>
    </xf>
    <xf numFmtId="168" fontId="0" fillId="0" borderId="0" xfId="0" applyNumberFormat="1" applyFont="1" applyAlignment="1">
      <alignment horizontal="right" wrapText="1" indent="1"/>
    </xf>
    <xf numFmtId="0" fontId="2" fillId="0" borderId="5" xfId="0" applyNumberFormat="1" applyFont="1" applyBorder="1" applyAlignment="1">
      <alignment horizontal="left" wrapText="1"/>
    </xf>
    <xf numFmtId="0" fontId="2" fillId="0" borderId="6" xfId="0" applyNumberFormat="1" applyFont="1" applyBorder="1" applyAlignment="1">
      <alignment horizontal="left" wrapText="1"/>
    </xf>
    <xf numFmtId="0" fontId="2" fillId="0" borderId="4" xfId="0" applyNumberFormat="1" applyFont="1" applyBorder="1" applyAlignment="1">
      <alignment horizontal="left" vertical="center" wrapText="1"/>
    </xf>
    <xf numFmtId="168" fontId="12" fillId="0" borderId="4" xfId="0" applyNumberFormat="1" applyFont="1" applyBorder="1" applyAlignment="1">
      <alignment horizontal="right" wrapText="1" indent="1"/>
    </xf>
    <xf numFmtId="2" fontId="0" fillId="0" borderId="4" xfId="0" applyNumberFormat="1" applyFont="1" applyBorder="1" applyAlignment="1">
      <alignment horizontal="right" wrapText="1" indent="2"/>
    </xf>
    <xf numFmtId="2" fontId="0" fillId="0" borderId="4" xfId="0" applyNumberFormat="1" applyFont="1" applyBorder="1" applyAlignment="1">
      <alignment horizontal="right" wrapText="1" indent="1"/>
    </xf>
    <xf numFmtId="0" fontId="0" fillId="0" borderId="4" xfId="0" applyNumberFormat="1" applyFont="1" applyBorder="1" applyAlignment="1">
      <alignment horizontal="right" wrapText="1" indent="2"/>
    </xf>
    <xf numFmtId="0" fontId="15" fillId="0" borderId="4" xfId="0" applyNumberFormat="1" applyFont="1" applyBorder="1" applyAlignment="1">
      <alignment horizontal="right" vertical="center" wrapText="1"/>
    </xf>
    <xf numFmtId="0" fontId="15" fillId="0" borderId="6" xfId="0" applyNumberFormat="1" applyFont="1" applyBorder="1" applyAlignment="1">
      <alignment horizontal="right" vertical="center" wrapText="1"/>
    </xf>
    <xf numFmtId="168" fontId="16" fillId="0" borderId="0" xfId="0" applyNumberFormat="1" applyFont="1" applyAlignment="1">
      <alignment vertical="center" wrapText="1"/>
    </xf>
    <xf numFmtId="2" fontId="16" fillId="0" borderId="0" xfId="0" applyNumberFormat="1" applyFont="1" applyAlignment="1">
      <alignment vertical="center" wrapText="1"/>
    </xf>
    <xf numFmtId="168" fontId="19" fillId="0" borderId="4" xfId="0" applyNumberFormat="1" applyFont="1" applyBorder="1" applyAlignment="1">
      <alignment vertical="center" wrapText="1"/>
    </xf>
    <xf numFmtId="0" fontId="16" fillId="0" borderId="0" xfId="0" applyFont="1"/>
    <xf numFmtId="0" fontId="15" fillId="0" borderId="5" xfId="0" applyNumberFormat="1" applyFont="1" applyBorder="1" applyAlignment="1">
      <alignment wrapText="1"/>
    </xf>
    <xf numFmtId="0" fontId="16" fillId="0" borderId="0" xfId="0" applyFont="1"/>
    <xf numFmtId="0" fontId="15" fillId="0" borderId="0" xfId="0" applyNumberFormat="1" applyFont="1" applyAlignment="1">
      <alignment horizontal="left" vertical="center" wrapText="1"/>
    </xf>
    <xf numFmtId="0" fontId="16" fillId="0" borderId="0" xfId="0" applyFont="1"/>
    <xf numFmtId="0" fontId="15" fillId="0" borderId="0" xfId="0" applyNumberFormat="1" applyFont="1" applyAlignment="1">
      <alignment horizontal="left" vertical="center" wrapText="1"/>
    </xf>
    <xf numFmtId="2" fontId="16" fillId="0" borderId="0" xfId="0" applyNumberFormat="1" applyFont="1" applyAlignment="1">
      <alignment wrapText="1"/>
    </xf>
    <xf numFmtId="2" fontId="15" fillId="0" borderId="0" xfId="0" applyNumberFormat="1" applyFont="1" applyAlignment="1">
      <alignment wrapText="1"/>
    </xf>
    <xf numFmtId="0" fontId="15" fillId="0" borderId="0" xfId="0" applyFont="1"/>
    <xf numFmtId="0" fontId="17" fillId="0" borderId="0" xfId="0" applyFont="1"/>
    <xf numFmtId="0" fontId="16" fillId="0" borderId="0" xfId="0" applyFont="1" applyAlignment="1">
      <alignment horizontal="left"/>
    </xf>
    <xf numFmtId="0" fontId="18" fillId="0" borderId="0" xfId="0" applyNumberFormat="1" applyFont="1" applyAlignment="1">
      <alignment horizontal="left" vertical="center" wrapText="1"/>
    </xf>
    <xf numFmtId="0" fontId="18" fillId="0" borderId="4" xfId="0" applyNumberFormat="1" applyFont="1" applyBorder="1" applyAlignment="1">
      <alignment horizontal="left" vertical="center" wrapText="1"/>
    </xf>
    <xf numFmtId="0" fontId="15" fillId="0" borderId="7" xfId="0" applyNumberFormat="1" applyFont="1" applyBorder="1" applyAlignment="1">
      <alignment vertical="center" wrapText="1"/>
    </xf>
    <xf numFmtId="2" fontId="15" fillId="0" borderId="0" xfId="0" applyNumberFormat="1" applyFont="1" applyAlignment="1">
      <alignment vertical="center" wrapText="1"/>
    </xf>
    <xf numFmtId="0" fontId="18" fillId="0" borderId="9" xfId="0" applyNumberFormat="1" applyFont="1" applyBorder="1" applyAlignment="1">
      <alignment horizontal="left" vertical="center" wrapText="1"/>
    </xf>
    <xf numFmtId="168" fontId="15" fillId="0" borderId="4" xfId="0" applyNumberFormat="1" applyFont="1" applyBorder="1" applyAlignment="1">
      <alignment vertical="center" wrapText="1"/>
    </xf>
    <xf numFmtId="2" fontId="15" fillId="0" borderId="4" xfId="0" applyNumberFormat="1" applyFont="1" applyBorder="1" applyAlignment="1">
      <alignment vertical="center" wrapText="1"/>
    </xf>
    <xf numFmtId="168" fontId="16" fillId="0" borderId="9" xfId="0" applyNumberFormat="1" applyFont="1" applyBorder="1" applyAlignment="1">
      <alignment vertical="center" wrapText="1"/>
    </xf>
    <xf numFmtId="2" fontId="16" fillId="0" borderId="9" xfId="0" applyNumberFormat="1" applyFont="1" applyBorder="1" applyAlignment="1">
      <alignment vertical="center" wrapText="1"/>
    </xf>
    <xf numFmtId="2" fontId="15" fillId="0" borderId="9" xfId="0" applyNumberFormat="1" applyFont="1" applyBorder="1" applyAlignment="1">
      <alignment vertical="center" wrapText="1"/>
    </xf>
    <xf numFmtId="168" fontId="17" fillId="0" borderId="4" xfId="0" applyNumberFormat="1" applyFont="1" applyBorder="1" applyAlignment="1">
      <alignment vertical="center" wrapText="1"/>
    </xf>
    <xf numFmtId="2" fontId="17" fillId="0" borderId="4" xfId="0" applyNumberFormat="1" applyFont="1" applyBorder="1" applyAlignment="1">
      <alignment vertical="center" wrapText="1"/>
    </xf>
    <xf numFmtId="0" fontId="18" fillId="0" borderId="0" xfId="0" applyFont="1"/>
    <xf numFmtId="0" fontId="15" fillId="0" borderId="5" xfId="0" applyNumberFormat="1" applyFont="1" applyBorder="1" applyAlignment="1">
      <alignment horizontal="left" wrapText="1"/>
    </xf>
    <xf numFmtId="0" fontId="15" fillId="0" borderId="6" xfId="0" applyNumberFormat="1" applyFont="1" applyBorder="1" applyAlignment="1">
      <alignment horizontal="left" wrapText="1"/>
    </xf>
    <xf numFmtId="168" fontId="18" fillId="0" borderId="4" xfId="0" applyNumberFormat="1" applyFont="1" applyBorder="1" applyAlignment="1">
      <alignment vertical="center" wrapText="1"/>
    </xf>
    <xf numFmtId="0" fontId="17" fillId="0" borderId="4" xfId="0" applyNumberFormat="1" applyFont="1" applyBorder="1" applyAlignment="1">
      <alignment horizontal="right" vertical="center" wrapText="1"/>
    </xf>
    <xf numFmtId="168" fontId="22" fillId="0" borderId="0" xfId="0" applyNumberFormat="1" applyFont="1" applyAlignment="1">
      <alignment vertical="center" wrapText="1"/>
    </xf>
    <xf numFmtId="0" fontId="15" fillId="0" borderId="9" xfId="0" applyNumberFormat="1" applyFont="1" applyBorder="1" applyAlignment="1">
      <alignment horizontal="left" vertical="center" wrapText="1"/>
    </xf>
    <xf numFmtId="168" fontId="22" fillId="0" borderId="9" xfId="0" applyNumberFormat="1" applyFont="1" applyBorder="1" applyAlignment="1">
      <alignment vertical="center" wrapText="1"/>
    </xf>
    <xf numFmtId="0" fontId="0" fillId="0" borderId="0" xfId="0"/>
    <xf numFmtId="0" fontId="2" fillId="0" borderId="0" xfId="0" applyFont="1" applyAlignment="1">
      <alignment horizontal="center" vertical="center" wrapText="1"/>
    </xf>
    <xf numFmtId="0" fontId="11" fillId="0" borderId="0" xfId="0" applyFont="1"/>
    <xf numFmtId="0" fontId="16" fillId="0" borderId="0" xfId="0" applyFont="1"/>
    <xf numFmtId="168" fontId="0" fillId="0" borderId="0" xfId="0" applyNumberFormat="1" applyFont="1" applyAlignment="1">
      <alignment horizontal="right" vertical="center" wrapText="1" indent="2"/>
    </xf>
    <xf numFmtId="0" fontId="0" fillId="0" borderId="0" xfId="0" applyFont="1"/>
    <xf numFmtId="0" fontId="0" fillId="0" borderId="0" xfId="0" applyFont="1" applyAlignment="1">
      <alignment vertical="center"/>
    </xf>
    <xf numFmtId="0" fontId="0" fillId="0" borderId="0" xfId="0" applyFont="1" applyAlignment="1">
      <alignment horizontal="left"/>
    </xf>
    <xf numFmtId="2" fontId="0" fillId="0" borderId="0" xfId="0" applyNumberFormat="1" applyFont="1" applyAlignment="1">
      <alignment horizontal="right" vertical="center" wrapText="1" indent="3"/>
    </xf>
    <xf numFmtId="0" fontId="2" fillId="0" borderId="4" xfId="0" applyNumberFormat="1" applyFont="1" applyBorder="1" applyAlignment="1">
      <alignment horizontal="right" vertical="center" wrapText="1" indent="2"/>
    </xf>
    <xf numFmtId="0" fontId="20" fillId="0" borderId="4" xfId="0" applyNumberFormat="1" applyFont="1" applyBorder="1" applyAlignment="1">
      <alignment horizontal="left" vertical="center" wrapText="1"/>
    </xf>
    <xf numFmtId="2" fontId="20" fillId="0" borderId="4" xfId="0" applyNumberFormat="1" applyFont="1" applyBorder="1" applyAlignment="1">
      <alignment horizontal="right" vertical="center" wrapText="1" indent="3"/>
    </xf>
    <xf numFmtId="0" fontId="15" fillId="0" borderId="4" xfId="0" applyNumberFormat="1" applyFont="1" applyBorder="1" applyAlignment="1">
      <alignment vertical="center" wrapText="1"/>
    </xf>
    <xf numFmtId="0" fontId="11" fillId="0" borderId="4" xfId="0" applyFont="1" applyBorder="1" applyAlignment="1">
      <alignment horizontal="center" vertical="center" wrapText="1"/>
    </xf>
    <xf numFmtId="0" fontId="11" fillId="0" borderId="15" xfId="0" applyFont="1" applyBorder="1"/>
    <xf numFmtId="0" fontId="11" fillId="0" borderId="18"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23" xfId="0" applyBorder="1"/>
    <xf numFmtId="0" fontId="16" fillId="0" borderId="0" xfId="0" applyFont="1"/>
    <xf numFmtId="0" fontId="15" fillId="0" borderId="5" xfId="0" applyNumberFormat="1" applyFont="1" applyBorder="1" applyAlignment="1">
      <alignment horizontal="left" vertical="center" wrapText="1"/>
    </xf>
    <xf numFmtId="0" fontId="15" fillId="0" borderId="6" xfId="0" applyNumberFormat="1" applyFont="1" applyBorder="1" applyAlignment="1">
      <alignment horizontal="left" vertical="center" wrapText="1"/>
    </xf>
    <xf numFmtId="0" fontId="16" fillId="0" borderId="0" xfId="0" applyFont="1"/>
    <xf numFmtId="0" fontId="15" fillId="0" borderId="0" xfId="0" applyNumberFormat="1" applyFont="1" applyAlignment="1">
      <alignment horizontal="left" vertical="center" wrapText="1"/>
    </xf>
    <xf numFmtId="0" fontId="15" fillId="0" borderId="4" xfId="0" applyNumberFormat="1" applyFont="1" applyBorder="1" applyAlignment="1">
      <alignment horizontal="center" vertical="center" wrapText="1"/>
    </xf>
    <xf numFmtId="0" fontId="16" fillId="0" borderId="0" xfId="0" applyFont="1"/>
    <xf numFmtId="0" fontId="22" fillId="0" borderId="0" xfId="0" applyFont="1"/>
    <xf numFmtId="0" fontId="15" fillId="0" borderId="7" xfId="0" applyNumberFormat="1" applyFont="1" applyBorder="1" applyAlignment="1">
      <alignment horizontal="center" vertical="center" wrapText="1"/>
    </xf>
    <xf numFmtId="0" fontId="15" fillId="0" borderId="0" xfId="0" applyFont="1" applyAlignment="1">
      <alignment horizontal="left" wrapText="1"/>
    </xf>
    <xf numFmtId="2" fontId="19" fillId="0" borderId="4" xfId="0" applyNumberFormat="1" applyFont="1" applyBorder="1" applyAlignment="1">
      <alignment vertical="center" wrapText="1"/>
    </xf>
    <xf numFmtId="0" fontId="22" fillId="0" borderId="0" xfId="0" applyFont="1" applyAlignment="1">
      <alignment horizontal="left"/>
    </xf>
    <xf numFmtId="168" fontId="16" fillId="0" borderId="0" xfId="0" applyNumberFormat="1" applyFont="1" applyAlignment="1">
      <alignment horizontal="right" wrapText="1" indent="1"/>
    </xf>
    <xf numFmtId="168" fontId="19" fillId="0" borderId="0" xfId="0" applyNumberFormat="1" applyFont="1" applyAlignment="1">
      <alignment horizontal="right" wrapText="1" indent="1"/>
    </xf>
    <xf numFmtId="0" fontId="15" fillId="0" borderId="4" xfId="0" applyNumberFormat="1" applyFont="1" applyBorder="1" applyAlignment="1">
      <alignment horizontal="right" wrapText="1" indent="1"/>
    </xf>
    <xf numFmtId="168" fontId="19" fillId="0" borderId="4" xfId="0" applyNumberFormat="1" applyFont="1" applyBorder="1" applyAlignment="1">
      <alignment horizontal="right" wrapText="1" indent="1"/>
    </xf>
    <xf numFmtId="168" fontId="18" fillId="0" borderId="4" xfId="0" applyNumberFormat="1" applyFont="1" applyBorder="1" applyAlignment="1">
      <alignment horizontal="right" wrapText="1" indent="1"/>
    </xf>
    <xf numFmtId="0" fontId="0" fillId="0" borderId="0" xfId="0"/>
    <xf numFmtId="0" fontId="2" fillId="0" borderId="0" xfId="0" applyFont="1" applyAlignment="1">
      <alignment horizontal="center" wrapText="1"/>
    </xf>
    <xf numFmtId="0" fontId="16" fillId="0" borderId="0" xfId="0" applyFont="1"/>
    <xf numFmtId="0" fontId="2" fillId="0" borderId="6" xfId="0" applyNumberFormat="1" applyFont="1" applyBorder="1" applyAlignment="1">
      <alignment horizontal="left" vertical="center" wrapText="1"/>
    </xf>
    <xf numFmtId="0" fontId="2" fillId="0" borderId="7" xfId="0" applyNumberFormat="1" applyFont="1" applyBorder="1" applyAlignment="1">
      <alignment horizontal="right" vertical="center" wrapText="1" indent="1"/>
    </xf>
    <xf numFmtId="168" fontId="0" fillId="0" borderId="0" xfId="0" applyNumberFormat="1" applyFont="1" applyAlignment="1">
      <alignment horizontal="right" vertical="center" wrapText="1" indent="1"/>
    </xf>
    <xf numFmtId="168" fontId="12" fillId="0" borderId="0" xfId="0" applyNumberFormat="1" applyFont="1" applyAlignment="1">
      <alignment horizontal="right" vertical="center" wrapText="1" indent="1"/>
    </xf>
    <xf numFmtId="168" fontId="12" fillId="0" borderId="4" xfId="0" applyNumberFormat="1" applyFont="1" applyBorder="1" applyAlignment="1">
      <alignment horizontal="right" vertical="center" wrapText="1" indent="1"/>
    </xf>
    <xf numFmtId="0" fontId="0" fillId="0" borderId="4" xfId="0" applyNumberFormat="1" applyFont="1" applyBorder="1" applyAlignment="1">
      <alignment horizontal="right" vertical="center" wrapText="1" indent="1"/>
    </xf>
    <xf numFmtId="2" fontId="11" fillId="0" borderId="4" xfId="0" applyNumberFormat="1" applyFont="1" applyBorder="1" applyAlignment="1">
      <alignment horizontal="right" vertical="center" wrapText="1" indent="1"/>
    </xf>
    <xf numFmtId="2" fontId="11" fillId="0" borderId="0" xfId="0" applyNumberFormat="1" applyFont="1" applyAlignment="1">
      <alignment horizontal="right" vertical="center" wrapText="1" indent="2"/>
    </xf>
    <xf numFmtId="2" fontId="11" fillId="0" borderId="4" xfId="0" applyNumberFormat="1" applyFont="1" applyBorder="1" applyAlignment="1">
      <alignment horizontal="right" vertical="center" wrapText="1" indent="2"/>
    </xf>
    <xf numFmtId="0" fontId="2" fillId="0" borderId="24" xfId="0" applyNumberFormat="1" applyFont="1" applyBorder="1" applyAlignment="1">
      <alignment horizontal="right" wrapText="1" indent="1"/>
    </xf>
    <xf numFmtId="0" fontId="0" fillId="0" borderId="0" xfId="0"/>
    <xf numFmtId="0" fontId="0" fillId="0" borderId="0" xfId="0" applyAlignment="1">
      <alignment vertical="center"/>
    </xf>
    <xf numFmtId="0" fontId="16" fillId="0" borderId="0" xfId="0" applyFont="1"/>
    <xf numFmtId="0" fontId="0" fillId="2" borderId="12" xfId="0" applyFill="1" applyBorder="1"/>
    <xf numFmtId="0" fontId="0" fillId="2" borderId="5" xfId="0" applyFill="1" applyBorder="1"/>
    <xf numFmtId="0" fontId="0" fillId="2" borderId="8" xfId="0" applyFill="1" applyBorder="1"/>
    <xf numFmtId="0" fontId="0" fillId="2" borderId="25" xfId="0" applyFill="1" applyBorder="1"/>
    <xf numFmtId="0" fontId="0" fillId="2" borderId="14" xfId="0" applyFill="1" applyBorder="1"/>
    <xf numFmtId="0" fontId="0" fillId="2" borderId="26" xfId="0" applyFill="1" applyBorder="1"/>
    <xf numFmtId="0" fontId="0" fillId="2" borderId="10" xfId="0" applyFill="1" applyBorder="1"/>
    <xf numFmtId="0" fontId="0" fillId="2" borderId="27" xfId="0" applyFill="1" applyBorder="1"/>
    <xf numFmtId="0" fontId="0" fillId="2" borderId="28" xfId="0" applyFill="1" applyBorder="1"/>
    <xf numFmtId="0" fontId="0" fillId="2" borderId="0" xfId="0" applyFill="1" applyBorder="1"/>
    <xf numFmtId="0" fontId="0" fillId="2" borderId="22" xfId="0" applyFill="1" applyBorder="1"/>
    <xf numFmtId="0" fontId="0" fillId="2" borderId="23" xfId="0" applyFill="1" applyBorder="1"/>
    <xf numFmtId="0" fontId="24" fillId="2" borderId="23" xfId="0" applyFont="1" applyFill="1" applyBorder="1" applyAlignment="1">
      <alignment horizontal="center"/>
    </xf>
    <xf numFmtId="0" fontId="24" fillId="2" borderId="0" xfId="0" applyFont="1" applyFill="1" applyBorder="1" applyAlignment="1">
      <alignment horizontal="left"/>
    </xf>
    <xf numFmtId="0" fontId="24" fillId="2" borderId="0" xfId="0" applyFont="1" applyFill="1" applyBorder="1" applyAlignment="1">
      <alignment horizontal="center"/>
    </xf>
    <xf numFmtId="0" fontId="24" fillId="2" borderId="29" xfId="0" applyFont="1" applyFill="1" applyBorder="1" applyAlignment="1">
      <alignment horizontal="center"/>
    </xf>
    <xf numFmtId="0" fontId="0" fillId="2" borderId="30" xfId="0" applyFill="1" applyBorder="1"/>
    <xf numFmtId="0" fontId="0" fillId="2" borderId="9" xfId="0" applyFill="1" applyBorder="1"/>
    <xf numFmtId="0" fontId="0" fillId="2" borderId="31" xfId="0" applyFill="1" applyBorder="1"/>
    <xf numFmtId="0" fontId="0" fillId="2" borderId="13" xfId="0" applyFill="1" applyBorder="1"/>
    <xf numFmtId="0" fontId="0" fillId="2" borderId="6" xfId="0" applyFill="1" applyBorder="1"/>
    <xf numFmtId="0" fontId="0" fillId="2" borderId="32" xfId="0" applyFill="1" applyBorder="1"/>
    <xf numFmtId="0" fontId="0" fillId="2" borderId="14" xfId="0" applyFill="1" applyBorder="1" applyAlignment="1">
      <alignment vertical="center"/>
    </xf>
    <xf numFmtId="0" fontId="0" fillId="2" borderId="28" xfId="0" applyFill="1" applyBorder="1" applyAlignment="1">
      <alignment vertical="center"/>
    </xf>
    <xf numFmtId="0" fontId="0" fillId="0" borderId="13" xfId="0" applyBorder="1"/>
    <xf numFmtId="0" fontId="0" fillId="0" borderId="6" xfId="0" applyBorder="1"/>
    <xf numFmtId="0" fontId="0" fillId="0" borderId="32" xfId="0" applyBorder="1"/>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18" fillId="0" borderId="0" xfId="0" applyFont="1" applyAlignment="1">
      <alignment vertical="center"/>
    </xf>
    <xf numFmtId="0" fontId="30" fillId="2" borderId="0" xfId="0" applyFont="1" applyFill="1" applyAlignment="1">
      <alignment horizontal="justify" vertical="center"/>
    </xf>
    <xf numFmtId="0" fontId="31" fillId="2" borderId="0" xfId="0" applyFont="1" applyFill="1" applyAlignment="1">
      <alignment horizontal="justify" vertical="center"/>
    </xf>
    <xf numFmtId="0" fontId="32" fillId="2" borderId="0" xfId="0" applyFont="1" applyFill="1" applyAlignment="1">
      <alignment horizontal="justify" vertical="top"/>
    </xf>
    <xf numFmtId="0" fontId="33" fillId="2" borderId="0" xfId="0" applyFont="1" applyFill="1" applyAlignment="1">
      <alignment horizontal="justify" vertical="center"/>
    </xf>
    <xf numFmtId="0" fontId="32" fillId="2" borderId="0" xfId="0" applyFont="1" applyFill="1" applyAlignment="1">
      <alignment horizontal="justify" vertical="center"/>
    </xf>
    <xf numFmtId="0" fontId="33" fillId="2" borderId="0" xfId="0" applyFont="1" applyFill="1" applyAlignment="1">
      <alignment horizontal="right" vertical="center"/>
    </xf>
    <xf numFmtId="0" fontId="0" fillId="2" borderId="0" xfId="0" applyFill="1"/>
    <xf numFmtId="0" fontId="34" fillId="0" borderId="0" xfId="0" applyFont="1" applyAlignment="1">
      <alignment horizontal="left" vertical="center"/>
    </xf>
    <xf numFmtId="0" fontId="35" fillId="2" borderId="0" xfId="0" applyFont="1" applyFill="1" applyAlignment="1">
      <alignment horizontal="left" vertical="center"/>
    </xf>
    <xf numFmtId="0" fontId="36" fillId="2" borderId="0" xfId="0" applyFont="1" applyFill="1" applyAlignment="1">
      <alignment horizontal="left" vertical="center"/>
    </xf>
    <xf numFmtId="0" fontId="35" fillId="2" borderId="0" xfId="0" applyFont="1" applyFill="1" applyAlignment="1">
      <alignment horizontal="justify" vertical="center" wrapText="1"/>
    </xf>
    <xf numFmtId="0" fontId="31" fillId="0" borderId="0" xfId="0" applyFont="1" applyAlignment="1">
      <alignment horizontal="left" vertical="center"/>
    </xf>
    <xf numFmtId="168" fontId="16" fillId="0" borderId="16" xfId="0" applyNumberFormat="1" applyFont="1" applyBorder="1" applyAlignment="1">
      <alignment horizontal="right"/>
    </xf>
    <xf numFmtId="168" fontId="20" fillId="0" borderId="4" xfId="0" applyNumberFormat="1" applyFont="1" applyBorder="1" applyAlignment="1">
      <alignment horizontal="right" vertical="center" wrapText="1" indent="2"/>
    </xf>
    <xf numFmtId="168" fontId="16" fillId="0" borderId="0" xfId="0" applyNumberFormat="1" applyFont="1"/>
    <xf numFmtId="168" fontId="0" fillId="0" borderId="1" xfId="0" applyNumberFormat="1" applyFont="1" applyBorder="1" applyAlignment="1">
      <alignment horizontal="right" wrapText="1"/>
    </xf>
    <xf numFmtId="168" fontId="16" fillId="0" borderId="0" xfId="0" applyNumberFormat="1" applyFont="1" applyAlignment="1">
      <alignment horizontal="right" wrapText="1"/>
    </xf>
    <xf numFmtId="168" fontId="16" fillId="0" borderId="4" xfId="0" applyNumberFormat="1" applyFont="1" applyBorder="1" applyAlignment="1">
      <alignment horizontal="right" wrapText="1"/>
    </xf>
    <xf numFmtId="168" fontId="16" fillId="0" borderId="0" xfId="0" applyNumberFormat="1" applyFont="1" applyAlignment="1">
      <alignment horizontal="right" vertical="center" wrapText="1"/>
    </xf>
    <xf numFmtId="2" fontId="16" fillId="0" borderId="0" xfId="0" applyNumberFormat="1" applyFont="1" applyAlignment="1">
      <alignment horizontal="right" vertical="center" wrapText="1"/>
    </xf>
    <xf numFmtId="2" fontId="15" fillId="0" borderId="0" xfId="0" applyNumberFormat="1" applyFont="1" applyAlignment="1">
      <alignment horizontal="right" vertical="center" wrapText="1"/>
    </xf>
    <xf numFmtId="168" fontId="16" fillId="0" borderId="28" xfId="0" applyNumberFormat="1" applyFont="1" applyBorder="1" applyAlignment="1">
      <alignment horizontal="right"/>
    </xf>
    <xf numFmtId="168" fontId="16" fillId="0" borderId="14" xfId="0" applyNumberFormat="1" applyFont="1" applyBorder="1" applyAlignment="1">
      <alignment horizontal="right"/>
    </xf>
    <xf numFmtId="168" fontId="16" fillId="0" borderId="19" xfId="0" applyNumberFormat="1" applyFont="1" applyBorder="1" applyAlignment="1">
      <alignment horizontal="right"/>
    </xf>
    <xf numFmtId="0" fontId="16" fillId="0" borderId="0" xfId="0" applyFont="1"/>
    <xf numFmtId="168" fontId="16" fillId="0" borderId="0" xfId="0" applyNumberFormat="1" applyFont="1" applyBorder="1" applyAlignment="1">
      <alignment horizontal="right"/>
    </xf>
    <xf numFmtId="0" fontId="0" fillId="0" borderId="0" xfId="0"/>
    <xf numFmtId="0" fontId="11" fillId="0" borderId="0" xfId="0" applyFont="1"/>
    <xf numFmtId="168" fontId="11" fillId="0" borderId="11" xfId="0" applyNumberFormat="1" applyFont="1" applyBorder="1" applyAlignment="1">
      <alignment horizontal="right"/>
    </xf>
    <xf numFmtId="168" fontId="12" fillId="0" borderId="11" xfId="0" applyNumberFormat="1" applyFont="1" applyBorder="1" applyAlignment="1">
      <alignment horizontal="right"/>
    </xf>
    <xf numFmtId="0" fontId="0" fillId="0" borderId="0" xfId="0" applyFill="1" applyBorder="1"/>
    <xf numFmtId="168" fontId="11" fillId="0" borderId="18" xfId="0" applyNumberFormat="1" applyFont="1" applyBorder="1" applyAlignment="1">
      <alignment horizontal="right"/>
    </xf>
    <xf numFmtId="168" fontId="11" fillId="0" borderId="4" xfId="0" applyNumberFormat="1" applyFont="1" applyBorder="1" applyAlignment="1">
      <alignment horizontal="right"/>
    </xf>
    <xf numFmtId="168" fontId="17" fillId="0" borderId="0" xfId="0" applyNumberFormat="1" applyFont="1" applyAlignment="1">
      <alignment horizontal="right" wrapText="1"/>
    </xf>
    <xf numFmtId="0" fontId="38" fillId="0" borderId="5" xfId="0" applyNumberFormat="1" applyFont="1" applyBorder="1" applyAlignment="1">
      <alignment wrapText="1"/>
    </xf>
    <xf numFmtId="0" fontId="38" fillId="0" borderId="0" xfId="0" applyNumberFormat="1" applyFont="1" applyBorder="1" applyAlignment="1">
      <alignment horizontal="left" vertical="center" wrapText="1"/>
    </xf>
    <xf numFmtId="0" fontId="15" fillId="0" borderId="4" xfId="0" applyNumberFormat="1" applyFont="1" applyBorder="1" applyAlignment="1">
      <alignment horizontal="left" vertical="center" wrapText="1"/>
    </xf>
    <xf numFmtId="0" fontId="2" fillId="0" borderId="0" xfId="0" applyNumberFormat="1" applyFont="1" applyBorder="1" applyAlignment="1">
      <alignment horizontal="left" wrapText="1"/>
    </xf>
    <xf numFmtId="0" fontId="2" fillId="0" borderId="0" xfId="0" applyNumberFormat="1" applyFont="1" applyBorder="1" applyAlignment="1">
      <alignment horizontal="left" vertical="center" wrapText="1"/>
    </xf>
    <xf numFmtId="0" fontId="2" fillId="0" borderId="0" xfId="0" applyNumberFormat="1" applyFont="1" applyBorder="1" applyAlignment="1">
      <alignment horizontal="right" wrapText="1"/>
    </xf>
    <xf numFmtId="168" fontId="0" fillId="0" borderId="0" xfId="0" applyNumberFormat="1" applyFont="1" applyBorder="1" applyAlignment="1">
      <alignment horizontal="right" wrapText="1"/>
    </xf>
    <xf numFmtId="0" fontId="11" fillId="0" borderId="0" xfId="0" applyFont="1" applyAlignment="1">
      <alignment vertical="center"/>
    </xf>
    <xf numFmtId="168" fontId="0" fillId="0" borderId="0" xfId="0" applyNumberFormat="1" applyFont="1" applyAlignment="1">
      <alignment horizontal="right" wrapText="1" indent="2"/>
    </xf>
    <xf numFmtId="168" fontId="12" fillId="0" borderId="4" xfId="0" applyNumberFormat="1" applyFont="1" applyBorder="1" applyAlignment="1">
      <alignment horizontal="right" wrapText="1" indent="2"/>
    </xf>
    <xf numFmtId="0" fontId="0" fillId="0" borderId="0" xfId="0"/>
    <xf numFmtId="0" fontId="11" fillId="0" borderId="0" xfId="0" applyFont="1" applyAlignment="1"/>
    <xf numFmtId="0" fontId="23" fillId="0" borderId="0" xfId="12" applyAlignment="1"/>
    <xf numFmtId="0" fontId="0" fillId="0" borderId="0" xfId="0" applyAlignment="1"/>
    <xf numFmtId="0" fontId="0" fillId="0" borderId="0" xfId="0"/>
    <xf numFmtId="0" fontId="0" fillId="0" borderId="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5" fillId="0" borderId="1" xfId="0" applyNumberFormat="1" applyFont="1" applyBorder="1" applyAlignment="1">
      <alignment horizontal="left" vertical="center" wrapText="1"/>
    </xf>
    <xf numFmtId="168" fontId="7" fillId="0" borderId="1" xfId="0" applyNumberFormat="1" applyFont="1" applyBorder="1" applyAlignment="1">
      <alignment horizontal="right" vertical="center" wrapText="1" indent="2"/>
    </xf>
    <xf numFmtId="0" fontId="40" fillId="0" borderId="1" xfId="0" applyNumberFormat="1" applyFont="1" applyBorder="1" applyAlignment="1">
      <alignment horizontal="left" vertical="center" wrapText="1"/>
    </xf>
    <xf numFmtId="168" fontId="40" fillId="0" borderId="1" xfId="0" applyNumberFormat="1" applyFont="1" applyBorder="1" applyAlignment="1">
      <alignment horizontal="right" vertical="center" wrapText="1" indent="2"/>
    </xf>
    <xf numFmtId="0" fontId="6" fillId="0" borderId="0" xfId="0" applyNumberFormat="1" applyFont="1" applyAlignment="1">
      <alignment horizontal="left" vertical="center" wrapText="1"/>
    </xf>
    <xf numFmtId="0" fontId="39" fillId="0" borderId="0" xfId="0" applyNumberFormat="1" applyFont="1" applyAlignment="1">
      <alignment wrapText="1"/>
    </xf>
    <xf numFmtId="0" fontId="2" fillId="0" borderId="0" xfId="0" applyNumberFormat="1" applyFont="1" applyAlignment="1">
      <alignment horizontal="left" wrapText="1"/>
    </xf>
    <xf numFmtId="0" fontId="11" fillId="0" borderId="1" xfId="0" applyFont="1" applyBorder="1"/>
    <xf numFmtId="168" fontId="0" fillId="0" borderId="0" xfId="0" applyNumberFormat="1" applyFont="1" applyAlignment="1">
      <alignment wrapText="1"/>
    </xf>
    <xf numFmtId="0" fontId="0" fillId="0" borderId="0" xfId="0" applyNumberFormat="1" applyFont="1" applyAlignment="1">
      <alignment wrapText="1"/>
    </xf>
    <xf numFmtId="0" fontId="0" fillId="0" borderId="0" xfId="0"/>
    <xf numFmtId="0" fontId="2" fillId="0" borderId="0" xfId="0" applyNumberFormat="1" applyFont="1" applyAlignment="1">
      <alignment wrapText="1"/>
    </xf>
    <xf numFmtId="0" fontId="2" fillId="0" borderId="4" xfId="0" applyNumberFormat="1" applyFont="1" applyBorder="1" applyAlignment="1">
      <alignment horizontal="center" vertical="center" wrapText="1"/>
    </xf>
    <xf numFmtId="0" fontId="2" fillId="0" borderId="0" xfId="0" applyNumberFormat="1" applyFont="1" applyAlignment="1">
      <alignment wrapText="1"/>
    </xf>
    <xf numFmtId="168" fontId="0" fillId="0" borderId="0" xfId="0" applyNumberFormat="1"/>
    <xf numFmtId="0" fontId="2" fillId="0" borderId="33" xfId="0" applyNumberFormat="1" applyFont="1" applyBorder="1" applyAlignment="1">
      <alignment wrapText="1"/>
    </xf>
    <xf numFmtId="168" fontId="0" fillId="3" borderId="1" xfId="0" applyNumberFormat="1" applyFill="1" applyBorder="1"/>
    <xf numFmtId="0" fontId="37" fillId="0" borderId="0" xfId="0" applyNumberFormat="1" applyFont="1" applyBorder="1" applyAlignment="1">
      <alignment horizontal="left" vertical="center" wrapText="1"/>
    </xf>
    <xf numFmtId="0" fontId="16" fillId="0" borderId="0" xfId="0" applyFont="1"/>
    <xf numFmtId="0" fontId="2" fillId="0" borderId="7" xfId="0" applyNumberFormat="1" applyFont="1" applyBorder="1" applyAlignment="1">
      <alignment horizontal="center" wrapText="1"/>
    </xf>
    <xf numFmtId="2" fontId="37" fillId="0" borderId="0" xfId="0" applyNumberFormat="1" applyFont="1" applyBorder="1" applyAlignment="1">
      <alignment wrapText="1"/>
    </xf>
    <xf numFmtId="0" fontId="38" fillId="0" borderId="5" xfId="0" applyNumberFormat="1" applyFont="1" applyBorder="1" applyAlignment="1">
      <alignment horizontal="left" wrapText="1"/>
    </xf>
    <xf numFmtId="0" fontId="38" fillId="0" borderId="4" xfId="0" applyNumberFormat="1" applyFont="1" applyBorder="1" applyAlignment="1">
      <alignment vertical="center" wrapText="1"/>
    </xf>
    <xf numFmtId="0" fontId="38" fillId="0" borderId="4" xfId="0" applyNumberFormat="1" applyFont="1" applyBorder="1" applyAlignment="1">
      <alignment horizontal="left" vertical="center" wrapText="1"/>
    </xf>
    <xf numFmtId="0" fontId="38" fillId="0" borderId="0" xfId="0" applyNumberFormat="1" applyFont="1" applyAlignment="1">
      <alignment horizontal="left" vertical="center" wrapText="1"/>
    </xf>
    <xf numFmtId="0" fontId="16" fillId="0" borderId="0" xfId="0" applyFont="1"/>
    <xf numFmtId="0" fontId="18" fillId="0" borderId="1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8" xfId="0" applyFont="1" applyBorder="1" applyAlignment="1">
      <alignment horizontal="center" vertical="center" wrapText="1"/>
    </xf>
    <xf numFmtId="168" fontId="18" fillId="0" borderId="4" xfId="0" applyNumberFormat="1" applyFont="1" applyBorder="1" applyAlignment="1">
      <alignment horizontal="right"/>
    </xf>
    <xf numFmtId="168" fontId="18" fillId="0" borderId="18" xfId="0" applyNumberFormat="1" applyFont="1" applyBorder="1" applyAlignment="1">
      <alignment horizontal="right"/>
    </xf>
    <xf numFmtId="168" fontId="18" fillId="0" borderId="11" xfId="0" applyNumberFormat="1" applyFont="1" applyBorder="1" applyAlignment="1">
      <alignment horizontal="right"/>
    </xf>
    <xf numFmtId="168" fontId="18" fillId="0" borderId="15" xfId="0" applyNumberFormat="1" applyFont="1" applyBorder="1" applyAlignment="1">
      <alignment horizontal="right"/>
    </xf>
    <xf numFmtId="168" fontId="18" fillId="0" borderId="21" xfId="0" applyNumberFormat="1" applyFont="1" applyBorder="1" applyAlignment="1">
      <alignment horizontal="right"/>
    </xf>
    <xf numFmtId="0" fontId="17" fillId="0" borderId="4" xfId="0" applyNumberFormat="1" applyFont="1" applyBorder="1" applyAlignment="1">
      <alignment vertical="center" wrapText="1"/>
    </xf>
    <xf numFmtId="0" fontId="0" fillId="0" borderId="0" xfId="0"/>
    <xf numFmtId="10" fontId="11" fillId="0" borderId="21" xfId="0" applyNumberFormat="1" applyFont="1" applyBorder="1" applyAlignment="1">
      <alignment horizontal="right"/>
    </xf>
    <xf numFmtId="0" fontId="15" fillId="0" borderId="0" xfId="0" applyNumberFormat="1" applyFont="1" applyAlignment="1">
      <alignment horizontal="left" vertical="center" wrapText="1"/>
    </xf>
    <xf numFmtId="0" fontId="15" fillId="0" borderId="0" xfId="0" applyFont="1" applyAlignment="1">
      <alignment horizontal="center" wrapText="1"/>
    </xf>
    <xf numFmtId="0" fontId="16" fillId="0" borderId="0" xfId="0" applyFont="1"/>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0" fontId="0" fillId="0" borderId="0" xfId="0" applyNumberFormat="1" applyBorder="1" applyAlignment="1">
      <alignment horizontal="right"/>
    </xf>
    <xf numFmtId="10" fontId="11" fillId="0" borderId="0" xfId="0" applyNumberFormat="1" applyFont="1" applyBorder="1" applyAlignment="1">
      <alignment horizontal="right"/>
    </xf>
    <xf numFmtId="0" fontId="15" fillId="0" borderId="5" xfId="0" applyNumberFormat="1" applyFont="1" applyBorder="1" applyAlignment="1">
      <alignment horizontal="left" wrapText="1"/>
    </xf>
    <xf numFmtId="0" fontId="16" fillId="0" borderId="0" xfId="0" applyFont="1"/>
    <xf numFmtId="0" fontId="2" fillId="0" borderId="10" xfId="0" applyNumberFormat="1" applyFont="1" applyBorder="1" applyAlignment="1">
      <alignment wrapText="1"/>
    </xf>
    <xf numFmtId="0" fontId="15" fillId="0" borderId="4" xfId="0" applyNumberFormat="1" applyFont="1" applyBorder="1" applyAlignment="1">
      <alignment horizontal="left" vertical="center" wrapText="1"/>
    </xf>
    <xf numFmtId="0" fontId="15" fillId="0" borderId="0" xfId="0" applyNumberFormat="1" applyFont="1" applyAlignment="1">
      <alignment horizontal="center" vertical="center" wrapText="1"/>
    </xf>
    <xf numFmtId="0" fontId="15" fillId="0" borderId="6" xfId="0" applyNumberFormat="1" applyFont="1" applyBorder="1" applyAlignment="1">
      <alignment vertical="center" wrapText="1"/>
    </xf>
    <xf numFmtId="0" fontId="16" fillId="0" borderId="0" xfId="0" applyNumberFormat="1" applyFont="1" applyAlignment="1">
      <alignment horizontal="right" wrapText="1" indent="1"/>
    </xf>
    <xf numFmtId="2" fontId="16" fillId="0" borderId="0" xfId="0" applyNumberFormat="1" applyFont="1" applyAlignment="1">
      <alignment horizontal="right" wrapText="1"/>
    </xf>
    <xf numFmtId="2" fontId="18" fillId="0" borderId="4" xfId="0" applyNumberFormat="1" applyFont="1" applyBorder="1" applyAlignment="1">
      <alignment wrapText="1"/>
    </xf>
    <xf numFmtId="0" fontId="18" fillId="0" borderId="4" xfId="0" applyNumberFormat="1" applyFont="1" applyBorder="1" applyAlignment="1">
      <alignment horizontal="right" wrapText="1" indent="1"/>
    </xf>
    <xf numFmtId="0" fontId="2" fillId="0" borderId="9" xfId="0" applyNumberFormat="1" applyFont="1" applyBorder="1" applyAlignment="1">
      <alignment horizontal="center" wrapText="1"/>
    </xf>
    <xf numFmtId="0" fontId="2" fillId="0" borderId="9" xfId="0" applyNumberFormat="1" applyFont="1" applyBorder="1" applyAlignment="1">
      <alignment wrapText="1"/>
    </xf>
    <xf numFmtId="0" fontId="0" fillId="0" borderId="0" xfId="0"/>
    <xf numFmtId="2" fontId="0" fillId="0" borderId="0" xfId="0" applyNumberFormat="1" applyFont="1" applyAlignment="1">
      <alignment wrapText="1"/>
    </xf>
    <xf numFmtId="0" fontId="2" fillId="0" borderId="0" xfId="0" applyFont="1" applyAlignment="1">
      <alignment horizontal="center" wrapText="1"/>
    </xf>
    <xf numFmtId="0" fontId="16" fillId="0" borderId="5" xfId="0" applyFont="1" applyBorder="1"/>
    <xf numFmtId="168" fontId="17" fillId="0" borderId="4" xfId="0" applyNumberFormat="1" applyFont="1" applyBorder="1" applyAlignment="1">
      <alignment horizontal="right" wrapText="1"/>
    </xf>
    <xf numFmtId="2" fontId="16" fillId="0" borderId="4" xfId="0" applyNumberFormat="1" applyFont="1" applyBorder="1" applyAlignment="1">
      <alignment horizontal="right" wrapText="1"/>
    </xf>
    <xf numFmtId="168" fontId="19" fillId="0" borderId="4" xfId="0" applyNumberFormat="1" applyFont="1" applyBorder="1" applyAlignment="1">
      <alignment horizontal="right" wrapText="1"/>
    </xf>
    <xf numFmtId="0" fontId="16" fillId="0" borderId="5" xfId="0" applyNumberFormat="1" applyFont="1" applyBorder="1" applyAlignment="1">
      <alignment horizontal="left" vertical="center" wrapText="1"/>
    </xf>
    <xf numFmtId="0" fontId="16" fillId="0" borderId="0" xfId="0" applyNumberFormat="1" applyFont="1" applyBorder="1" applyAlignment="1">
      <alignment horizontal="left" vertical="center" wrapText="1"/>
    </xf>
    <xf numFmtId="0" fontId="16" fillId="0" borderId="0" xfId="0" applyNumberFormat="1" applyFont="1" applyAlignment="1">
      <alignment horizontal="left" vertical="center" wrapText="1"/>
    </xf>
    <xf numFmtId="0" fontId="12" fillId="0" borderId="24" xfId="0" applyNumberFormat="1" applyFont="1" applyBorder="1" applyAlignment="1">
      <alignment horizontal="left" vertical="center" wrapText="1"/>
    </xf>
    <xf numFmtId="2" fontId="12" fillId="0" borderId="24" xfId="0" applyNumberFormat="1" applyFont="1" applyBorder="1" applyAlignment="1">
      <alignment wrapText="1"/>
    </xf>
    <xf numFmtId="168" fontId="12" fillId="0" borderId="0" xfId="0" applyNumberFormat="1" applyFont="1" applyAlignment="1">
      <alignment wrapText="1"/>
    </xf>
    <xf numFmtId="0" fontId="20" fillId="0" borderId="9" xfId="0" applyNumberFormat="1" applyFont="1" applyBorder="1" applyAlignment="1">
      <alignment horizontal="center" wrapText="1"/>
    </xf>
    <xf numFmtId="0" fontId="0" fillId="0" borderId="35" xfId="0" applyBorder="1"/>
    <xf numFmtId="168" fontId="0" fillId="0" borderId="3" xfId="0" applyNumberFormat="1" applyBorder="1" applyAlignment="1">
      <alignment horizontal="right"/>
    </xf>
    <xf numFmtId="168" fontId="0" fillId="0" borderId="9" xfId="0" applyNumberFormat="1" applyBorder="1" applyAlignment="1">
      <alignment horizontal="right"/>
    </xf>
    <xf numFmtId="168" fontId="0" fillId="0" borderId="34" xfId="0" applyNumberFormat="1" applyBorder="1" applyAlignment="1">
      <alignment horizontal="right"/>
    </xf>
    <xf numFmtId="10" fontId="0" fillId="0" borderId="36" xfId="0" applyNumberFormat="1" applyBorder="1" applyAlignment="1">
      <alignment horizontal="right"/>
    </xf>
    <xf numFmtId="168" fontId="16" fillId="0" borderId="9" xfId="0" applyNumberFormat="1" applyFont="1" applyBorder="1" applyAlignment="1">
      <alignment horizontal="right" wrapText="1" indent="1"/>
    </xf>
    <xf numFmtId="168" fontId="19" fillId="0" borderId="9" xfId="0" applyNumberFormat="1" applyFont="1" applyBorder="1" applyAlignment="1">
      <alignment horizontal="right" wrapText="1" indent="1"/>
    </xf>
    <xf numFmtId="2" fontId="16" fillId="0" borderId="9" xfId="0" applyNumberFormat="1" applyFont="1" applyBorder="1" applyAlignment="1">
      <alignment wrapText="1"/>
    </xf>
    <xf numFmtId="0" fontId="2" fillId="0" borderId="6" xfId="0" applyNumberFormat="1" applyFont="1" applyBorder="1" applyAlignment="1">
      <alignment horizontal="left" vertical="center" wrapText="1"/>
    </xf>
    <xf numFmtId="0" fontId="17" fillId="0" borderId="6" xfId="0" applyNumberFormat="1" applyFont="1" applyBorder="1" applyAlignment="1">
      <alignment horizontal="right" vertical="center" wrapText="1"/>
    </xf>
    <xf numFmtId="0" fontId="0" fillId="0" borderId="0" xfId="0"/>
    <xf numFmtId="0" fontId="2" fillId="0" borderId="0" xfId="15" applyNumberFormat="1" applyFont="1" applyAlignment="1">
      <alignment wrapText="1"/>
    </xf>
    <xf numFmtId="168" fontId="3" fillId="0" borderId="0" xfId="15" applyNumberFormat="1" applyFont="1" applyAlignment="1">
      <alignment wrapText="1"/>
    </xf>
    <xf numFmtId="0" fontId="2" fillId="0" borderId="0" xfId="0" applyNumberFormat="1" applyFont="1" applyAlignment="1">
      <alignment wrapText="1"/>
    </xf>
    <xf numFmtId="0" fontId="2" fillId="0" borderId="0" xfId="0" applyNumberFormat="1" applyFont="1" applyAlignment="1">
      <alignment horizontal="center" vertical="center" wrapText="1"/>
    </xf>
    <xf numFmtId="0" fontId="2" fillId="0" borderId="0" xfId="0" applyNumberFormat="1" applyFont="1" applyAlignment="1">
      <alignment horizontal="right" wrapText="1"/>
    </xf>
    <xf numFmtId="0" fontId="6" fillId="5" borderId="1" xfId="0" applyNumberFormat="1" applyFont="1" applyFill="1" applyBorder="1" applyAlignment="1">
      <alignment horizontal="center" vertical="center" wrapText="1"/>
    </xf>
    <xf numFmtId="0" fontId="39" fillId="6" borderId="1" xfId="0" applyNumberFormat="1" applyFont="1" applyFill="1" applyBorder="1" applyAlignment="1">
      <alignment wrapText="1"/>
    </xf>
    <xf numFmtId="168" fontId="39" fillId="6" borderId="1" xfId="0" applyNumberFormat="1" applyFont="1" applyFill="1" applyBorder="1"/>
    <xf numFmtId="0" fontId="39" fillId="7" borderId="1" xfId="0" applyNumberFormat="1" applyFont="1" applyFill="1" applyBorder="1" applyAlignment="1">
      <alignment wrapText="1"/>
    </xf>
    <xf numFmtId="168" fontId="39" fillId="7" borderId="1" xfId="0" applyNumberFormat="1" applyFont="1" applyFill="1" applyBorder="1"/>
    <xf numFmtId="0" fontId="6" fillId="5" borderId="2" xfId="0" applyNumberFormat="1" applyFont="1" applyFill="1" applyBorder="1" applyAlignment="1">
      <alignment vertical="center" wrapText="1"/>
    </xf>
    <xf numFmtId="0" fontId="6" fillId="5" borderId="3" xfId="0" applyNumberFormat="1" applyFont="1" applyFill="1" applyBorder="1" applyAlignment="1">
      <alignment vertical="center" wrapText="1"/>
    </xf>
    <xf numFmtId="0" fontId="37" fillId="0" borderId="5" xfId="0" applyNumberFormat="1" applyFont="1" applyBorder="1" applyAlignment="1">
      <alignment horizontal="left" vertical="center" wrapText="1"/>
    </xf>
    <xf numFmtId="0" fontId="37" fillId="0" borderId="0" xfId="0" applyNumberFormat="1" applyFont="1" applyAlignment="1">
      <alignment horizontal="left" vertical="center" wrapText="1"/>
    </xf>
    <xf numFmtId="0" fontId="38" fillId="0" borderId="4" xfId="0" applyNumberFormat="1" applyFont="1" applyBorder="1" applyAlignment="1">
      <alignment wrapText="1"/>
    </xf>
    <xf numFmtId="0" fontId="38" fillId="0" borderId="6" xfId="0" applyNumberFormat="1" applyFont="1" applyBorder="1" applyAlignment="1">
      <alignment wrapText="1"/>
    </xf>
    <xf numFmtId="0" fontId="38" fillId="0" borderId="6" xfId="0" applyNumberFormat="1" applyFont="1" applyBorder="1" applyAlignment="1">
      <alignment horizontal="left" vertical="center" wrapText="1"/>
    </xf>
    <xf numFmtId="0" fontId="38" fillId="0" borderId="6" xfId="0" applyNumberFormat="1" applyFont="1" applyBorder="1" applyAlignment="1">
      <alignment horizontal="center" vertical="center" wrapText="1"/>
    </xf>
    <xf numFmtId="0" fontId="38" fillId="0" borderId="0" xfId="0" applyNumberFormat="1" applyFont="1" applyAlignment="1">
      <alignment horizontal="center" vertical="center" wrapText="1"/>
    </xf>
    <xf numFmtId="0" fontId="38" fillId="0" borderId="4" xfId="0" applyNumberFormat="1" applyFont="1" applyBorder="1" applyAlignment="1">
      <alignment horizontal="center" vertical="center" wrapText="1"/>
    </xf>
    <xf numFmtId="0" fontId="38" fillId="0" borderId="0" xfId="0" applyNumberFormat="1" applyFont="1" applyAlignment="1">
      <alignment vertical="center" wrapText="1"/>
    </xf>
    <xf numFmtId="0" fontId="42" fillId="0" borderId="5" xfId="0" applyNumberFormat="1" applyFont="1" applyBorder="1" applyAlignment="1">
      <alignment horizontal="center" vertical="center" wrapText="1"/>
    </xf>
    <xf numFmtId="0" fontId="42" fillId="0" borderId="0" xfId="0" applyNumberFormat="1" applyFont="1" applyBorder="1" applyAlignment="1">
      <alignment horizontal="center" vertical="center" wrapText="1"/>
    </xf>
    <xf numFmtId="0" fontId="42" fillId="0" borderId="0" xfId="0" applyNumberFormat="1" applyFont="1" applyAlignment="1">
      <alignment horizontal="center" vertical="center" wrapText="1"/>
    </xf>
    <xf numFmtId="0" fontId="17" fillId="0" borderId="0" xfId="0" applyNumberFormat="1" applyFont="1" applyAlignment="1">
      <alignment vertical="center" wrapText="1"/>
    </xf>
    <xf numFmtId="0" fontId="37" fillId="0" borderId="0" xfId="0" applyNumberFormat="1" applyFont="1" applyAlignment="1">
      <alignment horizontal="right" wrapText="1"/>
    </xf>
    <xf numFmtId="0" fontId="37" fillId="0" borderId="0" xfId="0" applyNumberFormat="1" applyFont="1" applyBorder="1" applyAlignment="1">
      <alignment horizontal="right" wrapText="1"/>
    </xf>
    <xf numFmtId="0" fontId="38" fillId="0" borderId="4" xfId="0" applyNumberFormat="1" applyFont="1" applyBorder="1" applyAlignment="1">
      <alignment horizontal="right" wrapText="1"/>
    </xf>
    <xf numFmtId="168" fontId="38" fillId="0" borderId="4" xfId="0" applyNumberFormat="1" applyFont="1" applyBorder="1" applyAlignment="1">
      <alignment horizontal="right" wrapText="1"/>
    </xf>
    <xf numFmtId="168" fontId="37" fillId="0" borderId="5" xfId="0" applyNumberFormat="1" applyFont="1" applyBorder="1" applyAlignment="1">
      <alignment horizontal="right" wrapText="1"/>
    </xf>
    <xf numFmtId="168" fontId="43" fillId="0" borderId="5" xfId="0" applyNumberFormat="1" applyFont="1" applyBorder="1" applyAlignment="1">
      <alignment horizontal="right" wrapText="1"/>
    </xf>
    <xf numFmtId="168" fontId="37" fillId="0" borderId="0" xfId="0" applyNumberFormat="1" applyFont="1" applyBorder="1" applyAlignment="1">
      <alignment horizontal="right" wrapText="1"/>
    </xf>
    <xf numFmtId="168" fontId="43" fillId="0" borderId="0" xfId="0" applyNumberFormat="1" applyFont="1" applyBorder="1" applyAlignment="1">
      <alignment horizontal="right" wrapText="1"/>
    </xf>
    <xf numFmtId="168" fontId="38" fillId="0" borderId="6" xfId="0" applyNumberFormat="1" applyFont="1" applyBorder="1" applyAlignment="1">
      <alignment horizontal="right" wrapText="1"/>
    </xf>
    <xf numFmtId="168" fontId="44" fillId="0" borderId="6" xfId="0" applyNumberFormat="1" applyFont="1" applyBorder="1" applyAlignment="1">
      <alignment horizontal="right" wrapText="1"/>
    </xf>
    <xf numFmtId="168" fontId="37" fillId="0" borderId="0" xfId="0" applyNumberFormat="1" applyFont="1" applyAlignment="1">
      <alignment horizontal="right" wrapText="1"/>
    </xf>
    <xf numFmtId="168" fontId="43" fillId="0" borderId="0" xfId="0" applyNumberFormat="1" applyFont="1" applyAlignment="1">
      <alignment horizontal="right" wrapText="1"/>
    </xf>
    <xf numFmtId="168" fontId="38" fillId="0" borderId="0" xfId="0" applyNumberFormat="1" applyFont="1" applyAlignment="1">
      <alignment horizontal="right" wrapText="1"/>
    </xf>
    <xf numFmtId="168" fontId="44" fillId="0" borderId="0" xfId="0" applyNumberFormat="1" applyFont="1" applyAlignment="1">
      <alignment horizontal="right" wrapText="1"/>
    </xf>
    <xf numFmtId="168" fontId="44" fillId="0" borderId="4" xfId="0" applyNumberFormat="1" applyFont="1" applyBorder="1" applyAlignment="1">
      <alignment horizontal="right" wrapText="1"/>
    </xf>
    <xf numFmtId="0" fontId="37" fillId="0" borderId="5" xfId="0" applyNumberFormat="1" applyFont="1" applyBorder="1" applyAlignment="1">
      <alignment horizontal="right" wrapText="1"/>
    </xf>
    <xf numFmtId="0" fontId="38" fillId="0" borderId="0" xfId="0" applyNumberFormat="1" applyFont="1" applyAlignment="1">
      <alignment horizontal="right" wrapText="1"/>
    </xf>
    <xf numFmtId="0" fontId="38" fillId="0" borderId="6" xfId="0" applyNumberFormat="1" applyFont="1" applyBorder="1" applyAlignment="1">
      <alignment horizontal="right" wrapText="1"/>
    </xf>
    <xf numFmtId="2" fontId="38" fillId="0" borderId="4" xfId="0" applyNumberFormat="1" applyFont="1" applyBorder="1" applyAlignment="1">
      <alignment horizontal="right" wrapText="1"/>
    </xf>
    <xf numFmtId="0" fontId="16" fillId="0" borderId="14" xfId="0" applyFont="1" applyBorder="1"/>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5" xfId="0" applyFont="1" applyBorder="1" applyAlignment="1">
      <alignment vertical="center"/>
    </xf>
    <xf numFmtId="0" fontId="18" fillId="0" borderId="15" xfId="0" applyFont="1" applyBorder="1"/>
    <xf numFmtId="168" fontId="16" fillId="0" borderId="12" xfId="0" applyNumberFormat="1" applyFont="1" applyBorder="1" applyAlignment="1">
      <alignment horizontal="right"/>
    </xf>
    <xf numFmtId="168" fontId="16" fillId="0" borderId="39" xfId="0" applyNumberFormat="1" applyFont="1" applyBorder="1" applyAlignment="1">
      <alignment horizontal="right"/>
    </xf>
    <xf numFmtId="168" fontId="16" fillId="0" borderId="25" xfId="0" applyNumberFormat="1" applyFont="1" applyBorder="1" applyAlignment="1">
      <alignment horizontal="right"/>
    </xf>
    <xf numFmtId="168" fontId="16" fillId="0" borderId="20" xfId="0" applyNumberFormat="1" applyFont="1" applyBorder="1" applyAlignment="1">
      <alignment horizontal="right"/>
    </xf>
    <xf numFmtId="10" fontId="16" fillId="0" borderId="16" xfId="0" applyNumberFormat="1" applyFont="1" applyBorder="1" applyAlignment="1">
      <alignment horizontal="right"/>
    </xf>
    <xf numFmtId="10" fontId="18" fillId="0" borderId="11" xfId="0" applyNumberFormat="1" applyFont="1" applyBorder="1" applyAlignment="1">
      <alignment horizontal="right"/>
    </xf>
    <xf numFmtId="0" fontId="16" fillId="0" borderId="0" xfId="0" applyFont="1"/>
    <xf numFmtId="0" fontId="15" fillId="0" borderId="11" xfId="0" applyFont="1" applyBorder="1" applyAlignment="1">
      <alignment horizontal="center" vertical="center" wrapText="1"/>
    </xf>
    <xf numFmtId="0" fontId="15" fillId="0" borderId="11" xfId="0" applyFont="1" applyBorder="1" applyAlignment="1">
      <alignment horizontal="center" vertical="center"/>
    </xf>
    <xf numFmtId="0" fontId="18" fillId="0" borderId="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168" fontId="16" fillId="0" borderId="23" xfId="0" applyNumberFormat="1" applyFont="1" applyBorder="1" applyAlignment="1">
      <alignment horizontal="right"/>
    </xf>
    <xf numFmtId="168" fontId="16" fillId="0" borderId="22" xfId="0" applyNumberFormat="1" applyFont="1" applyBorder="1" applyAlignment="1">
      <alignment horizontal="right"/>
    </xf>
    <xf numFmtId="168" fontId="18" fillId="0" borderId="40" xfId="0" applyNumberFormat="1" applyFont="1" applyBorder="1" applyAlignment="1">
      <alignment horizontal="right"/>
    </xf>
    <xf numFmtId="168" fontId="18" fillId="0" borderId="41" xfId="0" applyNumberFormat="1" applyFont="1" applyBorder="1" applyAlignment="1">
      <alignment horizontal="right"/>
    </xf>
    <xf numFmtId="0" fontId="18" fillId="0" borderId="0" xfId="0" applyFont="1" applyBorder="1" applyAlignment="1">
      <alignment horizontal="center" vertical="center" wrapText="1"/>
    </xf>
    <xf numFmtId="10" fontId="16" fillId="0" borderId="0" xfId="0" applyNumberFormat="1" applyFont="1" applyBorder="1" applyAlignment="1">
      <alignment horizontal="right"/>
    </xf>
    <xf numFmtId="10" fontId="18" fillId="0" borderId="0" xfId="0" applyNumberFormat="1" applyFont="1" applyBorder="1" applyAlignment="1">
      <alignment horizontal="right"/>
    </xf>
    <xf numFmtId="0" fontId="16" fillId="0" borderId="0" xfId="0" applyFont="1" applyAlignment="1">
      <alignment vertical="center"/>
    </xf>
    <xf numFmtId="0" fontId="18" fillId="0" borderId="6" xfId="0" applyFont="1" applyBorder="1" applyAlignment="1">
      <alignment horizontal="right" vertical="center"/>
    </xf>
    <xf numFmtId="0" fontId="18" fillId="0" borderId="4" xfId="0" applyFont="1" applyBorder="1"/>
    <xf numFmtId="0" fontId="19" fillId="0" borderId="6" xfId="0" applyFont="1" applyBorder="1" applyAlignment="1">
      <alignment horizontal="right" vertical="center"/>
    </xf>
    <xf numFmtId="0" fontId="19" fillId="0" borderId="4" xfId="0" applyFont="1" applyBorder="1"/>
    <xf numFmtId="0" fontId="16" fillId="0" borderId="5" xfId="0" applyFont="1" applyBorder="1" applyAlignment="1">
      <alignment vertical="center"/>
    </xf>
    <xf numFmtId="0" fontId="16" fillId="0" borderId="0" xfId="0" applyFont="1" applyBorder="1" applyAlignment="1">
      <alignment vertical="center"/>
    </xf>
    <xf numFmtId="0" fontId="18" fillId="0" borderId="6" xfId="0" applyFont="1" applyBorder="1" applyAlignment="1">
      <alignment vertical="center"/>
    </xf>
    <xf numFmtId="0" fontId="18" fillId="0" borderId="4" xfId="0" applyFont="1" applyBorder="1" applyAlignment="1">
      <alignment vertical="center"/>
    </xf>
    <xf numFmtId="0" fontId="19" fillId="0" borderId="4" xfId="0" applyFont="1" applyBorder="1" applyAlignment="1">
      <alignment vertical="center"/>
    </xf>
    <xf numFmtId="168" fontId="16" fillId="0" borderId="0" xfId="0" applyNumberFormat="1" applyFont="1" applyAlignment="1">
      <alignment horizontal="right" vertical="center"/>
    </xf>
    <xf numFmtId="168" fontId="18" fillId="0" borderId="0" xfId="0" applyNumberFormat="1" applyFont="1" applyAlignment="1">
      <alignment horizontal="right" vertical="center"/>
    </xf>
    <xf numFmtId="168" fontId="16" fillId="0" borderId="5" xfId="0" applyNumberFormat="1" applyFont="1" applyBorder="1" applyAlignment="1">
      <alignment horizontal="right" vertical="center"/>
    </xf>
    <xf numFmtId="168" fontId="16" fillId="0" borderId="0" xfId="0" applyNumberFormat="1" applyFont="1" applyBorder="1" applyAlignment="1">
      <alignment horizontal="right" vertical="center"/>
    </xf>
    <xf numFmtId="168" fontId="18" fillId="0" borderId="6" xfId="0" applyNumberFormat="1" applyFont="1" applyBorder="1" applyAlignment="1">
      <alignment horizontal="right" vertical="center"/>
    </xf>
    <xf numFmtId="168" fontId="18" fillId="0" borderId="4" xfId="0" applyNumberFormat="1" applyFont="1" applyBorder="1" applyAlignment="1">
      <alignment horizontal="right" vertical="center"/>
    </xf>
    <xf numFmtId="168" fontId="19" fillId="0" borderId="4" xfId="0" applyNumberFormat="1" applyFont="1" applyBorder="1" applyAlignment="1">
      <alignment horizontal="right" vertical="center"/>
    </xf>
    <xf numFmtId="2" fontId="18" fillId="0" borderId="4" xfId="0" applyNumberFormat="1" applyFont="1" applyBorder="1" applyAlignment="1">
      <alignment horizontal="right" vertical="center"/>
    </xf>
    <xf numFmtId="168" fontId="45" fillId="0" borderId="0" xfId="0" applyNumberFormat="1" applyFont="1" applyAlignment="1">
      <alignment horizontal="right" vertical="center"/>
    </xf>
    <xf numFmtId="168" fontId="19" fillId="0" borderId="0" xfId="0" applyNumberFormat="1" applyFont="1" applyAlignment="1">
      <alignment horizontal="right" vertical="center"/>
    </xf>
    <xf numFmtId="168" fontId="45" fillId="0" borderId="5" xfId="0" applyNumberFormat="1" applyFont="1" applyBorder="1" applyAlignment="1">
      <alignment horizontal="right" vertical="center"/>
    </xf>
    <xf numFmtId="168" fontId="45" fillId="0" borderId="0" xfId="0" applyNumberFormat="1" applyFont="1" applyBorder="1" applyAlignment="1">
      <alignment horizontal="right" vertical="center"/>
    </xf>
    <xf numFmtId="168" fontId="19" fillId="0" borderId="6" xfId="0" applyNumberFormat="1" applyFont="1" applyBorder="1" applyAlignment="1">
      <alignment horizontal="right" vertical="center"/>
    </xf>
    <xf numFmtId="2" fontId="19" fillId="0" borderId="4" xfId="0" applyNumberFormat="1" applyFont="1" applyBorder="1" applyAlignment="1">
      <alignment horizontal="right" vertical="center"/>
    </xf>
    <xf numFmtId="0" fontId="0" fillId="0" borderId="0" xfId="0"/>
    <xf numFmtId="0" fontId="11" fillId="0" borderId="20" xfId="0" applyFont="1" applyBorder="1" applyAlignment="1">
      <alignment horizontal="center" vertical="center" wrapText="1"/>
    </xf>
    <xf numFmtId="0" fontId="0" fillId="0" borderId="63" xfId="0" applyBorder="1"/>
    <xf numFmtId="0" fontId="0" fillId="0" borderId="64" xfId="0" applyBorder="1"/>
    <xf numFmtId="0" fontId="12" fillId="0" borderId="13" xfId="0" applyFont="1" applyBorder="1"/>
    <xf numFmtId="0" fontId="11" fillId="0" borderId="5" xfId="0" applyFont="1" applyBorder="1" applyAlignment="1">
      <alignment horizontal="center" vertical="center" wrapText="1"/>
    </xf>
    <xf numFmtId="168" fontId="0" fillId="0" borderId="45" xfId="0" applyNumberFormat="1" applyBorder="1" applyAlignment="1">
      <alignment horizontal="right"/>
    </xf>
    <xf numFmtId="168" fontId="0" fillId="0" borderId="52" xfId="0" applyNumberFormat="1" applyBorder="1" applyAlignment="1">
      <alignment horizontal="right"/>
    </xf>
    <xf numFmtId="168" fontId="0" fillId="0" borderId="31" xfId="0" applyNumberFormat="1" applyBorder="1" applyAlignment="1">
      <alignment horizontal="right"/>
    </xf>
    <xf numFmtId="168" fontId="0" fillId="0" borderId="30" xfId="0" applyNumberFormat="1" applyBorder="1" applyAlignment="1">
      <alignment horizontal="right"/>
    </xf>
    <xf numFmtId="168" fontId="46" fillId="0" borderId="34" xfId="0" applyNumberFormat="1" applyFont="1" applyBorder="1" applyAlignment="1">
      <alignment horizontal="right"/>
    </xf>
    <xf numFmtId="168" fontId="0" fillId="0" borderId="33" xfId="0" applyNumberFormat="1" applyBorder="1" applyAlignment="1">
      <alignment horizontal="right"/>
    </xf>
    <xf numFmtId="168" fontId="0" fillId="0" borderId="1" xfId="0" applyNumberFormat="1" applyBorder="1" applyAlignment="1">
      <alignment horizontal="right"/>
    </xf>
    <xf numFmtId="168" fontId="0" fillId="0" borderId="42" xfId="0" applyNumberFormat="1" applyBorder="1" applyAlignment="1">
      <alignment horizontal="right"/>
    </xf>
    <xf numFmtId="168" fontId="0" fillId="0" borderId="38" xfId="0" applyNumberFormat="1" applyBorder="1" applyAlignment="1">
      <alignment horizontal="right"/>
    </xf>
    <xf numFmtId="168" fontId="0" fillId="0" borderId="37" xfId="0" applyNumberFormat="1" applyBorder="1" applyAlignment="1">
      <alignment horizontal="right"/>
    </xf>
    <xf numFmtId="168" fontId="0" fillId="0" borderId="61" xfId="0" applyNumberFormat="1" applyBorder="1" applyAlignment="1">
      <alignment horizontal="right"/>
    </xf>
    <xf numFmtId="168" fontId="0" fillId="0" borderId="24" xfId="0" applyNumberFormat="1" applyBorder="1" applyAlignment="1">
      <alignment horizontal="right"/>
    </xf>
    <xf numFmtId="168" fontId="46" fillId="0" borderId="61" xfId="0" applyNumberFormat="1" applyFont="1" applyBorder="1" applyAlignment="1">
      <alignment horizontal="right"/>
    </xf>
    <xf numFmtId="10" fontId="0" fillId="0" borderId="57" xfId="0" applyNumberFormat="1" applyBorder="1" applyAlignment="1">
      <alignment horizontal="right"/>
    </xf>
    <xf numFmtId="168" fontId="0" fillId="0" borderId="46" xfId="0" applyNumberFormat="1" applyBorder="1" applyAlignment="1">
      <alignment horizontal="right"/>
    </xf>
    <xf numFmtId="168" fontId="0" fillId="0" borderId="2" xfId="0" applyNumberFormat="1" applyBorder="1" applyAlignment="1">
      <alignment horizontal="right"/>
    </xf>
    <xf numFmtId="168" fontId="0" fillId="0" borderId="47" xfId="0" applyNumberFormat="1" applyBorder="1" applyAlignment="1">
      <alignment horizontal="right"/>
    </xf>
    <xf numFmtId="168" fontId="0" fillId="0" borderId="27" xfId="0" applyNumberFormat="1" applyBorder="1" applyAlignment="1">
      <alignment horizontal="right"/>
    </xf>
    <xf numFmtId="168" fontId="0" fillId="0" borderId="26" xfId="0" applyNumberFormat="1" applyBorder="1" applyAlignment="1">
      <alignment horizontal="right"/>
    </xf>
    <xf numFmtId="168" fontId="0" fillId="0" borderId="62" xfId="0" applyNumberFormat="1" applyBorder="1" applyAlignment="1">
      <alignment horizontal="right"/>
    </xf>
    <xf numFmtId="168" fontId="0" fillId="0" borderId="10" xfId="0" applyNumberFormat="1" applyBorder="1" applyAlignment="1">
      <alignment horizontal="right"/>
    </xf>
    <xf numFmtId="168" fontId="46" fillId="0" borderId="62" xfId="0" applyNumberFormat="1" applyFont="1" applyBorder="1" applyAlignment="1">
      <alignment horizontal="right"/>
    </xf>
    <xf numFmtId="10" fontId="0" fillId="0" borderId="58" xfId="0" applyNumberFormat="1" applyBorder="1" applyAlignment="1">
      <alignment horizontal="right"/>
    </xf>
    <xf numFmtId="168" fontId="11" fillId="0" borderId="43" xfId="0" applyNumberFormat="1" applyFont="1" applyBorder="1" applyAlignment="1">
      <alignment horizontal="right"/>
    </xf>
    <xf numFmtId="168" fontId="11" fillId="0" borderId="51" xfId="0" applyNumberFormat="1" applyFont="1" applyBorder="1" applyAlignment="1">
      <alignment horizontal="right"/>
    </xf>
    <xf numFmtId="168" fontId="11" fillId="0" borderId="41" xfId="0" applyNumberFormat="1" applyFont="1" applyBorder="1" applyAlignment="1">
      <alignment horizontal="right"/>
    </xf>
    <xf numFmtId="168" fontId="11" fillId="0" borderId="40" xfId="0" applyNumberFormat="1" applyFont="1" applyBorder="1" applyAlignment="1">
      <alignment horizontal="right"/>
    </xf>
    <xf numFmtId="168" fontId="12" fillId="0" borderId="48" xfId="0" applyNumberFormat="1" applyFont="1" applyBorder="1" applyAlignment="1">
      <alignment horizontal="right"/>
    </xf>
    <xf numFmtId="168" fontId="12" fillId="0" borderId="49" xfId="0" applyNumberFormat="1" applyFont="1" applyBorder="1" applyAlignment="1">
      <alignment horizontal="right"/>
    </xf>
    <xf numFmtId="168" fontId="12" fillId="0" borderId="50" xfId="0" applyNumberFormat="1" applyFont="1" applyBorder="1" applyAlignment="1">
      <alignment horizontal="right"/>
    </xf>
    <xf numFmtId="168" fontId="12" fillId="0" borderId="66" xfId="0" applyNumberFormat="1" applyFont="1" applyBorder="1" applyAlignment="1">
      <alignment horizontal="right"/>
    </xf>
    <xf numFmtId="168" fontId="12" fillId="0" borderId="54" xfId="0" applyNumberFormat="1" applyFont="1" applyBorder="1" applyAlignment="1">
      <alignment horizontal="right"/>
    </xf>
    <xf numFmtId="168" fontId="12" fillId="0" borderId="17" xfId="0" applyNumberFormat="1" applyFont="1" applyBorder="1" applyAlignment="1">
      <alignment horizontal="right"/>
    </xf>
    <xf numFmtId="168" fontId="12" fillId="0" borderId="6" xfId="0" applyNumberFormat="1" applyFont="1" applyBorder="1" applyAlignment="1">
      <alignment horizontal="right"/>
    </xf>
    <xf numFmtId="10" fontId="12" fillId="0" borderId="32" xfId="0" applyNumberFormat="1" applyFont="1" applyBorder="1" applyAlignment="1">
      <alignment horizontal="right"/>
    </xf>
    <xf numFmtId="0" fontId="11" fillId="0" borderId="4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0" xfId="0" applyFont="1" applyBorder="1" applyAlignment="1">
      <alignment horizontal="center" vertical="center" wrapText="1"/>
    </xf>
    <xf numFmtId="0" fontId="2" fillId="0" borderId="0" xfId="0" applyFont="1" applyBorder="1" applyAlignment="1">
      <alignment horizontal="center" vertical="center" wrapText="1"/>
    </xf>
    <xf numFmtId="0" fontId="15" fillId="0" borderId="6" xfId="0" applyNumberFormat="1" applyFont="1" applyBorder="1" applyAlignment="1">
      <alignment horizontal="left" vertical="center" wrapText="1"/>
    </xf>
    <xf numFmtId="0" fontId="15" fillId="0" borderId="6" xfId="0" applyNumberFormat="1" applyFont="1" applyBorder="1" applyAlignment="1">
      <alignment horizontal="center" vertical="center" wrapText="1"/>
    </xf>
    <xf numFmtId="0" fontId="15" fillId="0" borderId="4" xfId="0" applyNumberFormat="1" applyFont="1" applyBorder="1" applyAlignment="1">
      <alignment horizontal="center" vertical="center" wrapText="1"/>
    </xf>
    <xf numFmtId="0" fontId="15" fillId="0" borderId="5" xfId="0" applyNumberFormat="1" applyFont="1" applyBorder="1" applyAlignment="1">
      <alignment horizontal="left" wrapText="1"/>
    </xf>
    <xf numFmtId="0" fontId="15" fillId="0" borderId="6" xfId="0" applyNumberFormat="1" applyFont="1" applyBorder="1" applyAlignment="1">
      <alignment horizontal="left" wrapText="1"/>
    </xf>
    <xf numFmtId="0" fontId="2" fillId="0" borderId="0" xfId="0" applyNumberFormat="1" applyFont="1" applyAlignment="1">
      <alignment horizontal="left" vertical="center" wrapText="1"/>
    </xf>
    <xf numFmtId="0" fontId="15" fillId="0" borderId="0" xfId="0" applyNumberFormat="1" applyFont="1" applyAlignment="1">
      <alignment horizontal="left" vertical="center" wrapText="1"/>
    </xf>
    <xf numFmtId="0" fontId="15" fillId="0" borderId="0" xfId="0" applyNumberFormat="1" applyFont="1" applyBorder="1" applyAlignment="1">
      <alignment horizontal="left" vertical="center" wrapText="1"/>
    </xf>
    <xf numFmtId="0" fontId="15" fillId="0" borderId="7" xfId="0" applyNumberFormat="1" applyFont="1" applyBorder="1" applyAlignment="1">
      <alignment wrapText="1"/>
    </xf>
    <xf numFmtId="0" fontId="15" fillId="0" borderId="0" xfId="0" applyNumberFormat="1" applyFont="1" applyBorder="1" applyAlignment="1">
      <alignment horizontal="center" vertical="center" wrapText="1"/>
    </xf>
    <xf numFmtId="0" fontId="16" fillId="0" borderId="0" xfId="0" applyFont="1" applyBorder="1"/>
    <xf numFmtId="0" fontId="16" fillId="0" borderId="0" xfId="0" applyNumberFormat="1" applyFont="1" applyAlignment="1">
      <alignment horizontal="right" wrapText="1"/>
    </xf>
    <xf numFmtId="168" fontId="15" fillId="0" borderId="0" xfId="0" applyNumberFormat="1" applyFont="1" applyAlignment="1">
      <alignment horizontal="right" wrapText="1"/>
    </xf>
    <xf numFmtId="2" fontId="15" fillId="0" borderId="0" xfId="0" applyNumberFormat="1" applyFont="1" applyAlignment="1">
      <alignment horizontal="right" wrapText="1"/>
    </xf>
    <xf numFmtId="168" fontId="16" fillId="0" borderId="5" xfId="0" applyNumberFormat="1" applyFont="1" applyBorder="1" applyAlignment="1">
      <alignment horizontal="right" wrapText="1"/>
    </xf>
    <xf numFmtId="2" fontId="16" fillId="0" borderId="5" xfId="0" applyNumberFormat="1" applyFont="1" applyBorder="1" applyAlignment="1">
      <alignment horizontal="right" wrapText="1"/>
    </xf>
    <xf numFmtId="168" fontId="16" fillId="0" borderId="0" xfId="0" applyNumberFormat="1" applyFont="1" applyBorder="1" applyAlignment="1">
      <alignment horizontal="right" wrapText="1"/>
    </xf>
    <xf numFmtId="2" fontId="16" fillId="0" borderId="0" xfId="0" applyNumberFormat="1" applyFont="1" applyBorder="1" applyAlignment="1">
      <alignment horizontal="right" wrapText="1"/>
    </xf>
    <xf numFmtId="168" fontId="15" fillId="0" borderId="6" xfId="0" applyNumberFormat="1" applyFont="1" applyBorder="1" applyAlignment="1">
      <alignment horizontal="right" wrapText="1"/>
    </xf>
    <xf numFmtId="2" fontId="15" fillId="0" borderId="6" xfId="0" applyNumberFormat="1" applyFont="1" applyBorder="1" applyAlignment="1">
      <alignment horizontal="right" wrapText="1"/>
    </xf>
    <xf numFmtId="0" fontId="15" fillId="0" borderId="4" xfId="0" applyNumberFormat="1" applyFont="1" applyBorder="1" applyAlignment="1">
      <alignment horizontal="right" wrapText="1"/>
    </xf>
    <xf numFmtId="168" fontId="15" fillId="0" borderId="4" xfId="0" applyNumberFormat="1" applyFont="1" applyBorder="1" applyAlignment="1">
      <alignment horizontal="right" wrapText="1"/>
    </xf>
    <xf numFmtId="2" fontId="15" fillId="0" borderId="4" xfId="0" applyNumberFormat="1" applyFont="1" applyBorder="1" applyAlignment="1">
      <alignment horizontal="right" wrapText="1"/>
    </xf>
    <xf numFmtId="0" fontId="16" fillId="0" borderId="5" xfId="0" applyNumberFormat="1" applyFont="1" applyBorder="1" applyAlignment="1">
      <alignment horizontal="right" wrapText="1"/>
    </xf>
    <xf numFmtId="0" fontId="16" fillId="0" borderId="0" xfId="0" applyNumberFormat="1" applyFont="1" applyBorder="1" applyAlignment="1">
      <alignment horizontal="right" wrapText="1"/>
    </xf>
    <xf numFmtId="168" fontId="15" fillId="0" borderId="0" xfId="0" applyNumberFormat="1" applyFont="1" applyBorder="1" applyAlignment="1">
      <alignment horizontal="right" wrapText="1"/>
    </xf>
    <xf numFmtId="0" fontId="15" fillId="0" borderId="0" xfId="0" applyNumberFormat="1" applyFont="1" applyBorder="1" applyAlignment="1">
      <alignment horizontal="right" wrapText="1"/>
    </xf>
    <xf numFmtId="2" fontId="15" fillId="0" borderId="0" xfId="0" applyNumberFormat="1" applyFont="1" applyBorder="1" applyAlignment="1">
      <alignment horizontal="right" wrapText="1"/>
    </xf>
    <xf numFmtId="0" fontId="15" fillId="0" borderId="6" xfId="0" applyNumberFormat="1" applyFont="1" applyBorder="1" applyAlignment="1">
      <alignment horizontal="right" wrapText="1"/>
    </xf>
    <xf numFmtId="0" fontId="15" fillId="0" borderId="0" xfId="0" applyNumberFormat="1" applyFont="1" applyAlignment="1">
      <alignment horizontal="right" wrapText="1"/>
    </xf>
    <xf numFmtId="0" fontId="16" fillId="0" borderId="4" xfId="0" applyNumberFormat="1" applyFont="1" applyBorder="1" applyAlignment="1">
      <alignment horizontal="right" wrapText="1"/>
    </xf>
    <xf numFmtId="168" fontId="0" fillId="0" borderId="0" xfId="0" applyNumberFormat="1" applyFont="1" applyAlignment="1">
      <alignment horizontal="right" wrapText="1"/>
    </xf>
    <xf numFmtId="2" fontId="12" fillId="0" borderId="24" xfId="0" applyNumberFormat="1" applyFont="1" applyBorder="1" applyAlignment="1">
      <alignment horizontal="right" wrapText="1" indent="1"/>
    </xf>
    <xf numFmtId="0" fontId="2" fillId="0" borderId="10" xfId="0" applyNumberFormat="1" applyFont="1" applyBorder="1" applyAlignment="1">
      <alignment horizontal="left" vertical="center" wrapText="1"/>
    </xf>
    <xf numFmtId="2" fontId="0" fillId="0" borderId="10" xfId="0" applyNumberFormat="1" applyFont="1" applyBorder="1" applyAlignment="1">
      <alignment horizontal="right" wrapText="1" indent="1"/>
    </xf>
    <xf numFmtId="2" fontId="0" fillId="0" borderId="10" xfId="0" applyNumberFormat="1" applyFont="1" applyBorder="1" applyAlignment="1">
      <alignment wrapText="1"/>
    </xf>
    <xf numFmtId="0" fontId="0" fillId="0" borderId="10" xfId="0" applyNumberFormat="1" applyFont="1" applyBorder="1" applyAlignment="1">
      <alignment wrapText="1"/>
    </xf>
    <xf numFmtId="0" fontId="0" fillId="0" borderId="0" xfId="0" applyBorder="1" applyAlignment="1">
      <alignment horizontal="left"/>
    </xf>
    <xf numFmtId="0" fontId="0" fillId="0" borderId="0" xfId="0" applyBorder="1"/>
    <xf numFmtId="0" fontId="47" fillId="0" borderId="0" xfId="0" applyNumberFormat="1" applyFont="1" applyAlignment="1">
      <alignment horizontal="left" vertical="center" wrapText="1"/>
    </xf>
    <xf numFmtId="0" fontId="2" fillId="0" borderId="0" xfId="0" applyNumberFormat="1" applyFont="1" applyAlignment="1">
      <alignment vertical="center" wrapText="1"/>
    </xf>
    <xf numFmtId="0" fontId="47" fillId="0" borderId="0" xfId="0" applyNumberFormat="1" applyFont="1" applyAlignment="1">
      <alignment horizontal="center" vertical="center" wrapText="1"/>
    </xf>
    <xf numFmtId="0" fontId="11" fillId="0" borderId="0" xfId="0" applyNumberFormat="1" applyFont="1" applyAlignment="1">
      <alignment horizontal="left" vertical="center" wrapText="1"/>
    </xf>
    <xf numFmtId="0" fontId="11" fillId="0" borderId="0" xfId="0" applyNumberFormat="1" applyFont="1" applyAlignment="1">
      <alignment horizontal="center" vertical="center" wrapText="1"/>
    </xf>
    <xf numFmtId="0" fontId="12" fillId="0" borderId="0" xfId="0" applyNumberFormat="1" applyFont="1" applyAlignment="1">
      <alignment horizontal="left" vertical="center" wrapText="1"/>
    </xf>
    <xf numFmtId="0" fontId="12" fillId="0" borderId="0" xfId="0" applyNumberFormat="1" applyFont="1" applyAlignment="1">
      <alignment vertical="center" wrapText="1"/>
    </xf>
    <xf numFmtId="168" fontId="21" fillId="0" borderId="0" xfId="0" applyNumberFormat="1" applyFont="1" applyAlignment="1">
      <alignment horizontal="right" wrapText="1"/>
    </xf>
    <xf numFmtId="168" fontId="11" fillId="0" borderId="0" xfId="0" applyNumberFormat="1" applyFont="1" applyAlignment="1">
      <alignment horizontal="right" wrapText="1"/>
    </xf>
    <xf numFmtId="168" fontId="12" fillId="0" borderId="0" xfId="0" applyNumberFormat="1" applyFont="1" applyAlignment="1">
      <alignment horizontal="right" wrapText="1"/>
    </xf>
    <xf numFmtId="0" fontId="11" fillId="0" borderId="0" xfId="0" applyNumberFormat="1" applyFont="1" applyAlignment="1">
      <alignment horizontal="right" wrapText="1"/>
    </xf>
    <xf numFmtId="0" fontId="0" fillId="0" borderId="0" xfId="0" applyNumberFormat="1" applyFont="1" applyAlignment="1">
      <alignment horizontal="right" wrapText="1"/>
    </xf>
    <xf numFmtId="0" fontId="12" fillId="0" borderId="0" xfId="0" applyNumberFormat="1" applyFont="1" applyAlignment="1">
      <alignment horizontal="right" vertical="center" wrapText="1"/>
    </xf>
    <xf numFmtId="0" fontId="2" fillId="0" borderId="4" xfId="0" applyNumberFormat="1" applyFont="1" applyBorder="1" applyAlignment="1">
      <alignment vertical="center" wrapText="1"/>
    </xf>
    <xf numFmtId="0" fontId="11" fillId="0" borderId="4" xfId="0" applyNumberFormat="1" applyFont="1" applyBorder="1" applyAlignment="1">
      <alignment horizontal="left" vertical="center" wrapText="1"/>
    </xf>
    <xf numFmtId="0" fontId="11" fillId="0" borderId="4" xfId="0" applyNumberFormat="1" applyFont="1" applyBorder="1" applyAlignment="1">
      <alignment horizontal="center" vertical="center" wrapText="1"/>
    </xf>
    <xf numFmtId="168" fontId="11" fillId="0" borderId="4" xfId="0" applyNumberFormat="1" applyFont="1" applyBorder="1" applyAlignment="1">
      <alignment horizontal="right" wrapText="1"/>
    </xf>
    <xf numFmtId="0" fontId="11" fillId="0" borderId="4" xfId="0" applyNumberFormat="1" applyFont="1" applyBorder="1" applyAlignment="1">
      <alignment horizontal="right" wrapText="1"/>
    </xf>
    <xf numFmtId="168" fontId="12" fillId="0" borderId="4" xfId="0" applyNumberFormat="1" applyFont="1" applyBorder="1" applyAlignment="1">
      <alignment horizontal="right" wrapText="1"/>
    </xf>
    <xf numFmtId="0" fontId="47" fillId="0" borderId="5" xfId="0" applyNumberFormat="1" applyFont="1" applyBorder="1" applyAlignment="1">
      <alignment horizontal="left" vertical="center" wrapText="1"/>
    </xf>
    <xf numFmtId="0" fontId="47" fillId="0" borderId="5" xfId="0" applyNumberFormat="1" applyFont="1" applyBorder="1" applyAlignment="1">
      <alignment horizontal="center" vertical="center" wrapText="1"/>
    </xf>
    <xf numFmtId="168" fontId="0" fillId="0" borderId="5" xfId="0" applyNumberFormat="1" applyFont="1" applyBorder="1" applyAlignment="1">
      <alignment horizontal="right" wrapText="1"/>
    </xf>
    <xf numFmtId="168" fontId="21" fillId="0" borderId="5" xfId="0" applyNumberFormat="1" applyFont="1" applyBorder="1" applyAlignment="1">
      <alignment horizontal="right" wrapText="1"/>
    </xf>
    <xf numFmtId="0" fontId="47" fillId="0" borderId="0" xfId="0" applyNumberFormat="1" applyFont="1" applyBorder="1" applyAlignment="1">
      <alignment horizontal="left" vertical="center" wrapText="1"/>
    </xf>
    <xf numFmtId="0" fontId="47" fillId="0" borderId="0" xfId="0" applyNumberFormat="1" applyFont="1" applyBorder="1" applyAlignment="1">
      <alignment horizontal="center" vertical="center" wrapText="1"/>
    </xf>
    <xf numFmtId="168" fontId="21" fillId="0" borderId="0" xfId="0" applyNumberFormat="1" applyFont="1" applyBorder="1" applyAlignment="1">
      <alignment horizontal="right" wrapText="1"/>
    </xf>
    <xf numFmtId="0" fontId="11" fillId="0" borderId="6" xfId="0" applyNumberFormat="1" applyFont="1" applyBorder="1" applyAlignment="1">
      <alignment horizontal="left" vertical="center" wrapText="1"/>
    </xf>
    <xf numFmtId="0" fontId="11" fillId="0" borderId="6" xfId="0" applyNumberFormat="1" applyFont="1" applyBorder="1" applyAlignment="1">
      <alignment horizontal="center" vertical="center" wrapText="1"/>
    </xf>
    <xf numFmtId="168" fontId="11" fillId="0" borderId="6" xfId="0" applyNumberFormat="1" applyFont="1" applyBorder="1" applyAlignment="1">
      <alignment horizontal="right" wrapText="1"/>
    </xf>
    <xf numFmtId="168" fontId="12" fillId="0" borderId="6" xfId="0" applyNumberFormat="1" applyFont="1" applyBorder="1" applyAlignment="1">
      <alignment horizontal="right" wrapText="1"/>
    </xf>
    <xf numFmtId="0" fontId="0" fillId="0" borderId="0" xfId="0" applyNumberFormat="1" applyFont="1" applyBorder="1" applyAlignment="1">
      <alignment horizontal="right" wrapText="1"/>
    </xf>
    <xf numFmtId="0" fontId="0" fillId="0" borderId="5" xfId="0" applyNumberFormat="1" applyFont="1" applyBorder="1" applyAlignment="1">
      <alignment horizontal="right" wrapText="1"/>
    </xf>
    <xf numFmtId="0" fontId="11" fillId="0" borderId="6" xfId="0" applyNumberFormat="1" applyFont="1" applyBorder="1" applyAlignment="1">
      <alignment horizontal="right" wrapText="1"/>
    </xf>
    <xf numFmtId="0" fontId="11" fillId="0" borderId="6" xfId="0" applyNumberFormat="1" applyFont="1" applyBorder="1" applyAlignment="1">
      <alignment vertical="center" wrapText="1"/>
    </xf>
    <xf numFmtId="0" fontId="11" fillId="0" borderId="6" xfId="0" applyNumberFormat="1" applyFont="1" applyBorder="1" applyAlignment="1">
      <alignment horizontal="right" vertical="center" wrapText="1"/>
    </xf>
    <xf numFmtId="2" fontId="11" fillId="0" borderId="4" xfId="0" applyNumberFormat="1" applyFont="1" applyBorder="1" applyAlignment="1">
      <alignment horizontal="right" wrapText="1"/>
    </xf>
    <xf numFmtId="0" fontId="11" fillId="0" borderId="4" xfId="0" applyNumberFormat="1" applyFont="1" applyBorder="1" applyAlignment="1">
      <alignment horizontal="right" vertical="center" wrapText="1"/>
    </xf>
    <xf numFmtId="0" fontId="42" fillId="0" borderId="0" xfId="0" applyNumberFormat="1" applyFont="1" applyBorder="1" applyAlignment="1">
      <alignment horizontal="center" vertical="center" wrapText="1"/>
    </xf>
    <xf numFmtId="0" fontId="0" fillId="0" borderId="0" xfId="0"/>
    <xf numFmtId="0" fontId="38" fillId="0" borderId="4" xfId="0" applyNumberFormat="1" applyFont="1" applyBorder="1" applyAlignment="1">
      <alignment wrapText="1"/>
    </xf>
    <xf numFmtId="0" fontId="47" fillId="0" borderId="1" xfId="0" applyNumberFormat="1" applyFont="1" applyBorder="1" applyAlignment="1">
      <alignment horizontal="right" wrapText="1"/>
    </xf>
    <xf numFmtId="168" fontId="19" fillId="0" borderId="0" xfId="0" applyNumberFormat="1" applyFont="1" applyAlignment="1">
      <alignment horizontal="right" vertical="center" wrapText="1"/>
    </xf>
    <xf numFmtId="168" fontId="19" fillId="0" borderId="4" xfId="0" applyNumberFormat="1" applyFont="1" applyBorder="1" applyAlignment="1">
      <alignment horizontal="right" vertical="center" wrapText="1"/>
    </xf>
    <xf numFmtId="2" fontId="16" fillId="0" borderId="4" xfId="0" applyNumberFormat="1" applyFont="1" applyBorder="1" applyAlignment="1">
      <alignment horizontal="right" vertical="center" wrapText="1"/>
    </xf>
    <xf numFmtId="0" fontId="16" fillId="0" borderId="4" xfId="0" applyNumberFormat="1" applyFont="1" applyBorder="1" applyAlignment="1">
      <alignment horizontal="right" vertical="center" wrapText="1"/>
    </xf>
    <xf numFmtId="0" fontId="24" fillId="2" borderId="23"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0" xfId="0" applyFont="1" applyFill="1" applyBorder="1" applyAlignment="1">
      <alignment horizontal="right"/>
    </xf>
    <xf numFmtId="0" fontId="25" fillId="2" borderId="0" xfId="0" applyFont="1" applyFill="1" applyBorder="1" applyAlignment="1">
      <alignment horizontal="right"/>
    </xf>
    <xf numFmtId="49" fontId="26" fillId="2" borderId="23" xfId="0" applyNumberFormat="1" applyFont="1" applyFill="1" applyBorder="1" applyAlignment="1">
      <alignment horizontal="center"/>
    </xf>
    <xf numFmtId="49" fontId="26" fillId="2" borderId="0" xfId="0" applyNumberFormat="1" applyFont="1" applyFill="1" applyBorder="1" applyAlignment="1">
      <alignment horizontal="center"/>
    </xf>
    <xf numFmtId="49" fontId="26" fillId="2" borderId="22" xfId="0" applyNumberFormat="1" applyFont="1" applyFill="1" applyBorder="1" applyAlignment="1">
      <alignment horizontal="center"/>
    </xf>
    <xf numFmtId="0" fontId="24" fillId="2" borderId="23" xfId="0" applyFont="1" applyFill="1" applyBorder="1" applyAlignment="1">
      <alignment horizontal="center"/>
    </xf>
    <xf numFmtId="0" fontId="24" fillId="2" borderId="0" xfId="0" applyFont="1" applyFill="1" applyBorder="1" applyAlignment="1">
      <alignment horizontal="center"/>
    </xf>
    <xf numFmtId="0" fontId="24" fillId="2" borderId="22" xfId="0" applyFont="1" applyFill="1" applyBorder="1" applyAlignment="1">
      <alignment horizontal="center"/>
    </xf>
    <xf numFmtId="0" fontId="32" fillId="2" borderId="0" xfId="0" applyFont="1" applyFill="1" applyAlignment="1">
      <alignment horizontal="justify" vertical="top" wrapText="1"/>
    </xf>
    <xf numFmtId="0" fontId="30" fillId="2" borderId="0" xfId="0" applyFont="1" applyFill="1" applyAlignment="1">
      <alignment horizontal="center" vertical="center"/>
    </xf>
    <xf numFmtId="0" fontId="23" fillId="0" borderId="0" xfId="12" applyAlignment="1">
      <alignment horizontal="left" vertical="center"/>
    </xf>
    <xf numFmtId="0" fontId="11" fillId="0" borderId="0" xfId="0" applyFont="1" applyAlignment="1">
      <alignment horizontal="left"/>
    </xf>
    <xf numFmtId="0" fontId="4" fillId="0" borderId="0" xfId="0" applyFont="1" applyAlignment="1">
      <alignment horizontal="center" vertical="center" wrapText="1"/>
    </xf>
    <xf numFmtId="0" fontId="9" fillId="0" borderId="1" xfId="0" applyNumberFormat="1" applyFont="1" applyBorder="1" applyAlignment="1">
      <alignment horizontal="center" wrapText="1"/>
    </xf>
    <xf numFmtId="0" fontId="4" fillId="0" borderId="1" xfId="0" applyNumberFormat="1" applyFont="1" applyBorder="1" applyAlignment="1">
      <alignment horizontal="center" vertical="center" wrapText="1"/>
    </xf>
    <xf numFmtId="0" fontId="8" fillId="0" borderId="1" xfId="0" applyFont="1" applyBorder="1" applyAlignment="1">
      <alignment horizontal="center"/>
    </xf>
    <xf numFmtId="0" fontId="5" fillId="0" borderId="1" xfId="0" applyNumberFormat="1" applyFont="1" applyBorder="1" applyAlignment="1">
      <alignment horizontal="left" vertical="center" wrapText="1"/>
    </xf>
    <xf numFmtId="0" fontId="7" fillId="0" borderId="0" xfId="0" applyFont="1" applyAlignment="1">
      <alignment wrapText="1"/>
    </xf>
    <xf numFmtId="0" fontId="7" fillId="0" borderId="0" xfId="0" applyFont="1"/>
    <xf numFmtId="0" fontId="41" fillId="0" borderId="0" xfId="0" applyFont="1" applyAlignment="1">
      <alignment vertical="center"/>
    </xf>
    <xf numFmtId="0" fontId="6" fillId="0" borderId="1" xfId="0" applyNumberFormat="1" applyFont="1" applyBorder="1" applyAlignment="1">
      <alignment horizontal="center" vertical="center" wrapText="1"/>
    </xf>
    <xf numFmtId="0" fontId="5" fillId="0" borderId="0" xfId="0" applyFont="1" applyAlignment="1">
      <alignment wrapText="1"/>
    </xf>
    <xf numFmtId="0" fontId="5" fillId="0" borderId="0" xfId="0" applyFont="1"/>
    <xf numFmtId="0" fontId="5" fillId="0" borderId="2" xfId="0" applyNumberFormat="1" applyFont="1" applyBorder="1" applyAlignment="1">
      <alignment horizontal="left" vertical="center" wrapText="1"/>
    </xf>
    <xf numFmtId="0" fontId="5" fillId="0" borderId="3" xfId="0" applyNumberFormat="1" applyFont="1" applyBorder="1" applyAlignment="1">
      <alignment horizontal="left" vertical="center" wrapText="1"/>
    </xf>
    <xf numFmtId="0" fontId="13" fillId="0" borderId="0" xfId="0" applyFont="1" applyAlignment="1">
      <alignment horizontal="center" wrapText="1"/>
    </xf>
    <xf numFmtId="0" fontId="14" fillId="0" borderId="0" xfId="0" applyFont="1"/>
    <xf numFmtId="0" fontId="2" fillId="0" borderId="0" xfId="0" applyFont="1" applyAlignment="1">
      <alignment horizontal="center" wrapText="1"/>
    </xf>
    <xf numFmtId="0" fontId="0" fillId="0" borderId="0" xfId="0"/>
    <xf numFmtId="0" fontId="41" fillId="4" borderId="9" xfId="0" applyFont="1" applyFill="1" applyBorder="1" applyAlignment="1">
      <alignment horizontal="center" vertical="center"/>
    </xf>
    <xf numFmtId="0" fontId="6" fillId="5" borderId="37" xfId="0" applyNumberFormat="1" applyFont="1" applyFill="1" applyBorder="1" applyAlignment="1">
      <alignment horizontal="center" vertical="center" wrapText="1"/>
    </xf>
    <xf numFmtId="0" fontId="6" fillId="5" borderId="38" xfId="0" applyNumberFormat="1" applyFont="1" applyFill="1" applyBorder="1" applyAlignment="1">
      <alignment horizontal="center" vertical="center" wrapText="1"/>
    </xf>
    <xf numFmtId="0" fontId="2" fillId="0" borderId="9" xfId="0" applyFont="1" applyBorder="1" applyAlignment="1">
      <alignment horizontal="center" wrapText="1"/>
    </xf>
    <xf numFmtId="0" fontId="2" fillId="2" borderId="0" xfId="0" applyFont="1" applyFill="1" applyBorder="1" applyAlignment="1">
      <alignment horizontal="center" vertical="center" wrapText="1"/>
    </xf>
    <xf numFmtId="0" fontId="0" fillId="2" borderId="0" xfId="0" applyFill="1" applyBorder="1" applyAlignment="1">
      <alignment vertical="center"/>
    </xf>
    <xf numFmtId="0" fontId="2" fillId="0" borderId="0" xfId="0" applyFont="1" applyAlignment="1">
      <alignment horizontal="center" vertical="center" wrapText="1"/>
    </xf>
    <xf numFmtId="0" fontId="0" fillId="0" borderId="0" xfId="0" applyAlignment="1">
      <alignment vertical="center" wrapText="1"/>
    </xf>
    <xf numFmtId="0" fontId="2" fillId="0" borderId="4"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0" fontId="15" fillId="0" borderId="6" xfId="0" applyNumberFormat="1" applyFont="1" applyBorder="1" applyAlignment="1">
      <alignment horizontal="left" vertical="center" wrapText="1"/>
    </xf>
    <xf numFmtId="0" fontId="15" fillId="0" borderId="8"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6" xfId="0" applyNumberFormat="1" applyFont="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xf>
    <xf numFmtId="0" fontId="20" fillId="0" borderId="0" xfId="0" applyFont="1" applyAlignment="1">
      <alignment horizontal="center" wrapText="1"/>
    </xf>
    <xf numFmtId="0" fontId="21" fillId="0" borderId="0" xfId="0" applyFont="1"/>
    <xf numFmtId="0" fontId="2" fillId="0" borderId="8" xfId="0" applyNumberFormat="1" applyFont="1" applyBorder="1" applyAlignment="1">
      <alignment horizontal="center" vertical="center" wrapText="1"/>
    </xf>
    <xf numFmtId="0" fontId="2" fillId="0" borderId="5" xfId="0" applyNumberFormat="1" applyFont="1" applyBorder="1" applyAlignment="1">
      <alignment horizontal="right" vertical="center" wrapText="1" indent="1"/>
    </xf>
    <xf numFmtId="0" fontId="2" fillId="0" borderId="6" xfId="0" applyNumberFormat="1" applyFont="1" applyBorder="1" applyAlignment="1">
      <alignment horizontal="right" vertical="center" wrapText="1" inden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15" fillId="0" borderId="4" xfId="0" applyNumberFormat="1" applyFont="1" applyBorder="1" applyAlignment="1">
      <alignment horizontal="center" vertical="center" wrapText="1"/>
    </xf>
    <xf numFmtId="0" fontId="15" fillId="0" borderId="5" xfId="0" applyNumberFormat="1" applyFont="1" applyBorder="1" applyAlignment="1">
      <alignment vertical="center" wrapText="1"/>
    </xf>
    <xf numFmtId="0" fontId="17" fillId="0" borderId="0" xfId="0" applyNumberFormat="1" applyFont="1" applyAlignment="1">
      <alignment horizontal="left" vertical="center" wrapText="1"/>
    </xf>
    <xf numFmtId="0" fontId="17" fillId="0" borderId="5" xfId="0" applyNumberFormat="1" applyFont="1" applyBorder="1" applyAlignment="1">
      <alignment horizontal="left" vertical="center" wrapText="1"/>
    </xf>
    <xf numFmtId="0" fontId="17" fillId="0" borderId="0" xfId="0" applyNumberFormat="1" applyFont="1" applyBorder="1" applyAlignment="1">
      <alignment horizontal="left" vertical="center" wrapText="1"/>
    </xf>
    <xf numFmtId="0" fontId="17" fillId="0" borderId="6" xfId="0" applyNumberFormat="1" applyFont="1" applyBorder="1" applyAlignment="1">
      <alignment horizontal="left" vertical="center" wrapText="1"/>
    </xf>
    <xf numFmtId="0" fontId="42" fillId="0" borderId="0" xfId="0" applyNumberFormat="1" applyFont="1" applyAlignment="1">
      <alignment horizontal="center" vertical="center" wrapText="1"/>
    </xf>
    <xf numFmtId="0" fontId="42" fillId="0" borderId="0" xfId="0" applyNumberFormat="1" applyFont="1" applyBorder="1" applyAlignment="1">
      <alignment horizontal="center" vertical="center" wrapText="1"/>
    </xf>
    <xf numFmtId="0" fontId="42" fillId="0" borderId="5"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38" fillId="0" borderId="4" xfId="0" applyNumberFormat="1" applyFont="1" applyBorder="1" applyAlignment="1">
      <alignment horizontal="center" wrapText="1"/>
    </xf>
    <xf numFmtId="0" fontId="38" fillId="0" borderId="6" xfId="0" applyNumberFormat="1" applyFont="1" applyBorder="1" applyAlignment="1">
      <alignment horizontal="left" wrapText="1"/>
    </xf>
    <xf numFmtId="0" fontId="15" fillId="0" borderId="5" xfId="0" applyNumberFormat="1" applyFont="1" applyBorder="1" applyAlignment="1">
      <alignment horizontal="left" wrapText="1"/>
    </xf>
    <xf numFmtId="0" fontId="15" fillId="0" borderId="6" xfId="0" applyNumberFormat="1" applyFont="1" applyBorder="1" applyAlignment="1">
      <alignment horizontal="left" wrapText="1"/>
    </xf>
    <xf numFmtId="0" fontId="15" fillId="0" borderId="6" xfId="0" applyFont="1" applyBorder="1" applyAlignment="1">
      <alignment horizontal="center" vertical="center" wrapText="1"/>
    </xf>
    <xf numFmtId="0" fontId="16" fillId="0" borderId="6" xfId="0" applyFont="1" applyBorder="1" applyAlignment="1">
      <alignment vertical="center"/>
    </xf>
    <xf numFmtId="0" fontId="18" fillId="0" borderId="20" xfId="0" applyFont="1" applyBorder="1" applyAlignment="1">
      <alignment horizontal="center" vertical="center"/>
    </xf>
    <xf numFmtId="0" fontId="18" fillId="0" borderId="17" xfId="0" applyFont="1" applyBorder="1" applyAlignment="1">
      <alignment horizontal="center" vertical="center"/>
    </xf>
    <xf numFmtId="0" fontId="15" fillId="0" borderId="15"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horizontal="center" vertical="center" wrapText="1"/>
    </xf>
    <xf numFmtId="0" fontId="18" fillId="0" borderId="20" xfId="0" applyFont="1" applyBorder="1" applyAlignment="1">
      <alignment horizontal="left"/>
    </xf>
    <xf numFmtId="0" fontId="18" fillId="0" borderId="17" xfId="0" applyFont="1" applyBorder="1" applyAlignment="1">
      <alignment horizontal="left"/>
    </xf>
    <xf numFmtId="0" fontId="0" fillId="0" borderId="0" xfId="0" applyFont="1" applyAlignment="1">
      <alignment vertical="center"/>
    </xf>
    <xf numFmtId="0" fontId="2" fillId="0" borderId="5"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18" fillId="0" borderId="6" xfId="0" applyFont="1" applyBorder="1" applyAlignment="1">
      <alignment horizontal="left" vertical="center"/>
    </xf>
    <xf numFmtId="0" fontId="18" fillId="0" borderId="5" xfId="0" applyFont="1" applyBorder="1" applyAlignment="1">
      <alignment horizontal="left" vertical="center"/>
    </xf>
    <xf numFmtId="0" fontId="18" fillId="0" borderId="0" xfId="0" applyFont="1" applyBorder="1" applyAlignment="1">
      <alignment horizontal="left" vertical="center"/>
    </xf>
    <xf numFmtId="0" fontId="18" fillId="0" borderId="0" xfId="0" applyFont="1" applyAlignment="1">
      <alignment horizontal="left" vertical="center"/>
    </xf>
    <xf numFmtId="0" fontId="16" fillId="0" borderId="5"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center"/>
    </xf>
    <xf numFmtId="0" fontId="18" fillId="0" borderId="5" xfId="0" applyFont="1" applyBorder="1" applyAlignment="1">
      <alignment horizontal="center" vertical="center"/>
    </xf>
    <xf numFmtId="0" fontId="18" fillId="0" borderId="5" xfId="0" applyFont="1" applyBorder="1" applyAlignment="1">
      <alignment vertical="center"/>
    </xf>
    <xf numFmtId="0" fontId="18" fillId="0" borderId="0" xfId="0" applyFont="1" applyBorder="1" applyAlignment="1">
      <alignment vertical="center"/>
    </xf>
    <xf numFmtId="0" fontId="18" fillId="0" borderId="6" xfId="0" applyFont="1" applyBorder="1" applyAlignment="1">
      <alignment vertical="center"/>
    </xf>
    <xf numFmtId="0" fontId="11" fillId="0" borderId="6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20" xfId="0" applyFont="1" applyBorder="1" applyAlignment="1">
      <alignment horizontal="left" vertical="center"/>
    </xf>
    <xf numFmtId="0" fontId="11" fillId="0" borderId="17" xfId="0" applyFont="1" applyBorder="1" applyAlignment="1">
      <alignment horizontal="left" vertical="center"/>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5" fillId="0" borderId="0" xfId="0" applyNumberFormat="1" applyFont="1" applyBorder="1" applyAlignment="1">
      <alignment horizontal="left" vertical="center" wrapText="1"/>
    </xf>
    <xf numFmtId="0" fontId="16" fillId="0" borderId="5"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5" fillId="0" borderId="0" xfId="0" applyNumberFormat="1" applyFont="1" applyAlignment="1">
      <alignment horizontal="left" vertical="center" wrapText="1"/>
    </xf>
    <xf numFmtId="0" fontId="16" fillId="0" borderId="0" xfId="0" applyNumberFormat="1" applyFont="1" applyAlignment="1">
      <alignment horizontal="center" vertical="center" wrapText="1"/>
    </xf>
    <xf numFmtId="0" fontId="15" fillId="0" borderId="0" xfId="0" applyFont="1" applyAlignment="1">
      <alignment horizontal="center" wrapText="1"/>
    </xf>
    <xf numFmtId="0" fontId="16" fillId="0" borderId="0" xfId="0" applyFont="1"/>
    <xf numFmtId="0" fontId="15" fillId="0" borderId="8" xfId="0" applyNumberFormat="1" applyFont="1" applyBorder="1" applyAlignment="1">
      <alignment horizontal="center" wrapText="1"/>
    </xf>
    <xf numFmtId="0" fontId="15" fillId="0" borderId="4" xfId="0" applyNumberFormat="1" applyFont="1" applyBorder="1" applyAlignment="1">
      <alignment horizontal="center" wrapText="1"/>
    </xf>
    <xf numFmtId="0" fontId="19" fillId="0" borderId="5" xfId="0" applyNumberFormat="1" applyFont="1" applyBorder="1" applyAlignment="1">
      <alignment horizontal="center" vertical="center" wrapText="1"/>
    </xf>
    <xf numFmtId="0" fontId="19" fillId="0" borderId="6" xfId="0" applyNumberFormat="1" applyFont="1" applyBorder="1" applyAlignment="1">
      <alignment horizontal="center" vertical="center" wrapText="1"/>
    </xf>
    <xf numFmtId="0" fontId="12" fillId="0" borderId="5"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0" fontId="2" fillId="0" borderId="24" xfId="0" applyNumberFormat="1" applyFont="1" applyBorder="1" applyAlignment="1">
      <alignment horizontal="center" wrapText="1"/>
    </xf>
    <xf numFmtId="0" fontId="47" fillId="0" borderId="5" xfId="0" applyNumberFormat="1" applyFont="1" applyBorder="1" applyAlignment="1">
      <alignment horizontal="center" vertical="center" wrapText="1"/>
    </xf>
    <xf numFmtId="0" fontId="47" fillId="0" borderId="0" xfId="0" applyNumberFormat="1" applyFont="1" applyAlignment="1">
      <alignment horizontal="center" vertical="center" wrapText="1"/>
    </xf>
    <xf numFmtId="0" fontId="2" fillId="0" borderId="0" xfId="0" applyNumberFormat="1" applyFont="1" applyAlignment="1">
      <alignment horizontal="left" vertical="center" wrapText="1"/>
    </xf>
    <xf numFmtId="0" fontId="2" fillId="0" borderId="0" xfId="0" applyNumberFormat="1" applyFont="1" applyBorder="1" applyAlignment="1">
      <alignment horizontal="left" vertical="center" wrapText="1"/>
    </xf>
    <xf numFmtId="0" fontId="47" fillId="0" borderId="0" xfId="0" applyNumberFormat="1" applyFont="1" applyBorder="1" applyAlignment="1">
      <alignment horizontal="center" vertical="center" wrapText="1"/>
    </xf>
  </cellXfs>
  <cellStyles count="16">
    <cellStyle name="Comma" xfId="4"/>
    <cellStyle name="Comma [0]" xfId="5"/>
    <cellStyle name="Comma [0] 2" xfId="9"/>
    <cellStyle name="Comma 2" xfId="8"/>
    <cellStyle name="Comma 3" xfId="11"/>
    <cellStyle name="Currency" xfId="2"/>
    <cellStyle name="Currency [0]" xfId="3"/>
    <cellStyle name="Currency [0] 2" xfId="7"/>
    <cellStyle name="Currency 2" xfId="6"/>
    <cellStyle name="Currency 3" xfId="10"/>
    <cellStyle name="Köprü" xfId="12" builtinId="8"/>
    <cellStyle name="Köprü 2" xfId="13"/>
    <cellStyle name="Normal" xfId="0" builtinId="0"/>
    <cellStyle name="Normal 2" xfId="15"/>
    <cellStyle name="Normal 3" xfId="14"/>
    <cellStyle name="Percent" xfId="1"/>
  </cellStyles>
  <dxfs count="0"/>
  <tableStyles count="0" defaultTableStyle="TableStyleMedium2" defaultPivotStyle="PivotStyleLight16"/>
  <colors>
    <mruColors>
      <color rgb="FF0000FF"/>
      <color rgb="FFDF402F"/>
      <color rgb="FFCF493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a:t>TÜRKİYE'YE GELEN YABANCI ZİYARETÇİLER (20</a:t>
            </a:r>
            <a:r>
              <a:rPr lang="tr-TR"/>
              <a:t>10</a:t>
            </a:r>
            <a:r>
              <a:rPr lang="en-US"/>
              <a:t>-201</a:t>
            </a:r>
            <a:r>
              <a:rPr lang="tr-TR"/>
              <a:t>9</a:t>
            </a:r>
            <a:r>
              <a:rPr lang="en-US"/>
              <a:t>)</a:t>
            </a:r>
          </a:p>
        </c:rich>
      </c:tx>
      <c:overlay val="0"/>
      <c:spPr>
        <a:noFill/>
        <a:ln>
          <a:noFill/>
        </a:ln>
      </c:spPr>
    </c:title>
    <c:autoTitleDeleted val="0"/>
    <c:plotArea>
      <c:layout>
        <c:manualLayout>
          <c:layoutTarget val="inner"/>
          <c:xMode val="edge"/>
          <c:yMode val="edge"/>
          <c:x val="9.294513443551479E-2"/>
          <c:y val="0.12276457784133703"/>
          <c:w val="0.86818422611262969"/>
          <c:h val="0.80652322305865609"/>
        </c:manualLayout>
      </c:layout>
      <c:lineChart>
        <c:grouping val="standard"/>
        <c:varyColors val="0"/>
        <c:ser>
          <c:idx val="0"/>
          <c:order val="0"/>
          <c:tx>
            <c:strRef>
              <c:f>'G1-G.Y.Ziyaretçi'!$C$2</c:f>
              <c:strCache>
                <c:ptCount val="1"/>
                <c:pt idx="0">
                  <c:v>Gelen Yabancı Ziyaretçi</c:v>
                </c:pt>
              </c:strCache>
            </c:strRef>
          </c:tx>
          <c:spPr>
            <a:ln>
              <a:solidFill>
                <a:schemeClr val="accent1"/>
              </a:solidFill>
            </a:ln>
          </c:spPr>
          <c:marker>
            <c:spPr>
              <a:solidFill>
                <a:srgbClr val="0000FF"/>
              </a:solidFill>
            </c:spPr>
          </c:marker>
          <c:dLbls>
            <c:dLbl>
              <c:idx val="0"/>
              <c:layout>
                <c:manualLayout>
                  <c:x val="-4.8873615883925164E-2"/>
                  <c:y val="-3.6630036630036632E-2"/>
                </c:manualLayout>
              </c:layout>
              <c:showLegendKey val="0"/>
              <c:showVal val="1"/>
              <c:showCatName val="0"/>
              <c:showSerName val="0"/>
              <c:showPercent val="0"/>
              <c:showBubbleSize val="0"/>
            </c:dLbl>
            <c:dLbl>
              <c:idx val="1"/>
              <c:layout>
                <c:manualLayout>
                  <c:x val="-4.2764413898434842E-2"/>
                  <c:y val="3.663003663003659E-2"/>
                </c:manualLayout>
              </c:layout>
              <c:showLegendKey val="0"/>
              <c:showVal val="1"/>
              <c:showCatName val="0"/>
              <c:showSerName val="0"/>
              <c:showPercent val="0"/>
              <c:showBubbleSize val="0"/>
            </c:dLbl>
            <c:dLbl>
              <c:idx val="2"/>
              <c:layout>
                <c:manualLayout>
                  <c:x val="-5.1928216876670485E-2"/>
                  <c:y val="-3.4188226471691036E-2"/>
                </c:manualLayout>
              </c:layout>
              <c:showLegendKey val="0"/>
              <c:showVal val="1"/>
              <c:showCatName val="0"/>
              <c:showSerName val="0"/>
              <c:showPercent val="0"/>
              <c:showBubbleSize val="0"/>
            </c:dLbl>
            <c:dLbl>
              <c:idx val="3"/>
              <c:layout>
                <c:manualLayout>
                  <c:x val="-4.4291714394807176E-2"/>
                  <c:y val="3.1745839462374893E-2"/>
                </c:manualLayout>
              </c:layout>
              <c:showLegendKey val="0"/>
              <c:showVal val="1"/>
              <c:showCatName val="0"/>
              <c:showSerName val="0"/>
              <c:showPercent val="0"/>
              <c:showBubbleSize val="0"/>
            </c:dLbl>
            <c:dLbl>
              <c:idx val="4"/>
              <c:layout>
                <c:manualLayout>
                  <c:x val="-5.3455517373043146E-2"/>
                  <c:y val="-3.4188034188034191E-2"/>
                </c:manualLayout>
              </c:layout>
              <c:showLegendKey val="0"/>
              <c:showVal val="1"/>
              <c:showCatName val="0"/>
              <c:showSerName val="0"/>
              <c:showPercent val="0"/>
              <c:showBubbleSize val="0"/>
            </c:dLbl>
            <c:dLbl>
              <c:idx val="5"/>
              <c:layout>
                <c:manualLayout>
                  <c:x val="-4.7346315387552504E-2"/>
                  <c:y val="3.9072039072039072E-2"/>
                </c:manualLayout>
              </c:layout>
              <c:showLegendKey val="0"/>
              <c:showVal val="1"/>
              <c:showCatName val="0"/>
              <c:showSerName val="0"/>
              <c:showPercent val="0"/>
              <c:showBubbleSize val="0"/>
            </c:dLbl>
            <c:dLbl>
              <c:idx val="6"/>
              <c:layout>
                <c:manualLayout>
                  <c:x val="-4.5819014891179836E-2"/>
                  <c:y val="-2.9304029304029304E-2"/>
                </c:manualLayout>
              </c:layout>
              <c:showLegendKey val="0"/>
              <c:showVal val="1"/>
              <c:showCatName val="0"/>
              <c:showSerName val="0"/>
              <c:showPercent val="0"/>
              <c:showBubbleSize val="0"/>
            </c:dLbl>
            <c:dLbl>
              <c:idx val="7"/>
              <c:layout>
                <c:manualLayout>
                  <c:x val="-4.7346315387552504E-2"/>
                  <c:y val="3.1746031746031744E-2"/>
                </c:manualLayout>
              </c:layout>
              <c:showLegendKey val="0"/>
              <c:showVal val="1"/>
              <c:showCatName val="0"/>
              <c:showSerName val="0"/>
              <c:showPercent val="0"/>
              <c:showBubbleSize val="0"/>
            </c:dLbl>
            <c:dLbl>
              <c:idx val="8"/>
              <c:layout>
                <c:manualLayout>
                  <c:x val="-1.5273004963726614E-3"/>
                  <c:y val="1.4652014652014652E-2"/>
                </c:manualLayout>
              </c:layout>
              <c:showLegendKey val="0"/>
              <c:showVal val="1"/>
              <c:showCatName val="0"/>
              <c:showSerName val="0"/>
              <c:showPercent val="0"/>
              <c:showBubbleSize val="0"/>
            </c:dLbl>
            <c:dLbl>
              <c:idx val="9"/>
              <c:layout>
                <c:manualLayout>
                  <c:x val="-4.2764413898434932E-2"/>
                  <c:y val="-3.6630036630036632E-2"/>
                </c:manualLayout>
              </c:layout>
              <c:showLegendKey val="0"/>
              <c:showVal val="1"/>
              <c:showCatName val="0"/>
              <c:showSerName val="0"/>
              <c:showPercent val="0"/>
              <c:showBubbleSize val="0"/>
            </c:dLbl>
            <c:spPr>
              <a:solidFill>
                <a:schemeClr val="accent2">
                  <a:lumMod val="20000"/>
                  <a:lumOff val="80000"/>
                </a:schemeClr>
              </a:solidFill>
            </c:spPr>
            <c:showLegendKey val="0"/>
            <c:showVal val="1"/>
            <c:showCatName val="0"/>
            <c:showSerName val="0"/>
            <c:showPercent val="0"/>
            <c:showBubbleSize val="0"/>
            <c:showLeaderLines val="0"/>
          </c:dLbls>
          <c:cat>
            <c:numRef>
              <c:f>'G1-G.Y.Ziyaretçi'!$B$3:$B$12</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'G1-G.Y.Ziyaretçi'!$C$3:$C$12</c:f>
              <c:numCache>
                <c:formatCode>###\ ###\ ###</c:formatCode>
                <c:ptCount val="10"/>
                <c:pt idx="0">
                  <c:v>28632204</c:v>
                </c:pt>
                <c:pt idx="1">
                  <c:v>31456076</c:v>
                </c:pt>
                <c:pt idx="2">
                  <c:v>31782832</c:v>
                </c:pt>
                <c:pt idx="3">
                  <c:v>34910098</c:v>
                </c:pt>
                <c:pt idx="4">
                  <c:v>36837900</c:v>
                </c:pt>
                <c:pt idx="5">
                  <c:v>36244632</c:v>
                </c:pt>
                <c:pt idx="6">
                  <c:v>25352213</c:v>
                </c:pt>
                <c:pt idx="7">
                  <c:v>32410034</c:v>
                </c:pt>
                <c:pt idx="8">
                  <c:v>39488401</c:v>
                </c:pt>
                <c:pt idx="9">
                  <c:v>45058286</c:v>
                </c:pt>
              </c:numCache>
            </c:numRef>
          </c:val>
          <c:smooth val="0"/>
        </c:ser>
        <c:dLbls>
          <c:showLegendKey val="0"/>
          <c:showVal val="0"/>
          <c:showCatName val="0"/>
          <c:showSerName val="0"/>
          <c:showPercent val="0"/>
          <c:showBubbleSize val="0"/>
        </c:dLbls>
        <c:marker val="1"/>
        <c:smooth val="0"/>
        <c:axId val="184689408"/>
        <c:axId val="184690944"/>
      </c:lineChart>
      <c:catAx>
        <c:axId val="184689408"/>
        <c:scaling>
          <c:orientation val="minMax"/>
        </c:scaling>
        <c:delete val="0"/>
        <c:axPos val="b"/>
        <c:numFmt formatCode="General" sourceLinked="1"/>
        <c:majorTickMark val="out"/>
        <c:minorTickMark val="none"/>
        <c:tickLblPos val="nextTo"/>
        <c:crossAx val="184690944"/>
        <c:crosses val="autoZero"/>
        <c:auto val="0"/>
        <c:lblAlgn val="ctr"/>
        <c:lblOffset val="100"/>
        <c:noMultiLvlLbl val="0"/>
      </c:catAx>
      <c:valAx>
        <c:axId val="184690944"/>
        <c:scaling>
          <c:orientation val="minMax"/>
        </c:scaling>
        <c:delete val="0"/>
        <c:axPos val="l"/>
        <c:majorGridlines>
          <c:spPr>
            <a:ln/>
          </c:spPr>
        </c:majorGridlines>
        <c:numFmt formatCode="###\ ###\ ###" sourceLinked="1"/>
        <c:majorTickMark val="out"/>
        <c:minorTickMark val="none"/>
        <c:tickLblPos val="nextTo"/>
        <c:crossAx val="184689408"/>
        <c:crosses val="autoZero"/>
        <c:crossBetween val="between"/>
      </c:valAx>
      <c:spPr>
        <a:solidFill>
          <a:srgbClr val="FFFFCC"/>
        </a:solidFill>
        <a:ln w="12700">
          <a:solidFill>
            <a:srgbClr val="808080"/>
          </a:solidFill>
        </a:ln>
      </c:spPr>
    </c:plotArea>
    <c:legend>
      <c:legendPos val="r"/>
      <c:layout>
        <c:manualLayout>
          <c:xMode val="edge"/>
          <c:yMode val="edge"/>
          <c:x val="0.37131368888167343"/>
          <c:y val="0.75363983348235364"/>
          <c:w val="0.31342106291696492"/>
          <c:h val="5.2758317682937393E-2"/>
        </c:manualLayout>
      </c:layout>
      <c:overlay val="0"/>
      <c:spPr>
        <a:solidFill>
          <a:schemeClr val="accent1">
            <a:lumMod val="20000"/>
            <a:lumOff val="80000"/>
          </a:schemeClr>
        </a:solidFill>
        <a:ln>
          <a:solidFill>
            <a:schemeClr val="tx1"/>
          </a:solidFill>
        </a:ln>
      </c:spPr>
      <c:txPr>
        <a:bodyPr/>
        <a:lstStyle/>
        <a:p>
          <a:pPr>
            <a:defRPr sz="1400" baseline="0"/>
          </a:pPr>
          <a:endParaRPr lang="tr-TR"/>
        </a:p>
      </c:txPr>
    </c:legend>
    <c:plotVisOnly val="1"/>
    <c:dispBlanksAs val="gap"/>
    <c:showDLblsOverMax val="0"/>
  </c:chart>
  <c:printSettings>
    <c:headerFooter/>
    <c:pageMargins b="0.75000000000000189" l="0.70000000000000062" r="0.70000000000000062" t="0.75000000000000189"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a:t>TÜRKİYE'DEN ÇIKAN YABANCI ZİYARETÇİLER (20</a:t>
            </a:r>
            <a:r>
              <a:rPr lang="tr-TR"/>
              <a:t>10</a:t>
            </a:r>
            <a:r>
              <a:rPr lang="en-US"/>
              <a:t>-201</a:t>
            </a:r>
            <a:r>
              <a:rPr lang="tr-TR"/>
              <a:t>9</a:t>
            </a:r>
            <a:r>
              <a:rPr lang="en-US"/>
              <a:t>)</a:t>
            </a:r>
          </a:p>
        </c:rich>
      </c:tx>
      <c:overlay val="0"/>
      <c:spPr>
        <a:noFill/>
        <a:ln>
          <a:noFill/>
        </a:ln>
      </c:spPr>
    </c:title>
    <c:autoTitleDeleted val="0"/>
    <c:plotArea>
      <c:layout>
        <c:manualLayout>
          <c:layoutTarget val="inner"/>
          <c:xMode val="edge"/>
          <c:yMode val="edge"/>
          <c:x val="9.2415845176145525E-2"/>
          <c:y val="0.10018466441694802"/>
          <c:w val="0.89543533028839473"/>
          <c:h val="0.84016854143232056"/>
        </c:manualLayout>
      </c:layout>
      <c:lineChart>
        <c:grouping val="standard"/>
        <c:varyColors val="0"/>
        <c:ser>
          <c:idx val="0"/>
          <c:order val="0"/>
          <c:tx>
            <c:strRef>
              <c:f>'G2-Ç.Y.Ziyaretçi'!$C$2</c:f>
              <c:strCache>
                <c:ptCount val="1"/>
                <c:pt idx="0">
                  <c:v>Çıkan Yabancı Ziyaretçi</c:v>
                </c:pt>
              </c:strCache>
            </c:strRef>
          </c:tx>
          <c:spPr>
            <a:ln>
              <a:solidFill>
                <a:schemeClr val="accent2">
                  <a:lumMod val="60000"/>
                  <a:lumOff val="40000"/>
                </a:schemeClr>
              </a:solidFill>
            </a:ln>
          </c:spPr>
          <c:marker>
            <c:symbol val="diamond"/>
            <c:size val="7"/>
            <c:spPr>
              <a:solidFill>
                <a:schemeClr val="accent1"/>
              </a:solidFill>
              <a:ln>
                <a:solidFill>
                  <a:schemeClr val="accent1"/>
                </a:solidFill>
              </a:ln>
            </c:spPr>
          </c:marker>
          <c:dLbls>
            <c:dLbl>
              <c:idx val="0"/>
              <c:layout>
                <c:manualLayout>
                  <c:x val="-4.8746839419077426E-2"/>
                  <c:y val="-3.5236385397965288E-2"/>
                </c:manualLayout>
              </c:layout>
              <c:showLegendKey val="0"/>
              <c:showVal val="1"/>
              <c:showCatName val="0"/>
              <c:showSerName val="0"/>
              <c:showPercent val="0"/>
              <c:showBubbleSize val="0"/>
            </c:dLbl>
            <c:dLbl>
              <c:idx val="1"/>
              <c:layout>
                <c:manualLayout>
                  <c:x val="-4.2417873670409938E-2"/>
                  <c:y val="3.1794813799083013E-2"/>
                </c:manualLayout>
              </c:layout>
              <c:showLegendKey val="0"/>
              <c:showVal val="1"/>
              <c:showCatName val="0"/>
              <c:showSerName val="0"/>
              <c:showPercent val="0"/>
              <c:showBubbleSize val="0"/>
            </c:dLbl>
            <c:dLbl>
              <c:idx val="2"/>
              <c:layout>
                <c:manualLayout>
                  <c:x val="-4.9622095972405397E-2"/>
                  <c:y val="-2.9102663782826069E-2"/>
                </c:manualLayout>
              </c:layout>
              <c:showLegendKey val="0"/>
              <c:showVal val="1"/>
              <c:showCatName val="0"/>
              <c:showSerName val="0"/>
              <c:showPercent val="0"/>
              <c:showBubbleSize val="0"/>
            </c:dLbl>
            <c:dLbl>
              <c:idx val="3"/>
              <c:layout>
                <c:manualLayout>
                  <c:x val="-4.3831721502095349E-2"/>
                  <c:y val="3.2020054943760395E-2"/>
                </c:manualLayout>
              </c:layout>
              <c:showLegendKey val="0"/>
              <c:showVal val="1"/>
              <c:showCatName val="0"/>
              <c:showSerName val="0"/>
              <c:showPercent val="0"/>
              <c:showBubbleSize val="0"/>
            </c:dLbl>
            <c:dLbl>
              <c:idx val="4"/>
              <c:layout>
                <c:manualLayout>
                  <c:x val="-5.669170093880959E-2"/>
                  <c:y val="-3.3366224195045639E-2"/>
                </c:manualLayout>
              </c:layout>
              <c:showLegendKey val="0"/>
              <c:showVal val="1"/>
              <c:showCatName val="0"/>
              <c:showSerName val="0"/>
              <c:showPercent val="0"/>
              <c:showBubbleSize val="0"/>
            </c:dLbl>
            <c:dLbl>
              <c:idx val="5"/>
              <c:layout>
                <c:manualLayout>
                  <c:x val="-4.5447739209152418E-2"/>
                  <c:y val="3.7629973093578739E-2"/>
                </c:manualLayout>
              </c:layout>
              <c:showLegendKey val="0"/>
              <c:showVal val="1"/>
              <c:showCatName val="0"/>
              <c:showSerName val="0"/>
              <c:showPercent val="0"/>
              <c:showBubbleSize val="0"/>
            </c:dLbl>
            <c:dLbl>
              <c:idx val="6"/>
              <c:layout>
                <c:manualLayout>
                  <c:x val="-4.793889153354508E-2"/>
                  <c:y val="-3.1794813799083013E-2"/>
                </c:manualLayout>
              </c:layout>
              <c:showLegendKey val="0"/>
              <c:showVal val="1"/>
              <c:showCatName val="0"/>
              <c:showSerName val="0"/>
              <c:showPercent val="0"/>
              <c:showBubbleSize val="0"/>
            </c:dLbl>
            <c:dLbl>
              <c:idx val="7"/>
              <c:layout>
                <c:manualLayout>
                  <c:x val="-4.5919021819714224E-2"/>
                  <c:y val="3.2837143112945714E-2"/>
                </c:manualLayout>
              </c:layout>
              <c:showLegendKey val="0"/>
              <c:showVal val="1"/>
              <c:showCatName val="0"/>
              <c:showSerName val="0"/>
              <c:showPercent val="0"/>
              <c:showBubbleSize val="0"/>
            </c:dLbl>
            <c:dLbl>
              <c:idx val="8"/>
              <c:layout>
                <c:manualLayout>
                  <c:x val="8.0782594953984635E-4"/>
                  <c:y val="9.7270246964192321E-3"/>
                </c:manualLayout>
              </c:layout>
              <c:showLegendKey val="0"/>
              <c:showVal val="1"/>
              <c:showCatName val="0"/>
              <c:showSerName val="0"/>
              <c:showPercent val="0"/>
              <c:showBubbleSize val="0"/>
            </c:dLbl>
            <c:dLbl>
              <c:idx val="9"/>
              <c:layout>
                <c:manualLayout>
                  <c:x val="-1.541856236489492E-2"/>
                  <c:y val="-3.7928535414222232E-2"/>
                </c:manualLayout>
              </c:layout>
              <c:showLegendKey val="0"/>
              <c:showVal val="1"/>
              <c:showCatName val="0"/>
              <c:showSerName val="0"/>
              <c:showPercent val="0"/>
              <c:showBubbleSize val="0"/>
            </c:dLbl>
            <c:spPr>
              <a:solidFill>
                <a:schemeClr val="accent1">
                  <a:lumMod val="20000"/>
                  <a:lumOff val="80000"/>
                </a:schemeClr>
              </a:solidFill>
            </c:spPr>
            <c:showLegendKey val="0"/>
            <c:showVal val="1"/>
            <c:showCatName val="0"/>
            <c:showSerName val="0"/>
            <c:showPercent val="0"/>
            <c:showBubbleSize val="0"/>
            <c:showLeaderLines val="0"/>
          </c:dLbls>
          <c:cat>
            <c:numRef>
              <c:f>'G2-Ç.Y.Ziyaretçi'!$B$3:$B$12</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'G2-Ç.Y.Ziyaretçi'!$C$3:$C$12</c:f>
              <c:numCache>
                <c:formatCode>###\ ###\ ###</c:formatCode>
                <c:ptCount val="10"/>
                <c:pt idx="0">
                  <c:v>28510852</c:v>
                </c:pt>
                <c:pt idx="1">
                  <c:v>31324528</c:v>
                </c:pt>
                <c:pt idx="2">
                  <c:v>31655188</c:v>
                </c:pt>
                <c:pt idx="3">
                  <c:v>34686402</c:v>
                </c:pt>
                <c:pt idx="4">
                  <c:v>36507184</c:v>
                </c:pt>
                <c:pt idx="5">
                  <c:v>35903327</c:v>
                </c:pt>
                <c:pt idx="6">
                  <c:v>25432123</c:v>
                </c:pt>
                <c:pt idx="7">
                  <c:v>32382449</c:v>
                </c:pt>
                <c:pt idx="8">
                  <c:v>39304178</c:v>
                </c:pt>
                <c:pt idx="9">
                  <c:v>45105116</c:v>
                </c:pt>
              </c:numCache>
            </c:numRef>
          </c:val>
          <c:smooth val="0"/>
        </c:ser>
        <c:dLbls>
          <c:showLegendKey val="0"/>
          <c:showVal val="0"/>
          <c:showCatName val="0"/>
          <c:showSerName val="0"/>
          <c:showPercent val="0"/>
          <c:showBubbleSize val="0"/>
        </c:dLbls>
        <c:marker val="1"/>
        <c:smooth val="0"/>
        <c:axId val="185031680"/>
        <c:axId val="184754944"/>
      </c:lineChart>
      <c:catAx>
        <c:axId val="185031680"/>
        <c:scaling>
          <c:orientation val="minMax"/>
        </c:scaling>
        <c:delete val="0"/>
        <c:axPos val="b"/>
        <c:numFmt formatCode="General" sourceLinked="1"/>
        <c:majorTickMark val="out"/>
        <c:minorTickMark val="none"/>
        <c:tickLblPos val="nextTo"/>
        <c:crossAx val="184754944"/>
        <c:crosses val="autoZero"/>
        <c:auto val="0"/>
        <c:lblAlgn val="ctr"/>
        <c:lblOffset val="100"/>
        <c:noMultiLvlLbl val="0"/>
      </c:catAx>
      <c:valAx>
        <c:axId val="184754944"/>
        <c:scaling>
          <c:orientation val="minMax"/>
        </c:scaling>
        <c:delete val="0"/>
        <c:axPos val="l"/>
        <c:majorGridlines>
          <c:spPr>
            <a:ln/>
          </c:spPr>
        </c:majorGridlines>
        <c:numFmt formatCode="###\ ###\ ###" sourceLinked="1"/>
        <c:majorTickMark val="out"/>
        <c:minorTickMark val="none"/>
        <c:tickLblPos val="nextTo"/>
        <c:crossAx val="185031680"/>
        <c:crosses val="autoZero"/>
        <c:crossBetween val="between"/>
      </c:valAx>
      <c:spPr>
        <a:solidFill>
          <a:srgbClr val="FFFFCC"/>
        </a:solidFill>
        <a:ln w="12700">
          <a:solidFill>
            <a:srgbClr val="808080"/>
          </a:solidFill>
        </a:ln>
      </c:spPr>
    </c:plotArea>
    <c:legend>
      <c:legendPos val="r"/>
      <c:layout>
        <c:manualLayout>
          <c:xMode val="edge"/>
          <c:yMode val="edge"/>
          <c:x val="0.40191115158302176"/>
          <c:y val="0.76074056272588952"/>
          <c:w val="0.2827157925644409"/>
          <c:h val="5.2758317682937393E-2"/>
        </c:manualLayout>
      </c:layout>
      <c:overlay val="0"/>
      <c:spPr>
        <a:solidFill>
          <a:schemeClr val="accent1">
            <a:lumMod val="20000"/>
            <a:lumOff val="80000"/>
          </a:schemeClr>
        </a:solidFill>
      </c:spPr>
      <c:txPr>
        <a:bodyPr/>
        <a:lstStyle/>
        <a:p>
          <a:pPr>
            <a:defRPr sz="1400" baseline="0"/>
          </a:pPr>
          <a:endParaRPr lang="tr-TR"/>
        </a:p>
      </c:txPr>
    </c:legend>
    <c:plotVisOnly val="1"/>
    <c:dispBlanksAs val="gap"/>
    <c:showDLblsOverMax val="0"/>
  </c:chart>
  <c:printSettings>
    <c:headerFooter/>
    <c:pageMargins b="0.75000000000000189" l="0.70000000000000062" r="0.70000000000000062" t="0.75000000000000189"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a:t>AYLARA GÖRE GELEN YABANCI ZİYARETÇİLER (201</a:t>
            </a:r>
            <a:r>
              <a:rPr lang="tr-TR"/>
              <a:t>8</a:t>
            </a:r>
            <a:r>
              <a:rPr lang="en-US"/>
              <a:t>-201</a:t>
            </a:r>
            <a:r>
              <a:rPr lang="tr-TR"/>
              <a:t>9</a:t>
            </a:r>
            <a:r>
              <a:rPr lang="en-US"/>
              <a:t>)</a:t>
            </a:r>
          </a:p>
        </c:rich>
      </c:tx>
      <c:overlay val="0"/>
      <c:spPr>
        <a:noFill/>
        <a:ln>
          <a:noFill/>
        </a:ln>
      </c:spPr>
    </c:title>
    <c:autoTitleDeleted val="0"/>
    <c:plotArea>
      <c:layout>
        <c:manualLayout>
          <c:layoutTarget val="inner"/>
          <c:xMode val="edge"/>
          <c:yMode val="edge"/>
          <c:x val="7.5611157045016114E-2"/>
          <c:y val="8.9194613789333563E-2"/>
          <c:w val="0.91095804388533852"/>
          <c:h val="0.85770172210190765"/>
        </c:manualLayout>
      </c:layout>
      <c:barChart>
        <c:barDir val="col"/>
        <c:grouping val="clustered"/>
        <c:varyColors val="0"/>
        <c:ser>
          <c:idx val="0"/>
          <c:order val="0"/>
          <c:tx>
            <c:strRef>
              <c:f>'G3-Aya Göre G.Ziyaretçi'!$B$3</c:f>
              <c:strCache>
                <c:ptCount val="1"/>
                <c:pt idx="0">
                  <c:v>2018</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invertIfNegative val="0"/>
          <c:cat>
            <c:strRef>
              <c:f>'G3-Aya Göre G.Ziyaretçi'!$C$2:$N$2</c:f>
              <c:strCache>
                <c:ptCount val="12"/>
                <c:pt idx="0">
                  <c:v>OCAK</c:v>
                </c:pt>
                <c:pt idx="1">
                  <c:v>ŞUBAT</c:v>
                </c:pt>
                <c:pt idx="2">
                  <c:v>MART</c:v>
                </c:pt>
                <c:pt idx="3">
                  <c:v>NİSAN</c:v>
                </c:pt>
                <c:pt idx="4">
                  <c:v>MAYIS</c:v>
                </c:pt>
                <c:pt idx="5">
                  <c:v>HAZİRAN</c:v>
                </c:pt>
                <c:pt idx="6">
                  <c:v>TEMMUZ</c:v>
                </c:pt>
                <c:pt idx="7">
                  <c:v>AĞUSTOS</c:v>
                </c:pt>
                <c:pt idx="8">
                  <c:v>EYLÜL</c:v>
                </c:pt>
                <c:pt idx="9">
                  <c:v>EKİM</c:v>
                </c:pt>
                <c:pt idx="10">
                  <c:v>KASIM</c:v>
                </c:pt>
                <c:pt idx="11">
                  <c:v>ARALIK</c:v>
                </c:pt>
              </c:strCache>
            </c:strRef>
          </c:cat>
          <c:val>
            <c:numRef>
              <c:f>'G3-Aya Göre G.Ziyaretçi'!$C$3:$N$3</c:f>
              <c:numCache>
                <c:formatCode>###\ ###\ ###</c:formatCode>
                <c:ptCount val="12"/>
                <c:pt idx="0">
                  <c:v>1461570</c:v>
                </c:pt>
                <c:pt idx="1">
                  <c:v>1527070</c:v>
                </c:pt>
                <c:pt idx="2">
                  <c:v>2139766</c:v>
                </c:pt>
                <c:pt idx="3">
                  <c:v>2655561</c:v>
                </c:pt>
                <c:pt idx="4">
                  <c:v>3678440</c:v>
                </c:pt>
                <c:pt idx="5">
                  <c:v>4505594</c:v>
                </c:pt>
                <c:pt idx="6">
                  <c:v>5671801</c:v>
                </c:pt>
                <c:pt idx="7">
                  <c:v>5383332</c:v>
                </c:pt>
                <c:pt idx="8">
                  <c:v>4792818</c:v>
                </c:pt>
                <c:pt idx="9">
                  <c:v>3755467</c:v>
                </c:pt>
                <c:pt idx="10">
                  <c:v>1966277</c:v>
                </c:pt>
                <c:pt idx="11">
                  <c:v>1950705</c:v>
                </c:pt>
              </c:numCache>
            </c:numRef>
          </c:val>
        </c:ser>
        <c:ser>
          <c:idx val="1"/>
          <c:order val="1"/>
          <c:tx>
            <c:strRef>
              <c:f>'G3-Aya Göre G.Ziyaretçi'!$B$4</c:f>
              <c:strCache>
                <c:ptCount val="1"/>
                <c:pt idx="0">
                  <c:v>2019</c:v>
                </c:pt>
              </c:strCache>
            </c:strRef>
          </c:tx>
          <c:spPr>
            <a:solidFill>
              <a:schemeClr val="accent2"/>
            </a:solidFill>
          </c:spPr>
          <c:invertIfNegative val="0"/>
          <c:val>
            <c:numRef>
              <c:f>'G3-Aya Göre G.Ziyaretçi'!$C$4:$N$4</c:f>
              <c:numCache>
                <c:formatCode>###\ ###\ ###</c:formatCode>
                <c:ptCount val="12"/>
                <c:pt idx="0">
                  <c:v>1539496</c:v>
                </c:pt>
                <c:pt idx="1">
                  <c:v>1670238</c:v>
                </c:pt>
                <c:pt idx="2">
                  <c:v>2232358</c:v>
                </c:pt>
                <c:pt idx="3">
                  <c:v>3293176</c:v>
                </c:pt>
                <c:pt idx="4">
                  <c:v>4022254</c:v>
                </c:pt>
                <c:pt idx="5">
                  <c:v>5318984</c:v>
                </c:pt>
                <c:pt idx="6">
                  <c:v>6617380</c:v>
                </c:pt>
                <c:pt idx="7">
                  <c:v>6307508</c:v>
                </c:pt>
                <c:pt idx="8">
                  <c:v>5426818</c:v>
                </c:pt>
                <c:pt idx="9">
                  <c:v>4291574</c:v>
                </c:pt>
                <c:pt idx="10">
                  <c:v>2190622</c:v>
                </c:pt>
                <c:pt idx="11">
                  <c:v>2147878</c:v>
                </c:pt>
              </c:numCache>
            </c:numRef>
          </c:val>
        </c:ser>
        <c:dLbls>
          <c:showLegendKey val="0"/>
          <c:showVal val="0"/>
          <c:showCatName val="0"/>
          <c:showSerName val="0"/>
          <c:showPercent val="0"/>
          <c:showBubbleSize val="0"/>
        </c:dLbls>
        <c:gapWidth val="150"/>
        <c:axId val="184792576"/>
        <c:axId val="184794112"/>
      </c:barChart>
      <c:catAx>
        <c:axId val="184792576"/>
        <c:scaling>
          <c:orientation val="minMax"/>
        </c:scaling>
        <c:delete val="0"/>
        <c:axPos val="b"/>
        <c:numFmt formatCode="General" sourceLinked="1"/>
        <c:majorTickMark val="out"/>
        <c:minorTickMark val="none"/>
        <c:tickLblPos val="nextTo"/>
        <c:crossAx val="184794112"/>
        <c:crosses val="autoZero"/>
        <c:auto val="0"/>
        <c:lblAlgn val="ctr"/>
        <c:lblOffset val="100"/>
        <c:noMultiLvlLbl val="0"/>
      </c:catAx>
      <c:valAx>
        <c:axId val="184794112"/>
        <c:scaling>
          <c:orientation val="minMax"/>
        </c:scaling>
        <c:delete val="0"/>
        <c:axPos val="l"/>
        <c:majorGridlines>
          <c:spPr>
            <a:ln/>
          </c:spPr>
        </c:majorGridlines>
        <c:numFmt formatCode="###\ ###\ ###" sourceLinked="1"/>
        <c:majorTickMark val="out"/>
        <c:minorTickMark val="none"/>
        <c:tickLblPos val="nextTo"/>
        <c:crossAx val="184792576"/>
        <c:crosses val="autoZero"/>
        <c:crossBetween val="between"/>
      </c:valAx>
      <c:spPr>
        <a:solidFill>
          <a:srgbClr val="FFFFCC"/>
        </a:solidFill>
        <a:ln w="12700">
          <a:solidFill>
            <a:srgbClr val="808080"/>
          </a:solidFill>
        </a:ln>
      </c:spPr>
    </c:plotArea>
    <c:legend>
      <c:legendPos val="r"/>
      <c:legendEntry>
        <c:idx val="0"/>
        <c:txPr>
          <a:bodyPr/>
          <a:lstStyle/>
          <a:p>
            <a:pPr>
              <a:defRPr sz="1400"/>
            </a:pPr>
            <a:endParaRPr lang="tr-TR"/>
          </a:p>
        </c:txPr>
      </c:legendEntry>
      <c:legendEntry>
        <c:idx val="1"/>
        <c:txPr>
          <a:bodyPr/>
          <a:lstStyle/>
          <a:p>
            <a:pPr>
              <a:defRPr sz="1400"/>
            </a:pPr>
            <a:endParaRPr lang="tr-TR"/>
          </a:p>
        </c:txPr>
      </c:legendEntry>
      <c:layout>
        <c:manualLayout>
          <c:xMode val="edge"/>
          <c:yMode val="edge"/>
          <c:x val="0.77360448847262508"/>
          <c:y val="0.1282783489530693"/>
          <c:w val="0.19269151218708064"/>
          <c:h val="6.4381709667763728E-2"/>
        </c:manualLayout>
      </c:layout>
      <c:overlay val="0"/>
      <c:spPr>
        <a:ln>
          <a:solidFill>
            <a:srgbClr val="808080"/>
          </a:solidFill>
        </a:ln>
      </c:spPr>
    </c:legend>
    <c:plotVisOnly val="1"/>
    <c:dispBlanksAs val="gap"/>
    <c:showDLblsOverMax val="0"/>
  </c:chart>
  <c:printSettings>
    <c:headerFooter/>
    <c:pageMargins b="0.75000000000000189" l="0.70000000000000062" r="0.70000000000000062" t="0.6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a:t>AYLARA GÖRE GELEN YABANCI GÜNÜBİRLİKÇİLER (201</a:t>
            </a:r>
            <a:r>
              <a:rPr lang="tr-TR"/>
              <a:t>8</a:t>
            </a:r>
            <a:r>
              <a:rPr lang="en-US"/>
              <a:t>-201</a:t>
            </a:r>
            <a:r>
              <a:rPr lang="tr-TR"/>
              <a:t>9</a:t>
            </a:r>
            <a:r>
              <a:rPr lang="en-US"/>
              <a:t>)</a:t>
            </a:r>
          </a:p>
        </c:rich>
      </c:tx>
      <c:overlay val="0"/>
      <c:spPr>
        <a:noFill/>
        <a:ln>
          <a:noFill/>
        </a:ln>
      </c:spPr>
    </c:title>
    <c:autoTitleDeleted val="0"/>
    <c:plotArea>
      <c:layout>
        <c:manualLayout>
          <c:layoutTarget val="inner"/>
          <c:xMode val="edge"/>
          <c:yMode val="edge"/>
          <c:x val="7.4064742757974519E-2"/>
          <c:y val="0.10666047922716899"/>
          <c:w val="0.91532629189068848"/>
          <c:h val="0.82983723042224289"/>
        </c:manualLayout>
      </c:layout>
      <c:barChart>
        <c:barDir val="col"/>
        <c:grouping val="clustered"/>
        <c:varyColors val="0"/>
        <c:ser>
          <c:idx val="0"/>
          <c:order val="0"/>
          <c:tx>
            <c:strRef>
              <c:f>'G4-Aya Göre Günübirlikçi'!$B$3</c:f>
              <c:strCache>
                <c:ptCount val="1"/>
                <c:pt idx="0">
                  <c:v>2018</c:v>
                </c:pt>
              </c:strCache>
            </c:strRef>
          </c:tx>
          <c:spPr>
            <a:gradFill>
              <a:gsLst>
                <a:gs pos="0">
                  <a:srgbClr val="5E9EFF"/>
                </a:gs>
                <a:gs pos="39999">
                  <a:srgbClr val="85C2FF"/>
                </a:gs>
                <a:gs pos="70000">
                  <a:srgbClr val="C4D6EB"/>
                </a:gs>
                <a:gs pos="100000">
                  <a:srgbClr val="FFEBFA"/>
                </a:gs>
              </a:gsLst>
              <a:lin ang="5400000" scaled="0"/>
            </a:gradFill>
          </c:spPr>
          <c:invertIfNegative val="0"/>
          <c:cat>
            <c:strRef>
              <c:f>'G4-Aya Göre Günübirlikçi'!$C$2:$N$2</c:f>
              <c:strCache>
                <c:ptCount val="12"/>
                <c:pt idx="0">
                  <c:v>OCAK</c:v>
                </c:pt>
                <c:pt idx="1">
                  <c:v>ŞUBAT</c:v>
                </c:pt>
                <c:pt idx="2">
                  <c:v>MART</c:v>
                </c:pt>
                <c:pt idx="3">
                  <c:v>NİSAN</c:v>
                </c:pt>
                <c:pt idx="4">
                  <c:v>MAYIS</c:v>
                </c:pt>
                <c:pt idx="5">
                  <c:v>HAZİRAN</c:v>
                </c:pt>
                <c:pt idx="6">
                  <c:v>TEMMUZ</c:v>
                </c:pt>
                <c:pt idx="7">
                  <c:v>AĞUSTOS</c:v>
                </c:pt>
                <c:pt idx="8">
                  <c:v>EYLÜL</c:v>
                </c:pt>
                <c:pt idx="9">
                  <c:v>EKİM</c:v>
                </c:pt>
                <c:pt idx="10">
                  <c:v>KASIM</c:v>
                </c:pt>
                <c:pt idx="11">
                  <c:v>ARALIK</c:v>
                </c:pt>
              </c:strCache>
            </c:strRef>
          </c:cat>
          <c:val>
            <c:numRef>
              <c:f>'G4-Aya Göre Günübirlikçi'!$C$3:$N$3</c:f>
              <c:numCache>
                <c:formatCode>###\ ###\ ###</c:formatCode>
                <c:ptCount val="12"/>
                <c:pt idx="0">
                  <c:v>5005</c:v>
                </c:pt>
                <c:pt idx="1">
                  <c:v>4526</c:v>
                </c:pt>
                <c:pt idx="2">
                  <c:v>6473</c:v>
                </c:pt>
                <c:pt idx="3">
                  <c:v>15107</c:v>
                </c:pt>
                <c:pt idx="4">
                  <c:v>38777</c:v>
                </c:pt>
                <c:pt idx="5">
                  <c:v>42111</c:v>
                </c:pt>
                <c:pt idx="6">
                  <c:v>54250</c:v>
                </c:pt>
                <c:pt idx="7">
                  <c:v>59217</c:v>
                </c:pt>
                <c:pt idx="8">
                  <c:v>52254</c:v>
                </c:pt>
                <c:pt idx="9">
                  <c:v>48989</c:v>
                </c:pt>
                <c:pt idx="10">
                  <c:v>9407</c:v>
                </c:pt>
                <c:pt idx="11">
                  <c:v>6114</c:v>
                </c:pt>
              </c:numCache>
            </c:numRef>
          </c:val>
        </c:ser>
        <c:ser>
          <c:idx val="1"/>
          <c:order val="1"/>
          <c:tx>
            <c:strRef>
              <c:f>'G4-Aya Göre Günübirlikçi'!$B$4</c:f>
              <c:strCache>
                <c:ptCount val="1"/>
                <c:pt idx="0">
                  <c:v>2019</c:v>
                </c:pt>
              </c:strCache>
            </c:strRef>
          </c:tx>
          <c:spPr>
            <a:solidFill>
              <a:srgbClr val="C00000"/>
            </a:solidFill>
          </c:spPr>
          <c:invertIfNegative val="0"/>
          <c:val>
            <c:numRef>
              <c:f>'G4-Aya Göre Günübirlikçi'!$C$4:$N$4</c:f>
              <c:numCache>
                <c:formatCode>###\ ###\ ###</c:formatCode>
                <c:ptCount val="12"/>
                <c:pt idx="0">
                  <c:v>7589</c:v>
                </c:pt>
                <c:pt idx="1">
                  <c:v>8565</c:v>
                </c:pt>
                <c:pt idx="2">
                  <c:v>13594</c:v>
                </c:pt>
                <c:pt idx="3">
                  <c:v>33640</c:v>
                </c:pt>
                <c:pt idx="4">
                  <c:v>58228</c:v>
                </c:pt>
                <c:pt idx="5">
                  <c:v>60198</c:v>
                </c:pt>
                <c:pt idx="6">
                  <c:v>77293</c:v>
                </c:pt>
                <c:pt idx="7">
                  <c:v>84888</c:v>
                </c:pt>
                <c:pt idx="8">
                  <c:v>75094</c:v>
                </c:pt>
                <c:pt idx="9">
                  <c:v>54225</c:v>
                </c:pt>
                <c:pt idx="10">
                  <c:v>34240</c:v>
                </c:pt>
                <c:pt idx="11">
                  <c:v>31164</c:v>
                </c:pt>
              </c:numCache>
            </c:numRef>
          </c:val>
        </c:ser>
        <c:dLbls>
          <c:showLegendKey val="0"/>
          <c:showVal val="0"/>
          <c:showCatName val="0"/>
          <c:showSerName val="0"/>
          <c:showPercent val="0"/>
          <c:showBubbleSize val="0"/>
        </c:dLbls>
        <c:gapWidth val="150"/>
        <c:axId val="185005184"/>
        <c:axId val="185006720"/>
      </c:barChart>
      <c:catAx>
        <c:axId val="185005184"/>
        <c:scaling>
          <c:orientation val="minMax"/>
        </c:scaling>
        <c:delete val="0"/>
        <c:axPos val="b"/>
        <c:numFmt formatCode="General" sourceLinked="1"/>
        <c:majorTickMark val="out"/>
        <c:minorTickMark val="none"/>
        <c:tickLblPos val="nextTo"/>
        <c:crossAx val="185006720"/>
        <c:crosses val="autoZero"/>
        <c:auto val="0"/>
        <c:lblAlgn val="ctr"/>
        <c:lblOffset val="100"/>
        <c:noMultiLvlLbl val="0"/>
      </c:catAx>
      <c:valAx>
        <c:axId val="185006720"/>
        <c:scaling>
          <c:orientation val="minMax"/>
        </c:scaling>
        <c:delete val="0"/>
        <c:axPos val="l"/>
        <c:majorGridlines>
          <c:spPr>
            <a:ln/>
          </c:spPr>
        </c:majorGridlines>
        <c:numFmt formatCode="###\ ###\ ###" sourceLinked="1"/>
        <c:majorTickMark val="out"/>
        <c:minorTickMark val="none"/>
        <c:tickLblPos val="nextTo"/>
        <c:crossAx val="185005184"/>
        <c:crosses val="autoZero"/>
        <c:crossBetween val="between"/>
      </c:valAx>
      <c:spPr>
        <a:solidFill>
          <a:srgbClr val="FFFFCC"/>
        </a:solidFill>
        <a:ln w="12700">
          <a:solidFill>
            <a:srgbClr val="808080"/>
          </a:solidFill>
        </a:ln>
      </c:spPr>
    </c:plotArea>
    <c:legend>
      <c:legendPos val="r"/>
      <c:legendEntry>
        <c:idx val="0"/>
        <c:txPr>
          <a:bodyPr/>
          <a:lstStyle/>
          <a:p>
            <a:pPr>
              <a:defRPr sz="1400"/>
            </a:pPr>
            <a:endParaRPr lang="tr-TR"/>
          </a:p>
        </c:txPr>
      </c:legendEntry>
      <c:legendEntry>
        <c:idx val="1"/>
        <c:txPr>
          <a:bodyPr/>
          <a:lstStyle/>
          <a:p>
            <a:pPr>
              <a:defRPr sz="1400"/>
            </a:pPr>
            <a:endParaRPr lang="tr-TR"/>
          </a:p>
        </c:txPr>
      </c:legendEntry>
      <c:layout>
        <c:manualLayout>
          <c:xMode val="edge"/>
          <c:yMode val="edge"/>
          <c:x val="0.74333749401706173"/>
          <c:y val="0.13951135529280712"/>
          <c:w val="0.22923715584419652"/>
          <c:h val="6.1256848597347355E-2"/>
        </c:manualLayout>
      </c:layout>
      <c:overlay val="0"/>
      <c:spPr>
        <a:ln>
          <a:solidFill>
            <a:srgbClr val="92D050"/>
          </a:solidFill>
        </a:ln>
      </c:spPr>
    </c:legend>
    <c:plotVisOnly val="1"/>
    <c:dispBlanksAs val="gap"/>
    <c:showDLblsOverMax val="0"/>
  </c:chart>
  <c:printSettings>
    <c:headerFooter/>
    <c:pageMargins b="0.75000000000000189" l="0.70000000000000062" r="0.70000000000000062" t="0.75000000000000189"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sz="1400" baseline="0"/>
            </a:pPr>
            <a:r>
              <a:rPr lang="en-US" sz="1400" baseline="0"/>
              <a:t>MİLLİYETLERİNE GÖRE GELEN YABANCI ZİYARETÇİLER - 201</a:t>
            </a:r>
            <a:r>
              <a:rPr lang="tr-TR" sz="1400" baseline="0"/>
              <a:t>8</a:t>
            </a:r>
            <a:r>
              <a:rPr lang="en-US" sz="1400" baseline="0"/>
              <a:t> - 201</a:t>
            </a:r>
            <a:r>
              <a:rPr lang="tr-TR" sz="1400" baseline="0"/>
              <a:t>9</a:t>
            </a:r>
            <a:r>
              <a:rPr lang="en-US" sz="1400" baseline="0"/>
              <a:t> (İLK </a:t>
            </a:r>
            <a:r>
              <a:rPr lang="tr-TR" sz="1400" baseline="0"/>
              <a:t>10</a:t>
            </a:r>
            <a:r>
              <a:rPr lang="en-US" sz="1400" baseline="0"/>
              <a:t>)</a:t>
            </a:r>
          </a:p>
        </c:rich>
      </c:tx>
      <c:layout>
        <c:manualLayout>
          <c:xMode val="edge"/>
          <c:yMode val="edge"/>
          <c:x val="0.22673699089231397"/>
          <c:y val="1.055408970976256E-2"/>
        </c:manualLayout>
      </c:layout>
      <c:overlay val="0"/>
      <c:spPr>
        <a:noFill/>
        <a:ln>
          <a:noFill/>
        </a:ln>
      </c:spPr>
    </c:title>
    <c:autoTitleDeleted val="0"/>
    <c:view3D>
      <c:rotX val="15"/>
      <c:rotY val="20"/>
      <c:depthPercent val="100"/>
      <c:rAngAx val="1"/>
    </c:view3D>
    <c:floor>
      <c:thickness val="0"/>
      <c:spPr>
        <a:solidFill>
          <a:schemeClr val="bg2"/>
        </a:solidFill>
      </c:spPr>
    </c:floor>
    <c:sideWall>
      <c:thickness val="0"/>
      <c:spPr>
        <a:solidFill>
          <a:srgbClr val="FFFFCC"/>
        </a:solidFill>
        <a:ln w="12700">
          <a:solidFill>
            <a:srgbClr val="808080"/>
          </a:solidFill>
        </a:ln>
      </c:spPr>
    </c:sideWall>
    <c:backWall>
      <c:thickness val="0"/>
      <c:spPr>
        <a:solidFill>
          <a:srgbClr val="FFFFCC"/>
        </a:solidFill>
        <a:ln w="12700">
          <a:solidFill>
            <a:srgbClr val="808080"/>
          </a:solidFill>
        </a:ln>
      </c:spPr>
    </c:backWall>
    <c:plotArea>
      <c:layout>
        <c:manualLayout>
          <c:layoutTarget val="inner"/>
          <c:xMode val="edge"/>
          <c:yMode val="edge"/>
          <c:x val="7.2752379081213805E-2"/>
          <c:y val="5.9773222756541941E-2"/>
          <c:w val="0.91894680631331949"/>
          <c:h val="0.81142417883780349"/>
        </c:manualLayout>
      </c:layout>
      <c:bar3DChart>
        <c:barDir val="col"/>
        <c:grouping val="clustered"/>
        <c:varyColors val="0"/>
        <c:ser>
          <c:idx val="0"/>
          <c:order val="0"/>
          <c:tx>
            <c:strRef>
              <c:f>'G5-Milliyete Göre G.Yabancı'!$B$3</c:f>
              <c:strCache>
                <c:ptCount val="1"/>
                <c:pt idx="0">
                  <c:v>2018</c:v>
                </c:pt>
              </c:strCache>
            </c:strRef>
          </c:tx>
          <c:invertIfNegative val="0"/>
          <c:dLbls>
            <c:dLbl>
              <c:idx val="0"/>
              <c:layout>
                <c:manualLayout>
                  <c:x val="-2.1882051473423644E-3"/>
                  <c:y val="-7.0639979526368728E-3"/>
                </c:manualLayout>
              </c:layout>
              <c:showLegendKey val="0"/>
              <c:showVal val="1"/>
              <c:showCatName val="0"/>
              <c:showSerName val="0"/>
              <c:showPercent val="0"/>
              <c:showBubbleSize val="0"/>
            </c:dLbl>
            <c:dLbl>
              <c:idx val="1"/>
              <c:layout>
                <c:manualLayout>
                  <c:x val="-8.0938413503999201E-3"/>
                  <c:y val="-4.9458103451354297E-4"/>
                </c:manualLayout>
              </c:layout>
              <c:showLegendKey val="0"/>
              <c:showVal val="1"/>
              <c:showCatName val="0"/>
              <c:showSerName val="0"/>
              <c:showPercent val="0"/>
              <c:showBubbleSize val="0"/>
            </c:dLbl>
            <c:dLbl>
              <c:idx val="2"/>
              <c:layout>
                <c:manualLayout>
                  <c:x val="-3.8080412693135084E-3"/>
                  <c:y val="2.2134502316498036E-3"/>
                </c:manualLayout>
              </c:layout>
              <c:showLegendKey val="0"/>
              <c:showVal val="1"/>
              <c:showCatName val="0"/>
              <c:showSerName val="0"/>
              <c:showPercent val="0"/>
              <c:showBubbleSize val="0"/>
            </c:dLbl>
            <c:dLbl>
              <c:idx val="3"/>
              <c:layout>
                <c:manualLayout>
                  <c:x val="-5.4704631115422902E-3"/>
                  <c:y val="1.0789008516792544E-2"/>
                </c:manualLayout>
              </c:layout>
              <c:showLegendKey val="0"/>
              <c:showVal val="1"/>
              <c:showCatName val="0"/>
              <c:showSerName val="0"/>
              <c:showPercent val="0"/>
              <c:showBubbleSize val="0"/>
            </c:dLbl>
            <c:dLbl>
              <c:idx val="4"/>
              <c:layout>
                <c:manualLayout>
                  <c:x val="1.4092423281213072E-2"/>
                  <c:y val="1.9782393669634025E-3"/>
                </c:manualLayout>
              </c:layout>
              <c:showLegendKey val="0"/>
              <c:showVal val="1"/>
              <c:showCatName val="0"/>
              <c:showSerName val="0"/>
              <c:showPercent val="0"/>
              <c:showBubbleSize val="0"/>
            </c:dLbl>
            <c:dLbl>
              <c:idx val="5"/>
              <c:layout>
                <c:manualLayout>
                  <c:x val="1.9226729360251771E-2"/>
                  <c:y val="5.277070336534343E-3"/>
                </c:manualLayout>
              </c:layout>
              <c:showLegendKey val="0"/>
              <c:showVal val="1"/>
              <c:showCatName val="0"/>
              <c:showSerName val="0"/>
              <c:showPercent val="0"/>
              <c:showBubbleSize val="0"/>
            </c:dLbl>
            <c:dLbl>
              <c:idx val="6"/>
              <c:layout>
                <c:manualLayout>
                  <c:x val="2.5591810620601459E-3"/>
                  <c:y val="5.2770448548812724E-3"/>
                </c:manualLayout>
              </c:layout>
              <c:showLegendKey val="0"/>
              <c:showVal val="1"/>
              <c:showCatName val="0"/>
              <c:showSerName val="0"/>
              <c:showPercent val="0"/>
              <c:showBubbleSize val="0"/>
            </c:dLbl>
            <c:dLbl>
              <c:idx val="7"/>
              <c:layout>
                <c:manualLayout>
                  <c:x val="-1.2796912861899913E-3"/>
                  <c:y val="1.7590149516270909E-3"/>
                </c:manualLayout>
              </c:layout>
              <c:showLegendKey val="0"/>
              <c:showVal val="1"/>
              <c:showCatName val="0"/>
              <c:showSerName val="0"/>
              <c:showPercent val="0"/>
              <c:showBubbleSize val="0"/>
            </c:dLbl>
            <c:dLbl>
              <c:idx val="8"/>
              <c:layout>
                <c:manualLayout>
                  <c:x val="-1.1692851189809804E-3"/>
                  <c:y val="3.5180126293737094E-3"/>
                </c:manualLayout>
              </c:layout>
              <c:showLegendKey val="0"/>
              <c:showVal val="1"/>
              <c:showCatName val="0"/>
              <c:showSerName val="0"/>
              <c:showPercent val="0"/>
              <c:showBubbleSize val="0"/>
            </c:dLbl>
            <c:dLbl>
              <c:idx val="9"/>
              <c:layout>
                <c:manualLayout>
                  <c:x val="3.7914691943127963E-3"/>
                  <c:y val="5.9347181008902079E-3"/>
                </c:manualLayout>
              </c:layout>
              <c:showLegendKey val="0"/>
              <c:showVal val="1"/>
              <c:showCatName val="0"/>
              <c:showSerName val="0"/>
              <c:showPercent val="0"/>
              <c:showBubbleSize val="0"/>
            </c:dLbl>
            <c:txPr>
              <a:bodyPr rot="-2700000"/>
              <a:lstStyle/>
              <a:p>
                <a:pPr>
                  <a:defRPr sz="1000" b="1" i="0" baseline="0">
                    <a:solidFill>
                      <a:srgbClr val="0070C0"/>
                    </a:solidFill>
                  </a:defRPr>
                </a:pPr>
                <a:endParaRPr lang="tr-TR"/>
              </a:p>
            </c:txPr>
            <c:showLegendKey val="0"/>
            <c:showVal val="1"/>
            <c:showCatName val="0"/>
            <c:showSerName val="0"/>
            <c:showPercent val="0"/>
            <c:showBubbleSize val="0"/>
            <c:showLeaderLines val="0"/>
          </c:dLbls>
          <c:cat>
            <c:strRef>
              <c:f>'G5-Milliyete Göre G.Yabancı'!$C$2:$L$2</c:f>
              <c:strCache>
                <c:ptCount val="10"/>
                <c:pt idx="0">
                  <c:v>Rusya Fed.</c:v>
                </c:pt>
                <c:pt idx="1">
                  <c:v>Almanya</c:v>
                </c:pt>
                <c:pt idx="2">
                  <c:v>Bulgaristan</c:v>
                </c:pt>
                <c:pt idx="3">
                  <c:v>İngiltere (Birleşik Krallık)</c:v>
                </c:pt>
                <c:pt idx="4">
                  <c:v>İran</c:v>
                </c:pt>
                <c:pt idx="5">
                  <c:v>Gürcistan</c:v>
                </c:pt>
                <c:pt idx="6">
                  <c:v>Ukrayna</c:v>
                </c:pt>
                <c:pt idx="7">
                  <c:v>Irak</c:v>
                </c:pt>
                <c:pt idx="8">
                  <c:v>Hollanda</c:v>
                </c:pt>
                <c:pt idx="9">
                  <c:v>Azerbaycan</c:v>
                </c:pt>
              </c:strCache>
            </c:strRef>
          </c:cat>
          <c:val>
            <c:numRef>
              <c:f>'G5-Milliyete Göre G.Yabancı'!$C$3:$L$3</c:f>
              <c:numCache>
                <c:formatCode>###\ ###\ ###</c:formatCode>
                <c:ptCount val="10"/>
                <c:pt idx="0">
                  <c:v>5964613</c:v>
                </c:pt>
                <c:pt idx="1">
                  <c:v>4512360</c:v>
                </c:pt>
                <c:pt idx="2">
                  <c:v>2386885</c:v>
                </c:pt>
                <c:pt idx="3">
                  <c:v>2254871</c:v>
                </c:pt>
                <c:pt idx="4">
                  <c:v>2001744</c:v>
                </c:pt>
                <c:pt idx="5">
                  <c:v>2069392</c:v>
                </c:pt>
                <c:pt idx="6">
                  <c:v>1386934</c:v>
                </c:pt>
                <c:pt idx="7">
                  <c:v>1172896</c:v>
                </c:pt>
                <c:pt idx="8">
                  <c:v>1013642</c:v>
                </c:pt>
                <c:pt idx="9">
                  <c:v>858506</c:v>
                </c:pt>
              </c:numCache>
            </c:numRef>
          </c:val>
        </c:ser>
        <c:ser>
          <c:idx val="1"/>
          <c:order val="1"/>
          <c:tx>
            <c:strRef>
              <c:f>'G5-Milliyete Göre G.Yabancı'!$B$4</c:f>
              <c:strCache>
                <c:ptCount val="1"/>
                <c:pt idx="0">
                  <c:v>2019</c:v>
                </c:pt>
              </c:strCache>
            </c:strRef>
          </c:tx>
          <c:spPr>
            <a:solidFill>
              <a:srgbClr val="DF402F"/>
            </a:solidFill>
          </c:spPr>
          <c:invertIfNegative val="0"/>
          <c:dLbls>
            <c:dLbl>
              <c:idx val="0"/>
              <c:layout>
                <c:manualLayout>
                  <c:x val="1.5728526825142117E-2"/>
                  <c:y val="3.29883096957094E-3"/>
                </c:manualLayout>
              </c:layout>
              <c:showLegendKey val="0"/>
              <c:showVal val="1"/>
              <c:showCatName val="0"/>
              <c:showSerName val="0"/>
              <c:showPercent val="0"/>
              <c:showBubbleSize val="0"/>
            </c:dLbl>
            <c:dLbl>
              <c:idx val="1"/>
              <c:layout>
                <c:manualLayout>
                  <c:x val="1.4560430426043193E-2"/>
                  <c:y val="-3.5181684083684826E-3"/>
                </c:manualLayout>
              </c:layout>
              <c:showLegendKey val="0"/>
              <c:showVal val="1"/>
              <c:showCatName val="0"/>
              <c:showSerName val="0"/>
              <c:showPercent val="0"/>
              <c:showBubbleSize val="0"/>
            </c:dLbl>
            <c:dLbl>
              <c:idx val="2"/>
              <c:layout>
                <c:manualLayout>
                  <c:x val="2.1754852620389831E-2"/>
                  <c:y val="-1.759153456741393E-3"/>
                </c:manualLayout>
              </c:layout>
              <c:showLegendKey val="0"/>
              <c:showVal val="1"/>
              <c:showCatName val="0"/>
              <c:showSerName val="0"/>
              <c:showPercent val="0"/>
              <c:showBubbleSize val="0"/>
            </c:dLbl>
            <c:dLbl>
              <c:idx val="3"/>
              <c:layout>
                <c:manualLayout>
                  <c:x val="2.0685034332320745E-2"/>
                  <c:y val="3.5178913981398813E-3"/>
                </c:manualLayout>
              </c:layout>
              <c:showLegendKey val="0"/>
              <c:showVal val="1"/>
              <c:showCatName val="0"/>
              <c:showSerName val="0"/>
              <c:showPercent val="0"/>
              <c:showBubbleSize val="0"/>
            </c:dLbl>
            <c:dLbl>
              <c:idx val="4"/>
              <c:layout>
                <c:manualLayout>
                  <c:x val="2.041561866378077E-2"/>
                  <c:y val="-1.1015833703279672E-3"/>
                </c:manualLayout>
              </c:layout>
              <c:showLegendKey val="0"/>
              <c:showVal val="1"/>
              <c:showCatName val="0"/>
              <c:showSerName val="0"/>
              <c:showPercent val="0"/>
              <c:showBubbleSize val="0"/>
            </c:dLbl>
            <c:dLbl>
              <c:idx val="5"/>
              <c:layout>
                <c:manualLayout>
                  <c:x val="2.0232542909103798E-2"/>
                  <c:y val="0"/>
                </c:manualLayout>
              </c:layout>
              <c:showLegendKey val="0"/>
              <c:showVal val="1"/>
              <c:showCatName val="0"/>
              <c:showSerName val="0"/>
              <c:showPercent val="0"/>
              <c:showBubbleSize val="0"/>
            </c:dLbl>
            <c:dLbl>
              <c:idx val="6"/>
              <c:layout>
                <c:manualLayout>
                  <c:x val="2.3032629558541268E-2"/>
                  <c:y val="3.5180299032541791E-3"/>
                </c:manualLayout>
              </c:layout>
              <c:showLegendKey val="0"/>
              <c:showVal val="1"/>
              <c:showCatName val="0"/>
              <c:showSerName val="0"/>
              <c:showPercent val="0"/>
              <c:showBubbleSize val="0"/>
            </c:dLbl>
            <c:dLbl>
              <c:idx val="7"/>
              <c:layout>
                <c:manualLayout>
                  <c:x val="1.5354884862041E-2"/>
                  <c:y val="3.5180299032541791E-3"/>
                </c:manualLayout>
              </c:layout>
              <c:showLegendKey val="0"/>
              <c:showVal val="1"/>
              <c:showCatName val="0"/>
              <c:showSerName val="0"/>
              <c:showPercent val="0"/>
              <c:showBubbleSize val="0"/>
            </c:dLbl>
            <c:dLbl>
              <c:idx val="8"/>
              <c:layout>
                <c:manualLayout>
                  <c:x val="1.7914065924101139E-2"/>
                  <c:y val="-7.0360598065083669E-3"/>
                </c:manualLayout>
              </c:layout>
              <c:showLegendKey val="0"/>
              <c:showVal val="1"/>
              <c:showCatName val="0"/>
              <c:showSerName val="0"/>
              <c:showPercent val="0"/>
              <c:showBubbleSize val="0"/>
            </c:dLbl>
            <c:dLbl>
              <c:idx val="9"/>
              <c:layout>
                <c:manualLayout>
                  <c:x val="1.6618875247229166E-2"/>
                  <c:y val="5.9347181008902079E-3"/>
                </c:manualLayout>
              </c:layout>
              <c:showLegendKey val="0"/>
              <c:showVal val="1"/>
              <c:showCatName val="0"/>
              <c:showSerName val="0"/>
              <c:showPercent val="0"/>
              <c:showBubbleSize val="0"/>
            </c:dLbl>
            <c:txPr>
              <a:bodyPr rot="-2700000"/>
              <a:lstStyle/>
              <a:p>
                <a:pPr>
                  <a:defRPr sz="1000" b="1" i="0" baseline="0">
                    <a:solidFill>
                      <a:srgbClr val="C00000"/>
                    </a:solidFill>
                  </a:defRPr>
                </a:pPr>
                <a:endParaRPr lang="tr-TR"/>
              </a:p>
            </c:txPr>
            <c:showLegendKey val="0"/>
            <c:showVal val="1"/>
            <c:showCatName val="0"/>
            <c:showSerName val="0"/>
            <c:showPercent val="0"/>
            <c:showBubbleSize val="0"/>
            <c:showLeaderLines val="0"/>
          </c:dLbls>
          <c:cat>
            <c:strRef>
              <c:f>'G5-Milliyete Göre G.Yabancı'!$C$2:$L$2</c:f>
              <c:strCache>
                <c:ptCount val="10"/>
                <c:pt idx="0">
                  <c:v>Rusya Fed.</c:v>
                </c:pt>
                <c:pt idx="1">
                  <c:v>Almanya</c:v>
                </c:pt>
                <c:pt idx="2">
                  <c:v>Bulgaristan</c:v>
                </c:pt>
                <c:pt idx="3">
                  <c:v>İngiltere (Birleşik Krallık)</c:v>
                </c:pt>
                <c:pt idx="4">
                  <c:v>İran</c:v>
                </c:pt>
                <c:pt idx="5">
                  <c:v>Gürcistan</c:v>
                </c:pt>
                <c:pt idx="6">
                  <c:v>Ukrayna</c:v>
                </c:pt>
                <c:pt idx="7">
                  <c:v>Irak</c:v>
                </c:pt>
                <c:pt idx="8">
                  <c:v>Hollanda</c:v>
                </c:pt>
                <c:pt idx="9">
                  <c:v>Azerbaycan</c:v>
                </c:pt>
              </c:strCache>
            </c:strRef>
          </c:cat>
          <c:val>
            <c:numRef>
              <c:f>'G5-Milliyete Göre G.Yabancı'!$C$4:$L$4</c:f>
              <c:numCache>
                <c:formatCode>###\ ###\ ###</c:formatCode>
                <c:ptCount val="10"/>
                <c:pt idx="0">
                  <c:v>7017657</c:v>
                </c:pt>
                <c:pt idx="1">
                  <c:v>5027472</c:v>
                </c:pt>
                <c:pt idx="2">
                  <c:v>2713464</c:v>
                </c:pt>
                <c:pt idx="3">
                  <c:v>2562064</c:v>
                </c:pt>
                <c:pt idx="4">
                  <c:v>2102890</c:v>
                </c:pt>
                <c:pt idx="5">
                  <c:v>1995254</c:v>
                </c:pt>
                <c:pt idx="6">
                  <c:v>1547996</c:v>
                </c:pt>
                <c:pt idx="7">
                  <c:v>1374896</c:v>
                </c:pt>
                <c:pt idx="8">
                  <c:v>1117290</c:v>
                </c:pt>
                <c:pt idx="9">
                  <c:v>901723</c:v>
                </c:pt>
              </c:numCache>
            </c:numRef>
          </c:val>
        </c:ser>
        <c:dLbls>
          <c:showLegendKey val="0"/>
          <c:showVal val="0"/>
          <c:showCatName val="0"/>
          <c:showSerName val="0"/>
          <c:showPercent val="0"/>
          <c:showBubbleSize val="0"/>
        </c:dLbls>
        <c:gapWidth val="150"/>
        <c:shape val="cylinder"/>
        <c:axId val="183375744"/>
        <c:axId val="183377280"/>
        <c:axId val="0"/>
      </c:bar3DChart>
      <c:catAx>
        <c:axId val="183375744"/>
        <c:scaling>
          <c:orientation val="minMax"/>
        </c:scaling>
        <c:delete val="0"/>
        <c:axPos val="b"/>
        <c:numFmt formatCode="General" sourceLinked="1"/>
        <c:majorTickMark val="out"/>
        <c:minorTickMark val="none"/>
        <c:tickLblPos val="nextTo"/>
        <c:txPr>
          <a:bodyPr/>
          <a:lstStyle/>
          <a:p>
            <a:pPr>
              <a:defRPr sz="1100" b="1" i="0" baseline="0"/>
            </a:pPr>
            <a:endParaRPr lang="tr-TR"/>
          </a:p>
        </c:txPr>
        <c:crossAx val="183377280"/>
        <c:crosses val="autoZero"/>
        <c:auto val="0"/>
        <c:lblAlgn val="ctr"/>
        <c:lblOffset val="100"/>
        <c:noMultiLvlLbl val="0"/>
      </c:catAx>
      <c:valAx>
        <c:axId val="183377280"/>
        <c:scaling>
          <c:orientation val="minMax"/>
        </c:scaling>
        <c:delete val="0"/>
        <c:axPos val="l"/>
        <c:majorGridlines>
          <c:spPr>
            <a:ln/>
          </c:spPr>
        </c:majorGridlines>
        <c:numFmt formatCode="###\ ###\ ###" sourceLinked="1"/>
        <c:majorTickMark val="out"/>
        <c:minorTickMark val="none"/>
        <c:tickLblPos val="nextTo"/>
        <c:txPr>
          <a:bodyPr/>
          <a:lstStyle/>
          <a:p>
            <a:pPr>
              <a:defRPr b="1" i="0" baseline="0"/>
            </a:pPr>
            <a:endParaRPr lang="tr-TR"/>
          </a:p>
        </c:txPr>
        <c:crossAx val="183375744"/>
        <c:crosses val="autoZero"/>
        <c:crossBetween val="between"/>
      </c:valAx>
    </c:plotArea>
    <c:legend>
      <c:legendPos val="r"/>
      <c:legendEntry>
        <c:idx val="0"/>
        <c:txPr>
          <a:bodyPr/>
          <a:lstStyle/>
          <a:p>
            <a:pPr>
              <a:defRPr sz="1400" b="1" i="0" baseline="0"/>
            </a:pPr>
            <a:endParaRPr lang="tr-TR"/>
          </a:p>
        </c:txPr>
      </c:legendEntry>
      <c:legendEntry>
        <c:idx val="1"/>
        <c:txPr>
          <a:bodyPr/>
          <a:lstStyle/>
          <a:p>
            <a:pPr>
              <a:defRPr sz="1400" b="1" i="0" baseline="0">
                <a:solidFill>
                  <a:sysClr val="windowText" lastClr="000000"/>
                </a:solidFill>
              </a:defRPr>
            </a:pPr>
            <a:endParaRPr lang="tr-TR"/>
          </a:p>
        </c:txPr>
      </c:legendEntry>
      <c:layout>
        <c:manualLayout>
          <c:xMode val="edge"/>
          <c:yMode val="edge"/>
          <c:x val="0.39114493125979294"/>
          <c:y val="7.4703010408659384E-2"/>
          <c:w val="0.21850408814061412"/>
          <c:h val="5.7762449878461908E-2"/>
        </c:manualLayout>
      </c:layout>
      <c:overlay val="0"/>
      <c:spPr>
        <a:solidFill>
          <a:schemeClr val="accent3">
            <a:lumMod val="20000"/>
            <a:lumOff val="80000"/>
          </a:schemeClr>
        </a:solidFill>
        <a:ln>
          <a:solidFill>
            <a:schemeClr val="bg2">
              <a:lumMod val="75000"/>
            </a:schemeClr>
          </a:solidFill>
        </a:ln>
      </c:spPr>
    </c:legend>
    <c:plotVisOnly val="1"/>
    <c:dispBlanksAs val="gap"/>
    <c:showDLblsOverMax val="0"/>
  </c:chart>
  <c:printSettings>
    <c:headerFooter/>
    <c:pageMargins b="0.74803149606299313" l="0.70866141732283583" r="0.70866141732283583" t="0.74803149606299313" header="0.31496062992126073" footer="0.3149606299212607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304;&#231;indekiler!A1"/><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304;&#231;indekiler!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2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304;&#231;indekiler!A1"/></Relationships>
</file>

<file path=xl/drawings/_rels/drawing2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304;&#231;indekiler!A1"/></Relationships>
</file>

<file path=xl/drawings/_rels/drawing2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304;&#231;indekiler!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304;&#231;indekiler!A1"/><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304;&#231;indekiler!A1"/><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304;&#231;indekiler!A1"/><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304;&#231;indekiler!A1"/><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11</xdr:col>
      <xdr:colOff>38100</xdr:colOff>
      <xdr:row>57</xdr:row>
      <xdr:rowOff>43303</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
          <a:ext cx="6200774" cy="93968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47625</xdr:rowOff>
    </xdr:from>
    <xdr:to>
      <xdr:col>14</xdr:col>
      <xdr:colOff>638175</xdr:colOff>
      <xdr:row>37</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xdr:col>
      <xdr:colOff>104775</xdr:colOff>
      <xdr:row>1</xdr:row>
      <xdr:rowOff>0</xdr:rowOff>
    </xdr:to>
    <xdr:pic>
      <xdr:nvPicPr>
        <xdr:cNvPr id="3" name="Picture 2">
          <a:hlinkClick xmlns:r="http://schemas.openxmlformats.org/officeDocument/2006/relationships" r:id="rId2" tooltip="İçindekiler Sekmesine Dönmek İçim Tıklayınız"/>
        </xdr:cNvPr>
        <xdr:cNvPicPr>
          <a:picLocks noChangeAspect="1"/>
        </xdr:cNvPicPr>
      </xdr:nvPicPr>
      <xdr:blipFill>
        <a:blip xmlns:r="http://schemas.openxmlformats.org/officeDocument/2006/relationships" r:embed="rId3" cstate="print"/>
        <a:stretch>
          <a:fillRect/>
        </a:stretch>
      </xdr:blipFill>
      <xdr:spPr>
        <a:xfrm>
          <a:off x="0" y="0"/>
          <a:ext cx="714375" cy="381000"/>
        </a:xfrm>
        <a:prstGeom prst="rect">
          <a:avLst/>
        </a:prstGeom>
        <a:ln w="9525" cmpd="sng">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2</xdr:row>
      <xdr:rowOff>47625</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180975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0</xdr:row>
      <xdr:rowOff>381000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76201</xdr:colOff>
      <xdr:row>0</xdr:row>
      <xdr:rowOff>85724</xdr:rowOff>
    </xdr:from>
    <xdr:to>
      <xdr:col>10</xdr:col>
      <xdr:colOff>544286</xdr:colOff>
      <xdr:row>5</xdr:row>
      <xdr:rowOff>95250</xdr:rowOff>
    </xdr:to>
    <xdr:sp macro="" textlink="">
      <xdr:nvSpPr>
        <xdr:cNvPr id="10" name="Rectangle 20"/>
        <xdr:cNvSpPr>
          <a:spLocks noChangeArrowheads="1"/>
        </xdr:cNvSpPr>
      </xdr:nvSpPr>
      <xdr:spPr bwMode="auto">
        <a:xfrm>
          <a:off x="76201" y="85724"/>
          <a:ext cx="6564085" cy="819151"/>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just" rtl="0">
            <a:defRPr sz="1000"/>
          </a:pPr>
          <a:r>
            <a:rPr lang="tr-TR" sz="1300" b="1" i="0" u="none" strike="noStrike" baseline="0">
              <a:solidFill>
                <a:srgbClr val="000000"/>
              </a:solidFill>
              <a:latin typeface="Times New Roman"/>
              <a:cs typeface="Times New Roman"/>
            </a:rPr>
            <a:t>BU YAYININ 5846 SAYILI FİKİR VE SANAT ESERLERİ KANUNU’NA GÖRE HER HAKKI  T.C. KÜLTÜR VE TURİZM BAKANLIĞI’NA AİTTİR. GERÇEK VE TÜZEL KİŞİLER TARAFINDAN İZİNSİZ ÇOĞALTILAMAZ VE DAĞITILAMAZ.</a:t>
          </a:r>
        </a:p>
      </xdr:txBody>
    </xdr:sp>
    <xdr:clientData/>
  </xdr:twoCellAnchor>
  <xdr:twoCellAnchor>
    <xdr:from>
      <xdr:col>0</xdr:col>
      <xdr:colOff>81644</xdr:colOff>
      <xdr:row>6</xdr:row>
      <xdr:rowOff>44451</xdr:rowOff>
    </xdr:from>
    <xdr:to>
      <xdr:col>5</xdr:col>
      <xdr:colOff>222251</xdr:colOff>
      <xdr:row>8</xdr:row>
      <xdr:rowOff>127001</xdr:rowOff>
    </xdr:to>
    <xdr:sp macro="" textlink="">
      <xdr:nvSpPr>
        <xdr:cNvPr id="11" name="Rectangle 18"/>
        <xdr:cNvSpPr>
          <a:spLocks noChangeArrowheads="1"/>
        </xdr:cNvSpPr>
      </xdr:nvSpPr>
      <xdr:spPr bwMode="auto">
        <a:xfrm>
          <a:off x="81644" y="1016001"/>
          <a:ext cx="3188607" cy="4064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600" b="1" i="0" u="none" strike="noStrike" baseline="0">
              <a:solidFill>
                <a:srgbClr val="000000"/>
              </a:solidFill>
              <a:latin typeface="Times New Roman"/>
              <a:cs typeface="Times New Roman"/>
            </a:rPr>
            <a:t>YAYIN NO   :   2020 /4</a:t>
          </a:r>
          <a:endParaRPr lang="tr-TR" sz="1600" b="0" i="0" u="none" strike="noStrike" baseline="0">
            <a:solidFill>
              <a:srgbClr val="000000"/>
            </a:solidFill>
            <a:latin typeface="Times New Roman"/>
            <a:cs typeface="Times New Roman"/>
          </a:endParaRPr>
        </a:p>
        <a:p>
          <a:pPr algn="l" rtl="0">
            <a:defRPr sz="1000"/>
          </a:pPr>
          <a:r>
            <a:rPr lang="tr-TR" sz="600" b="0" i="0" u="none" strike="noStrike" baseline="0">
              <a:solidFill>
                <a:srgbClr val="000000"/>
              </a:solidFill>
              <a:latin typeface="Times New Roman"/>
              <a:cs typeface="Times New Roman"/>
            </a:rPr>
            <a:t> </a:t>
          </a:r>
        </a:p>
      </xdr:txBody>
    </xdr:sp>
    <xdr:clientData/>
  </xdr:twoCellAnchor>
  <xdr:twoCellAnchor>
    <xdr:from>
      <xdr:col>5</xdr:col>
      <xdr:colOff>403226</xdr:colOff>
      <xdr:row>6</xdr:row>
      <xdr:rowOff>42334</xdr:rowOff>
    </xdr:from>
    <xdr:to>
      <xdr:col>10</xdr:col>
      <xdr:colOff>539750</xdr:colOff>
      <xdr:row>8</xdr:row>
      <xdr:rowOff>126999</xdr:rowOff>
    </xdr:to>
    <xdr:sp macro="" textlink="">
      <xdr:nvSpPr>
        <xdr:cNvPr id="12" name="Rectangle 17"/>
        <xdr:cNvSpPr>
          <a:spLocks noChangeArrowheads="1"/>
        </xdr:cNvSpPr>
      </xdr:nvSpPr>
      <xdr:spPr bwMode="auto">
        <a:xfrm>
          <a:off x="3451226" y="1013884"/>
          <a:ext cx="3184524" cy="40851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200" b="1" i="0" u="none" strike="noStrike" baseline="0">
              <a:solidFill>
                <a:srgbClr val="000000"/>
              </a:solidFill>
              <a:latin typeface="Arial"/>
              <a:cs typeface="Arial"/>
            </a:rPr>
            <a:t>       </a:t>
          </a:r>
          <a:r>
            <a:rPr lang="tr-TR" sz="1400" b="1" i="0" u="none" strike="noStrike" baseline="0">
              <a:solidFill>
                <a:srgbClr val="000000"/>
              </a:solidFill>
              <a:latin typeface="Times New Roman"/>
              <a:cs typeface="Times New Roman"/>
            </a:rPr>
            <a:t>  ISSN – 1300 - 6932</a:t>
          </a:r>
          <a:endParaRPr lang="tr-TR" sz="14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Times New Roman"/>
              <a:cs typeface="Times New Roman"/>
            </a:rPr>
            <a:t>    </a:t>
          </a:r>
        </a:p>
      </xdr:txBody>
    </xdr:sp>
    <xdr:clientData/>
  </xdr:twoCellAnchor>
  <xdr:twoCellAnchor>
    <xdr:from>
      <xdr:col>0</xdr:col>
      <xdr:colOff>81643</xdr:colOff>
      <xdr:row>9</xdr:row>
      <xdr:rowOff>38554</xdr:rowOff>
    </xdr:from>
    <xdr:to>
      <xdr:col>10</xdr:col>
      <xdr:colOff>542018</xdr:colOff>
      <xdr:row>32</xdr:row>
      <xdr:rowOff>95705</xdr:rowOff>
    </xdr:to>
    <xdr:sp macro="" textlink="">
      <xdr:nvSpPr>
        <xdr:cNvPr id="13" name="Rectangle 16"/>
        <xdr:cNvSpPr>
          <a:spLocks noChangeArrowheads="1"/>
        </xdr:cNvSpPr>
      </xdr:nvSpPr>
      <xdr:spPr bwMode="auto">
        <a:xfrm>
          <a:off x="81643" y="1495879"/>
          <a:ext cx="6556375" cy="3781426"/>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000" b="1" i="0" u="none" strike="noStrike" baseline="0">
              <a:solidFill>
                <a:srgbClr val="000000"/>
              </a:solidFill>
              <a:latin typeface="Times New Roman"/>
              <a:cs typeface="Times New Roman"/>
            </a:rPr>
            <a:t>    </a:t>
          </a:r>
        </a:p>
        <a:p>
          <a:pPr algn="l" rtl="0">
            <a:defRPr sz="1000"/>
          </a:pPr>
          <a:r>
            <a:rPr lang="tr-TR" sz="1000" b="1" i="0" u="none" strike="noStrike" baseline="0">
              <a:solidFill>
                <a:srgbClr val="000000"/>
              </a:solidFill>
              <a:latin typeface="Times New Roman"/>
              <a:cs typeface="Times New Roman"/>
            </a:rPr>
            <a:t>                                                 </a:t>
          </a:r>
          <a:r>
            <a:rPr lang="tr-TR" sz="1800" b="1" i="0" u="none" strike="noStrike" baseline="0">
              <a:solidFill>
                <a:srgbClr val="000000"/>
              </a:solidFill>
              <a:latin typeface="Times New Roman"/>
              <a:cs typeface="Times New Roman"/>
            </a:rPr>
            <a:t> BİLGİ TALEPLERİ İÇİN </a:t>
          </a:r>
        </a:p>
        <a:p>
          <a:pPr algn="l" rtl="0">
            <a:defRPr sz="1000"/>
          </a:pPr>
          <a:endParaRPr lang="tr-TR" sz="1000" b="1" i="0" u="none" strike="noStrike" baseline="0">
            <a:solidFill>
              <a:srgbClr val="000000"/>
            </a:solidFill>
            <a:latin typeface="Times New Roman"/>
            <a:cs typeface="Times New Roman"/>
          </a:endParaRPr>
        </a:p>
        <a:p>
          <a:pPr algn="l" rtl="0">
            <a:defRPr sz="1000"/>
          </a:pPr>
          <a:r>
            <a:rPr lang="tr-TR" sz="1800" b="1" i="0" u="sng" strike="noStrike" baseline="0">
              <a:solidFill>
                <a:srgbClr val="000000"/>
              </a:solidFill>
              <a:latin typeface="Times New Roman"/>
              <a:cs typeface="Times New Roman"/>
            </a:rPr>
            <a:t>ADRES :</a:t>
          </a:r>
          <a:r>
            <a:rPr lang="tr-TR" sz="1200" b="1" i="0" u="sng" strike="noStrike" baseline="0">
              <a:solidFill>
                <a:srgbClr val="000000"/>
              </a:solidFill>
              <a:latin typeface="Times New Roman"/>
              <a:cs typeface="Times New Roman"/>
            </a:rPr>
            <a:t> </a:t>
          </a:r>
          <a:r>
            <a:rPr lang="tr-TR" sz="1200" b="1" i="0" u="none" strike="noStrike" baseline="0">
              <a:solidFill>
                <a:srgbClr val="000000"/>
              </a:solidFill>
              <a:latin typeface="Times New Roman"/>
              <a:cs typeface="Times New Roman"/>
            </a:rPr>
            <a:t>                                           </a:t>
          </a:r>
          <a:endParaRPr lang="tr-TR" sz="1200" b="1" i="0" u="sng"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T.C. KÜLTÜR  VE TURİZM BAKANLIĞI</a:t>
          </a:r>
        </a:p>
        <a:p>
          <a:pPr algn="l" rtl="0">
            <a:defRPr sz="1000"/>
          </a:pPr>
          <a:r>
            <a:rPr lang="tr-TR" sz="1400" b="1" i="0" u="none" strike="noStrike" baseline="0">
              <a:solidFill>
                <a:srgbClr val="000000"/>
              </a:solidFill>
              <a:latin typeface="Times New Roman"/>
              <a:cs typeface="Times New Roman"/>
            </a:rPr>
            <a:t>YATIRIM VE İŞLETMELER GENEL MÜDÜRLÜĞÜ</a:t>
          </a:r>
        </a:p>
        <a:p>
          <a:pPr algn="l" rtl="0">
            <a:defRPr sz="1000"/>
          </a:pPr>
          <a:r>
            <a:rPr lang="tr-TR" sz="1400" b="1" i="0" u="none" strike="noStrike" baseline="0">
              <a:solidFill>
                <a:srgbClr val="000000"/>
              </a:solidFill>
              <a:latin typeface="Times New Roman"/>
              <a:cs typeface="Times New Roman"/>
            </a:rPr>
            <a:t>ARAŞTIRMA VE DEĞERLENDİRME DAİRE BAŞKANLIĞI</a:t>
          </a:r>
        </a:p>
        <a:p>
          <a:pPr algn="l" rtl="0">
            <a:defRPr sz="1000"/>
          </a:pPr>
          <a:r>
            <a:rPr lang="tr-TR" sz="1400" b="1" i="0" u="none" strike="noStrike" baseline="0">
              <a:solidFill>
                <a:srgbClr val="000000"/>
              </a:solidFill>
              <a:latin typeface="Times New Roman"/>
              <a:cs typeface="Times New Roman"/>
            </a:rPr>
            <a:t>İSMET İNÖNÜ BULVARI       NO :  32</a:t>
          </a:r>
        </a:p>
        <a:p>
          <a:pPr algn="l" rtl="0">
            <a:defRPr sz="1000"/>
          </a:pPr>
          <a:endParaRPr lang="tr-TR" sz="1400" b="1" i="0" u="none"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                                                                              EMEK/ANKARA</a:t>
          </a:r>
        </a:p>
        <a:p>
          <a:pPr algn="l" rtl="0">
            <a:defRPr sz="1000"/>
          </a:pPr>
          <a:endParaRPr lang="tr-TR" sz="1200" b="1" i="0" u="sng" strike="noStrike" baseline="0">
            <a:solidFill>
              <a:srgbClr val="000000"/>
            </a:solidFill>
            <a:latin typeface="Times New Roman"/>
            <a:cs typeface="Times New Roman"/>
          </a:endParaRPr>
        </a:p>
        <a:p>
          <a:pPr algn="l" rtl="0">
            <a:defRPr sz="1000"/>
          </a:pPr>
          <a:r>
            <a:rPr lang="tr-TR" sz="1600" b="1" i="0" u="sng" strike="noStrike" baseline="0">
              <a:solidFill>
                <a:srgbClr val="000000"/>
              </a:solidFill>
              <a:latin typeface="Times New Roman"/>
              <a:cs typeface="Times New Roman"/>
            </a:rPr>
            <a:t>TELEFON </a:t>
          </a:r>
          <a:r>
            <a:rPr lang="tr-TR" sz="1000" b="1" i="0" u="sng" strike="noStrike" baseline="0">
              <a:solidFill>
                <a:srgbClr val="000000"/>
              </a:solidFill>
              <a:latin typeface="Times New Roman"/>
              <a:cs typeface="Times New Roman"/>
            </a:rPr>
            <a:t>:  </a:t>
          </a:r>
        </a:p>
        <a:p>
          <a:pPr algn="l" rtl="0">
            <a:defRPr sz="1000"/>
          </a:pPr>
          <a:r>
            <a:rPr lang="tr-TR" sz="1600" b="1" i="0" u="none" strike="noStrike" baseline="0">
              <a:solidFill>
                <a:srgbClr val="000000"/>
              </a:solidFill>
              <a:latin typeface="Times New Roman"/>
              <a:cs typeface="Times New Roman"/>
            </a:rPr>
            <a:t>+ (312) 470 71 17          + (312) 470 71 38        + (312) 470 80 00</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FAKS :</a:t>
          </a:r>
        </a:p>
        <a:p>
          <a:pPr algn="l" rtl="0">
            <a:defRPr sz="1000"/>
          </a:pPr>
          <a:r>
            <a:rPr lang="tr-TR" sz="1600" b="1" i="0" u="none" strike="noStrike" baseline="0">
              <a:solidFill>
                <a:srgbClr val="000000"/>
              </a:solidFill>
              <a:latin typeface="Times New Roman"/>
              <a:cs typeface="Times New Roman"/>
            </a:rPr>
            <a:t>+ (312) 212 20 05                         </a:t>
          </a:r>
        </a:p>
      </xdr:txBody>
    </xdr:sp>
    <xdr:clientData/>
  </xdr:twoCellAnchor>
  <xdr:twoCellAnchor>
    <xdr:from>
      <xdr:col>0</xdr:col>
      <xdr:colOff>79375</xdr:colOff>
      <xdr:row>34</xdr:row>
      <xdr:rowOff>59267</xdr:rowOff>
    </xdr:from>
    <xdr:to>
      <xdr:col>10</xdr:col>
      <xdr:colOff>544286</xdr:colOff>
      <xdr:row>37</xdr:row>
      <xdr:rowOff>68792</xdr:rowOff>
    </xdr:to>
    <xdr:sp macro="" textlink="">
      <xdr:nvSpPr>
        <xdr:cNvPr id="14" name="Rectangle 15"/>
        <xdr:cNvSpPr>
          <a:spLocks noChangeArrowheads="1"/>
        </xdr:cNvSpPr>
      </xdr:nvSpPr>
      <xdr:spPr bwMode="auto">
        <a:xfrm>
          <a:off x="79375" y="5564717"/>
          <a:ext cx="6560911" cy="4953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500" b="0" i="0" u="none" strike="noStrike" baseline="0">
              <a:solidFill>
                <a:srgbClr val="000000"/>
              </a:solidFill>
              <a:latin typeface="Times New Roman"/>
              <a:cs typeface="Times New Roman"/>
            </a:rPr>
            <a:t> </a:t>
          </a:r>
          <a:endParaRPr lang="tr-TR" sz="1000" b="0" i="0" u="none" strike="noStrike" baseline="0">
            <a:solidFill>
              <a:srgbClr val="000000"/>
            </a:solidFill>
            <a:latin typeface="Times New Roman"/>
            <a:cs typeface="Times New Roman"/>
          </a:endParaRPr>
        </a:p>
        <a:p>
          <a:pPr algn="l" rtl="0">
            <a:defRPr sz="1000"/>
          </a:pPr>
          <a:r>
            <a:rPr lang="tr-TR" sz="1200" b="1" i="0" u="none" strike="noStrike" baseline="0">
              <a:solidFill>
                <a:srgbClr val="000000"/>
              </a:solidFill>
              <a:latin typeface="Times New Roman"/>
              <a:cs typeface="Times New Roman"/>
            </a:rPr>
            <a:t>E- Posta</a:t>
          </a:r>
          <a:r>
            <a:rPr lang="tr-TR" sz="1200" b="0" i="0" u="none" strike="noStrike" baseline="0">
              <a:solidFill>
                <a:srgbClr val="000000"/>
              </a:solidFill>
              <a:latin typeface="Times New Roman"/>
              <a:cs typeface="Times New Roman"/>
            </a:rPr>
            <a:t> :   </a:t>
          </a:r>
          <a:r>
            <a:rPr lang="tr-TR" sz="1200" b="1" i="0" u="none" strike="noStrike" baseline="0">
              <a:solidFill>
                <a:srgbClr val="000000"/>
              </a:solidFill>
              <a:latin typeface="Times New Roman"/>
              <a:cs typeface="Times New Roman"/>
            </a:rPr>
            <a:t>istatistik@ktb.gov.tr                    Internet Web  :  http:// www.ktb.gov.tr</a:t>
          </a:r>
        </a:p>
      </xdr:txBody>
    </xdr:sp>
    <xdr:clientData/>
  </xdr:twoCellAnchor>
  <xdr:twoCellAnchor>
    <xdr:from>
      <xdr:col>0</xdr:col>
      <xdr:colOff>63500</xdr:colOff>
      <xdr:row>38</xdr:row>
      <xdr:rowOff>142876</xdr:rowOff>
    </xdr:from>
    <xdr:to>
      <xdr:col>10</xdr:col>
      <xdr:colOff>539750</xdr:colOff>
      <xdr:row>66</xdr:row>
      <xdr:rowOff>105834</xdr:rowOff>
    </xdr:to>
    <xdr:sp macro="" textlink="">
      <xdr:nvSpPr>
        <xdr:cNvPr id="15" name="Rectangle 14"/>
        <xdr:cNvSpPr>
          <a:spLocks noChangeArrowheads="1"/>
        </xdr:cNvSpPr>
      </xdr:nvSpPr>
      <xdr:spPr bwMode="auto">
        <a:xfrm>
          <a:off x="63500" y="6296026"/>
          <a:ext cx="6572250" cy="4496858"/>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YÖNETİM</a:t>
          </a:r>
          <a:r>
            <a:rPr lang="tr-TR" sz="1600" b="0" i="0" u="none" strike="noStrike" baseline="0">
              <a:solidFill>
                <a:srgbClr val="000000"/>
              </a:solidFill>
              <a:latin typeface="Times New Roman"/>
              <a:cs typeface="Times New Roman"/>
            </a:rPr>
            <a:t> </a:t>
          </a: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400" b="1" i="0" u="none" strike="noStrike" baseline="0">
              <a:solidFill>
                <a:srgbClr val="000000"/>
              </a:solidFill>
              <a:latin typeface="Arial"/>
              <a:cs typeface="Arial"/>
            </a:rPr>
            <a:t> </a:t>
          </a:r>
          <a:r>
            <a:rPr lang="tr-TR" sz="1100" b="1" i="0" u="none" strike="noStrike" baseline="0">
              <a:solidFill>
                <a:srgbClr val="000000"/>
              </a:solidFill>
              <a:latin typeface="Times New Roman"/>
              <a:cs typeface="Times New Roman"/>
            </a:rPr>
            <a:t> </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VERİ HAZIRLAMA VE DEĞERLENDİRME</a:t>
          </a:r>
          <a:r>
            <a:rPr lang="tr-TR" sz="1600" b="0" i="0" u="none" strike="noStrike" baseline="0">
              <a:solidFill>
                <a:srgbClr val="000000"/>
              </a:solidFill>
              <a:latin typeface="Times New Roman"/>
              <a:cs typeface="Times New Roman"/>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p>
      </xdr:txBody>
    </xdr:sp>
    <xdr:clientData/>
  </xdr:twoCellAnchor>
  <xdr:twoCellAnchor>
    <xdr:from>
      <xdr:col>0</xdr:col>
      <xdr:colOff>145595</xdr:colOff>
      <xdr:row>42</xdr:row>
      <xdr:rowOff>57151</xdr:rowOff>
    </xdr:from>
    <xdr:to>
      <xdr:col>10</xdr:col>
      <xdr:colOff>454024</xdr:colOff>
      <xdr:row>50</xdr:row>
      <xdr:rowOff>76201</xdr:rowOff>
    </xdr:to>
    <xdr:sp macro="" textlink="">
      <xdr:nvSpPr>
        <xdr:cNvPr id="16" name="Rectangle 13"/>
        <xdr:cNvSpPr>
          <a:spLocks noChangeArrowheads="1"/>
        </xdr:cNvSpPr>
      </xdr:nvSpPr>
      <xdr:spPr bwMode="auto">
        <a:xfrm>
          <a:off x="145595" y="6858001"/>
          <a:ext cx="6404429" cy="13144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GENEL MÜDÜR                                                   :  ŞENNUR ALDEMİR DOĞAN</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GENEL MÜDÜR YARDIMCISI                         :  Dr. ZEHRA GAMGAM  </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DAİRE BAŞKANI V.                                             :  HALİL SAĞKURT</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ŞUBE MÜDÜRÜ                                                    :  </a:t>
          </a:r>
        </a:p>
      </xdr:txBody>
    </xdr:sp>
    <xdr:clientData/>
  </xdr:twoCellAnchor>
  <xdr:twoCellAnchor>
    <xdr:from>
      <xdr:col>0</xdr:col>
      <xdr:colOff>142875</xdr:colOff>
      <xdr:row>55</xdr:row>
      <xdr:rowOff>136526</xdr:rowOff>
    </xdr:from>
    <xdr:to>
      <xdr:col>10</xdr:col>
      <xdr:colOff>458562</xdr:colOff>
      <xdr:row>65</xdr:row>
      <xdr:rowOff>9526</xdr:rowOff>
    </xdr:to>
    <xdr:sp macro="" textlink="">
      <xdr:nvSpPr>
        <xdr:cNvPr id="17" name="Rectangle 13"/>
        <xdr:cNvSpPr>
          <a:spLocks noChangeArrowheads="1"/>
        </xdr:cNvSpPr>
      </xdr:nvSpPr>
      <xdr:spPr bwMode="auto">
        <a:xfrm>
          <a:off x="142875" y="9042401"/>
          <a:ext cx="6411687" cy="14922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p>
        <a:p>
          <a:pPr algn="l" rtl="0">
            <a:lnSpc>
              <a:spcPts val="1000"/>
            </a:lnSpc>
            <a:defRPr sz="1000"/>
          </a:pPr>
          <a:endParaRPr lang="tr-TR" sz="1000" b="1" i="0" u="none" strike="noStrike" baseline="0">
            <a:solidFill>
              <a:srgbClr val="000000"/>
            </a:solidFill>
            <a:latin typeface="Arial"/>
            <a:cs typeface="Arial"/>
          </a:endParaRPr>
        </a:p>
        <a:p>
          <a:pPr algn="l" rtl="0">
            <a:lnSpc>
              <a:spcPts val="1000"/>
            </a:lnSpc>
            <a:defRPr sz="1000"/>
          </a:pPr>
          <a:r>
            <a:rPr lang="tr-TR" sz="1200" b="1" i="0" u="none" strike="noStrike" baseline="0">
              <a:solidFill>
                <a:srgbClr val="000000"/>
              </a:solidFill>
              <a:latin typeface="Times New Roman"/>
              <a:cs typeface="Times New Roman"/>
            </a:rPr>
            <a:t>VERİ  DEĞERLENDİRME                               :   HÜDAVERDİ ARIK          </a:t>
          </a:r>
          <a:r>
            <a:rPr lang="tr-TR" sz="1400" b="1" i="0" u="none" strike="noStrike" baseline="0">
              <a:solidFill>
                <a:srgbClr val="000000"/>
              </a:solidFill>
              <a:latin typeface="Times New Roman"/>
              <a:cs typeface="Times New Roman"/>
            </a:rPr>
            <a:t>İstatistikçi</a:t>
          </a:r>
        </a:p>
        <a:p>
          <a:pPr algn="l" rtl="0">
            <a:lnSpc>
              <a:spcPts val="1100"/>
            </a:lnSpc>
            <a:defRPr sz="1000"/>
          </a:pPr>
          <a:endParaRPr lang="tr-TR" sz="1200" b="1" i="0" u="none" strike="noStrike" baseline="0">
            <a:solidFill>
              <a:srgbClr val="000000"/>
            </a:solidFill>
            <a:latin typeface="Times New Roman"/>
            <a:cs typeface="Times New Roman"/>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VERİ HAZIRLAMA                                           :   HÜDAVERDİ ARIK       </a:t>
          </a:r>
          <a:r>
            <a:rPr lang="tr-TR" sz="1100" b="0" i="0" u="none" strike="noStrike" baseline="0">
              <a:solidFill>
                <a:srgbClr val="000000"/>
              </a:solidFill>
              <a:latin typeface="Times New Roman"/>
              <a:cs typeface="Times New Roman"/>
            </a:rPr>
            <a:t>   </a:t>
          </a:r>
          <a:r>
            <a:rPr lang="tr-TR" sz="1400" b="1" i="0" baseline="0">
              <a:effectLst/>
              <a:latin typeface="Times New Roman" panose="02020603050405020304" pitchFamily="18" charset="0"/>
              <a:ea typeface="+mn-ea"/>
              <a:cs typeface="Times New Roman" panose="02020603050405020304" pitchFamily="18" charset="0"/>
            </a:rPr>
            <a:t>İstatistikçi</a:t>
          </a:r>
          <a:endParaRPr lang="tr-TR" sz="1100" b="0" i="0" u="none" strike="noStrike" baseline="0">
            <a:solidFill>
              <a:srgbClr val="000000"/>
            </a:solidFill>
            <a:latin typeface="Times New Roman"/>
            <a:cs typeface="Times New Roman"/>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   MUKADDES GÜLEÇ       Bilgisayar İşletmeni</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   H. AVNİ ALTINDAL         İşçi </a:t>
          </a:r>
        </a:p>
        <a:p>
          <a:pPr marL="0" marR="0" indent="0" algn="l" defTabSz="914400" rtl="0" eaLnBrk="1" fontAlgn="auto" latinLnBrk="0" hangingPunct="1">
            <a:lnSpc>
              <a:spcPts val="1100"/>
            </a:lnSpc>
            <a:spcBef>
              <a:spcPts val="0"/>
            </a:spcBef>
            <a:spcAft>
              <a:spcPts val="0"/>
            </a:spcAft>
            <a:buClrTx/>
            <a:buSzTx/>
            <a:buFontTx/>
            <a:buNone/>
            <a:tabLst/>
            <a:defRPr sz="1000"/>
          </a:pPr>
          <a:endParaRPr lang="tr-TR" sz="1200" b="1" i="0" u="none" strike="noStrike" baseline="0">
            <a:solidFill>
              <a:srgbClr val="000000"/>
            </a:solidFill>
            <a:latin typeface="Times New Roman"/>
            <a:cs typeface="Times New Roman"/>
          </a:endParaRPr>
        </a:p>
        <a:p>
          <a:pPr marL="0" marR="0" indent="0" algn="l" defTabSz="914400" rtl="0" eaLnBrk="1" fontAlgn="auto" latinLnBrk="0" hangingPunct="1">
            <a:lnSpc>
              <a:spcPts val="1100"/>
            </a:lnSpc>
            <a:spcBef>
              <a:spcPts val="0"/>
            </a:spcBef>
            <a:spcAft>
              <a:spcPts val="0"/>
            </a:spcAft>
            <a:buClrTx/>
            <a:buSzTx/>
            <a:buFontTx/>
            <a:buNone/>
            <a:tabLst/>
            <a:defRPr sz="1000"/>
          </a:pPr>
          <a:endParaRPr lang="tr-TR" sz="1200" b="1" i="0" u="none" strike="noStrike" baseline="0">
            <a:solidFill>
              <a:srgbClr val="000000"/>
            </a:solidFill>
            <a:latin typeface="Times New Roman"/>
            <a:cs typeface="Times New Roman"/>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95250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152400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2</xdr:row>
      <xdr:rowOff>19050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95250</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2</xdr:row>
      <xdr:rowOff>95250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0</xdr:row>
      <xdr:rowOff>76200</xdr:rowOff>
    </xdr:from>
    <xdr:to>
      <xdr:col>12</xdr:col>
      <xdr:colOff>552450</xdr:colOff>
      <xdr:row>29</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xdr:col>
      <xdr:colOff>104775</xdr:colOff>
      <xdr:row>1</xdr:row>
      <xdr:rowOff>0</xdr:rowOff>
    </xdr:to>
    <xdr:pic>
      <xdr:nvPicPr>
        <xdr:cNvPr id="3" name="Picture 2">
          <a:hlinkClick xmlns:r="http://schemas.openxmlformats.org/officeDocument/2006/relationships" r:id="rId2" tooltip="İçindekiler Sekmesine Dönmek İçim Tıklayınız"/>
        </xdr:cNvPr>
        <xdr:cNvPicPr>
          <a:picLocks noChangeAspect="1"/>
        </xdr:cNvPicPr>
      </xdr:nvPicPr>
      <xdr:blipFill>
        <a:blip xmlns:r="http://schemas.openxmlformats.org/officeDocument/2006/relationships" r:embed="rId3" cstate="print"/>
        <a:stretch>
          <a:fillRect/>
        </a:stretch>
      </xdr:blipFill>
      <xdr:spPr>
        <a:xfrm>
          <a:off x="0" y="0"/>
          <a:ext cx="714375" cy="381000"/>
        </a:xfrm>
        <a:prstGeom prst="rect">
          <a:avLst/>
        </a:prstGeom>
        <a:ln w="9525" cmpd="sng">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28576</xdr:colOff>
      <xdr:row>0</xdr:row>
      <xdr:rowOff>28575</xdr:rowOff>
    </xdr:from>
    <xdr:to>
      <xdr:col>12</xdr:col>
      <xdr:colOff>581025</xdr:colOff>
      <xdr:row>29</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xdr:col>
      <xdr:colOff>104775</xdr:colOff>
      <xdr:row>1</xdr:row>
      <xdr:rowOff>0</xdr:rowOff>
    </xdr:to>
    <xdr:pic>
      <xdr:nvPicPr>
        <xdr:cNvPr id="3" name="Picture 2">
          <a:hlinkClick xmlns:r="http://schemas.openxmlformats.org/officeDocument/2006/relationships" r:id="rId2" tooltip="İçindekiler Sekmesine Dönmek İçim Tıklayınız"/>
        </xdr:cNvPr>
        <xdr:cNvPicPr>
          <a:picLocks noChangeAspect="1"/>
        </xdr:cNvPicPr>
      </xdr:nvPicPr>
      <xdr:blipFill>
        <a:blip xmlns:r="http://schemas.openxmlformats.org/officeDocument/2006/relationships" r:embed="rId3" cstate="print"/>
        <a:stretch>
          <a:fillRect/>
        </a:stretch>
      </xdr:blipFill>
      <xdr:spPr>
        <a:xfrm>
          <a:off x="0" y="0"/>
          <a:ext cx="714375" cy="381000"/>
        </a:xfrm>
        <a:prstGeom prst="rect">
          <a:avLst/>
        </a:prstGeom>
        <a:ln w="9525" cmpd="sng">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76201</xdr:colOff>
      <xdr:row>0</xdr:row>
      <xdr:rowOff>38100</xdr:rowOff>
    </xdr:from>
    <xdr:to>
      <xdr:col>14</xdr:col>
      <xdr:colOff>590550</xdr:colOff>
      <xdr:row>33</xdr:row>
      <xdr:rowOff>133349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xdr:col>
      <xdr:colOff>104775</xdr:colOff>
      <xdr:row>1</xdr:row>
      <xdr:rowOff>0</xdr:rowOff>
    </xdr:to>
    <xdr:pic>
      <xdr:nvPicPr>
        <xdr:cNvPr id="3" name="Picture 2">
          <a:hlinkClick xmlns:r="http://schemas.openxmlformats.org/officeDocument/2006/relationships" r:id="rId2" tooltip="İçindekiler Sekmesine Dönmek İçim Tıklayınız"/>
        </xdr:cNvPr>
        <xdr:cNvPicPr>
          <a:picLocks noChangeAspect="1"/>
        </xdr:cNvPicPr>
      </xdr:nvPicPr>
      <xdr:blipFill>
        <a:blip xmlns:r="http://schemas.openxmlformats.org/officeDocument/2006/relationships" r:embed="rId3" cstate="print"/>
        <a:stretch>
          <a:fillRect/>
        </a:stretch>
      </xdr:blipFill>
      <xdr:spPr>
        <a:xfrm>
          <a:off x="0" y="0"/>
          <a:ext cx="714375" cy="381000"/>
        </a:xfrm>
        <a:prstGeom prst="rect">
          <a:avLst/>
        </a:prstGeom>
        <a:ln w="9525" cmpd="sng">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13</xdr:col>
      <xdr:colOff>619124</xdr:colOff>
      <xdr:row>35</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xdr:col>
      <xdr:colOff>104775</xdr:colOff>
      <xdr:row>1</xdr:row>
      <xdr:rowOff>0</xdr:rowOff>
    </xdr:to>
    <xdr:pic>
      <xdr:nvPicPr>
        <xdr:cNvPr id="3" name="Picture 2">
          <a:hlinkClick xmlns:r="http://schemas.openxmlformats.org/officeDocument/2006/relationships" r:id="rId2" tooltip="İçindekiler Sekmesine Dönmek İçim Tıklayınız"/>
        </xdr:cNvPr>
        <xdr:cNvPicPr>
          <a:picLocks noChangeAspect="1"/>
        </xdr:cNvPicPr>
      </xdr:nvPicPr>
      <xdr:blipFill>
        <a:blip xmlns:r="http://schemas.openxmlformats.org/officeDocument/2006/relationships" r:embed="rId3" cstate="print"/>
        <a:stretch>
          <a:fillRect/>
        </a:stretch>
      </xdr:blipFill>
      <xdr:spPr>
        <a:xfrm>
          <a:off x="0" y="0"/>
          <a:ext cx="714375" cy="381000"/>
        </a:xfrm>
        <a:prstGeom prst="rect">
          <a:avLst/>
        </a:prstGeom>
        <a:ln w="9525" cmpd="sng">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abSelected="1" showWhiteSpace="0" topLeftCell="B1" zoomScaleNormal="100" workbookViewId="0">
      <selection activeCell="M4" sqref="M4"/>
    </sheetView>
  </sheetViews>
  <sheetFormatPr defaultRowHeight="12.75" x14ac:dyDescent="0.2"/>
  <cols>
    <col min="1" max="1" width="1" style="147" customWidth="1"/>
    <col min="2" max="7" width="9.140625" style="147"/>
    <col min="8" max="10" width="9.140625" style="147" customWidth="1"/>
    <col min="11" max="11" width="9.140625" style="147"/>
    <col min="12" max="12" width="0.85546875" style="147" customWidth="1"/>
    <col min="13" max="16384" width="9.140625" style="147"/>
  </cols>
  <sheetData>
    <row r="1" spans="1:12" ht="3.75" customHeight="1" x14ac:dyDescent="0.2">
      <c r="A1" s="150"/>
      <c r="B1" s="151"/>
      <c r="C1" s="151"/>
      <c r="D1" s="151"/>
      <c r="E1" s="151"/>
      <c r="F1" s="151"/>
      <c r="G1" s="151"/>
      <c r="H1" s="151"/>
      <c r="I1" s="151"/>
      <c r="J1" s="152"/>
      <c r="K1" s="151"/>
      <c r="L1" s="153"/>
    </row>
    <row r="2" spans="1:12" x14ac:dyDescent="0.2">
      <c r="A2" s="154"/>
      <c r="B2" s="155"/>
      <c r="C2" s="156"/>
      <c r="D2" s="156"/>
      <c r="E2" s="156"/>
      <c r="F2" s="156"/>
      <c r="G2" s="156"/>
      <c r="H2" s="156"/>
      <c r="I2" s="156"/>
      <c r="J2" s="156"/>
      <c r="K2" s="157"/>
      <c r="L2" s="158"/>
    </row>
    <row r="3" spans="1:12" x14ac:dyDescent="0.2">
      <c r="A3" s="154"/>
      <c r="B3" s="116"/>
      <c r="C3" s="159"/>
      <c r="D3" s="159"/>
      <c r="E3" s="159"/>
      <c r="F3" s="159"/>
      <c r="G3" s="159"/>
      <c r="H3" s="159"/>
      <c r="J3" s="159"/>
      <c r="K3" s="160"/>
      <c r="L3" s="158"/>
    </row>
    <row r="4" spans="1:12" x14ac:dyDescent="0.2">
      <c r="A4" s="154"/>
      <c r="B4" s="161"/>
      <c r="C4" s="159"/>
      <c r="D4" s="159"/>
      <c r="E4" s="159"/>
      <c r="F4" s="159"/>
      <c r="G4" s="159"/>
      <c r="H4" s="159"/>
      <c r="I4" s="159"/>
      <c r="J4" s="159"/>
      <c r="K4" s="160"/>
      <c r="L4" s="158"/>
    </row>
    <row r="5" spans="1:12" x14ac:dyDescent="0.2">
      <c r="A5" s="154"/>
      <c r="B5" s="161"/>
      <c r="C5" s="159"/>
      <c r="D5" s="159"/>
      <c r="E5" s="159"/>
      <c r="F5" s="159"/>
      <c r="G5" s="159"/>
      <c r="H5" s="159"/>
      <c r="I5" s="159"/>
      <c r="J5" s="159"/>
      <c r="K5" s="160"/>
      <c r="L5" s="158"/>
    </row>
    <row r="6" spans="1:12" x14ac:dyDescent="0.2">
      <c r="A6" s="154"/>
      <c r="B6" s="161"/>
      <c r="C6" s="159"/>
      <c r="D6" s="159"/>
      <c r="E6" s="159"/>
      <c r="F6" s="159"/>
      <c r="G6" s="159"/>
      <c r="H6" s="159"/>
      <c r="I6" s="159"/>
      <c r="J6" s="159"/>
      <c r="K6" s="160"/>
      <c r="L6" s="158"/>
    </row>
    <row r="7" spans="1:12" x14ac:dyDescent="0.2">
      <c r="A7" s="154"/>
      <c r="B7" s="161"/>
      <c r="C7" s="159"/>
      <c r="D7" s="159"/>
      <c r="E7" s="159"/>
      <c r="F7" s="159"/>
      <c r="G7" s="159"/>
      <c r="H7" s="159"/>
      <c r="I7" s="159"/>
      <c r="J7" s="159"/>
      <c r="K7" s="160"/>
      <c r="L7" s="158"/>
    </row>
    <row r="8" spans="1:12" ht="15.75" x14ac:dyDescent="0.25">
      <c r="A8" s="154"/>
      <c r="B8" s="162"/>
      <c r="C8" s="163"/>
      <c r="D8" s="164"/>
      <c r="E8" s="165"/>
      <c r="F8" s="159"/>
      <c r="G8" s="541"/>
      <c r="H8" s="541"/>
      <c r="I8" s="541"/>
      <c r="J8" s="541"/>
      <c r="K8" s="160"/>
      <c r="L8" s="158"/>
    </row>
    <row r="9" spans="1:12" x14ac:dyDescent="0.2">
      <c r="A9" s="154"/>
      <c r="B9" s="161"/>
      <c r="C9" s="159"/>
      <c r="D9" s="159"/>
      <c r="E9" s="159"/>
      <c r="F9" s="159"/>
      <c r="G9" s="159"/>
      <c r="H9" s="159"/>
      <c r="I9" s="159"/>
      <c r="J9" s="159"/>
      <c r="K9" s="160"/>
      <c r="L9" s="158"/>
    </row>
    <row r="10" spans="1:12" x14ac:dyDescent="0.2">
      <c r="A10" s="154"/>
      <c r="B10" s="161"/>
      <c r="C10" s="159"/>
      <c r="D10" s="159"/>
      <c r="E10" s="159"/>
      <c r="F10" s="159"/>
      <c r="G10" s="159"/>
      <c r="H10" s="159"/>
      <c r="I10" s="159"/>
      <c r="J10" s="159"/>
      <c r="K10" s="160"/>
      <c r="L10" s="158"/>
    </row>
    <row r="11" spans="1:12" x14ac:dyDescent="0.2">
      <c r="A11" s="154"/>
      <c r="B11" s="161"/>
      <c r="C11" s="159"/>
      <c r="D11" s="159"/>
      <c r="E11" s="159"/>
      <c r="F11" s="159"/>
      <c r="G11" s="159"/>
      <c r="H11" s="159"/>
      <c r="I11" s="159"/>
      <c r="J11" s="159"/>
      <c r="K11" s="160"/>
      <c r="L11" s="158"/>
    </row>
    <row r="12" spans="1:12" x14ac:dyDescent="0.2">
      <c r="A12" s="154"/>
      <c r="B12" s="161"/>
      <c r="C12" s="159"/>
      <c r="D12" s="159"/>
      <c r="E12" s="159"/>
      <c r="F12" s="159"/>
      <c r="G12" s="159"/>
      <c r="H12" s="159"/>
      <c r="I12" s="159"/>
      <c r="J12" s="159"/>
      <c r="K12" s="160"/>
      <c r="L12" s="158"/>
    </row>
    <row r="13" spans="1:12" x14ac:dyDescent="0.2">
      <c r="A13" s="154"/>
      <c r="B13" s="161"/>
      <c r="C13" s="159"/>
      <c r="D13" s="159"/>
      <c r="E13" s="159"/>
      <c r="F13" s="159"/>
      <c r="G13" s="159"/>
      <c r="H13" s="159"/>
      <c r="I13" s="159"/>
      <c r="J13" s="159"/>
      <c r="K13" s="160"/>
      <c r="L13" s="158"/>
    </row>
    <row r="14" spans="1:12" x14ac:dyDescent="0.2">
      <c r="A14" s="154"/>
      <c r="B14" s="161"/>
      <c r="C14" s="159"/>
      <c r="D14" s="159"/>
      <c r="E14" s="159"/>
      <c r="F14" s="159"/>
      <c r="G14" s="159"/>
      <c r="H14" s="159"/>
      <c r="I14" s="159"/>
      <c r="J14" s="159"/>
      <c r="K14" s="160"/>
      <c r="L14" s="158"/>
    </row>
    <row r="15" spans="1:12" x14ac:dyDescent="0.2">
      <c r="A15" s="154"/>
      <c r="B15" s="161"/>
      <c r="C15" s="159"/>
      <c r="D15" s="159"/>
      <c r="E15" s="159"/>
      <c r="F15" s="159"/>
      <c r="G15" s="159"/>
      <c r="H15" s="159"/>
      <c r="I15" s="159"/>
      <c r="J15" s="159"/>
      <c r="K15" s="160"/>
      <c r="L15" s="158"/>
    </row>
    <row r="16" spans="1:12" x14ac:dyDescent="0.2">
      <c r="A16" s="154"/>
      <c r="B16" s="161"/>
      <c r="C16" s="159"/>
      <c r="D16" s="159"/>
      <c r="E16" s="159"/>
      <c r="F16" s="159"/>
      <c r="G16" s="159"/>
      <c r="H16" s="159"/>
      <c r="I16" s="159"/>
      <c r="J16" s="159"/>
      <c r="K16" s="160"/>
      <c r="L16" s="158"/>
    </row>
    <row r="17" spans="1:12" x14ac:dyDescent="0.2">
      <c r="A17" s="154"/>
      <c r="B17" s="161"/>
      <c r="C17" s="159"/>
      <c r="D17" s="159"/>
      <c r="E17" s="159"/>
      <c r="F17" s="159"/>
      <c r="G17" s="159"/>
      <c r="H17" s="159"/>
      <c r="I17" s="159"/>
      <c r="J17" s="159"/>
      <c r="K17" s="160"/>
      <c r="L17" s="158"/>
    </row>
    <row r="18" spans="1:12" x14ac:dyDescent="0.2">
      <c r="A18" s="154"/>
      <c r="B18" s="161"/>
      <c r="C18" s="159"/>
      <c r="D18" s="159"/>
      <c r="E18" s="159"/>
      <c r="F18" s="159"/>
      <c r="G18" s="159"/>
      <c r="H18" s="159"/>
      <c r="I18" s="159"/>
      <c r="J18" s="159"/>
      <c r="K18" s="160"/>
      <c r="L18" s="158"/>
    </row>
    <row r="19" spans="1:12" x14ac:dyDescent="0.2">
      <c r="A19" s="154"/>
      <c r="B19" s="161"/>
      <c r="C19" s="159"/>
      <c r="D19" s="159"/>
      <c r="E19" s="159"/>
      <c r="F19" s="159"/>
      <c r="G19" s="159"/>
      <c r="H19" s="159"/>
      <c r="I19" s="159"/>
      <c r="J19" s="159"/>
      <c r="K19" s="160"/>
      <c r="L19" s="158"/>
    </row>
    <row r="20" spans="1:12" x14ac:dyDescent="0.2">
      <c r="A20" s="154"/>
      <c r="B20" s="161"/>
      <c r="C20" s="159"/>
      <c r="D20" s="159"/>
      <c r="E20" s="159"/>
      <c r="F20" s="159"/>
      <c r="G20" s="159"/>
      <c r="H20" s="159"/>
      <c r="I20" s="159"/>
      <c r="J20" s="159"/>
      <c r="K20" s="160"/>
      <c r="L20" s="158"/>
    </row>
    <row r="21" spans="1:12" x14ac:dyDescent="0.2">
      <c r="A21" s="154"/>
      <c r="B21" s="161"/>
      <c r="C21" s="159"/>
      <c r="D21" s="159"/>
      <c r="E21" s="159"/>
      <c r="F21" s="159"/>
      <c r="G21" s="159"/>
      <c r="H21" s="159"/>
      <c r="I21" s="159"/>
      <c r="J21" s="159"/>
      <c r="K21" s="160"/>
      <c r="L21" s="158"/>
    </row>
    <row r="22" spans="1:12" x14ac:dyDescent="0.2">
      <c r="A22" s="154"/>
      <c r="B22" s="161"/>
      <c r="C22" s="159"/>
      <c r="D22" s="159"/>
      <c r="E22" s="159"/>
      <c r="F22" s="159"/>
      <c r="G22" s="159"/>
      <c r="H22" s="159"/>
      <c r="I22" s="159"/>
      <c r="J22" s="159"/>
      <c r="K22" s="160"/>
      <c r="L22" s="158"/>
    </row>
    <row r="23" spans="1:12" x14ac:dyDescent="0.2">
      <c r="A23" s="154"/>
      <c r="B23" s="161"/>
      <c r="C23" s="159"/>
      <c r="D23" s="159"/>
      <c r="E23" s="159"/>
      <c r="F23" s="159"/>
      <c r="G23" s="159"/>
      <c r="H23" s="159"/>
      <c r="I23" s="159"/>
      <c r="J23" s="159"/>
      <c r="K23" s="160"/>
      <c r="L23" s="158"/>
    </row>
    <row r="24" spans="1:12" x14ac:dyDescent="0.2">
      <c r="A24" s="154"/>
      <c r="B24" s="161"/>
      <c r="C24" s="159"/>
      <c r="D24" s="159"/>
      <c r="E24" s="159"/>
      <c r="F24" s="159"/>
      <c r="G24" s="159"/>
      <c r="H24" s="159"/>
      <c r="I24" s="159"/>
      <c r="J24" s="159"/>
      <c r="K24" s="160"/>
      <c r="L24" s="158"/>
    </row>
    <row r="25" spans="1:12" x14ac:dyDescent="0.2">
      <c r="A25" s="154"/>
      <c r="B25" s="161"/>
      <c r="C25" s="159"/>
      <c r="D25" s="159"/>
      <c r="E25" s="159"/>
      <c r="F25" s="159"/>
      <c r="G25" s="159"/>
      <c r="H25" s="159"/>
      <c r="I25" s="159"/>
      <c r="J25" s="159"/>
      <c r="K25" s="160"/>
      <c r="L25" s="158"/>
    </row>
    <row r="26" spans="1:12" x14ac:dyDescent="0.2">
      <c r="A26" s="154"/>
      <c r="B26" s="161"/>
      <c r="C26" s="159"/>
      <c r="D26" s="159"/>
      <c r="E26" s="159"/>
      <c r="F26" s="159"/>
      <c r="G26" s="159"/>
      <c r="H26" s="159"/>
      <c r="I26" s="159"/>
      <c r="J26" s="159"/>
      <c r="K26" s="160"/>
      <c r="L26" s="158"/>
    </row>
    <row r="27" spans="1:12" ht="33.75" x14ac:dyDescent="0.5">
      <c r="A27" s="154"/>
      <c r="B27" s="161"/>
      <c r="C27" s="159"/>
      <c r="D27" s="542"/>
      <c r="E27" s="542"/>
      <c r="F27" s="542"/>
      <c r="G27" s="542"/>
      <c r="H27" s="542"/>
      <c r="I27" s="542"/>
      <c r="J27" s="542"/>
      <c r="K27" s="160"/>
      <c r="L27" s="158"/>
    </row>
    <row r="28" spans="1:12" x14ac:dyDescent="0.2">
      <c r="A28" s="154"/>
      <c r="B28" s="161"/>
      <c r="C28" s="159"/>
      <c r="D28" s="159"/>
      <c r="E28" s="159"/>
      <c r="F28" s="159"/>
      <c r="G28" s="159"/>
      <c r="H28" s="159"/>
      <c r="I28" s="159"/>
      <c r="J28" s="159"/>
      <c r="K28" s="160"/>
      <c r="L28" s="158"/>
    </row>
    <row r="29" spans="1:12" ht="33.75" x14ac:dyDescent="0.5">
      <c r="A29" s="154"/>
      <c r="B29" s="161"/>
      <c r="C29" s="159"/>
      <c r="D29" s="159"/>
      <c r="E29" s="159"/>
      <c r="F29" s="159"/>
      <c r="G29" s="159"/>
      <c r="H29" s="542"/>
      <c r="I29" s="542"/>
      <c r="J29" s="542"/>
      <c r="K29" s="160"/>
      <c r="L29" s="158"/>
    </row>
    <row r="30" spans="1:12" x14ac:dyDescent="0.2">
      <c r="A30" s="154"/>
      <c r="B30" s="161"/>
      <c r="C30" s="159"/>
      <c r="D30" s="159"/>
      <c r="E30" s="159"/>
      <c r="F30" s="159"/>
      <c r="G30" s="159"/>
      <c r="H30" s="159"/>
      <c r="I30" s="159"/>
      <c r="J30" s="159"/>
      <c r="K30" s="160"/>
      <c r="L30" s="158"/>
    </row>
    <row r="31" spans="1:12" x14ac:dyDescent="0.2">
      <c r="A31" s="154"/>
      <c r="B31" s="161"/>
      <c r="C31" s="159"/>
      <c r="D31" s="159"/>
      <c r="E31" s="159"/>
      <c r="F31" s="159"/>
      <c r="G31" s="159"/>
      <c r="H31" s="159"/>
      <c r="I31" s="159"/>
      <c r="J31" s="159"/>
      <c r="K31" s="160"/>
      <c r="L31" s="158"/>
    </row>
    <row r="32" spans="1:12" x14ac:dyDescent="0.2">
      <c r="A32" s="154"/>
      <c r="B32" s="161"/>
      <c r="C32" s="159"/>
      <c r="D32" s="159"/>
      <c r="E32" s="159"/>
      <c r="F32" s="159"/>
      <c r="G32" s="159"/>
      <c r="H32" s="159"/>
      <c r="I32" s="159"/>
      <c r="J32" s="159"/>
      <c r="K32" s="160"/>
      <c r="L32" s="158"/>
    </row>
    <row r="33" spans="1:12" x14ac:dyDescent="0.2">
      <c r="A33" s="154"/>
      <c r="B33" s="161"/>
      <c r="C33" s="159"/>
      <c r="D33" s="159"/>
      <c r="E33" s="159"/>
      <c r="F33" s="159"/>
      <c r="G33" s="159"/>
      <c r="H33" s="159"/>
      <c r="I33" s="159"/>
      <c r="J33" s="159"/>
      <c r="K33" s="160"/>
      <c r="L33" s="158"/>
    </row>
    <row r="34" spans="1:12" x14ac:dyDescent="0.2">
      <c r="A34" s="154"/>
      <c r="B34" s="161"/>
      <c r="C34" s="159"/>
      <c r="D34" s="159"/>
      <c r="E34" s="159"/>
      <c r="F34" s="159"/>
      <c r="G34" s="159"/>
      <c r="H34" s="159"/>
      <c r="I34" s="159"/>
      <c r="J34" s="159"/>
      <c r="K34" s="160"/>
      <c r="L34" s="158"/>
    </row>
    <row r="35" spans="1:12" x14ac:dyDescent="0.2">
      <c r="A35" s="154"/>
      <c r="B35" s="161"/>
      <c r="C35" s="159"/>
      <c r="D35" s="159"/>
      <c r="E35" s="159"/>
      <c r="F35" s="159"/>
      <c r="G35" s="159"/>
      <c r="H35" s="159"/>
      <c r="I35" s="159"/>
      <c r="J35" s="159"/>
      <c r="K35" s="160"/>
      <c r="L35" s="158"/>
    </row>
    <row r="36" spans="1:12" x14ac:dyDescent="0.2">
      <c r="A36" s="154"/>
      <c r="B36" s="161"/>
      <c r="C36" s="159"/>
      <c r="D36" s="159"/>
      <c r="E36" s="159"/>
      <c r="F36" s="159"/>
      <c r="G36" s="159"/>
      <c r="H36" s="159"/>
      <c r="I36" s="159"/>
      <c r="J36" s="159"/>
      <c r="K36" s="160"/>
      <c r="L36" s="158"/>
    </row>
    <row r="37" spans="1:12" x14ac:dyDescent="0.2">
      <c r="A37" s="154"/>
      <c r="B37" s="161"/>
      <c r="C37" s="159"/>
      <c r="D37" s="159"/>
      <c r="E37" s="159"/>
      <c r="F37" s="159"/>
      <c r="G37" s="159"/>
      <c r="H37" s="159"/>
      <c r="I37" s="159"/>
      <c r="J37" s="159"/>
      <c r="K37" s="160"/>
      <c r="L37" s="158"/>
    </row>
    <row r="38" spans="1:12" x14ac:dyDescent="0.2">
      <c r="A38" s="154"/>
      <c r="B38" s="161"/>
      <c r="C38" s="159"/>
      <c r="D38" s="159"/>
      <c r="E38" s="159"/>
      <c r="F38" s="159"/>
      <c r="G38" s="159"/>
      <c r="H38" s="159"/>
      <c r="I38" s="159"/>
      <c r="J38" s="159"/>
      <c r="K38" s="160"/>
      <c r="L38" s="158"/>
    </row>
    <row r="39" spans="1:12" x14ac:dyDescent="0.2">
      <c r="A39" s="154"/>
      <c r="B39" s="161"/>
      <c r="C39" s="159"/>
      <c r="D39" s="159"/>
      <c r="E39" s="159"/>
      <c r="F39" s="159"/>
      <c r="G39" s="159"/>
      <c r="H39" s="159"/>
      <c r="I39" s="159"/>
      <c r="J39" s="159"/>
      <c r="K39" s="160"/>
      <c r="L39" s="158"/>
    </row>
    <row r="40" spans="1:12" x14ac:dyDescent="0.2">
      <c r="A40" s="154"/>
      <c r="B40" s="161"/>
      <c r="C40" s="159"/>
      <c r="D40" s="159"/>
      <c r="E40" s="159"/>
      <c r="F40" s="159"/>
      <c r="G40" s="159"/>
      <c r="H40" s="159"/>
      <c r="I40" s="159"/>
      <c r="J40" s="159"/>
      <c r="K40" s="160"/>
      <c r="L40" s="158"/>
    </row>
    <row r="41" spans="1:12" x14ac:dyDescent="0.2">
      <c r="A41" s="154"/>
      <c r="B41" s="161"/>
      <c r="C41" s="159"/>
      <c r="D41" s="159"/>
      <c r="E41" s="159"/>
      <c r="F41" s="159"/>
      <c r="G41" s="159"/>
      <c r="H41" s="159"/>
      <c r="I41" s="159"/>
      <c r="J41" s="159"/>
      <c r="K41" s="160"/>
      <c r="L41" s="158"/>
    </row>
    <row r="42" spans="1:12" x14ac:dyDescent="0.2">
      <c r="A42" s="154"/>
      <c r="B42" s="161"/>
      <c r="C42" s="159"/>
      <c r="D42" s="159"/>
      <c r="E42" s="159"/>
      <c r="F42" s="159"/>
      <c r="G42" s="159"/>
      <c r="H42" s="159"/>
      <c r="I42" s="159"/>
      <c r="J42" s="159"/>
      <c r="K42" s="160"/>
      <c r="L42" s="158"/>
    </row>
    <row r="43" spans="1:12" x14ac:dyDescent="0.2">
      <c r="A43" s="154"/>
      <c r="B43" s="161"/>
      <c r="C43" s="159"/>
      <c r="D43" s="159"/>
      <c r="E43" s="159"/>
      <c r="F43" s="159"/>
      <c r="G43" s="159"/>
      <c r="H43" s="159"/>
      <c r="I43" s="159"/>
      <c r="J43" s="159"/>
      <c r="K43" s="160"/>
      <c r="L43" s="158"/>
    </row>
    <row r="44" spans="1:12" x14ac:dyDescent="0.2">
      <c r="A44" s="154"/>
      <c r="B44" s="161"/>
      <c r="C44" s="159"/>
      <c r="D44" s="159"/>
      <c r="E44" s="159"/>
      <c r="F44" s="159"/>
      <c r="G44" s="159"/>
      <c r="H44" s="159"/>
      <c r="I44" s="159"/>
      <c r="J44" s="159"/>
      <c r="K44" s="160"/>
      <c r="L44" s="158"/>
    </row>
    <row r="45" spans="1:12" x14ac:dyDescent="0.2">
      <c r="A45" s="154"/>
      <c r="B45" s="161"/>
      <c r="C45" s="159"/>
      <c r="D45" s="159"/>
      <c r="E45" s="159"/>
      <c r="F45" s="159"/>
      <c r="G45" s="159"/>
      <c r="H45" s="159"/>
      <c r="I45" s="159"/>
      <c r="J45" s="159"/>
      <c r="K45" s="160"/>
      <c r="L45" s="158"/>
    </row>
    <row r="46" spans="1:12" ht="15" x14ac:dyDescent="0.25">
      <c r="A46" s="154"/>
      <c r="B46" s="543"/>
      <c r="C46" s="544"/>
      <c r="D46" s="544"/>
      <c r="E46" s="544"/>
      <c r="F46" s="544"/>
      <c r="G46" s="544"/>
      <c r="H46" s="544"/>
      <c r="I46" s="544"/>
      <c r="J46" s="544"/>
      <c r="K46" s="545"/>
      <c r="L46" s="158"/>
    </row>
    <row r="47" spans="1:12" x14ac:dyDescent="0.2">
      <c r="A47" s="154"/>
      <c r="B47" s="166"/>
      <c r="C47" s="167"/>
      <c r="D47" s="167"/>
      <c r="E47" s="167"/>
      <c r="F47" s="167"/>
      <c r="G47" s="167"/>
      <c r="H47" s="167"/>
      <c r="I47" s="167"/>
      <c r="J47" s="167"/>
      <c r="K47" s="168"/>
      <c r="L47" s="158"/>
    </row>
    <row r="48" spans="1:12" ht="5.0999999999999996" customHeight="1" thickBot="1" x14ac:dyDescent="0.25">
      <c r="A48" s="169"/>
      <c r="B48" s="170"/>
      <c r="C48" s="170"/>
      <c r="D48" s="170"/>
      <c r="E48" s="170"/>
      <c r="F48" s="170"/>
      <c r="G48" s="170"/>
      <c r="H48" s="170"/>
      <c r="I48" s="170"/>
      <c r="J48" s="170"/>
      <c r="K48" s="170"/>
      <c r="L48" s="171"/>
    </row>
    <row r="49" spans="1:12" ht="5.0999999999999996" customHeight="1" thickBot="1" x14ac:dyDescent="0.25">
      <c r="A49" s="159"/>
      <c r="B49" s="159"/>
      <c r="C49" s="159"/>
      <c r="D49" s="159"/>
      <c r="E49" s="159"/>
      <c r="F49" s="159"/>
      <c r="G49" s="159"/>
      <c r="H49" s="159"/>
      <c r="I49" s="159"/>
      <c r="J49" s="159"/>
      <c r="K49" s="159"/>
      <c r="L49" s="159"/>
    </row>
    <row r="50" spans="1:12" ht="6" customHeight="1" x14ac:dyDescent="0.2">
      <c r="A50" s="150"/>
      <c r="B50" s="151"/>
      <c r="C50" s="151"/>
      <c r="D50" s="151"/>
      <c r="E50" s="151"/>
      <c r="F50" s="151"/>
      <c r="G50" s="151"/>
      <c r="H50" s="151"/>
      <c r="I50" s="151"/>
      <c r="J50" s="151"/>
      <c r="K50" s="151"/>
      <c r="L50" s="153"/>
    </row>
    <row r="51" spans="1:12" ht="3" customHeight="1" x14ac:dyDescent="0.2">
      <c r="A51" s="154"/>
      <c r="B51" s="155"/>
      <c r="C51" s="156"/>
      <c r="D51" s="156"/>
      <c r="E51" s="156"/>
      <c r="F51" s="156"/>
      <c r="G51" s="156"/>
      <c r="H51" s="156"/>
      <c r="I51" s="156"/>
      <c r="J51" s="156"/>
      <c r="K51" s="157"/>
      <c r="L51" s="158"/>
    </row>
    <row r="52" spans="1:12" s="229" customFormat="1" ht="5.25" customHeight="1" x14ac:dyDescent="0.2">
      <c r="A52" s="154"/>
      <c r="B52" s="161"/>
      <c r="C52" s="159"/>
      <c r="D52" s="159"/>
      <c r="E52" s="159"/>
      <c r="F52" s="159"/>
      <c r="G52" s="159"/>
      <c r="H52" s="159"/>
      <c r="I52" s="159"/>
      <c r="J52" s="159"/>
      <c r="K52" s="160"/>
      <c r="L52" s="158"/>
    </row>
    <row r="53" spans="1:12" s="229" customFormat="1" ht="15.75" x14ac:dyDescent="0.25">
      <c r="A53" s="154"/>
      <c r="B53" s="546"/>
      <c r="C53" s="547"/>
      <c r="D53" s="547"/>
      <c r="E53" s="547"/>
      <c r="F53" s="547"/>
      <c r="G53" s="547"/>
      <c r="H53" s="547"/>
      <c r="I53" s="547"/>
      <c r="J53" s="547"/>
      <c r="K53" s="548"/>
      <c r="L53" s="158"/>
    </row>
    <row r="54" spans="1:12" ht="15.75" x14ac:dyDescent="0.25">
      <c r="A54" s="154"/>
      <c r="B54" s="546"/>
      <c r="C54" s="547"/>
      <c r="D54" s="547"/>
      <c r="E54" s="547"/>
      <c r="F54" s="547"/>
      <c r="G54" s="547"/>
      <c r="H54" s="547"/>
      <c r="I54" s="547"/>
      <c r="J54" s="547"/>
      <c r="K54" s="548"/>
      <c r="L54" s="158"/>
    </row>
    <row r="55" spans="1:12" ht="15.75" x14ac:dyDescent="0.25">
      <c r="A55" s="154"/>
      <c r="B55" s="546"/>
      <c r="C55" s="547"/>
      <c r="D55" s="547"/>
      <c r="E55" s="547"/>
      <c r="F55" s="547"/>
      <c r="G55" s="547"/>
      <c r="H55" s="547"/>
      <c r="I55" s="547"/>
      <c r="J55" s="547"/>
      <c r="K55" s="548"/>
      <c r="L55" s="158"/>
    </row>
    <row r="56" spans="1:12" s="229" customFormat="1" ht="15.75" x14ac:dyDescent="0.2">
      <c r="A56" s="154"/>
      <c r="B56" s="538"/>
      <c r="C56" s="539"/>
      <c r="D56" s="539"/>
      <c r="E56" s="539"/>
      <c r="F56" s="539"/>
      <c r="G56" s="539"/>
      <c r="H56" s="539"/>
      <c r="I56" s="539"/>
      <c r="J56" s="539"/>
      <c r="K56" s="540"/>
      <c r="L56" s="158"/>
    </row>
    <row r="57" spans="1:12" s="148" customFormat="1" ht="12.75" customHeight="1" x14ac:dyDescent="0.2">
      <c r="A57" s="172"/>
      <c r="B57" s="231"/>
      <c r="C57" s="230"/>
      <c r="D57" s="230"/>
      <c r="E57" s="230"/>
      <c r="F57" s="230"/>
      <c r="G57" s="230"/>
      <c r="H57" s="230"/>
      <c r="I57" s="230"/>
      <c r="J57" s="230"/>
      <c r="K57" s="232"/>
      <c r="L57" s="173"/>
    </row>
    <row r="58" spans="1:12" ht="5.0999999999999996" customHeight="1" thickBot="1" x14ac:dyDescent="0.25">
      <c r="A58" s="174"/>
      <c r="B58" s="175"/>
      <c r="C58" s="175"/>
      <c r="D58" s="175"/>
      <c r="E58" s="175"/>
      <c r="F58" s="175"/>
      <c r="G58" s="175"/>
      <c r="H58" s="175"/>
      <c r="I58" s="175"/>
      <c r="J58" s="175"/>
      <c r="K58" s="175"/>
      <c r="L58" s="176"/>
    </row>
  </sheetData>
  <mergeCells count="8">
    <mergeCell ref="B56:K56"/>
    <mergeCell ref="G8:J8"/>
    <mergeCell ref="D27:J27"/>
    <mergeCell ref="H29:J29"/>
    <mergeCell ref="B46:K46"/>
    <mergeCell ref="B54:K54"/>
    <mergeCell ref="B55:K55"/>
    <mergeCell ref="B53:K53"/>
  </mergeCells>
  <printOptions horizontalCentered="1"/>
  <pageMargins left="0.23622047244094491" right="0.23622047244094491" top="0.77"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I12"/>
  <sheetViews>
    <sheetView view="pageBreakPreview" zoomScaleNormal="100" zoomScaleSheetLayoutView="100" workbookViewId="0">
      <selection activeCell="A4" sqref="A4"/>
    </sheetView>
  </sheetViews>
  <sheetFormatPr defaultColWidth="9.140625" defaultRowHeight="12.75" x14ac:dyDescent="0.2"/>
  <cols>
    <col min="1" max="1" width="9.140625" style="20"/>
    <col min="2" max="2" width="10.7109375" customWidth="1"/>
    <col min="3" max="9" width="11.28515625" customWidth="1"/>
    <col min="10" max="10" width="9.140625" customWidth="1"/>
  </cols>
  <sheetData>
    <row r="1" spans="2:9" ht="30" customHeight="1" x14ac:dyDescent="0.2">
      <c r="B1" s="568" t="s">
        <v>592</v>
      </c>
      <c r="C1" s="569"/>
      <c r="D1" s="569"/>
      <c r="E1" s="569"/>
      <c r="F1" s="569"/>
      <c r="G1" s="569"/>
      <c r="H1" s="569"/>
      <c r="I1" s="569"/>
    </row>
    <row r="2" spans="2:9" ht="38.25" customHeight="1" x14ac:dyDescent="0.2">
      <c r="B2" s="3" t="s">
        <v>0</v>
      </c>
      <c r="C2" s="3" t="s">
        <v>260</v>
      </c>
    </row>
    <row r="3" spans="2:9" ht="12.75" customHeight="1" x14ac:dyDescent="0.2">
      <c r="B3" s="315">
        <v>2010</v>
      </c>
      <c r="C3" s="316">
        <v>28632204</v>
      </c>
    </row>
    <row r="4" spans="2:9" ht="12.75" customHeight="1" x14ac:dyDescent="0.2">
      <c r="B4" s="315">
        <v>2011</v>
      </c>
      <c r="C4" s="316">
        <v>31456076</v>
      </c>
    </row>
    <row r="5" spans="2:9" ht="12.75" customHeight="1" x14ac:dyDescent="0.2">
      <c r="B5" s="315">
        <v>2012</v>
      </c>
      <c r="C5" s="316">
        <v>31782832</v>
      </c>
    </row>
    <row r="6" spans="2:9" ht="12.75" customHeight="1" x14ac:dyDescent="0.2">
      <c r="B6" s="315">
        <v>2013</v>
      </c>
      <c r="C6" s="316">
        <v>34910098</v>
      </c>
    </row>
    <row r="7" spans="2:9" ht="12.75" customHeight="1" x14ac:dyDescent="0.2">
      <c r="B7" s="315">
        <v>2014</v>
      </c>
      <c r="C7" s="316">
        <v>36837900</v>
      </c>
    </row>
    <row r="8" spans="2:9" ht="12.75" customHeight="1" x14ac:dyDescent="0.2">
      <c r="B8" s="315">
        <v>2015</v>
      </c>
      <c r="C8" s="316">
        <v>36244632</v>
      </c>
    </row>
    <row r="9" spans="2:9" ht="12.75" customHeight="1" x14ac:dyDescent="0.2">
      <c r="B9" s="315">
        <v>2016</v>
      </c>
      <c r="C9" s="316">
        <v>25352213</v>
      </c>
    </row>
    <row r="10" spans="2:9" ht="12.75" customHeight="1" x14ac:dyDescent="0.2">
      <c r="B10" s="315">
        <v>2017</v>
      </c>
      <c r="C10" s="316">
        <v>32410034</v>
      </c>
    </row>
    <row r="11" spans="2:9" ht="12.75" customHeight="1" x14ac:dyDescent="0.2">
      <c r="B11" s="315">
        <v>2018</v>
      </c>
      <c r="C11" s="316">
        <v>39488401</v>
      </c>
    </row>
    <row r="12" spans="2:9" ht="12.75" customHeight="1" x14ac:dyDescent="0.2">
      <c r="B12" s="315">
        <v>2019</v>
      </c>
      <c r="C12" s="316">
        <v>45058286</v>
      </c>
    </row>
  </sheetData>
  <mergeCells count="1">
    <mergeCell ref="B1:I1"/>
  </mergeCells>
  <printOptions horizontalCentered="1"/>
  <pageMargins left="0.43307086614173229" right="0.47244094488188981" top="1.24" bottom="0.98425196850393704"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Q12"/>
  <sheetViews>
    <sheetView view="pageBreakPreview" zoomScaleNormal="100" zoomScaleSheetLayoutView="100" workbookViewId="0"/>
  </sheetViews>
  <sheetFormatPr defaultColWidth="9.140625" defaultRowHeight="12.75" x14ac:dyDescent="0.2"/>
  <cols>
    <col min="1" max="1" width="9.140625" style="20"/>
    <col min="2" max="2" width="9.28515625" customWidth="1"/>
    <col min="3" max="3" width="11.28515625" customWidth="1"/>
    <col min="4" max="4" width="10.42578125" customWidth="1"/>
    <col min="5" max="6" width="11.28515625" customWidth="1"/>
    <col min="7" max="7" width="11.140625" customWidth="1"/>
    <col min="8" max="9" width="11.28515625" customWidth="1"/>
    <col min="13" max="13" width="9" customWidth="1"/>
  </cols>
  <sheetData>
    <row r="1" spans="2:17" ht="30" customHeight="1" x14ac:dyDescent="0.2">
      <c r="B1" s="568" t="s">
        <v>593</v>
      </c>
      <c r="C1" s="569"/>
      <c r="D1" s="569"/>
      <c r="E1" s="569"/>
      <c r="F1" s="569"/>
      <c r="G1" s="569"/>
      <c r="H1" s="569"/>
      <c r="I1" s="569"/>
      <c r="Q1" s="242"/>
    </row>
    <row r="2" spans="2:17" ht="38.25" customHeight="1" x14ac:dyDescent="0.2">
      <c r="B2" s="3" t="s">
        <v>0</v>
      </c>
      <c r="C2" s="3" t="s">
        <v>261</v>
      </c>
      <c r="G2" s="314"/>
      <c r="H2" s="314"/>
    </row>
    <row r="3" spans="2:17" ht="12.75" customHeight="1" x14ac:dyDescent="0.2">
      <c r="B3" s="239">
        <v>2010</v>
      </c>
      <c r="C3" s="4">
        <v>28510852</v>
      </c>
      <c r="G3" s="314"/>
      <c r="H3" s="314"/>
    </row>
    <row r="4" spans="2:17" ht="12.75" customHeight="1" x14ac:dyDescent="0.2">
      <c r="B4" s="239">
        <v>2011</v>
      </c>
      <c r="C4" s="4">
        <v>31324528</v>
      </c>
      <c r="G4" s="314"/>
      <c r="H4" s="314"/>
    </row>
    <row r="5" spans="2:17" ht="12.75" customHeight="1" x14ac:dyDescent="0.2">
      <c r="B5" s="239">
        <v>2012</v>
      </c>
      <c r="C5" s="4">
        <v>31655188</v>
      </c>
      <c r="G5" s="314"/>
      <c r="H5" s="314"/>
    </row>
    <row r="6" spans="2:17" ht="12.75" customHeight="1" x14ac:dyDescent="0.2">
      <c r="B6" s="239">
        <v>2013</v>
      </c>
      <c r="C6" s="4">
        <v>34686402</v>
      </c>
      <c r="G6" s="314"/>
      <c r="H6" s="314"/>
    </row>
    <row r="7" spans="2:17" ht="12.75" customHeight="1" x14ac:dyDescent="0.2">
      <c r="B7" s="239">
        <v>2014</v>
      </c>
      <c r="C7" s="4">
        <v>36507184</v>
      </c>
      <c r="G7" s="314"/>
      <c r="H7" s="314"/>
    </row>
    <row r="8" spans="2:17" ht="12.75" customHeight="1" x14ac:dyDescent="0.2">
      <c r="B8" s="239">
        <v>2015</v>
      </c>
      <c r="C8" s="4">
        <v>35903327</v>
      </c>
      <c r="G8" s="314"/>
      <c r="H8" s="314"/>
    </row>
    <row r="9" spans="2:17" ht="12.75" customHeight="1" x14ac:dyDescent="0.2">
      <c r="B9" s="239">
        <v>2016</v>
      </c>
      <c r="C9" s="4">
        <v>25432123</v>
      </c>
      <c r="G9" s="314"/>
      <c r="H9" s="314"/>
    </row>
    <row r="10" spans="2:17" ht="12.75" customHeight="1" x14ac:dyDescent="0.2">
      <c r="B10" s="239">
        <v>2017</v>
      </c>
      <c r="C10" s="4">
        <v>32382449</v>
      </c>
      <c r="G10" s="314"/>
      <c r="H10" s="314"/>
    </row>
    <row r="11" spans="2:17" ht="12.75" customHeight="1" x14ac:dyDescent="0.2">
      <c r="B11" s="239">
        <v>2018</v>
      </c>
      <c r="C11" s="4">
        <v>39304178</v>
      </c>
      <c r="G11" s="314"/>
      <c r="H11" s="314"/>
    </row>
    <row r="12" spans="2:17" ht="12.75" customHeight="1" x14ac:dyDescent="0.2">
      <c r="B12" s="239">
        <v>2019</v>
      </c>
      <c r="C12" s="247">
        <v>45105116</v>
      </c>
    </row>
  </sheetData>
  <mergeCells count="1">
    <mergeCell ref="B1:I1"/>
  </mergeCells>
  <printOptions horizontalCentered="1"/>
  <pageMargins left="0.74803149606299213" right="0.74803149606299213" top="0.9055118110236221" bottom="0.98425196850393704" header="0.51181102362204722" footer="0.51181102362204722"/>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AG19"/>
  <sheetViews>
    <sheetView zoomScaleNormal="100" zoomScaleSheetLayoutView="100" workbookViewId="0"/>
  </sheetViews>
  <sheetFormatPr defaultColWidth="9.140625" defaultRowHeight="12.75" x14ac:dyDescent="0.2"/>
  <cols>
    <col min="1" max="1" width="9.140625" style="21"/>
    <col min="2" max="2" width="9.85546875" customWidth="1"/>
    <col min="3" max="9" width="10.28515625" customWidth="1"/>
    <col min="10" max="10" width="10.42578125" customWidth="1"/>
    <col min="11" max="14" width="9.42578125" customWidth="1"/>
  </cols>
  <sheetData>
    <row r="1" spans="2:22" ht="30" customHeight="1" x14ac:dyDescent="0.2">
      <c r="B1" s="568" t="s">
        <v>710</v>
      </c>
      <c r="C1" s="568"/>
      <c r="D1" s="568"/>
      <c r="E1" s="568"/>
      <c r="F1" s="568"/>
      <c r="G1" s="568"/>
      <c r="H1" s="568"/>
      <c r="I1" s="568"/>
      <c r="J1" s="243"/>
      <c r="K1" s="243"/>
      <c r="L1" s="243"/>
      <c r="M1" s="243"/>
      <c r="N1" s="243"/>
    </row>
    <row r="2" spans="2:22" ht="12.75" customHeight="1" x14ac:dyDescent="0.2">
      <c r="B2" s="244"/>
      <c r="C2" s="244" t="s">
        <v>5</v>
      </c>
      <c r="D2" s="244" t="s">
        <v>6</v>
      </c>
      <c r="E2" s="244" t="s">
        <v>7</v>
      </c>
      <c r="F2" s="244" t="s">
        <v>8</v>
      </c>
      <c r="G2" s="244" t="s">
        <v>9</v>
      </c>
      <c r="H2" s="244" t="s">
        <v>10</v>
      </c>
      <c r="I2" s="244" t="s">
        <v>11</v>
      </c>
      <c r="J2" s="244" t="s">
        <v>12</v>
      </c>
      <c r="K2" s="244" t="s">
        <v>13</v>
      </c>
      <c r="L2" s="244" t="s">
        <v>14</v>
      </c>
      <c r="M2" s="244" t="s">
        <v>15</v>
      </c>
      <c r="N2" s="244" t="s">
        <v>16</v>
      </c>
      <c r="O2" t="s">
        <v>17</v>
      </c>
      <c r="T2" s="317"/>
      <c r="U2" s="317"/>
      <c r="V2" s="317"/>
    </row>
    <row r="3" spans="2:22" ht="12.75" customHeight="1" x14ac:dyDescent="0.2">
      <c r="B3" s="319">
        <v>2018</v>
      </c>
      <c r="C3" s="241">
        <v>1461570</v>
      </c>
      <c r="D3" s="241">
        <v>1527070</v>
      </c>
      <c r="E3" s="241">
        <v>2139766</v>
      </c>
      <c r="F3" s="241">
        <v>2655561</v>
      </c>
      <c r="G3" s="241">
        <v>3678440</v>
      </c>
      <c r="H3" s="241">
        <v>4505594</v>
      </c>
      <c r="I3" s="241">
        <v>5671801</v>
      </c>
      <c r="J3" s="241">
        <v>5383332</v>
      </c>
      <c r="K3" s="241">
        <v>4792818</v>
      </c>
      <c r="L3" s="241">
        <v>3755467</v>
      </c>
      <c r="M3" s="241">
        <v>1966277</v>
      </c>
      <c r="N3" s="241">
        <v>1950705</v>
      </c>
      <c r="O3" s="242">
        <v>39488401</v>
      </c>
      <c r="T3" s="318"/>
      <c r="U3" s="241"/>
      <c r="V3" s="241"/>
    </row>
    <row r="4" spans="2:22" ht="12.75" customHeight="1" x14ac:dyDescent="0.2">
      <c r="B4" s="319">
        <v>2019</v>
      </c>
      <c r="C4" s="241">
        <v>1539496</v>
      </c>
      <c r="D4" s="241">
        <v>1670238</v>
      </c>
      <c r="E4" s="241">
        <v>2232358</v>
      </c>
      <c r="F4" s="241">
        <v>3293176</v>
      </c>
      <c r="G4" s="241">
        <v>4022254</v>
      </c>
      <c r="H4" s="241">
        <v>5318984</v>
      </c>
      <c r="I4" s="241">
        <v>6617380</v>
      </c>
      <c r="J4" s="241">
        <v>6307508</v>
      </c>
      <c r="K4" s="241">
        <v>5426818</v>
      </c>
      <c r="L4" s="241">
        <v>4291574</v>
      </c>
      <c r="M4" s="241">
        <v>2190622</v>
      </c>
      <c r="N4" s="241">
        <v>2147878</v>
      </c>
      <c r="O4" s="242">
        <v>45058286</v>
      </c>
      <c r="T4" s="318"/>
      <c r="U4" s="241"/>
      <c r="V4" s="241"/>
    </row>
    <row r="5" spans="2:22" x14ac:dyDescent="0.2">
      <c r="T5" s="318"/>
      <c r="U5" s="241"/>
      <c r="V5" s="241"/>
    </row>
    <row r="6" spans="2:22" x14ac:dyDescent="0.2">
      <c r="T6" s="318"/>
      <c r="U6" s="241"/>
      <c r="V6" s="241"/>
    </row>
    <row r="7" spans="2:22" x14ac:dyDescent="0.2">
      <c r="T7" s="318"/>
      <c r="U7" s="241"/>
      <c r="V7" s="241"/>
    </row>
    <row r="8" spans="2:22" x14ac:dyDescent="0.2">
      <c r="T8" s="318"/>
      <c r="U8" s="241"/>
      <c r="V8" s="241"/>
    </row>
    <row r="9" spans="2:22" x14ac:dyDescent="0.2">
      <c r="T9" s="318"/>
      <c r="U9" s="241"/>
      <c r="V9" s="241"/>
    </row>
    <row r="10" spans="2:22" x14ac:dyDescent="0.2">
      <c r="T10" s="318"/>
      <c r="U10" s="241"/>
      <c r="V10" s="241"/>
    </row>
    <row r="11" spans="2:22" x14ac:dyDescent="0.2">
      <c r="T11" s="318"/>
      <c r="U11" s="241"/>
      <c r="V11" s="241"/>
    </row>
    <row r="12" spans="2:22" x14ac:dyDescent="0.2">
      <c r="T12" s="318"/>
      <c r="U12" s="241"/>
      <c r="V12" s="241"/>
    </row>
    <row r="13" spans="2:22" x14ac:dyDescent="0.2">
      <c r="T13" s="318"/>
      <c r="U13" s="241"/>
      <c r="V13" s="241"/>
    </row>
    <row r="14" spans="2:22" x14ac:dyDescent="0.2">
      <c r="T14" s="318"/>
      <c r="U14" s="241"/>
      <c r="V14" s="241"/>
    </row>
    <row r="15" spans="2:22" x14ac:dyDescent="0.2">
      <c r="T15" s="318"/>
      <c r="U15" s="242"/>
      <c r="V15" s="242"/>
    </row>
    <row r="17" spans="20:33" x14ac:dyDescent="0.2">
      <c r="T17" s="317"/>
      <c r="U17" s="318"/>
      <c r="V17" s="318"/>
      <c r="W17" s="318"/>
      <c r="X17" s="318"/>
      <c r="Y17" s="318"/>
      <c r="Z17" s="318"/>
      <c r="AA17" s="318"/>
      <c r="AB17" s="318"/>
      <c r="AC17" s="318"/>
      <c r="AD17" s="318"/>
      <c r="AE17" s="318"/>
      <c r="AF17" s="318"/>
      <c r="AG17" s="318"/>
    </row>
    <row r="18" spans="20:33" x14ac:dyDescent="0.2">
      <c r="T18" s="317"/>
      <c r="U18" s="241"/>
      <c r="V18" s="241"/>
      <c r="W18" s="241"/>
      <c r="X18" s="241"/>
      <c r="Y18" s="241"/>
      <c r="Z18" s="241"/>
      <c r="AA18" s="241"/>
      <c r="AB18" s="241"/>
      <c r="AC18" s="241"/>
      <c r="AD18" s="241"/>
      <c r="AE18" s="241"/>
      <c r="AF18" s="241"/>
      <c r="AG18" s="242"/>
    </row>
    <row r="19" spans="20:33" x14ac:dyDescent="0.2">
      <c r="T19" s="317"/>
      <c r="U19" s="241"/>
      <c r="V19" s="241"/>
      <c r="W19" s="241"/>
      <c r="X19" s="241"/>
      <c r="Y19" s="241"/>
      <c r="Z19" s="241"/>
      <c r="AA19" s="241"/>
      <c r="AB19" s="241"/>
      <c r="AC19" s="241"/>
      <c r="AD19" s="241"/>
      <c r="AE19" s="241"/>
      <c r="AF19" s="241"/>
      <c r="AG19" s="242"/>
    </row>
  </sheetData>
  <mergeCells count="1">
    <mergeCell ref="B1:I1"/>
  </mergeCells>
  <printOptions horizontalCentered="1"/>
  <pageMargins left="0.35433070866141736" right="0.31496062992125984" top="0.9055118110236221" bottom="0.9055118110236221"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N4"/>
  <sheetViews>
    <sheetView view="pageBreakPreview" zoomScaleNormal="100" zoomScaleSheetLayoutView="100" workbookViewId="0">
      <selection activeCell="B1" sqref="B1:N36"/>
    </sheetView>
  </sheetViews>
  <sheetFormatPr defaultColWidth="9.140625" defaultRowHeight="12.75" x14ac:dyDescent="0.2"/>
  <cols>
    <col min="1" max="1" width="9.140625" style="24"/>
    <col min="2" max="2" width="10.7109375" customWidth="1"/>
    <col min="3" max="13" width="9.140625" customWidth="1"/>
    <col min="14" max="14" width="9.5703125" customWidth="1"/>
  </cols>
  <sheetData>
    <row r="1" spans="2:14" ht="30" customHeight="1" x14ac:dyDescent="0.2">
      <c r="B1" s="568" t="s">
        <v>711</v>
      </c>
      <c r="C1" s="568"/>
      <c r="D1" s="568"/>
      <c r="E1" s="568"/>
      <c r="F1" s="568"/>
      <c r="G1" s="568"/>
      <c r="H1" s="568"/>
      <c r="I1" s="568"/>
      <c r="J1" s="568"/>
      <c r="K1" s="568"/>
      <c r="L1" s="568"/>
      <c r="M1" s="568"/>
      <c r="N1" s="568"/>
    </row>
    <row r="2" spans="2:14" ht="12.75" customHeight="1" x14ac:dyDescent="0.2">
      <c r="B2" s="246"/>
      <c r="C2" s="246" t="s">
        <v>5</v>
      </c>
      <c r="D2" s="246" t="s">
        <v>6</v>
      </c>
      <c r="E2" s="246" t="s">
        <v>7</v>
      </c>
      <c r="F2" s="246" t="s">
        <v>8</v>
      </c>
      <c r="G2" s="246" t="s">
        <v>9</v>
      </c>
      <c r="H2" s="246" t="s">
        <v>10</v>
      </c>
      <c r="I2" s="246" t="s">
        <v>11</v>
      </c>
      <c r="J2" s="246" t="s">
        <v>12</v>
      </c>
      <c r="K2" s="246" t="s">
        <v>13</v>
      </c>
      <c r="L2" s="246" t="s">
        <v>14</v>
      </c>
      <c r="M2" s="246" t="s">
        <v>15</v>
      </c>
      <c r="N2" s="246" t="s">
        <v>16</v>
      </c>
    </row>
    <row r="3" spans="2:14" ht="12.75" customHeight="1" x14ac:dyDescent="0.2">
      <c r="B3" s="246">
        <v>2018</v>
      </c>
      <c r="C3" s="247">
        <v>5005</v>
      </c>
      <c r="D3" s="247">
        <v>4526</v>
      </c>
      <c r="E3" s="247">
        <v>6473</v>
      </c>
      <c r="F3" s="247">
        <v>15107</v>
      </c>
      <c r="G3" s="247">
        <v>38777</v>
      </c>
      <c r="H3" s="247">
        <v>42111</v>
      </c>
      <c r="I3" s="247">
        <v>54250</v>
      </c>
      <c r="J3" s="247">
        <v>59217</v>
      </c>
      <c r="K3" s="247">
        <v>52254</v>
      </c>
      <c r="L3" s="247">
        <v>48989</v>
      </c>
      <c r="M3" s="247">
        <v>9407</v>
      </c>
      <c r="N3" s="247">
        <v>6114</v>
      </c>
    </row>
    <row r="4" spans="2:14" ht="12.75" customHeight="1" x14ac:dyDescent="0.2">
      <c r="B4" s="246">
        <v>2019</v>
      </c>
      <c r="C4" s="247">
        <v>7589</v>
      </c>
      <c r="D4" s="247">
        <v>8565</v>
      </c>
      <c r="E4" s="247">
        <v>13594</v>
      </c>
      <c r="F4" s="247">
        <v>33640</v>
      </c>
      <c r="G4" s="247">
        <v>58228</v>
      </c>
      <c r="H4" s="247">
        <v>60198</v>
      </c>
      <c r="I4" s="247">
        <v>77293</v>
      </c>
      <c r="J4" s="247">
        <v>84888</v>
      </c>
      <c r="K4" s="247">
        <v>75094</v>
      </c>
      <c r="L4" s="247">
        <v>54225</v>
      </c>
      <c r="M4" s="247">
        <v>34240</v>
      </c>
      <c r="N4" s="247">
        <v>31164</v>
      </c>
    </row>
  </sheetData>
  <mergeCells count="1">
    <mergeCell ref="B1:N1"/>
  </mergeCells>
  <printOptions horizontalCentered="1"/>
  <pageMargins left="0.6692913385826772" right="0.6692913385826772" top="0.98425196850393704" bottom="0.98425196850393704" header="0.51181102362204722" footer="0.51181102362204722"/>
  <pageSetup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AB67"/>
  <sheetViews>
    <sheetView view="pageBreakPreview" zoomScaleNormal="100" zoomScaleSheetLayoutView="100" workbookViewId="0">
      <selection activeCell="B42" sqref="B42:B43"/>
    </sheetView>
  </sheetViews>
  <sheetFormatPr defaultColWidth="9.140625" defaultRowHeight="12.75" x14ac:dyDescent="0.2"/>
  <cols>
    <col min="1" max="1" width="9.140625" style="24"/>
    <col min="2" max="2" width="10.85546875" customWidth="1"/>
    <col min="3" max="3" width="10.85546875" style="25" customWidth="1"/>
    <col min="4" max="15" width="10.85546875" customWidth="1"/>
    <col min="18" max="18" width="27.85546875" customWidth="1"/>
    <col min="19" max="20" width="12.7109375" bestFit="1" customWidth="1"/>
    <col min="21" max="27" width="11.42578125" bestFit="1" customWidth="1"/>
    <col min="28" max="28" width="10.140625" bestFit="1" customWidth="1"/>
  </cols>
  <sheetData>
    <row r="1" spans="2:16" ht="30" customHeight="1" x14ac:dyDescent="0.2">
      <c r="B1" s="573" t="s">
        <v>713</v>
      </c>
      <c r="C1" s="573"/>
      <c r="D1" s="573"/>
      <c r="E1" s="573"/>
      <c r="F1" s="573"/>
      <c r="G1" s="573"/>
      <c r="H1" s="573"/>
      <c r="I1" s="573"/>
      <c r="J1" s="573"/>
      <c r="K1" s="573"/>
      <c r="L1" s="573"/>
      <c r="N1" s="574"/>
      <c r="O1" s="218"/>
      <c r="P1" s="219"/>
    </row>
    <row r="2" spans="2:16" ht="25.5" customHeight="1" x14ac:dyDescent="0.2">
      <c r="B2" s="17"/>
      <c r="C2" s="248" t="s">
        <v>203</v>
      </c>
      <c r="D2" s="248" t="s">
        <v>21</v>
      </c>
      <c r="E2" s="248" t="s">
        <v>56</v>
      </c>
      <c r="F2" s="248" t="s">
        <v>113</v>
      </c>
      <c r="G2" s="248" t="s">
        <v>114</v>
      </c>
      <c r="H2" s="248" t="s">
        <v>104</v>
      </c>
      <c r="I2" s="248" t="s">
        <v>243</v>
      </c>
      <c r="J2" s="248" t="s">
        <v>111</v>
      </c>
      <c r="K2" s="248" t="s">
        <v>108</v>
      </c>
      <c r="L2" s="248" t="s">
        <v>33</v>
      </c>
      <c r="N2" s="575"/>
      <c r="O2" s="220"/>
      <c r="P2" s="221"/>
    </row>
    <row r="3" spans="2:16" ht="12.75" customHeight="1" x14ac:dyDescent="0.2">
      <c r="B3" s="22">
        <v>2018</v>
      </c>
      <c r="C3" s="249">
        <v>5964613</v>
      </c>
      <c r="D3" s="249">
        <v>4512360</v>
      </c>
      <c r="E3" s="249">
        <v>2386885</v>
      </c>
      <c r="F3" s="249">
        <v>2254871</v>
      </c>
      <c r="G3" s="249">
        <v>2001744</v>
      </c>
      <c r="H3" s="249">
        <v>2069392</v>
      </c>
      <c r="I3" s="249">
        <v>1386934</v>
      </c>
      <c r="J3" s="249">
        <v>1172896</v>
      </c>
      <c r="K3" s="249">
        <v>1013642</v>
      </c>
      <c r="L3" s="249">
        <v>858506</v>
      </c>
      <c r="N3" s="575"/>
      <c r="O3" s="220"/>
      <c r="P3" s="221"/>
    </row>
    <row r="4" spans="2:16" ht="12.75" customHeight="1" x14ac:dyDescent="0.2">
      <c r="B4" s="22">
        <v>2019</v>
      </c>
      <c r="C4" s="249">
        <v>7017657</v>
      </c>
      <c r="D4" s="249">
        <v>5027472</v>
      </c>
      <c r="E4" s="249">
        <v>2713464</v>
      </c>
      <c r="F4" s="249">
        <v>2562064</v>
      </c>
      <c r="G4" s="249">
        <v>2102890</v>
      </c>
      <c r="H4" s="249">
        <v>1995254</v>
      </c>
      <c r="I4" s="249">
        <v>1547996</v>
      </c>
      <c r="J4" s="249">
        <v>1374896</v>
      </c>
      <c r="K4" s="249">
        <v>1117290</v>
      </c>
      <c r="L4" s="249">
        <v>901723</v>
      </c>
    </row>
    <row r="18" ht="12.75" customHeight="1" x14ac:dyDescent="0.2"/>
    <row r="44" spans="2:2" ht="21.75" customHeight="1" x14ac:dyDescent="0.2">
      <c r="B44" s="222" t="s">
        <v>474</v>
      </c>
    </row>
    <row r="50" spans="2:20" ht="12.75" customHeight="1" x14ac:dyDescent="0.2">
      <c r="R50" s="570"/>
      <c r="S50" s="570"/>
      <c r="T50" s="570"/>
    </row>
    <row r="51" spans="2:20" ht="12.75" customHeight="1" x14ac:dyDescent="0.2">
      <c r="R51" s="325" t="s">
        <v>712</v>
      </c>
      <c r="S51" s="571" t="s">
        <v>1</v>
      </c>
      <c r="T51" s="572"/>
    </row>
    <row r="52" spans="2:20" ht="12.75" customHeight="1" x14ac:dyDescent="0.2">
      <c r="R52" s="326"/>
      <c r="S52" s="320">
        <v>2018</v>
      </c>
      <c r="T52" s="320">
        <v>2019</v>
      </c>
    </row>
    <row r="53" spans="2:20" ht="12.75" customHeight="1" x14ac:dyDescent="0.2">
      <c r="R53" s="321" t="s">
        <v>203</v>
      </c>
      <c r="S53" s="322">
        <v>5964613</v>
      </c>
      <c r="T53" s="322">
        <v>7017657</v>
      </c>
    </row>
    <row r="54" spans="2:20" ht="12.75" customHeight="1" x14ac:dyDescent="0.2">
      <c r="R54" s="321" t="s">
        <v>21</v>
      </c>
      <c r="S54" s="322">
        <v>4512360</v>
      </c>
      <c r="T54" s="322">
        <v>5027472</v>
      </c>
    </row>
    <row r="55" spans="2:20" ht="12.75" customHeight="1" x14ac:dyDescent="0.2">
      <c r="R55" s="321" t="s">
        <v>56</v>
      </c>
      <c r="S55" s="322">
        <v>2386885</v>
      </c>
      <c r="T55" s="322">
        <v>2713464</v>
      </c>
    </row>
    <row r="56" spans="2:20" ht="12.75" customHeight="1" x14ac:dyDescent="0.2">
      <c r="R56" s="321" t="s">
        <v>113</v>
      </c>
      <c r="S56" s="322">
        <v>2254871</v>
      </c>
      <c r="T56" s="322">
        <v>2562064</v>
      </c>
    </row>
    <row r="57" spans="2:20" ht="12.75" customHeight="1" x14ac:dyDescent="0.2">
      <c r="R57" s="321" t="s">
        <v>114</v>
      </c>
      <c r="S57" s="322">
        <v>2001744</v>
      </c>
      <c r="T57" s="322">
        <v>2102890</v>
      </c>
    </row>
    <row r="58" spans="2:20" ht="12.75" customHeight="1" x14ac:dyDescent="0.2">
      <c r="R58" s="323" t="s">
        <v>104</v>
      </c>
      <c r="S58" s="324">
        <v>2069392</v>
      </c>
      <c r="T58" s="324">
        <v>1995254</v>
      </c>
    </row>
    <row r="59" spans="2:20" ht="12.75" customHeight="1" x14ac:dyDescent="0.2">
      <c r="B59" s="27"/>
      <c r="R59" s="321" t="s">
        <v>243</v>
      </c>
      <c r="S59" s="322">
        <v>1386934</v>
      </c>
      <c r="T59" s="322">
        <v>1547996</v>
      </c>
    </row>
    <row r="60" spans="2:20" ht="12.75" customHeight="1" x14ac:dyDescent="0.2">
      <c r="R60" s="321" t="s">
        <v>111</v>
      </c>
      <c r="S60" s="322">
        <v>1172896</v>
      </c>
      <c r="T60" s="322">
        <v>1374896</v>
      </c>
    </row>
    <row r="61" spans="2:20" ht="12.75" customHeight="1" x14ac:dyDescent="0.2">
      <c r="R61" s="321" t="s">
        <v>108</v>
      </c>
      <c r="S61" s="322">
        <v>1013642</v>
      </c>
      <c r="T61" s="322">
        <v>1117290</v>
      </c>
    </row>
    <row r="62" spans="2:20" ht="12.75" customHeight="1" x14ac:dyDescent="0.2">
      <c r="R62" s="321" t="s">
        <v>33</v>
      </c>
      <c r="S62" s="322">
        <v>858506</v>
      </c>
      <c r="T62" s="322">
        <v>901723</v>
      </c>
    </row>
    <row r="65" spans="18:28" ht="45" x14ac:dyDescent="0.2">
      <c r="R65" s="326"/>
      <c r="S65" s="321" t="s">
        <v>203</v>
      </c>
      <c r="T65" s="321" t="s">
        <v>21</v>
      </c>
      <c r="U65" s="321" t="s">
        <v>56</v>
      </c>
      <c r="V65" s="321" t="s">
        <v>113</v>
      </c>
      <c r="W65" s="321" t="s">
        <v>114</v>
      </c>
      <c r="X65" s="323" t="s">
        <v>104</v>
      </c>
      <c r="Y65" s="321" t="s">
        <v>243</v>
      </c>
      <c r="Z65" s="321" t="s">
        <v>111</v>
      </c>
      <c r="AA65" s="321" t="s">
        <v>108</v>
      </c>
      <c r="AB65" s="321" t="s">
        <v>33</v>
      </c>
    </row>
    <row r="66" spans="18:28" ht="15.75" x14ac:dyDescent="0.2">
      <c r="R66" s="320">
        <v>2018</v>
      </c>
      <c r="S66" s="322">
        <v>5964613</v>
      </c>
      <c r="T66" s="322">
        <v>4512360</v>
      </c>
      <c r="U66" s="322">
        <v>2386885</v>
      </c>
      <c r="V66" s="322">
        <v>2254871</v>
      </c>
      <c r="W66" s="322">
        <v>2001744</v>
      </c>
      <c r="X66" s="324">
        <v>2069392</v>
      </c>
      <c r="Y66" s="322">
        <v>1386934</v>
      </c>
      <c r="Z66" s="322">
        <v>1172896</v>
      </c>
      <c r="AA66" s="322">
        <v>1013642</v>
      </c>
      <c r="AB66" s="322">
        <v>858506</v>
      </c>
    </row>
    <row r="67" spans="18:28" ht="15.75" x14ac:dyDescent="0.2">
      <c r="R67" s="320">
        <v>2019</v>
      </c>
      <c r="S67" s="322">
        <v>7017657</v>
      </c>
      <c r="T67" s="322">
        <v>5027472</v>
      </c>
      <c r="U67" s="322">
        <v>2713464</v>
      </c>
      <c r="V67" s="322">
        <v>2562064</v>
      </c>
      <c r="W67" s="322">
        <v>2102890</v>
      </c>
      <c r="X67" s="324">
        <v>1995254</v>
      </c>
      <c r="Y67" s="322">
        <v>1547996</v>
      </c>
      <c r="Z67" s="322">
        <v>1374896</v>
      </c>
      <c r="AA67" s="322">
        <v>1117290</v>
      </c>
      <c r="AB67" s="322">
        <v>901723</v>
      </c>
    </row>
  </sheetData>
  <mergeCells count="4">
    <mergeCell ref="R50:T50"/>
    <mergeCell ref="S51:T51"/>
    <mergeCell ref="B1:L1"/>
    <mergeCell ref="N1:N3"/>
  </mergeCells>
  <printOptions horizontalCentered="1"/>
  <pageMargins left="3.937007874015748E-2" right="3.937007874015748E-2" top="1.05" bottom="0.15748031496062992" header="0.77" footer="0.15748031496062992"/>
  <pageSetup scale="7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17"/>
  <sheetViews>
    <sheetView view="pageBreakPreview" zoomScaleNormal="100" zoomScaleSheetLayoutView="100" workbookViewId="0">
      <selection activeCell="A4" sqref="A4"/>
    </sheetView>
  </sheetViews>
  <sheetFormatPr defaultColWidth="9.140625" defaultRowHeight="12.75" x14ac:dyDescent="0.2"/>
  <cols>
    <col min="1" max="1" width="9.140625" style="25"/>
    <col min="2" max="2" width="13.5703125" style="35" customWidth="1"/>
    <col min="3" max="7" width="15.140625" customWidth="1"/>
  </cols>
  <sheetData>
    <row r="1" spans="2:8" s="28" customFormat="1" ht="30" customHeight="1" x14ac:dyDescent="0.2">
      <c r="B1" s="576" t="s">
        <v>714</v>
      </c>
      <c r="C1" s="577"/>
      <c r="D1" s="577"/>
      <c r="E1" s="577"/>
      <c r="F1" s="577"/>
      <c r="G1" s="577"/>
    </row>
    <row r="2" spans="2:8" s="25" customFormat="1" ht="15" customHeight="1" thickBot="1" x14ac:dyDescent="0.25">
      <c r="B2" s="26"/>
      <c r="H2" s="148"/>
    </row>
    <row r="3" spans="2:8" ht="15" customHeight="1" thickBot="1" x14ac:dyDescent="0.25">
      <c r="B3" s="41" t="s">
        <v>262</v>
      </c>
      <c r="C3" s="578" t="s">
        <v>1</v>
      </c>
      <c r="D3" s="578"/>
      <c r="E3" s="578"/>
      <c r="F3" s="578" t="s">
        <v>264</v>
      </c>
      <c r="G3" s="578"/>
      <c r="H3" s="25"/>
    </row>
    <row r="4" spans="2:8" ht="15" customHeight="1" thickBot="1" x14ac:dyDescent="0.25">
      <c r="B4" s="312" t="s">
        <v>263</v>
      </c>
      <c r="C4" s="245">
        <v>2017</v>
      </c>
      <c r="D4" s="245">
        <v>2018</v>
      </c>
      <c r="E4" s="245">
        <v>2019</v>
      </c>
      <c r="F4" s="30" t="s">
        <v>591</v>
      </c>
      <c r="G4" s="30" t="s">
        <v>629</v>
      </c>
    </row>
    <row r="5" spans="2:8" ht="15" customHeight="1" x14ac:dyDescent="0.2">
      <c r="B5" s="29" t="s">
        <v>5</v>
      </c>
      <c r="C5" s="223">
        <v>1055474</v>
      </c>
      <c r="D5" s="223">
        <v>1461570</v>
      </c>
      <c r="E5" s="223">
        <v>1539496</v>
      </c>
      <c r="F5" s="42">
        <v>38.475225348990122</v>
      </c>
      <c r="G5" s="42">
        <v>5.33166389567383</v>
      </c>
    </row>
    <row r="6" spans="2:8" ht="15" customHeight="1" x14ac:dyDescent="0.2">
      <c r="B6" s="29" t="s">
        <v>6</v>
      </c>
      <c r="C6" s="223">
        <v>1159833</v>
      </c>
      <c r="D6" s="223">
        <v>1527070</v>
      </c>
      <c r="E6" s="223">
        <v>1670238</v>
      </c>
      <c r="F6" s="42">
        <v>31.662920437683702</v>
      </c>
      <c r="G6" s="42">
        <v>9.3753397028296011</v>
      </c>
    </row>
    <row r="7" spans="2:8" ht="15" customHeight="1" x14ac:dyDescent="0.2">
      <c r="B7" s="29" t="s">
        <v>7</v>
      </c>
      <c r="C7" s="223">
        <v>1587007</v>
      </c>
      <c r="D7" s="223">
        <v>2139766</v>
      </c>
      <c r="E7" s="223">
        <v>2232358</v>
      </c>
      <c r="F7" s="42">
        <v>34.830281151878978</v>
      </c>
      <c r="G7" s="42">
        <v>4.3272021333173818</v>
      </c>
    </row>
    <row r="8" spans="2:8" ht="15" customHeight="1" x14ac:dyDescent="0.2">
      <c r="B8" s="29" t="s">
        <v>8</v>
      </c>
      <c r="C8" s="223">
        <v>2070322</v>
      </c>
      <c r="D8" s="223">
        <v>2655561</v>
      </c>
      <c r="E8" s="223">
        <v>3293176</v>
      </c>
      <c r="F8" s="42">
        <v>28.268018211659829</v>
      </c>
      <c r="G8" s="42">
        <v>24.010557467894731</v>
      </c>
    </row>
    <row r="9" spans="2:8" ht="15" customHeight="1" x14ac:dyDescent="0.2">
      <c r="B9" s="29" t="s">
        <v>9</v>
      </c>
      <c r="C9" s="223">
        <v>2889873</v>
      </c>
      <c r="D9" s="223">
        <v>3678440</v>
      </c>
      <c r="E9" s="223">
        <v>4022254</v>
      </c>
      <c r="F9" s="42">
        <v>27.287254491806387</v>
      </c>
      <c r="G9" s="42">
        <v>9.3467339415621833</v>
      </c>
    </row>
    <row r="10" spans="2:8" ht="15" customHeight="1" x14ac:dyDescent="0.2">
      <c r="B10" s="29" t="s">
        <v>10</v>
      </c>
      <c r="C10" s="223">
        <v>3486940</v>
      </c>
      <c r="D10" s="223">
        <v>4505594</v>
      </c>
      <c r="E10" s="223">
        <v>5318984</v>
      </c>
      <c r="F10" s="42">
        <v>29.21340774432597</v>
      </c>
      <c r="G10" s="42">
        <v>18.05289158321855</v>
      </c>
    </row>
    <row r="11" spans="2:8" ht="15" customHeight="1" x14ac:dyDescent="0.2">
      <c r="B11" s="29" t="s">
        <v>11</v>
      </c>
      <c r="C11" s="223">
        <v>5075961</v>
      </c>
      <c r="D11" s="223">
        <v>5671801</v>
      </c>
      <c r="E11" s="223">
        <v>6617380</v>
      </c>
      <c r="F11" s="42">
        <v>11.738466863713098</v>
      </c>
      <c r="G11" s="42">
        <v>16.671582800595438</v>
      </c>
    </row>
    <row r="12" spans="2:8" ht="15" customHeight="1" x14ac:dyDescent="0.2">
      <c r="B12" s="29" t="s">
        <v>12</v>
      </c>
      <c r="C12" s="223">
        <v>4658463</v>
      </c>
      <c r="D12" s="223">
        <v>5383332</v>
      </c>
      <c r="E12" s="223">
        <v>6307508</v>
      </c>
      <c r="F12" s="42">
        <v>15.560260970195534</v>
      </c>
      <c r="G12" s="42">
        <v>17.167360289129483</v>
      </c>
    </row>
    <row r="13" spans="2:8" ht="15" customHeight="1" x14ac:dyDescent="0.2">
      <c r="B13" s="29" t="s">
        <v>13</v>
      </c>
      <c r="C13" s="223">
        <v>4076630</v>
      </c>
      <c r="D13" s="223">
        <v>4792818</v>
      </c>
      <c r="E13" s="223">
        <v>5426818</v>
      </c>
      <c r="F13" s="42">
        <v>17.568138388816251</v>
      </c>
      <c r="G13" s="42">
        <v>13.22812591673625</v>
      </c>
    </row>
    <row r="14" spans="2:8" ht="15" customHeight="1" x14ac:dyDescent="0.2">
      <c r="B14" s="29" t="s">
        <v>14</v>
      </c>
      <c r="C14" s="223">
        <v>2992947</v>
      </c>
      <c r="D14" s="223">
        <v>3755467</v>
      </c>
      <c r="E14" s="223">
        <v>4291574</v>
      </c>
      <c r="F14" s="42">
        <v>25.477230301772803</v>
      </c>
      <c r="G14" s="42">
        <v>14.275375073193294</v>
      </c>
    </row>
    <row r="15" spans="2:8" ht="15" customHeight="1" x14ac:dyDescent="0.2">
      <c r="B15" s="29" t="s">
        <v>15</v>
      </c>
      <c r="C15" s="223">
        <v>1652795</v>
      </c>
      <c r="D15" s="223">
        <v>1966277</v>
      </c>
      <c r="E15" s="223">
        <v>2190622</v>
      </c>
      <c r="F15" s="42">
        <v>18.966780514219852</v>
      </c>
      <c r="G15" s="42">
        <v>11.409633535864987</v>
      </c>
    </row>
    <row r="16" spans="2:8" ht="15" customHeight="1" thickBot="1" x14ac:dyDescent="0.25">
      <c r="B16" s="29" t="s">
        <v>16</v>
      </c>
      <c r="C16" s="223">
        <v>1703789</v>
      </c>
      <c r="D16" s="223">
        <v>1950705</v>
      </c>
      <c r="E16" s="223">
        <v>2147878</v>
      </c>
      <c r="F16" s="42">
        <v>14.492170098527458</v>
      </c>
      <c r="G16" s="42">
        <v>10.107781545646318</v>
      </c>
    </row>
    <row r="17" spans="2:7" ht="15" customHeight="1" thickBot="1" x14ac:dyDescent="0.25">
      <c r="B17" s="40" t="s">
        <v>17</v>
      </c>
      <c r="C17" s="224">
        <v>32410034</v>
      </c>
      <c r="D17" s="224">
        <v>39488401</v>
      </c>
      <c r="E17" s="224">
        <v>45058286</v>
      </c>
      <c r="F17" s="43">
        <v>21.840048054253817</v>
      </c>
      <c r="G17" s="43">
        <v>14.105116588539506</v>
      </c>
    </row>
  </sheetData>
  <mergeCells count="3">
    <mergeCell ref="B1:G1"/>
    <mergeCell ref="C3:E3"/>
    <mergeCell ref="F3:G3"/>
  </mergeCells>
  <printOptions horizontalCentered="1"/>
  <pageMargins left="0.74803149606299213" right="0.74803149606299213" top="0.98425196850393704" bottom="0.98425196850393704" header="0.51181102362204722" footer="0.51181102362204722"/>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120"/>
  <sheetViews>
    <sheetView view="pageBreakPreview" zoomScaleNormal="100" zoomScaleSheetLayoutView="100" workbookViewId="0">
      <selection activeCell="L18" sqref="L18"/>
    </sheetView>
  </sheetViews>
  <sheetFormatPr defaultColWidth="9.140625" defaultRowHeight="12.75" x14ac:dyDescent="0.2"/>
  <cols>
    <col min="1" max="1" width="9.140625" style="25"/>
    <col min="2" max="2" width="28.85546875" style="35" customWidth="1"/>
    <col min="3" max="6" width="11.42578125" customWidth="1"/>
    <col min="7" max="7" width="10.28515625" customWidth="1"/>
    <col min="8" max="8" width="8.5703125" customWidth="1"/>
  </cols>
  <sheetData>
    <row r="1" spans="2:8" ht="21" customHeight="1" x14ac:dyDescent="0.2">
      <c r="B1" s="586" t="s">
        <v>630</v>
      </c>
      <c r="C1" s="587"/>
      <c r="D1" s="587"/>
      <c r="E1" s="587"/>
      <c r="F1" s="587"/>
      <c r="G1" s="587"/>
      <c r="H1" s="587"/>
    </row>
    <row r="2" spans="2:8" s="25" customFormat="1" ht="5.25" customHeight="1" thickBot="1" x14ac:dyDescent="0.25">
      <c r="B2" s="38"/>
      <c r="C2" s="33"/>
      <c r="D2" s="33"/>
      <c r="E2" s="33"/>
      <c r="F2" s="33"/>
      <c r="G2" s="33"/>
      <c r="H2" s="33"/>
    </row>
    <row r="3" spans="2:8" ht="16.5" customHeight="1" x14ac:dyDescent="0.2">
      <c r="B3" s="579" t="s">
        <v>265</v>
      </c>
      <c r="C3" s="581" t="s">
        <v>266</v>
      </c>
      <c r="D3" s="581"/>
      <c r="E3" s="581"/>
      <c r="F3" s="581"/>
      <c r="G3" s="582" t="s">
        <v>17</v>
      </c>
      <c r="H3" s="584" t="s">
        <v>271</v>
      </c>
    </row>
    <row r="4" spans="2:8" ht="16.5" customHeight="1" thickBot="1" x14ac:dyDescent="0.25">
      <c r="B4" s="580"/>
      <c r="C4" s="49" t="s">
        <v>295</v>
      </c>
      <c r="D4" s="49" t="s">
        <v>296</v>
      </c>
      <c r="E4" s="49" t="s">
        <v>297</v>
      </c>
      <c r="F4" s="49" t="s">
        <v>298</v>
      </c>
      <c r="G4" s="583"/>
      <c r="H4" s="585"/>
    </row>
    <row r="5" spans="2:8" ht="12.75" customHeight="1" x14ac:dyDescent="0.2">
      <c r="B5" s="34" t="s">
        <v>60</v>
      </c>
      <c r="C5" s="197">
        <v>2120</v>
      </c>
      <c r="D5" s="197">
        <v>293200</v>
      </c>
      <c r="E5" s="197">
        <v>182</v>
      </c>
      <c r="F5" s="197">
        <v>10</v>
      </c>
      <c r="G5" s="214">
        <v>295512</v>
      </c>
      <c r="H5" s="285">
        <v>0.65584385522343214</v>
      </c>
    </row>
    <row r="6" spans="2:8" ht="12.75" customHeight="1" x14ac:dyDescent="0.2">
      <c r="B6" s="34" t="s">
        <v>80</v>
      </c>
      <c r="C6" s="197">
        <v>1162</v>
      </c>
      <c r="D6" s="197">
        <v>232220</v>
      </c>
      <c r="E6" s="197">
        <v>861</v>
      </c>
      <c r="F6" s="197">
        <v>21</v>
      </c>
      <c r="G6" s="214">
        <v>234264</v>
      </c>
      <c r="H6" s="285">
        <v>0.51991325191553006</v>
      </c>
    </row>
    <row r="7" spans="2:8" ht="12.75" customHeight="1" x14ac:dyDescent="0.2">
      <c r="B7" s="34" t="s">
        <v>100</v>
      </c>
      <c r="C7" s="197">
        <v>1906</v>
      </c>
      <c r="D7" s="197">
        <v>72505</v>
      </c>
      <c r="E7" s="197">
        <v>222</v>
      </c>
      <c r="F7" s="197">
        <v>19</v>
      </c>
      <c r="G7" s="214">
        <v>74652</v>
      </c>
      <c r="H7" s="285">
        <v>0.16567873886725296</v>
      </c>
    </row>
    <row r="8" spans="2:8" ht="12.75" customHeight="1" x14ac:dyDescent="0.2">
      <c r="B8" s="34" t="s">
        <v>149</v>
      </c>
      <c r="C8" s="197">
        <v>133</v>
      </c>
      <c r="D8" s="197">
        <v>258871</v>
      </c>
      <c r="E8" s="197">
        <v>211</v>
      </c>
      <c r="F8" s="197">
        <v>28</v>
      </c>
      <c r="G8" s="214">
        <v>259243</v>
      </c>
      <c r="H8" s="285">
        <v>0.57535033622894582</v>
      </c>
    </row>
    <row r="9" spans="2:8" ht="12.75" customHeight="1" x14ac:dyDescent="0.2">
      <c r="B9" s="34" t="s">
        <v>168</v>
      </c>
      <c r="C9" s="197">
        <v>8753</v>
      </c>
      <c r="D9" s="197">
        <v>168526</v>
      </c>
      <c r="E9" s="197">
        <v>371</v>
      </c>
      <c r="F9" s="197">
        <v>5</v>
      </c>
      <c r="G9" s="214">
        <v>177655</v>
      </c>
      <c r="H9" s="285">
        <v>0.39427820223787474</v>
      </c>
    </row>
    <row r="10" spans="2:8" ht="12.75" customHeight="1" x14ac:dyDescent="0.2">
      <c r="B10" s="34" t="s">
        <v>222</v>
      </c>
      <c r="C10" s="197">
        <v>30</v>
      </c>
      <c r="D10" s="197">
        <v>17782</v>
      </c>
      <c r="E10" s="197">
        <v>51</v>
      </c>
      <c r="F10" s="197" t="s">
        <v>585</v>
      </c>
      <c r="G10" s="214">
        <v>17863</v>
      </c>
      <c r="H10" s="285">
        <v>3.9644206617180246E-2</v>
      </c>
    </row>
    <row r="11" spans="2:8" ht="12.75" customHeight="1" x14ac:dyDescent="0.2">
      <c r="B11" s="34" t="s">
        <v>238</v>
      </c>
      <c r="C11" s="197">
        <v>629</v>
      </c>
      <c r="D11" s="197">
        <v>171553</v>
      </c>
      <c r="E11" s="197">
        <v>388</v>
      </c>
      <c r="F11" s="197">
        <v>17</v>
      </c>
      <c r="G11" s="214">
        <v>172587</v>
      </c>
      <c r="H11" s="285">
        <v>0.38303054847669971</v>
      </c>
    </row>
    <row r="12" spans="2:8" ht="12.75" customHeight="1" thickBot="1" x14ac:dyDescent="0.25">
      <c r="B12" s="34" t="s">
        <v>272</v>
      </c>
      <c r="C12" s="197">
        <v>4060</v>
      </c>
      <c r="D12" s="197">
        <v>203053</v>
      </c>
      <c r="E12" s="197">
        <v>387</v>
      </c>
      <c r="F12" s="197">
        <v>10</v>
      </c>
      <c r="G12" s="214">
        <v>207510</v>
      </c>
      <c r="H12" s="285">
        <v>0.46053682556855358</v>
      </c>
    </row>
    <row r="13" spans="2:8" ht="12.75" customHeight="1" thickBot="1" x14ac:dyDescent="0.25">
      <c r="B13" s="32" t="s">
        <v>273</v>
      </c>
      <c r="C13" s="198">
        <v>18793</v>
      </c>
      <c r="D13" s="198">
        <v>1417710</v>
      </c>
      <c r="E13" s="198">
        <v>2673</v>
      </c>
      <c r="F13" s="198">
        <v>110</v>
      </c>
      <c r="G13" s="294">
        <v>1439286</v>
      </c>
      <c r="H13" s="295">
        <v>3.1942759651354691</v>
      </c>
    </row>
    <row r="14" spans="2:8" ht="12.75" customHeight="1" x14ac:dyDescent="0.2">
      <c r="B14" s="34" t="s">
        <v>28</v>
      </c>
      <c r="C14" s="197">
        <v>5250</v>
      </c>
      <c r="D14" s="197">
        <v>58667</v>
      </c>
      <c r="E14" s="197">
        <v>417</v>
      </c>
      <c r="F14" s="197">
        <v>149</v>
      </c>
      <c r="G14" s="214">
        <v>64483</v>
      </c>
      <c r="H14" s="285">
        <v>0.14311019287329305</v>
      </c>
    </row>
    <row r="15" spans="2:8" ht="12.75" customHeight="1" x14ac:dyDescent="0.2">
      <c r="B15" s="34" t="s">
        <v>54</v>
      </c>
      <c r="C15" s="197">
        <v>9620</v>
      </c>
      <c r="D15" s="197">
        <v>90573</v>
      </c>
      <c r="E15" s="197">
        <v>860</v>
      </c>
      <c r="F15" s="197">
        <v>111</v>
      </c>
      <c r="G15" s="214">
        <v>101164</v>
      </c>
      <c r="H15" s="285">
        <v>0.22451808308909044</v>
      </c>
    </row>
    <row r="16" spans="2:8" ht="12.75" customHeight="1" x14ac:dyDescent="0.2">
      <c r="B16" s="34" t="s">
        <v>135</v>
      </c>
      <c r="C16" s="197">
        <v>9207</v>
      </c>
      <c r="D16" s="197">
        <v>61267</v>
      </c>
      <c r="E16" s="197">
        <v>412</v>
      </c>
      <c r="F16" s="197">
        <v>88</v>
      </c>
      <c r="G16" s="214">
        <v>70974</v>
      </c>
      <c r="H16" s="285">
        <v>0.15751597830419026</v>
      </c>
    </row>
    <row r="17" spans="2:8" ht="12.75" customHeight="1" x14ac:dyDescent="0.2">
      <c r="B17" s="34" t="s">
        <v>228</v>
      </c>
      <c r="C17" s="197">
        <v>1849</v>
      </c>
      <c r="D17" s="197">
        <v>16346</v>
      </c>
      <c r="E17" s="197">
        <v>220</v>
      </c>
      <c r="F17" s="197">
        <v>94</v>
      </c>
      <c r="G17" s="214">
        <v>18509</v>
      </c>
      <c r="H17" s="285">
        <v>4.1077905182633892E-2</v>
      </c>
    </row>
    <row r="18" spans="2:8" ht="12.75" customHeight="1" x14ac:dyDescent="0.2">
      <c r="B18" s="34" t="s">
        <v>249</v>
      </c>
      <c r="C18" s="197">
        <v>365</v>
      </c>
      <c r="D18" s="197">
        <v>11281</v>
      </c>
      <c r="E18" s="197">
        <v>86</v>
      </c>
      <c r="F18" s="197">
        <v>6</v>
      </c>
      <c r="G18" s="214">
        <v>11738</v>
      </c>
      <c r="H18" s="285">
        <v>2.6050702416865124E-2</v>
      </c>
    </row>
    <row r="19" spans="2:8" ht="12.75" customHeight="1" thickBot="1" x14ac:dyDescent="0.25">
      <c r="B19" s="34" t="s">
        <v>274</v>
      </c>
      <c r="C19" s="197">
        <v>3813</v>
      </c>
      <c r="D19" s="197">
        <v>27226</v>
      </c>
      <c r="E19" s="197">
        <v>433</v>
      </c>
      <c r="F19" s="197">
        <v>60</v>
      </c>
      <c r="G19" s="214">
        <v>31532</v>
      </c>
      <c r="H19" s="285">
        <v>6.9980469297034512E-2</v>
      </c>
    </row>
    <row r="20" spans="2:8" ht="12.75" customHeight="1" thickBot="1" x14ac:dyDescent="0.25">
      <c r="B20" s="32" t="s">
        <v>275</v>
      </c>
      <c r="C20" s="198">
        <v>30104</v>
      </c>
      <c r="D20" s="198">
        <v>265360</v>
      </c>
      <c r="E20" s="198">
        <v>2428</v>
      </c>
      <c r="F20" s="198">
        <v>508</v>
      </c>
      <c r="G20" s="294">
        <v>298400</v>
      </c>
      <c r="H20" s="295">
        <v>0.66225333116310725</v>
      </c>
    </row>
    <row r="21" spans="2:8" ht="12.75" customHeight="1" thickBot="1" x14ac:dyDescent="0.25">
      <c r="B21" s="32" t="s">
        <v>276</v>
      </c>
      <c r="C21" s="198">
        <v>990</v>
      </c>
      <c r="D21" s="198">
        <v>25208</v>
      </c>
      <c r="E21" s="198">
        <v>361</v>
      </c>
      <c r="F21" s="198">
        <v>1</v>
      </c>
      <c r="G21" s="294">
        <v>26560</v>
      </c>
      <c r="H21" s="295">
        <v>5.8945872907815444E-2</v>
      </c>
    </row>
    <row r="22" spans="2:8" ht="12.75" customHeight="1" thickBot="1" x14ac:dyDescent="0.25">
      <c r="B22" s="32" t="s">
        <v>277</v>
      </c>
      <c r="C22" s="198">
        <v>3497</v>
      </c>
      <c r="D22" s="198">
        <v>13817</v>
      </c>
      <c r="E22" s="198">
        <v>102</v>
      </c>
      <c r="F22" s="198">
        <v>17</v>
      </c>
      <c r="G22" s="294">
        <v>17433</v>
      </c>
      <c r="H22" s="295">
        <v>3.8689887138627511E-2</v>
      </c>
    </row>
    <row r="23" spans="2:8" ht="12.75" customHeight="1" thickBot="1" x14ac:dyDescent="0.25">
      <c r="B23" s="32" t="s">
        <v>278</v>
      </c>
      <c r="C23" s="198">
        <v>34591</v>
      </c>
      <c r="D23" s="198">
        <v>304385</v>
      </c>
      <c r="E23" s="198">
        <v>2891</v>
      </c>
      <c r="F23" s="198">
        <v>526</v>
      </c>
      <c r="G23" s="294">
        <v>342393</v>
      </c>
      <c r="H23" s="295">
        <v>0.75988909120955017</v>
      </c>
    </row>
    <row r="24" spans="2:8" ht="12.75" customHeight="1" x14ac:dyDescent="0.2">
      <c r="B24" s="34" t="s">
        <v>35</v>
      </c>
      <c r="C24" s="197">
        <v>64</v>
      </c>
      <c r="D24" s="197">
        <v>88500</v>
      </c>
      <c r="E24" s="197">
        <v>1735</v>
      </c>
      <c r="F24" s="197" t="s">
        <v>585</v>
      </c>
      <c r="G24" s="214">
        <v>90299</v>
      </c>
      <c r="H24" s="285">
        <v>0.20040487114844982</v>
      </c>
    </row>
    <row r="25" spans="2:8" ht="12.75" customHeight="1" x14ac:dyDescent="0.2">
      <c r="B25" s="34" t="s">
        <v>48</v>
      </c>
      <c r="C25" s="197">
        <v>82</v>
      </c>
      <c r="D25" s="197">
        <v>37219</v>
      </c>
      <c r="E25" s="197">
        <v>193</v>
      </c>
      <c r="F25" s="197">
        <v>6</v>
      </c>
      <c r="G25" s="214">
        <v>37500</v>
      </c>
      <c r="H25" s="285">
        <v>8.3225535920296662E-2</v>
      </c>
    </row>
    <row r="26" spans="2:8" ht="12.75" customHeight="1" x14ac:dyDescent="0.2">
      <c r="B26" s="34" t="s">
        <v>111</v>
      </c>
      <c r="C26" s="197">
        <v>1155</v>
      </c>
      <c r="D26" s="197">
        <v>912215</v>
      </c>
      <c r="E26" s="197">
        <v>461484</v>
      </c>
      <c r="F26" s="197">
        <v>42</v>
      </c>
      <c r="G26" s="214">
        <v>1374896</v>
      </c>
      <c r="H26" s="285">
        <v>3.0513721715912583</v>
      </c>
    </row>
    <row r="27" spans="2:8" ht="12.75" customHeight="1" x14ac:dyDescent="0.2">
      <c r="B27" s="34" t="s">
        <v>117</v>
      </c>
      <c r="C27" s="197">
        <v>16237</v>
      </c>
      <c r="D27" s="197">
        <v>549920</v>
      </c>
      <c r="E27" s="197">
        <v>3193</v>
      </c>
      <c r="F27" s="197">
        <v>18</v>
      </c>
      <c r="G27" s="214">
        <v>569368</v>
      </c>
      <c r="H27" s="285">
        <v>1.2636255182897991</v>
      </c>
    </row>
    <row r="28" spans="2:8" ht="12.75" customHeight="1" x14ac:dyDescent="0.2">
      <c r="B28" s="34" t="s">
        <v>129</v>
      </c>
      <c r="C28" s="197">
        <v>25</v>
      </c>
      <c r="D28" s="197">
        <v>108043</v>
      </c>
      <c r="E28" s="197">
        <v>427</v>
      </c>
      <c r="F28" s="197">
        <v>1</v>
      </c>
      <c r="G28" s="214">
        <v>108496</v>
      </c>
      <c r="H28" s="285">
        <v>0.24079033987222684</v>
      </c>
    </row>
    <row r="29" spans="2:8" ht="12.75" customHeight="1" x14ac:dyDescent="0.2">
      <c r="B29" s="34" t="s">
        <v>140</v>
      </c>
      <c r="C29" s="197">
        <v>522</v>
      </c>
      <c r="D29" s="197">
        <v>371818</v>
      </c>
      <c r="E29" s="197">
        <v>1851</v>
      </c>
      <c r="F29" s="197" t="s">
        <v>585</v>
      </c>
      <c r="G29" s="214">
        <v>374191</v>
      </c>
      <c r="H29" s="285">
        <v>0.83045990697471272</v>
      </c>
    </row>
    <row r="30" spans="2:8" ht="12.75" customHeight="1" x14ac:dyDescent="0.2">
      <c r="B30" s="34" t="s">
        <v>141</v>
      </c>
      <c r="C30" s="197">
        <v>10952</v>
      </c>
      <c r="D30" s="197">
        <v>242795</v>
      </c>
      <c r="E30" s="197">
        <v>2235</v>
      </c>
      <c r="F30" s="197">
        <v>4</v>
      </c>
      <c r="G30" s="214">
        <v>255986</v>
      </c>
      <c r="H30" s="285">
        <v>0.56812192101581493</v>
      </c>
    </row>
    <row r="31" spans="2:8" ht="12.75" customHeight="1" x14ac:dyDescent="0.2">
      <c r="B31" s="34" t="s">
        <v>152</v>
      </c>
      <c r="C31" s="197">
        <v>8108</v>
      </c>
      <c r="D31" s="197">
        <v>366326</v>
      </c>
      <c r="E31" s="197">
        <v>2269</v>
      </c>
      <c r="F31" s="197">
        <v>18</v>
      </c>
      <c r="G31" s="214">
        <v>376721</v>
      </c>
      <c r="H31" s="285">
        <v>0.83607485646480206</v>
      </c>
    </row>
    <row r="32" spans="2:8" ht="12.75" customHeight="1" x14ac:dyDescent="0.2">
      <c r="B32" s="34" t="s">
        <v>225</v>
      </c>
      <c r="C32" s="197">
        <v>314</v>
      </c>
      <c r="D32" s="197">
        <v>552938</v>
      </c>
      <c r="E32" s="197">
        <v>11562</v>
      </c>
      <c r="F32" s="197">
        <v>2</v>
      </c>
      <c r="G32" s="214">
        <v>564816</v>
      </c>
      <c r="H32" s="285">
        <v>1.2535230479028874</v>
      </c>
    </row>
    <row r="33" spans="2:8" ht="12.75" customHeight="1" x14ac:dyDescent="0.2">
      <c r="B33" s="34" t="s">
        <v>246</v>
      </c>
      <c r="C33" s="197">
        <v>587</v>
      </c>
      <c r="D33" s="197">
        <v>467050</v>
      </c>
      <c r="E33" s="197">
        <v>7231</v>
      </c>
      <c r="F33" s="197">
        <v>6</v>
      </c>
      <c r="G33" s="214">
        <v>474874</v>
      </c>
      <c r="H33" s="285">
        <v>1.0539104838563988</v>
      </c>
    </row>
    <row r="34" spans="2:8" ht="12.75" customHeight="1" x14ac:dyDescent="0.2">
      <c r="B34" s="34" t="s">
        <v>253</v>
      </c>
      <c r="C34" s="197">
        <v>29</v>
      </c>
      <c r="D34" s="197">
        <v>41518</v>
      </c>
      <c r="E34" s="197">
        <v>125</v>
      </c>
      <c r="F34" s="197">
        <v>1</v>
      </c>
      <c r="G34" s="214">
        <v>41673</v>
      </c>
      <c r="H34" s="285">
        <v>9.2486873557507274E-2</v>
      </c>
    </row>
    <row r="35" spans="2:8" ht="12.75" customHeight="1" thickBot="1" x14ac:dyDescent="0.25">
      <c r="B35" s="34" t="s">
        <v>279</v>
      </c>
      <c r="C35" s="197">
        <v>10228</v>
      </c>
      <c r="D35" s="197">
        <v>381018</v>
      </c>
      <c r="E35" s="197">
        <v>341849</v>
      </c>
      <c r="F35" s="197">
        <v>19</v>
      </c>
      <c r="G35" s="214">
        <v>733114</v>
      </c>
      <c r="H35" s="285">
        <v>1.6270348144179296</v>
      </c>
    </row>
    <row r="36" spans="2:8" ht="12.75" customHeight="1" thickBot="1" x14ac:dyDescent="0.25">
      <c r="B36" s="32" t="s">
        <v>280</v>
      </c>
      <c r="C36" s="198">
        <v>48303</v>
      </c>
      <c r="D36" s="198">
        <v>4119360</v>
      </c>
      <c r="E36" s="198">
        <v>834154</v>
      </c>
      <c r="F36" s="198">
        <v>117</v>
      </c>
      <c r="G36" s="294">
        <v>5001934</v>
      </c>
      <c r="H36" s="295">
        <v>11.101030341012084</v>
      </c>
    </row>
    <row r="37" spans="2:8" ht="12.75" customHeight="1" x14ac:dyDescent="0.2">
      <c r="B37" s="34" t="s">
        <v>37</v>
      </c>
      <c r="C37" s="197">
        <v>935</v>
      </c>
      <c r="D37" s="197">
        <v>19595</v>
      </c>
      <c r="E37" s="197">
        <v>70</v>
      </c>
      <c r="F37" s="197">
        <v>5</v>
      </c>
      <c r="G37" s="214">
        <v>20605</v>
      </c>
      <c r="H37" s="285">
        <v>4.5729657803672337E-2</v>
      </c>
    </row>
    <row r="38" spans="2:8" ht="12.75" customHeight="1" x14ac:dyDescent="0.2">
      <c r="B38" s="34" t="s">
        <v>64</v>
      </c>
      <c r="C38" s="197">
        <v>16810</v>
      </c>
      <c r="D38" s="197">
        <v>407456</v>
      </c>
      <c r="E38" s="197">
        <v>2003</v>
      </c>
      <c r="F38" s="197">
        <v>75</v>
      </c>
      <c r="G38" s="214">
        <v>426344</v>
      </c>
      <c r="H38" s="285">
        <v>0.94620554363741227</v>
      </c>
    </row>
    <row r="39" spans="2:8" ht="12.75" customHeight="1" x14ac:dyDescent="0.2">
      <c r="B39" s="34" t="s">
        <v>73</v>
      </c>
      <c r="C39" s="197">
        <v>5967</v>
      </c>
      <c r="D39" s="197">
        <v>120835</v>
      </c>
      <c r="E39" s="197">
        <v>327</v>
      </c>
      <c r="F39" s="197">
        <v>20</v>
      </c>
      <c r="G39" s="214">
        <v>127149</v>
      </c>
      <c r="H39" s="285">
        <v>0.28218783111279466</v>
      </c>
    </row>
    <row r="40" spans="2:8" ht="12.75" customHeight="1" x14ac:dyDescent="0.2">
      <c r="B40" s="34" t="s">
        <v>83</v>
      </c>
      <c r="C40" s="197">
        <v>88711</v>
      </c>
      <c r="D40" s="197">
        <v>50256</v>
      </c>
      <c r="E40" s="197">
        <v>156</v>
      </c>
      <c r="F40" s="197">
        <v>3</v>
      </c>
      <c r="G40" s="214">
        <v>139126</v>
      </c>
      <c r="H40" s="285">
        <v>0.30876895761192513</v>
      </c>
    </row>
    <row r="41" spans="2:8" ht="12.75" customHeight="1" x14ac:dyDescent="0.2">
      <c r="B41" s="34" t="s">
        <v>107</v>
      </c>
      <c r="C41" s="197">
        <v>42464</v>
      </c>
      <c r="D41" s="197">
        <v>187339</v>
      </c>
      <c r="E41" s="197">
        <v>289</v>
      </c>
      <c r="F41" s="197">
        <v>39</v>
      </c>
      <c r="G41" s="214">
        <v>230131</v>
      </c>
      <c r="H41" s="285">
        <v>0.51074068818330109</v>
      </c>
    </row>
    <row r="42" spans="2:8" ht="12.75" customHeight="1" x14ac:dyDescent="0.2">
      <c r="B42" s="34" t="s">
        <v>114</v>
      </c>
      <c r="C42" s="197">
        <v>3536</v>
      </c>
      <c r="D42" s="197">
        <v>1207661</v>
      </c>
      <c r="E42" s="197">
        <v>882054</v>
      </c>
      <c r="F42" s="197">
        <v>9639</v>
      </c>
      <c r="G42" s="214">
        <v>2102890</v>
      </c>
      <c r="H42" s="285">
        <v>4.6670439261715373</v>
      </c>
    </row>
    <row r="43" spans="2:8" ht="12.75" customHeight="1" x14ac:dyDescent="0.2">
      <c r="B43" s="34" t="s">
        <v>159</v>
      </c>
      <c r="C43" s="197">
        <v>784</v>
      </c>
      <c r="D43" s="197">
        <v>110735</v>
      </c>
      <c r="E43" s="197">
        <v>2581</v>
      </c>
      <c r="F43" s="197">
        <v>114</v>
      </c>
      <c r="G43" s="214">
        <v>114214</v>
      </c>
      <c r="H43" s="285">
        <v>0.25348056958935367</v>
      </c>
    </row>
    <row r="44" spans="2:8" ht="12.75" customHeight="1" x14ac:dyDescent="0.2">
      <c r="B44" s="34" t="s">
        <v>190</v>
      </c>
      <c r="C44" s="197">
        <v>2540</v>
      </c>
      <c r="D44" s="197">
        <v>127719</v>
      </c>
      <c r="E44" s="197">
        <v>461</v>
      </c>
      <c r="F44" s="197">
        <v>16</v>
      </c>
      <c r="G44" s="214">
        <v>130736</v>
      </c>
      <c r="H44" s="285">
        <v>0.2901486310420241</v>
      </c>
    </row>
    <row r="45" spans="2:8" ht="12.75" customHeight="1" x14ac:dyDescent="0.2">
      <c r="B45" s="34" t="s">
        <v>216</v>
      </c>
      <c r="C45" s="197">
        <v>849</v>
      </c>
      <c r="D45" s="197">
        <v>33792</v>
      </c>
      <c r="E45" s="197">
        <v>264</v>
      </c>
      <c r="F45" s="197">
        <v>25</v>
      </c>
      <c r="G45" s="214">
        <v>34930</v>
      </c>
      <c r="H45" s="285">
        <v>7.7521812525225664E-2</v>
      </c>
    </row>
    <row r="46" spans="2:8" ht="12.75" customHeight="1" x14ac:dyDescent="0.2">
      <c r="B46" s="34" t="s">
        <v>232</v>
      </c>
      <c r="C46" s="197">
        <v>1556</v>
      </c>
      <c r="D46" s="197">
        <v>60390</v>
      </c>
      <c r="E46" s="197">
        <v>240</v>
      </c>
      <c r="F46" s="197">
        <v>6</v>
      </c>
      <c r="G46" s="214">
        <v>62192</v>
      </c>
      <c r="H46" s="285">
        <v>0.13802566746546907</v>
      </c>
    </row>
    <row r="47" spans="2:8" ht="12.75" customHeight="1" thickBot="1" x14ac:dyDescent="0.25">
      <c r="B47" s="34" t="s">
        <v>281</v>
      </c>
      <c r="C47" s="197">
        <v>7359</v>
      </c>
      <c r="D47" s="197">
        <v>250451</v>
      </c>
      <c r="E47" s="197">
        <v>3723</v>
      </c>
      <c r="F47" s="197">
        <v>94</v>
      </c>
      <c r="G47" s="214">
        <v>261627</v>
      </c>
      <c r="H47" s="285">
        <v>0.58064126096585211</v>
      </c>
    </row>
    <row r="48" spans="2:8" ht="12.75" customHeight="1" thickBot="1" x14ac:dyDescent="0.25">
      <c r="B48" s="32" t="s">
        <v>282</v>
      </c>
      <c r="C48" s="198">
        <v>171511</v>
      </c>
      <c r="D48" s="198">
        <v>2576229</v>
      </c>
      <c r="E48" s="198">
        <v>892168</v>
      </c>
      <c r="F48" s="198">
        <v>10036</v>
      </c>
      <c r="G48" s="294">
        <v>3649944</v>
      </c>
      <c r="H48" s="295">
        <v>8.1004945461085676</v>
      </c>
    </row>
    <row r="49" spans="2:8" ht="12.75" customHeight="1" thickBot="1" x14ac:dyDescent="0.25">
      <c r="B49" s="32" t="s">
        <v>283</v>
      </c>
      <c r="C49" s="198">
        <v>219814</v>
      </c>
      <c r="D49" s="198">
        <v>6695589</v>
      </c>
      <c r="E49" s="198">
        <v>1726322</v>
      </c>
      <c r="F49" s="198">
        <v>10153</v>
      </c>
      <c r="G49" s="294">
        <v>8651878</v>
      </c>
      <c r="H49" s="295">
        <v>19.201524887120652</v>
      </c>
    </row>
    <row r="50" spans="2:8" ht="12.75" customHeight="1" x14ac:dyDescent="0.2">
      <c r="B50" s="34" t="s">
        <v>21</v>
      </c>
      <c r="C50" s="197">
        <v>102538</v>
      </c>
      <c r="D50" s="197">
        <v>4594081</v>
      </c>
      <c r="E50" s="197">
        <v>328668</v>
      </c>
      <c r="F50" s="197">
        <v>2185</v>
      </c>
      <c r="G50" s="214">
        <v>5027472</v>
      </c>
      <c r="H50" s="285">
        <v>11.157708040647618</v>
      </c>
    </row>
    <row r="51" spans="2:8" ht="12.75" customHeight="1" x14ac:dyDescent="0.2">
      <c r="B51" s="34" t="s">
        <v>32</v>
      </c>
      <c r="C51" s="197">
        <v>6778</v>
      </c>
      <c r="D51" s="197">
        <v>327914</v>
      </c>
      <c r="E51" s="197">
        <v>66302</v>
      </c>
      <c r="F51" s="197">
        <v>481</v>
      </c>
      <c r="G51" s="214">
        <v>401475</v>
      </c>
      <c r="H51" s="285">
        <v>0.89101258756269597</v>
      </c>
    </row>
    <row r="52" spans="2:8" ht="12.75" customHeight="1" x14ac:dyDescent="0.2">
      <c r="B52" s="34" t="s">
        <v>42</v>
      </c>
      <c r="C52" s="197">
        <v>19305</v>
      </c>
      <c r="D52" s="197">
        <v>488361</v>
      </c>
      <c r="E52" s="197">
        <v>49569</v>
      </c>
      <c r="F52" s="197">
        <v>200</v>
      </c>
      <c r="G52" s="214">
        <v>557435</v>
      </c>
      <c r="H52" s="285">
        <v>1.2371420430861484</v>
      </c>
    </row>
    <row r="53" spans="2:8" ht="12.75" customHeight="1" x14ac:dyDescent="0.2">
      <c r="B53" s="34" t="s">
        <v>63</v>
      </c>
      <c r="C53" s="197">
        <v>6280</v>
      </c>
      <c r="D53" s="197">
        <v>300295</v>
      </c>
      <c r="E53" s="197">
        <v>4709</v>
      </c>
      <c r="F53" s="197">
        <v>75</v>
      </c>
      <c r="G53" s="214">
        <v>311359</v>
      </c>
      <c r="H53" s="285">
        <v>0.69101385702953722</v>
      </c>
    </row>
    <row r="54" spans="2:8" ht="12.75" customHeight="1" x14ac:dyDescent="0.2">
      <c r="B54" s="34" t="s">
        <v>65</v>
      </c>
      <c r="C54" s="197">
        <v>7490</v>
      </c>
      <c r="D54" s="197">
        <v>321539</v>
      </c>
      <c r="E54" s="197">
        <v>6676</v>
      </c>
      <c r="F54" s="197">
        <v>172</v>
      </c>
      <c r="G54" s="214">
        <v>335877</v>
      </c>
      <c r="H54" s="285">
        <v>0.74542782208803948</v>
      </c>
    </row>
    <row r="55" spans="2:8" ht="12.75" customHeight="1" x14ac:dyDescent="0.2">
      <c r="B55" s="34" t="s">
        <v>85</v>
      </c>
      <c r="C55" s="197">
        <v>7697</v>
      </c>
      <c r="D55" s="197">
        <v>125460</v>
      </c>
      <c r="E55" s="197">
        <v>1946</v>
      </c>
      <c r="F55" s="197">
        <v>89</v>
      </c>
      <c r="G55" s="214">
        <v>135192</v>
      </c>
      <c r="H55" s="285">
        <v>0.30003804405697987</v>
      </c>
    </row>
    <row r="56" spans="2:8" ht="12.75" customHeight="1" x14ac:dyDescent="0.2">
      <c r="B56" s="34" t="s">
        <v>86</v>
      </c>
      <c r="C56" s="197">
        <v>37288</v>
      </c>
      <c r="D56" s="197">
        <v>739296</v>
      </c>
      <c r="E56" s="197">
        <v>98558</v>
      </c>
      <c r="F56" s="197">
        <v>815</v>
      </c>
      <c r="G56" s="214">
        <v>875957</v>
      </c>
      <c r="H56" s="285">
        <v>1.9440530871502746</v>
      </c>
    </row>
    <row r="57" spans="2:8" ht="12.75" customHeight="1" x14ac:dyDescent="0.2">
      <c r="B57" s="34" t="s">
        <v>108</v>
      </c>
      <c r="C57" s="197">
        <v>45996</v>
      </c>
      <c r="D57" s="197">
        <v>990671</v>
      </c>
      <c r="E57" s="197">
        <v>80109</v>
      </c>
      <c r="F57" s="197">
        <v>514</v>
      </c>
      <c r="G57" s="214">
        <v>1117290</v>
      </c>
      <c r="H57" s="285">
        <v>2.4796549074236869</v>
      </c>
    </row>
    <row r="58" spans="2:8" ht="12.75" customHeight="1" x14ac:dyDescent="0.2">
      <c r="B58" s="34" t="s">
        <v>113</v>
      </c>
      <c r="C58" s="197">
        <v>123375</v>
      </c>
      <c r="D58" s="197">
        <v>2405339</v>
      </c>
      <c r="E58" s="197">
        <v>32218</v>
      </c>
      <c r="F58" s="197">
        <v>1132</v>
      </c>
      <c r="G58" s="214">
        <v>2562064</v>
      </c>
      <c r="H58" s="285">
        <v>5.6861106523226379</v>
      </c>
    </row>
    <row r="59" spans="2:8" ht="12.75" customHeight="1" x14ac:dyDescent="0.2">
      <c r="B59" s="34" t="s">
        <v>115</v>
      </c>
      <c r="C59" s="197">
        <v>5596</v>
      </c>
      <c r="D59" s="197">
        <v>90449</v>
      </c>
      <c r="E59" s="197">
        <v>712</v>
      </c>
      <c r="F59" s="197">
        <v>129</v>
      </c>
      <c r="G59" s="214">
        <v>96886</v>
      </c>
      <c r="H59" s="285">
        <v>0.21502371395130299</v>
      </c>
    </row>
    <row r="60" spans="2:8" ht="12.75" customHeight="1" x14ac:dyDescent="0.2">
      <c r="B60" s="34" t="s">
        <v>116</v>
      </c>
      <c r="C60" s="197">
        <v>31382</v>
      </c>
      <c r="D60" s="197">
        <v>222015</v>
      </c>
      <c r="E60" s="197">
        <v>3034</v>
      </c>
      <c r="F60" s="197">
        <v>911</v>
      </c>
      <c r="G60" s="214">
        <v>257342</v>
      </c>
      <c r="H60" s="285">
        <v>0.57113135639469281</v>
      </c>
    </row>
    <row r="61" spans="2:8" ht="12.75" customHeight="1" x14ac:dyDescent="0.2">
      <c r="B61" s="34" t="s">
        <v>118</v>
      </c>
      <c r="C61" s="197">
        <v>10729</v>
      </c>
      <c r="D61" s="197">
        <v>418365</v>
      </c>
      <c r="E61" s="197">
        <v>15045</v>
      </c>
      <c r="F61" s="197">
        <v>146</v>
      </c>
      <c r="G61" s="214">
        <v>444285</v>
      </c>
      <c r="H61" s="285">
        <v>0.98602285936930667</v>
      </c>
    </row>
    <row r="62" spans="2:8" ht="12.75" customHeight="1" x14ac:dyDescent="0.2">
      <c r="B62" s="34" t="s">
        <v>119</v>
      </c>
      <c r="C62" s="197">
        <v>6983</v>
      </c>
      <c r="D62" s="197">
        <v>294165</v>
      </c>
      <c r="E62" s="197">
        <v>9593</v>
      </c>
      <c r="F62" s="197">
        <v>366</v>
      </c>
      <c r="G62" s="214">
        <v>311107</v>
      </c>
      <c r="H62" s="285">
        <v>0.69045458142815286</v>
      </c>
    </row>
    <row r="63" spans="2:8" ht="12.75" customHeight="1" x14ac:dyDescent="0.2">
      <c r="B63" s="34" t="s">
        <v>120</v>
      </c>
      <c r="C63" s="197">
        <v>39307</v>
      </c>
      <c r="D63" s="197">
        <v>326909</v>
      </c>
      <c r="E63" s="197">
        <v>10313</v>
      </c>
      <c r="F63" s="197">
        <v>482</v>
      </c>
      <c r="G63" s="214">
        <v>377011</v>
      </c>
      <c r="H63" s="285">
        <v>0.83671846727591903</v>
      </c>
    </row>
    <row r="64" spans="2:8" ht="12.75" customHeight="1" x14ac:dyDescent="0.2">
      <c r="B64" s="34" t="s">
        <v>121</v>
      </c>
      <c r="C64" s="197">
        <v>203</v>
      </c>
      <c r="D64" s="197">
        <v>3718</v>
      </c>
      <c r="E64" s="197">
        <v>44</v>
      </c>
      <c r="F64" s="197">
        <v>1</v>
      </c>
      <c r="G64" s="214">
        <v>3966</v>
      </c>
      <c r="H64" s="285">
        <v>8.8019326789305751E-3</v>
      </c>
    </row>
    <row r="65" spans="2:8" ht="12.75" customHeight="1" x14ac:dyDescent="0.2">
      <c r="B65" s="34" t="s">
        <v>153</v>
      </c>
      <c r="C65" s="197">
        <v>600</v>
      </c>
      <c r="D65" s="197">
        <v>10198</v>
      </c>
      <c r="E65" s="197">
        <v>155</v>
      </c>
      <c r="F65" s="197">
        <v>4</v>
      </c>
      <c r="G65" s="214">
        <v>10957</v>
      </c>
      <c r="H65" s="285">
        <v>2.4317391922098412E-2</v>
      </c>
    </row>
    <row r="66" spans="2:8" ht="12.75" customHeight="1" x14ac:dyDescent="0.2">
      <c r="B66" s="34" t="s">
        <v>154</v>
      </c>
      <c r="C66" s="197">
        <v>2877</v>
      </c>
      <c r="D66" s="197">
        <v>133403</v>
      </c>
      <c r="E66" s="197">
        <v>13126</v>
      </c>
      <c r="F66" s="197">
        <v>117</v>
      </c>
      <c r="G66" s="214">
        <v>149523</v>
      </c>
      <c r="H66" s="285">
        <v>0.33184351486428043</v>
      </c>
    </row>
    <row r="67" spans="2:8" ht="12.75" customHeight="1" x14ac:dyDescent="0.2">
      <c r="B67" s="34" t="s">
        <v>187</v>
      </c>
      <c r="C67" s="197">
        <v>4150</v>
      </c>
      <c r="D67" s="197">
        <v>199970</v>
      </c>
      <c r="E67" s="197">
        <v>4137</v>
      </c>
      <c r="F67" s="197">
        <v>73</v>
      </c>
      <c r="G67" s="214">
        <v>208330</v>
      </c>
      <c r="H67" s="285">
        <v>0.46235669062067741</v>
      </c>
    </row>
    <row r="68" spans="2:8" ht="12.75" customHeight="1" x14ac:dyDescent="0.2">
      <c r="B68" s="34" t="s">
        <v>197</v>
      </c>
      <c r="C68" s="197">
        <v>55434</v>
      </c>
      <c r="D68" s="197">
        <v>804032</v>
      </c>
      <c r="E68" s="197">
        <v>21216</v>
      </c>
      <c r="F68" s="197">
        <v>157</v>
      </c>
      <c r="G68" s="214">
        <v>880839</v>
      </c>
      <c r="H68" s="285">
        <v>1.954887942253285</v>
      </c>
    </row>
    <row r="69" spans="2:8" ht="12.75" customHeight="1" x14ac:dyDescent="0.2">
      <c r="B69" s="34" t="s">
        <v>198</v>
      </c>
      <c r="C69" s="197">
        <v>3984</v>
      </c>
      <c r="D69" s="197">
        <v>49055</v>
      </c>
      <c r="E69" s="197">
        <v>879</v>
      </c>
      <c r="F69" s="197">
        <v>212</v>
      </c>
      <c r="G69" s="214">
        <v>54130</v>
      </c>
      <c r="H69" s="285">
        <v>0.12013328691641754</v>
      </c>
    </row>
    <row r="70" spans="2:8" ht="12.75" customHeight="1" x14ac:dyDescent="0.2">
      <c r="B70" s="34" t="s">
        <v>217</v>
      </c>
      <c r="C70" s="197">
        <v>1587</v>
      </c>
      <c r="D70" s="197">
        <v>202193</v>
      </c>
      <c r="E70" s="197">
        <v>3299</v>
      </c>
      <c r="F70" s="197">
        <v>29</v>
      </c>
      <c r="G70" s="214">
        <v>207108</v>
      </c>
      <c r="H70" s="285">
        <v>0.45964464782348802</v>
      </c>
    </row>
    <row r="71" spans="2:8" ht="12.75" customHeight="1" x14ac:dyDescent="0.2">
      <c r="B71" s="34" t="s">
        <v>257</v>
      </c>
      <c r="C71" s="197">
        <v>133844</v>
      </c>
      <c r="D71" s="197">
        <v>122938</v>
      </c>
      <c r="E71" s="197">
        <v>580047</v>
      </c>
      <c r="F71" s="197">
        <v>53</v>
      </c>
      <c r="G71" s="214">
        <v>836882</v>
      </c>
      <c r="H71" s="285">
        <v>1.8573320787213254</v>
      </c>
    </row>
    <row r="72" spans="2:8" ht="12.75" customHeight="1" thickBot="1" x14ac:dyDescent="0.25">
      <c r="B72" s="34" t="s">
        <v>284</v>
      </c>
      <c r="C72" s="197" t="s">
        <v>585</v>
      </c>
      <c r="D72" s="197" t="s">
        <v>585</v>
      </c>
      <c r="E72" s="197" t="s">
        <v>585</v>
      </c>
      <c r="F72" s="197" t="s">
        <v>585</v>
      </c>
      <c r="G72" s="214" t="s">
        <v>585</v>
      </c>
      <c r="H72" s="285">
        <v>6.1709284229692569E-6</v>
      </c>
    </row>
    <row r="73" spans="2:8" ht="12.75" customHeight="1" thickBot="1" x14ac:dyDescent="0.25">
      <c r="B73" s="32" t="s">
        <v>285</v>
      </c>
      <c r="C73" s="198">
        <v>653423</v>
      </c>
      <c r="D73" s="198">
        <v>13170366</v>
      </c>
      <c r="E73" s="198">
        <v>1330355</v>
      </c>
      <c r="F73" s="198">
        <v>8343</v>
      </c>
      <c r="G73" s="294">
        <v>15162487</v>
      </c>
      <c r="H73" s="295">
        <v>33.650829505587495</v>
      </c>
    </row>
    <row r="74" spans="2:8" s="25" customFormat="1" ht="12.75" customHeight="1" x14ac:dyDescent="0.2">
      <c r="B74" s="31"/>
      <c r="C74" s="37"/>
      <c r="D74" s="37"/>
      <c r="E74" s="37"/>
      <c r="F74" s="37"/>
      <c r="G74" s="39"/>
      <c r="H74" s="51"/>
    </row>
    <row r="75" spans="2:8" s="25" customFormat="1" ht="21" customHeight="1" x14ac:dyDescent="0.2">
      <c r="B75" s="586" t="s">
        <v>630</v>
      </c>
      <c r="C75" s="587"/>
      <c r="D75" s="587"/>
      <c r="E75" s="587"/>
      <c r="F75" s="587"/>
      <c r="G75" s="587"/>
      <c r="H75" s="587"/>
    </row>
    <row r="76" spans="2:8" s="25" customFormat="1" ht="5.25" customHeight="1" thickBot="1" x14ac:dyDescent="0.25">
      <c r="B76" s="38"/>
      <c r="C76" s="33"/>
      <c r="D76" s="33"/>
      <c r="E76" s="33"/>
      <c r="F76" s="33"/>
      <c r="G76" s="33"/>
      <c r="H76" s="33"/>
    </row>
    <row r="77" spans="2:8" s="25" customFormat="1" ht="16.5" customHeight="1" x14ac:dyDescent="0.2">
      <c r="B77" s="579" t="s">
        <v>265</v>
      </c>
      <c r="C77" s="581" t="s">
        <v>266</v>
      </c>
      <c r="D77" s="581"/>
      <c r="E77" s="581"/>
      <c r="F77" s="581"/>
      <c r="G77" s="582" t="s">
        <v>17</v>
      </c>
      <c r="H77" s="584" t="s">
        <v>271</v>
      </c>
    </row>
    <row r="78" spans="2:8" s="25" customFormat="1" ht="16.5" customHeight="1" thickBot="1" x14ac:dyDescent="0.25">
      <c r="B78" s="580"/>
      <c r="C78" s="49" t="s">
        <v>295</v>
      </c>
      <c r="D78" s="49" t="s">
        <v>296</v>
      </c>
      <c r="E78" s="49" t="s">
        <v>297</v>
      </c>
      <c r="F78" s="49" t="s">
        <v>298</v>
      </c>
      <c r="G78" s="583"/>
      <c r="H78" s="585"/>
    </row>
    <row r="79" spans="2:8" ht="12.75" customHeight="1" x14ac:dyDescent="0.2">
      <c r="B79" s="34" t="s">
        <v>29</v>
      </c>
      <c r="C79" s="197">
        <v>6354</v>
      </c>
      <c r="D79" s="197">
        <v>80437</v>
      </c>
      <c r="E79" s="197">
        <v>48073</v>
      </c>
      <c r="F79" s="197">
        <v>5</v>
      </c>
      <c r="G79" s="214">
        <v>134869</v>
      </c>
      <c r="H79" s="46">
        <v>0.29932119477425306</v>
      </c>
    </row>
    <row r="80" spans="2:8" ht="12.75" customHeight="1" x14ac:dyDescent="0.2">
      <c r="B80" s="34" t="s">
        <v>51</v>
      </c>
      <c r="C80" s="197">
        <v>893</v>
      </c>
      <c r="D80" s="197">
        <v>102314</v>
      </c>
      <c r="E80" s="197">
        <v>41229</v>
      </c>
      <c r="F80" s="197">
        <v>9</v>
      </c>
      <c r="G80" s="214">
        <v>144445</v>
      </c>
      <c r="H80" s="46">
        <v>0.32057366762686001</v>
      </c>
    </row>
    <row r="81" spans="2:8" ht="12.75" customHeight="1" x14ac:dyDescent="0.2">
      <c r="B81" s="34" t="s">
        <v>56</v>
      </c>
      <c r="C81" s="197">
        <v>16128</v>
      </c>
      <c r="D81" s="197">
        <v>158680</v>
      </c>
      <c r="E81" s="197">
        <v>2531615</v>
      </c>
      <c r="F81" s="197">
        <v>7041</v>
      </c>
      <c r="G81" s="214">
        <v>2713464</v>
      </c>
      <c r="H81" s="46">
        <v>6.022119882678183</v>
      </c>
    </row>
    <row r="82" spans="2:8" ht="12.75" customHeight="1" x14ac:dyDescent="0.2">
      <c r="B82" s="34" t="s">
        <v>76</v>
      </c>
      <c r="C82" s="197">
        <v>2029</v>
      </c>
      <c r="D82" s="197">
        <v>73955</v>
      </c>
      <c r="E82" s="197">
        <v>1053</v>
      </c>
      <c r="F82" s="197">
        <v>4</v>
      </c>
      <c r="G82" s="214">
        <v>77041</v>
      </c>
      <c r="H82" s="46">
        <v>0.17098076034228199</v>
      </c>
    </row>
    <row r="83" spans="2:8" ht="12.75" customHeight="1" x14ac:dyDescent="0.2">
      <c r="B83" s="34" t="s">
        <v>101</v>
      </c>
      <c r="C83" s="197">
        <v>2009</v>
      </c>
      <c r="D83" s="197">
        <v>9401</v>
      </c>
      <c r="E83" s="197">
        <v>938</v>
      </c>
      <c r="F83" s="197">
        <v>7</v>
      </c>
      <c r="G83" s="214">
        <v>12355</v>
      </c>
      <c r="H83" s="46">
        <v>2.7420039901207071E-2</v>
      </c>
    </row>
    <row r="84" spans="2:8" ht="12.75" customHeight="1" x14ac:dyDescent="0.2">
      <c r="B84" s="34" t="s">
        <v>106</v>
      </c>
      <c r="C84" s="197">
        <v>3988</v>
      </c>
      <c r="D84" s="197">
        <v>46566</v>
      </c>
      <c r="E84" s="197">
        <v>5885</v>
      </c>
      <c r="F84" s="197">
        <v>26</v>
      </c>
      <c r="G84" s="214">
        <v>56465</v>
      </c>
      <c r="H84" s="46">
        <v>0.12531546361972135</v>
      </c>
    </row>
    <row r="85" spans="2:8" ht="12.75" customHeight="1" x14ac:dyDescent="0.2">
      <c r="B85" s="34" t="s">
        <v>128</v>
      </c>
      <c r="C85" s="197">
        <v>3145</v>
      </c>
      <c r="D85" s="197">
        <v>15188</v>
      </c>
      <c r="E85" s="197">
        <v>9304</v>
      </c>
      <c r="F85" s="197">
        <v>2</v>
      </c>
      <c r="G85" s="214">
        <v>27639</v>
      </c>
      <c r="H85" s="46">
        <v>6.1340548994695446E-2</v>
      </c>
    </row>
    <row r="86" spans="2:8" ht="12.75" customHeight="1" x14ac:dyDescent="0.2">
      <c r="B86" s="34" t="s">
        <v>138</v>
      </c>
      <c r="C86" s="197">
        <v>181</v>
      </c>
      <c r="D86" s="197">
        <v>137360</v>
      </c>
      <c r="E86" s="197">
        <v>14496</v>
      </c>
      <c r="F86" s="197">
        <v>11</v>
      </c>
      <c r="G86" s="214">
        <v>152048</v>
      </c>
      <c r="H86" s="46">
        <v>0.33744736761624711</v>
      </c>
    </row>
    <row r="87" spans="2:8" ht="12.75" customHeight="1" x14ac:dyDescent="0.2">
      <c r="B87" s="34" t="s">
        <v>627</v>
      </c>
      <c r="C87" s="197">
        <v>613</v>
      </c>
      <c r="D87" s="197">
        <v>67776</v>
      </c>
      <c r="E87" s="197">
        <v>154450</v>
      </c>
      <c r="F87" s="197">
        <v>23</v>
      </c>
      <c r="G87" s="214">
        <v>222862</v>
      </c>
      <c r="H87" s="46">
        <v>0.49460825030051075</v>
      </c>
    </row>
    <row r="88" spans="2:8" ht="12.75" customHeight="1" x14ac:dyDescent="0.2">
      <c r="B88" s="34" t="s">
        <v>147</v>
      </c>
      <c r="C88" s="197">
        <v>2570</v>
      </c>
      <c r="D88" s="197">
        <v>81072</v>
      </c>
      <c r="E88" s="197">
        <v>2398</v>
      </c>
      <c r="F88" s="197">
        <v>11</v>
      </c>
      <c r="G88" s="214">
        <v>86051</v>
      </c>
      <c r="H88" s="46">
        <v>0.19097708243939859</v>
      </c>
    </row>
    <row r="89" spans="2:8" ht="12.75" customHeight="1" x14ac:dyDescent="0.2">
      <c r="B89" s="34" t="s">
        <v>151</v>
      </c>
      <c r="C89" s="197">
        <v>4751</v>
      </c>
      <c r="D89" s="197">
        <v>222209</v>
      </c>
      <c r="E89" s="197">
        <v>2727</v>
      </c>
      <c r="F89" s="197">
        <v>17</v>
      </c>
      <c r="G89" s="214">
        <v>229704</v>
      </c>
      <c r="H89" s="46">
        <v>0.50979302674762195</v>
      </c>
    </row>
    <row r="90" spans="2:8" ht="12.75" customHeight="1" x14ac:dyDescent="0.2">
      <c r="B90" s="34" t="s">
        <v>161</v>
      </c>
      <c r="C90" s="197">
        <v>218</v>
      </c>
      <c r="D90" s="197">
        <v>8466</v>
      </c>
      <c r="E90" s="197">
        <v>52</v>
      </c>
      <c r="F90" s="197">
        <v>3</v>
      </c>
      <c r="G90" s="214">
        <v>8739</v>
      </c>
      <c r="H90" s="46">
        <v>1.9394878890865934E-2</v>
      </c>
    </row>
    <row r="91" spans="2:8" ht="12.75" customHeight="1" x14ac:dyDescent="0.2">
      <c r="B91" s="34" t="s">
        <v>201</v>
      </c>
      <c r="C91" s="197">
        <v>17099</v>
      </c>
      <c r="D91" s="197">
        <v>410353</v>
      </c>
      <c r="E91" s="197">
        <v>335448</v>
      </c>
      <c r="F91" s="197">
        <v>420</v>
      </c>
      <c r="G91" s="214">
        <v>763320</v>
      </c>
      <c r="H91" s="46">
        <v>1.6940724287648226</v>
      </c>
    </row>
    <row r="92" spans="2:8" ht="12.75" customHeight="1" x14ac:dyDescent="0.2">
      <c r="B92" s="34" t="s">
        <v>214</v>
      </c>
      <c r="C92" s="197">
        <v>5203</v>
      </c>
      <c r="D92" s="197">
        <v>136128</v>
      </c>
      <c r="E92" s="197">
        <v>140646</v>
      </c>
      <c r="F92" s="197">
        <v>370</v>
      </c>
      <c r="G92" s="214">
        <v>282347</v>
      </c>
      <c r="H92" s="46">
        <v>0.62662614374634673</v>
      </c>
    </row>
    <row r="93" spans="2:8" ht="12.75" customHeight="1" x14ac:dyDescent="0.2">
      <c r="B93" s="34" t="s">
        <v>218</v>
      </c>
      <c r="C93" s="197">
        <v>1179</v>
      </c>
      <c r="D93" s="197">
        <v>47521</v>
      </c>
      <c r="E93" s="197">
        <v>1685</v>
      </c>
      <c r="F93" s="197">
        <v>29</v>
      </c>
      <c r="G93" s="214">
        <v>50414</v>
      </c>
      <c r="H93" s="46">
        <v>0.11188619114362229</v>
      </c>
    </row>
    <row r="94" spans="2:8" ht="12" customHeight="1" thickBot="1" x14ac:dyDescent="0.25">
      <c r="B94" s="34" t="s">
        <v>286</v>
      </c>
      <c r="C94" s="197">
        <v>492</v>
      </c>
      <c r="D94" s="197">
        <v>2608</v>
      </c>
      <c r="E94" s="197">
        <v>112</v>
      </c>
      <c r="F94" s="197">
        <v>5</v>
      </c>
      <c r="G94" s="214">
        <v>3217</v>
      </c>
      <c r="H94" s="46">
        <v>7.1396413081491828E-3</v>
      </c>
    </row>
    <row r="95" spans="2:8" ht="12.75" customHeight="1" thickBot="1" x14ac:dyDescent="0.25">
      <c r="B95" s="32" t="s">
        <v>287</v>
      </c>
      <c r="C95" s="198">
        <v>66852</v>
      </c>
      <c r="D95" s="198">
        <v>1600034</v>
      </c>
      <c r="E95" s="198">
        <v>3290111</v>
      </c>
      <c r="F95" s="198">
        <v>7983</v>
      </c>
      <c r="G95" s="294">
        <v>4964980</v>
      </c>
      <c r="H95" s="50">
        <v>11.019016568894786</v>
      </c>
    </row>
    <row r="96" spans="2:8" ht="12.75" customHeight="1" thickBot="1" x14ac:dyDescent="0.25">
      <c r="B96" s="32" t="s">
        <v>288</v>
      </c>
      <c r="C96" s="198">
        <v>720275</v>
      </c>
      <c r="D96" s="198">
        <v>14770400</v>
      </c>
      <c r="E96" s="198">
        <v>4620466</v>
      </c>
      <c r="F96" s="198">
        <v>16326</v>
      </c>
      <c r="G96" s="294">
        <v>20127467</v>
      </c>
      <c r="H96" s="50">
        <v>44.66984607448228</v>
      </c>
    </row>
    <row r="97" spans="2:8" ht="12.75" customHeight="1" x14ac:dyDescent="0.2">
      <c r="B97" s="34" t="s">
        <v>33</v>
      </c>
      <c r="C97" s="197">
        <v>19897</v>
      </c>
      <c r="D97" s="197">
        <v>376849</v>
      </c>
      <c r="E97" s="197">
        <v>504954</v>
      </c>
      <c r="F97" s="197">
        <v>23</v>
      </c>
      <c r="G97" s="214">
        <v>901723</v>
      </c>
      <c r="H97" s="46">
        <v>2.0012367980442045</v>
      </c>
    </row>
    <row r="98" spans="2:8" ht="12.75" customHeight="1" x14ac:dyDescent="0.2">
      <c r="B98" s="34" t="s">
        <v>46</v>
      </c>
      <c r="C98" s="197">
        <v>1098</v>
      </c>
      <c r="D98" s="197">
        <v>243973</v>
      </c>
      <c r="E98" s="197">
        <v>13335</v>
      </c>
      <c r="F98" s="197">
        <v>13</v>
      </c>
      <c r="G98" s="214">
        <v>258419</v>
      </c>
      <c r="H98" s="46">
        <v>0.57352159378632384</v>
      </c>
    </row>
    <row r="99" spans="2:8" ht="12.75" customHeight="1" x14ac:dyDescent="0.2">
      <c r="B99" s="34" t="s">
        <v>75</v>
      </c>
      <c r="C99" s="197">
        <v>212</v>
      </c>
      <c r="D99" s="197">
        <v>21096</v>
      </c>
      <c r="E99" s="197">
        <v>45567</v>
      </c>
      <c r="F99" s="197">
        <v>7</v>
      </c>
      <c r="G99" s="214">
        <v>66882</v>
      </c>
      <c r="H99" s="46">
        <v>0.14843440782456749</v>
      </c>
    </row>
    <row r="100" spans="2:8" ht="12.75" customHeight="1" x14ac:dyDescent="0.2">
      <c r="B100" s="34" t="s">
        <v>104</v>
      </c>
      <c r="C100" s="197">
        <v>16896</v>
      </c>
      <c r="D100" s="197">
        <v>78145</v>
      </c>
      <c r="E100" s="197">
        <v>1900189</v>
      </c>
      <c r="F100" s="197">
        <v>24</v>
      </c>
      <c r="G100" s="214">
        <v>1995254</v>
      </c>
      <c r="H100" s="46">
        <v>4.4281622252564157</v>
      </c>
    </row>
    <row r="101" spans="2:8" ht="12.75" customHeight="1" x14ac:dyDescent="0.2">
      <c r="B101" s="34" t="s">
        <v>131</v>
      </c>
      <c r="C101" s="197">
        <v>753</v>
      </c>
      <c r="D101" s="197">
        <v>442900</v>
      </c>
      <c r="E101" s="197">
        <v>11975</v>
      </c>
      <c r="F101" s="197">
        <v>96</v>
      </c>
      <c r="G101" s="214">
        <v>455724</v>
      </c>
      <c r="H101" s="46">
        <v>1.011409976846434</v>
      </c>
    </row>
    <row r="102" spans="2:8" ht="12.75" customHeight="1" x14ac:dyDescent="0.2">
      <c r="B102" s="34" t="s">
        <v>133</v>
      </c>
      <c r="C102" s="197">
        <v>204</v>
      </c>
      <c r="D102" s="197">
        <v>118724</v>
      </c>
      <c r="E102" s="197">
        <v>2425</v>
      </c>
      <c r="F102" s="197">
        <v>11</v>
      </c>
      <c r="G102" s="214">
        <v>121364</v>
      </c>
      <c r="H102" s="46">
        <v>0.26934890510482357</v>
      </c>
    </row>
    <row r="103" spans="2:8" ht="12.75" customHeight="1" x14ac:dyDescent="0.2">
      <c r="B103" s="34" t="s">
        <v>173</v>
      </c>
      <c r="C103" s="197">
        <v>1560</v>
      </c>
      <c r="D103" s="197">
        <v>127783</v>
      </c>
      <c r="E103" s="197">
        <v>69506</v>
      </c>
      <c r="F103" s="197">
        <v>18</v>
      </c>
      <c r="G103" s="214">
        <v>198867</v>
      </c>
      <c r="H103" s="46">
        <v>0.44135500404964362</v>
      </c>
    </row>
    <row r="104" spans="2:8" ht="12.75" customHeight="1" x14ac:dyDescent="0.2">
      <c r="B104" s="34" t="s">
        <v>189</v>
      </c>
      <c r="C104" s="197">
        <v>377</v>
      </c>
      <c r="D104" s="197">
        <v>249123</v>
      </c>
      <c r="E104" s="197">
        <v>2636</v>
      </c>
      <c r="F104" s="197">
        <v>2</v>
      </c>
      <c r="G104" s="214">
        <v>252138</v>
      </c>
      <c r="H104" s="46">
        <v>0.55958187135658022</v>
      </c>
    </row>
    <row r="105" spans="2:8" ht="12.75" customHeight="1" x14ac:dyDescent="0.2">
      <c r="B105" s="34" t="s">
        <v>203</v>
      </c>
      <c r="C105" s="197">
        <v>64025</v>
      </c>
      <c r="D105" s="197">
        <v>6837752</v>
      </c>
      <c r="E105" s="197">
        <v>115605</v>
      </c>
      <c r="F105" s="197">
        <v>275</v>
      </c>
      <c r="G105" s="214">
        <v>7017657</v>
      </c>
      <c r="H105" s="46">
        <v>15.574620392795234</v>
      </c>
    </row>
    <row r="106" spans="2:8" ht="12.75" customHeight="1" x14ac:dyDescent="0.2">
      <c r="B106" s="34" t="s">
        <v>229</v>
      </c>
      <c r="C106" s="197">
        <v>14</v>
      </c>
      <c r="D106" s="197">
        <v>43094</v>
      </c>
      <c r="E106" s="197">
        <v>1044</v>
      </c>
      <c r="F106" s="197">
        <v>3</v>
      </c>
      <c r="G106" s="214">
        <v>44155</v>
      </c>
      <c r="H106" s="46">
        <v>9.7995294361618634E-2</v>
      </c>
    </row>
    <row r="107" spans="2:8" ht="12.75" customHeight="1" x14ac:dyDescent="0.2">
      <c r="B107" s="34" t="s">
        <v>241</v>
      </c>
      <c r="C107" s="197">
        <v>476</v>
      </c>
      <c r="D107" s="197">
        <v>290475</v>
      </c>
      <c r="E107" s="197">
        <v>6742</v>
      </c>
      <c r="F107" s="197">
        <v>13</v>
      </c>
      <c r="G107" s="214">
        <v>297706</v>
      </c>
      <c r="H107" s="46">
        <v>0.66071310391167559</v>
      </c>
    </row>
    <row r="108" spans="2:8" ht="12.75" customHeight="1" thickBot="1" x14ac:dyDescent="0.25">
      <c r="B108" s="34" t="s">
        <v>243</v>
      </c>
      <c r="C108" s="197">
        <v>111474</v>
      </c>
      <c r="D108" s="197">
        <v>1355875</v>
      </c>
      <c r="E108" s="197">
        <v>80537</v>
      </c>
      <c r="F108" s="197">
        <v>110</v>
      </c>
      <c r="G108" s="214">
        <v>1547996</v>
      </c>
      <c r="H108" s="46">
        <v>3.4355412453993477</v>
      </c>
    </row>
    <row r="109" spans="2:8" ht="12.75" customHeight="1" thickBot="1" x14ac:dyDescent="0.25">
      <c r="B109" s="32" t="s">
        <v>289</v>
      </c>
      <c r="C109" s="198">
        <v>216986</v>
      </c>
      <c r="D109" s="198">
        <v>10185789</v>
      </c>
      <c r="E109" s="198">
        <v>2754515</v>
      </c>
      <c r="F109" s="198">
        <v>595</v>
      </c>
      <c r="G109" s="294">
        <v>13157885</v>
      </c>
      <c r="H109" s="50">
        <v>29.20192081873687</v>
      </c>
    </row>
    <row r="110" spans="2:8" ht="12.75" customHeight="1" x14ac:dyDescent="0.2">
      <c r="B110" s="34" t="s">
        <v>22</v>
      </c>
      <c r="C110" s="197">
        <v>76002</v>
      </c>
      <c r="D110" s="197">
        <v>492373</v>
      </c>
      <c r="E110" s="197">
        <v>9039</v>
      </c>
      <c r="F110" s="197">
        <v>660</v>
      </c>
      <c r="G110" s="214">
        <v>578074</v>
      </c>
      <c r="H110" s="46">
        <v>1.2829471587090553</v>
      </c>
    </row>
    <row r="111" spans="2:8" ht="12.75" customHeight="1" x14ac:dyDescent="0.2">
      <c r="B111" s="34" t="s">
        <v>31</v>
      </c>
      <c r="C111" s="197">
        <v>16943</v>
      </c>
      <c r="D111" s="197">
        <v>100271</v>
      </c>
      <c r="E111" s="197">
        <v>3340</v>
      </c>
      <c r="F111" s="197">
        <v>283</v>
      </c>
      <c r="G111" s="214">
        <v>120837</v>
      </c>
      <c r="H111" s="46">
        <v>0.26817930890669034</v>
      </c>
    </row>
    <row r="112" spans="2:8" ht="12.75" customHeight="1" x14ac:dyDescent="0.2">
      <c r="B112" s="34" t="s">
        <v>102</v>
      </c>
      <c r="C112" s="197">
        <v>3712</v>
      </c>
      <c r="D112" s="197">
        <v>197203</v>
      </c>
      <c r="E112" s="197">
        <v>11947</v>
      </c>
      <c r="F112" s="197">
        <v>108</v>
      </c>
      <c r="G112" s="214">
        <v>212970</v>
      </c>
      <c r="H112" s="46">
        <v>0.47265446359854879</v>
      </c>
    </row>
    <row r="113" spans="2:8" ht="12.75" customHeight="1" x14ac:dyDescent="0.2">
      <c r="B113" s="34" t="s">
        <v>124</v>
      </c>
      <c r="C113" s="197">
        <v>6552</v>
      </c>
      <c r="D113" s="197">
        <v>95315</v>
      </c>
      <c r="E113" s="197">
        <v>1280</v>
      </c>
      <c r="F113" s="197">
        <v>173</v>
      </c>
      <c r="G113" s="214">
        <v>103320</v>
      </c>
      <c r="H113" s="46">
        <v>0.22930299656760136</v>
      </c>
    </row>
    <row r="114" spans="2:8" ht="12.75" customHeight="1" x14ac:dyDescent="0.2">
      <c r="B114" s="34" t="s">
        <v>127</v>
      </c>
      <c r="C114" s="197">
        <v>13725</v>
      </c>
      <c r="D114" s="197">
        <v>122755</v>
      </c>
      <c r="E114" s="197">
        <v>2518</v>
      </c>
      <c r="F114" s="197">
        <v>166</v>
      </c>
      <c r="G114" s="214">
        <v>139164</v>
      </c>
      <c r="H114" s="46">
        <v>0.30885329282165769</v>
      </c>
    </row>
    <row r="115" spans="2:8" ht="12.75" customHeight="1" x14ac:dyDescent="0.2">
      <c r="B115" s="34" t="s">
        <v>167</v>
      </c>
      <c r="C115" s="197">
        <v>13909</v>
      </c>
      <c r="D115" s="197">
        <v>52031</v>
      </c>
      <c r="E115" s="197">
        <v>507</v>
      </c>
      <c r="F115" s="197">
        <v>110</v>
      </c>
      <c r="G115" s="214">
        <v>66557</v>
      </c>
      <c r="H115" s="46">
        <v>0.14771311984659158</v>
      </c>
    </row>
    <row r="116" spans="2:8" ht="12.75" customHeight="1" thickBot="1" x14ac:dyDescent="0.25">
      <c r="B116" s="34" t="s">
        <v>255</v>
      </c>
      <c r="C116" s="197">
        <v>2886</v>
      </c>
      <c r="D116" s="197">
        <v>17308</v>
      </c>
      <c r="E116" s="197">
        <v>641</v>
      </c>
      <c r="F116" s="197">
        <v>77</v>
      </c>
      <c r="G116" s="214">
        <v>20912</v>
      </c>
      <c r="H116" s="46">
        <v>4.64109975244065E-2</v>
      </c>
    </row>
    <row r="117" spans="2:8" ht="12.75" customHeight="1" thickBot="1" x14ac:dyDescent="0.25">
      <c r="B117" s="217" t="s">
        <v>290</v>
      </c>
      <c r="C117" s="198">
        <v>133729</v>
      </c>
      <c r="D117" s="198">
        <v>1077256</v>
      </c>
      <c r="E117" s="198">
        <v>29272</v>
      </c>
      <c r="F117" s="198">
        <v>1577</v>
      </c>
      <c r="G117" s="294">
        <v>1241834</v>
      </c>
      <c r="H117" s="50">
        <v>2.7560613379745513</v>
      </c>
    </row>
    <row r="118" spans="2:8" ht="12.75" customHeight="1" thickBot="1" x14ac:dyDescent="0.25">
      <c r="B118" s="217" t="s">
        <v>291</v>
      </c>
      <c r="C118" s="198">
        <v>322</v>
      </c>
      <c r="D118" s="198">
        <v>94457</v>
      </c>
      <c r="E118" s="198">
        <v>1641</v>
      </c>
      <c r="F118" s="198">
        <v>4</v>
      </c>
      <c r="G118" s="294">
        <v>96424</v>
      </c>
      <c r="H118" s="50">
        <v>0.21399837534876492</v>
      </c>
    </row>
    <row r="119" spans="2:8" ht="12.75" customHeight="1" thickBot="1" x14ac:dyDescent="0.25">
      <c r="B119" s="217" t="s">
        <v>292</v>
      </c>
      <c r="C119" s="198">
        <v>818</v>
      </c>
      <c r="D119" s="198">
        <v>289</v>
      </c>
      <c r="E119" s="198">
        <v>12</v>
      </c>
      <c r="F119" s="198" t="s">
        <v>585</v>
      </c>
      <c r="G119" s="294">
        <v>1119</v>
      </c>
      <c r="H119" s="50">
        <v>2.4834499918616523E-3</v>
      </c>
    </row>
    <row r="120" spans="2:8" ht="18.75" customHeight="1" thickBot="1" x14ac:dyDescent="0.25">
      <c r="B120" s="52" t="s">
        <v>293</v>
      </c>
      <c r="C120" s="296">
        <v>1345328</v>
      </c>
      <c r="D120" s="296">
        <v>34545875</v>
      </c>
      <c r="E120" s="296">
        <v>9137792</v>
      </c>
      <c r="F120" s="296">
        <v>29291</v>
      </c>
      <c r="G120" s="296">
        <v>45058286</v>
      </c>
      <c r="H120" s="53">
        <v>100</v>
      </c>
    </row>
  </sheetData>
  <mergeCells count="10">
    <mergeCell ref="B1:H1"/>
    <mergeCell ref="C3:F3"/>
    <mergeCell ref="H3:H4"/>
    <mergeCell ref="G3:G4"/>
    <mergeCell ref="B3:B4"/>
    <mergeCell ref="B77:B78"/>
    <mergeCell ref="C77:F77"/>
    <mergeCell ref="G77:G78"/>
    <mergeCell ref="H77:H78"/>
    <mergeCell ref="B75:H75"/>
  </mergeCells>
  <printOptions horizontalCentered="1"/>
  <pageMargins left="0.43307086614173229" right="0.43307086614173229" top="0.39370078740157483" bottom="0.39370078740157483" header="0.19685039370078741" footer="0"/>
  <pageSetup scale="8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H17"/>
  <sheetViews>
    <sheetView view="pageBreakPreview" zoomScaleNormal="100" zoomScaleSheetLayoutView="100" workbookViewId="0">
      <selection activeCell="A4" sqref="A4"/>
    </sheetView>
  </sheetViews>
  <sheetFormatPr defaultColWidth="9.140625" defaultRowHeight="12.75" x14ac:dyDescent="0.2"/>
  <cols>
    <col min="2" max="2" width="12.140625" style="35" customWidth="1"/>
    <col min="3" max="8" width="13" customWidth="1"/>
  </cols>
  <sheetData>
    <row r="1" spans="2:8" ht="30" customHeight="1" thickBot="1" x14ac:dyDescent="0.25">
      <c r="B1" s="588" t="s">
        <v>631</v>
      </c>
      <c r="C1" s="589"/>
      <c r="D1" s="589"/>
      <c r="E1" s="589"/>
      <c r="F1" s="589"/>
      <c r="G1" s="589"/>
      <c r="H1" s="589"/>
    </row>
    <row r="2" spans="2:8" ht="15" customHeight="1" x14ac:dyDescent="0.2">
      <c r="B2" s="56" t="s">
        <v>262</v>
      </c>
      <c r="C2" s="590" t="s">
        <v>266</v>
      </c>
      <c r="D2" s="590"/>
      <c r="E2" s="590"/>
      <c r="F2" s="590"/>
      <c r="G2" s="591" t="s">
        <v>17</v>
      </c>
      <c r="H2" s="593" t="s">
        <v>294</v>
      </c>
    </row>
    <row r="3" spans="2:8" ht="15" customHeight="1" thickBot="1" x14ac:dyDescent="0.25">
      <c r="B3" s="57" t="s">
        <v>263</v>
      </c>
      <c r="C3" s="252" t="s">
        <v>295</v>
      </c>
      <c r="D3" s="252" t="s">
        <v>296</v>
      </c>
      <c r="E3" s="252" t="s">
        <v>297</v>
      </c>
      <c r="F3" s="252" t="s">
        <v>298</v>
      </c>
      <c r="G3" s="592"/>
      <c r="H3" s="594"/>
    </row>
    <row r="4" spans="2:8" ht="15" customHeight="1" x14ac:dyDescent="0.2">
      <c r="B4" s="29" t="s">
        <v>5</v>
      </c>
      <c r="C4" s="55">
        <v>28095</v>
      </c>
      <c r="D4" s="55">
        <v>1102064</v>
      </c>
      <c r="E4" s="55">
        <v>408589</v>
      </c>
      <c r="F4" s="55">
        <v>748</v>
      </c>
      <c r="G4" s="54">
        <v>1539496</v>
      </c>
      <c r="H4" s="42">
        <v>3.4166767905907474</v>
      </c>
    </row>
    <row r="5" spans="2:8" ht="15" customHeight="1" x14ac:dyDescent="0.2">
      <c r="B5" s="29" t="s">
        <v>6</v>
      </c>
      <c r="C5" s="55">
        <v>28705</v>
      </c>
      <c r="D5" s="55">
        <v>1196452</v>
      </c>
      <c r="E5" s="55">
        <v>444350</v>
      </c>
      <c r="F5" s="55">
        <v>731</v>
      </c>
      <c r="G5" s="54">
        <v>1670238</v>
      </c>
      <c r="H5" s="42">
        <v>3.7068387377185186</v>
      </c>
    </row>
    <row r="6" spans="2:8" ht="15" customHeight="1" x14ac:dyDescent="0.2">
      <c r="B6" s="29" t="s">
        <v>7</v>
      </c>
      <c r="C6" s="55">
        <v>42457</v>
      </c>
      <c r="D6" s="55">
        <v>1531185</v>
      </c>
      <c r="E6" s="55">
        <v>657555</v>
      </c>
      <c r="F6" s="55">
        <v>1161</v>
      </c>
      <c r="G6" s="54">
        <v>2232358</v>
      </c>
      <c r="H6" s="42">
        <v>4.9543784244256432</v>
      </c>
    </row>
    <row r="7" spans="2:8" ht="15" customHeight="1" x14ac:dyDescent="0.2">
      <c r="B7" s="29" t="s">
        <v>8</v>
      </c>
      <c r="C7" s="55">
        <v>75673</v>
      </c>
      <c r="D7" s="55">
        <v>2537047</v>
      </c>
      <c r="E7" s="55">
        <v>678975</v>
      </c>
      <c r="F7" s="55">
        <v>1481</v>
      </c>
      <c r="G7" s="54">
        <v>3293176</v>
      </c>
      <c r="H7" s="42">
        <v>7.3087023327962362</v>
      </c>
    </row>
    <row r="8" spans="2:8" ht="15" customHeight="1" x14ac:dyDescent="0.2">
      <c r="B8" s="29" t="s">
        <v>9</v>
      </c>
      <c r="C8" s="55">
        <v>132174</v>
      </c>
      <c r="D8" s="55">
        <v>3212273</v>
      </c>
      <c r="E8" s="55">
        <v>676401</v>
      </c>
      <c r="F8" s="55">
        <v>1406</v>
      </c>
      <c r="G8" s="54">
        <v>4022254</v>
      </c>
      <c r="H8" s="42">
        <v>8.9267798602015169</v>
      </c>
    </row>
    <row r="9" spans="2:8" ht="15" customHeight="1" x14ac:dyDescent="0.2">
      <c r="B9" s="29" t="s">
        <v>10</v>
      </c>
      <c r="C9" s="55">
        <v>154147</v>
      </c>
      <c r="D9" s="55">
        <v>4323792</v>
      </c>
      <c r="E9" s="55">
        <v>839023</v>
      </c>
      <c r="F9" s="55">
        <v>2022</v>
      </c>
      <c r="G9" s="54">
        <v>5318984</v>
      </c>
      <c r="H9" s="42">
        <v>11.804674505372885</v>
      </c>
    </row>
    <row r="10" spans="2:8" ht="15" customHeight="1" x14ac:dyDescent="0.2">
      <c r="B10" s="29" t="s">
        <v>11</v>
      </c>
      <c r="C10" s="55">
        <v>200664</v>
      </c>
      <c r="D10" s="55">
        <v>5163354</v>
      </c>
      <c r="E10" s="55">
        <v>1249212</v>
      </c>
      <c r="F10" s="55">
        <v>4150</v>
      </c>
      <c r="G10" s="54">
        <v>6617380</v>
      </c>
      <c r="H10" s="42">
        <v>14.686266583686738</v>
      </c>
    </row>
    <row r="11" spans="2:8" ht="15" customHeight="1" x14ac:dyDescent="0.2">
      <c r="B11" s="29" t="s">
        <v>12</v>
      </c>
      <c r="C11" s="55">
        <v>228154</v>
      </c>
      <c r="D11" s="55">
        <v>4947150</v>
      </c>
      <c r="E11" s="55">
        <v>1126750</v>
      </c>
      <c r="F11" s="55">
        <v>5454</v>
      </c>
      <c r="G11" s="54">
        <v>6307508</v>
      </c>
      <c r="H11" s="42">
        <v>13.998552896574894</v>
      </c>
    </row>
    <row r="12" spans="2:8" ht="15" customHeight="1" x14ac:dyDescent="0.2">
      <c r="B12" s="29" t="s">
        <v>13</v>
      </c>
      <c r="C12" s="55">
        <v>193756</v>
      </c>
      <c r="D12" s="55">
        <v>4235477</v>
      </c>
      <c r="E12" s="55">
        <v>993348</v>
      </c>
      <c r="F12" s="55">
        <v>4237</v>
      </c>
      <c r="G12" s="54">
        <v>5426818</v>
      </c>
      <c r="H12" s="42">
        <v>12.043995637117666</v>
      </c>
    </row>
    <row r="13" spans="2:8" ht="15" customHeight="1" x14ac:dyDescent="0.2">
      <c r="B13" s="29" t="s">
        <v>14</v>
      </c>
      <c r="C13" s="55">
        <v>136139</v>
      </c>
      <c r="D13" s="55">
        <v>3391080</v>
      </c>
      <c r="E13" s="55">
        <v>760902</v>
      </c>
      <c r="F13" s="55">
        <v>3453</v>
      </c>
      <c r="G13" s="54">
        <v>4291574</v>
      </c>
      <c r="H13" s="42">
        <v>9.5244945624429658</v>
      </c>
    </row>
    <row r="14" spans="2:8" ht="15" customHeight="1" x14ac:dyDescent="0.2">
      <c r="B14" s="29" t="s">
        <v>15</v>
      </c>
      <c r="C14" s="55">
        <v>66337</v>
      </c>
      <c r="D14" s="55">
        <v>1472488</v>
      </c>
      <c r="E14" s="55">
        <v>649572</v>
      </c>
      <c r="F14" s="55">
        <v>2225</v>
      </c>
      <c r="G14" s="54">
        <v>2190622</v>
      </c>
      <c r="H14" s="42">
        <v>4.8617517319677894</v>
      </c>
    </row>
    <row r="15" spans="2:8" ht="15" customHeight="1" thickBot="1" x14ac:dyDescent="0.25">
      <c r="B15" s="29" t="s">
        <v>16</v>
      </c>
      <c r="C15" s="55">
        <v>59027</v>
      </c>
      <c r="D15" s="55">
        <v>1433513</v>
      </c>
      <c r="E15" s="55">
        <v>653115</v>
      </c>
      <c r="F15" s="55">
        <v>2223</v>
      </c>
      <c r="G15" s="54">
        <v>2147878</v>
      </c>
      <c r="H15" s="42">
        <v>4.7668879371043982</v>
      </c>
    </row>
    <row r="16" spans="2:8" ht="15" customHeight="1" thickBot="1" x14ac:dyDescent="0.25">
      <c r="B16" s="58" t="s">
        <v>17</v>
      </c>
      <c r="C16" s="59">
        <v>1345328</v>
      </c>
      <c r="D16" s="59">
        <v>34545875</v>
      </c>
      <c r="E16" s="59">
        <v>9137792</v>
      </c>
      <c r="F16" s="59">
        <v>29291</v>
      </c>
      <c r="G16" s="59">
        <v>45058286</v>
      </c>
      <c r="H16" s="60">
        <v>100</v>
      </c>
    </row>
    <row r="17" spans="2:8" ht="15" customHeight="1" thickBot="1" x14ac:dyDescent="0.25">
      <c r="B17" s="58" t="s">
        <v>294</v>
      </c>
      <c r="C17" s="61">
        <v>2.9857505010288228</v>
      </c>
      <c r="D17" s="61">
        <v>76.669305618948755</v>
      </c>
      <c r="E17" s="61">
        <v>20.279936968751986</v>
      </c>
      <c r="F17" s="61">
        <v>6.500691127043759E-2</v>
      </c>
      <c r="G17" s="61">
        <v>100</v>
      </c>
      <c r="H17" s="62"/>
    </row>
  </sheetData>
  <mergeCells count="4">
    <mergeCell ref="B1:H1"/>
    <mergeCell ref="C2:F2"/>
    <mergeCell ref="G2:G3"/>
    <mergeCell ref="H2:H3"/>
  </mergeCells>
  <printOptions horizontalCentered="1"/>
  <pageMargins left="0.74803149606299213" right="0.74803149606299213" top="0.98425196850393704" bottom="0.98425196850393704" header="0.51181102362204722" footer="0.51181102362204722"/>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H63"/>
  <sheetViews>
    <sheetView view="pageBreakPreview" topLeftCell="B1" zoomScaleNormal="100" zoomScaleSheetLayoutView="100" workbookViewId="0">
      <selection activeCell="I1" sqref="I1"/>
    </sheetView>
  </sheetViews>
  <sheetFormatPr defaultColWidth="9.140625" defaultRowHeight="12" x14ac:dyDescent="0.2"/>
  <cols>
    <col min="1" max="1" width="9.140625" style="44"/>
    <col min="2" max="2" width="16.28515625" style="44" customWidth="1"/>
    <col min="3" max="3" width="11.42578125" style="44" customWidth="1"/>
    <col min="4" max="7" width="11.7109375" style="44" customWidth="1"/>
    <col min="8" max="8" width="7.5703125" style="44" customWidth="1"/>
    <col min="9" max="16384" width="9.140625" style="44"/>
  </cols>
  <sheetData>
    <row r="1" spans="2:8" ht="30" customHeight="1" thickBot="1" x14ac:dyDescent="0.25">
      <c r="B1" s="586" t="s">
        <v>632</v>
      </c>
      <c r="C1" s="587"/>
      <c r="D1" s="587"/>
      <c r="E1" s="587"/>
      <c r="F1" s="587"/>
      <c r="G1" s="587"/>
      <c r="H1" s="587"/>
    </row>
    <row r="2" spans="2:8" ht="12" customHeight="1" thickBot="1" x14ac:dyDescent="0.25">
      <c r="B2" s="47" t="s">
        <v>262</v>
      </c>
      <c r="C2" s="595" t="s">
        <v>266</v>
      </c>
      <c r="D2" s="595"/>
      <c r="E2" s="595"/>
      <c r="F2" s="595"/>
      <c r="G2" s="596"/>
      <c r="H2" s="596"/>
    </row>
    <row r="3" spans="2:8" ht="12" customHeight="1" thickBot="1" x14ac:dyDescent="0.25">
      <c r="B3" s="48" t="s">
        <v>299</v>
      </c>
      <c r="C3" s="63" t="s">
        <v>295</v>
      </c>
      <c r="D3" s="63" t="s">
        <v>296</v>
      </c>
      <c r="E3" s="63" t="s">
        <v>297</v>
      </c>
      <c r="F3" s="63" t="s">
        <v>298</v>
      </c>
      <c r="G3" s="64" t="s">
        <v>17</v>
      </c>
      <c r="H3" s="64" t="s">
        <v>294</v>
      </c>
    </row>
    <row r="4" spans="2:8" ht="12" customHeight="1" x14ac:dyDescent="0.2">
      <c r="B4" s="45" t="s">
        <v>475</v>
      </c>
      <c r="C4" s="199">
        <v>2517</v>
      </c>
      <c r="D4" s="199">
        <v>134106</v>
      </c>
      <c r="E4" s="199" t="s">
        <v>585</v>
      </c>
      <c r="F4" s="199" t="s">
        <v>585</v>
      </c>
      <c r="G4" s="534">
        <v>136623</v>
      </c>
      <c r="H4" s="200">
        <v>0.3032139305076984</v>
      </c>
    </row>
    <row r="5" spans="2:8" ht="12" customHeight="1" x14ac:dyDescent="0.2">
      <c r="B5" s="45" t="s">
        <v>476</v>
      </c>
      <c r="C5" s="199" t="s">
        <v>585</v>
      </c>
      <c r="D5" s="199" t="s">
        <v>585</v>
      </c>
      <c r="E5" s="199" t="s">
        <v>585</v>
      </c>
      <c r="F5" s="199" t="s">
        <v>585</v>
      </c>
      <c r="G5" s="534" t="s">
        <v>585</v>
      </c>
      <c r="H5" s="200">
        <v>0</v>
      </c>
    </row>
    <row r="6" spans="2:8" ht="12" customHeight="1" x14ac:dyDescent="0.2">
      <c r="B6" s="45" t="s">
        <v>477</v>
      </c>
      <c r="C6" s="199" t="s">
        <v>585</v>
      </c>
      <c r="D6" s="199">
        <v>5</v>
      </c>
      <c r="E6" s="199">
        <v>403638</v>
      </c>
      <c r="F6" s="199" t="s">
        <v>585</v>
      </c>
      <c r="G6" s="534">
        <v>403643</v>
      </c>
      <c r="H6" s="200">
        <v>0.89582413321270138</v>
      </c>
    </row>
    <row r="7" spans="2:8" ht="12" customHeight="1" x14ac:dyDescent="0.2">
      <c r="B7" s="45" t="s">
        <v>478</v>
      </c>
      <c r="C7" s="199" t="s">
        <v>585</v>
      </c>
      <c r="D7" s="199">
        <v>23</v>
      </c>
      <c r="E7" s="199" t="s">
        <v>585</v>
      </c>
      <c r="F7" s="199" t="s">
        <v>585</v>
      </c>
      <c r="G7" s="534">
        <v>23</v>
      </c>
      <c r="H7" s="200">
        <v>5.1044995364448614E-5</v>
      </c>
    </row>
    <row r="8" spans="2:8" ht="12" customHeight="1" x14ac:dyDescent="0.2">
      <c r="B8" s="45" t="s">
        <v>479</v>
      </c>
      <c r="C8" s="199" t="s">
        <v>585</v>
      </c>
      <c r="D8" s="199">
        <v>589090</v>
      </c>
      <c r="E8" s="199" t="s">
        <v>585</v>
      </c>
      <c r="F8" s="199" t="s">
        <v>585</v>
      </c>
      <c r="G8" s="534">
        <v>589090</v>
      </c>
      <c r="H8" s="200">
        <v>1.3073954921410016</v>
      </c>
    </row>
    <row r="9" spans="2:8" ht="12" customHeight="1" x14ac:dyDescent="0.2">
      <c r="B9" s="45" t="s">
        <v>480</v>
      </c>
      <c r="C9" s="199">
        <v>45222</v>
      </c>
      <c r="D9" s="199">
        <v>14605259</v>
      </c>
      <c r="E9" s="199" t="s">
        <v>585</v>
      </c>
      <c r="F9" s="199" t="s">
        <v>585</v>
      </c>
      <c r="G9" s="534">
        <v>14650481</v>
      </c>
      <c r="H9" s="200">
        <v>32.514510205736634</v>
      </c>
    </row>
    <row r="10" spans="2:8" ht="12" customHeight="1" x14ac:dyDescent="0.2">
      <c r="B10" s="45" t="s">
        <v>481</v>
      </c>
      <c r="C10" s="199" t="s">
        <v>585</v>
      </c>
      <c r="D10" s="199" t="s">
        <v>585</v>
      </c>
      <c r="E10" s="199">
        <v>87858</v>
      </c>
      <c r="F10" s="199" t="s">
        <v>585</v>
      </c>
      <c r="G10" s="534">
        <v>87858</v>
      </c>
      <c r="H10" s="200">
        <v>0.19498744359694464</v>
      </c>
    </row>
    <row r="11" spans="2:8" ht="12" customHeight="1" x14ac:dyDescent="0.2">
      <c r="B11" s="45" t="s">
        <v>482</v>
      </c>
      <c r="C11" s="199">
        <v>937</v>
      </c>
      <c r="D11" s="199">
        <v>1425</v>
      </c>
      <c r="E11" s="199">
        <v>2290050</v>
      </c>
      <c r="F11" s="199" t="s">
        <v>585</v>
      </c>
      <c r="G11" s="534">
        <v>2292412</v>
      </c>
      <c r="H11" s="200">
        <v>5.087659126669843</v>
      </c>
    </row>
    <row r="12" spans="2:8" ht="12" customHeight="1" x14ac:dyDescent="0.2">
      <c r="B12" s="45" t="s">
        <v>483</v>
      </c>
      <c r="C12" s="199">
        <v>185627</v>
      </c>
      <c r="D12" s="199" t="s">
        <v>585</v>
      </c>
      <c r="E12" s="199" t="s">
        <v>585</v>
      </c>
      <c r="F12" s="199" t="s">
        <v>585</v>
      </c>
      <c r="G12" s="534">
        <v>185627</v>
      </c>
      <c r="H12" s="200">
        <v>0.41197084150071756</v>
      </c>
    </row>
    <row r="13" spans="2:8" ht="12" customHeight="1" x14ac:dyDescent="0.2">
      <c r="B13" s="45" t="s">
        <v>484</v>
      </c>
      <c r="C13" s="199">
        <v>48104</v>
      </c>
      <c r="D13" s="199">
        <v>99</v>
      </c>
      <c r="E13" s="199" t="s">
        <v>585</v>
      </c>
      <c r="F13" s="199" t="s">
        <v>585</v>
      </c>
      <c r="G13" s="534">
        <v>48203</v>
      </c>
      <c r="H13" s="200">
        <v>0.10697921354576159</v>
      </c>
    </row>
    <row r="14" spans="2:8" ht="12" customHeight="1" x14ac:dyDescent="0.2">
      <c r="B14" s="45" t="s">
        <v>485</v>
      </c>
      <c r="C14" s="199">
        <v>897</v>
      </c>
      <c r="D14" s="199" t="s">
        <v>585</v>
      </c>
      <c r="E14" s="199" t="s">
        <v>585</v>
      </c>
      <c r="F14" s="199" t="s">
        <v>585</v>
      </c>
      <c r="G14" s="534">
        <v>897</v>
      </c>
      <c r="H14" s="200">
        <v>1.990754819213496E-3</v>
      </c>
    </row>
    <row r="15" spans="2:8" ht="12" customHeight="1" x14ac:dyDescent="0.2">
      <c r="B15" s="45" t="s">
        <v>486</v>
      </c>
      <c r="C15" s="199" t="s">
        <v>585</v>
      </c>
      <c r="D15" s="199">
        <v>2</v>
      </c>
      <c r="E15" s="199" t="s">
        <v>585</v>
      </c>
      <c r="F15" s="199" t="s">
        <v>585</v>
      </c>
      <c r="G15" s="534">
        <v>2</v>
      </c>
      <c r="H15" s="200">
        <v>4.4386952490824887E-6</v>
      </c>
    </row>
    <row r="16" spans="2:8" ht="12" customHeight="1" x14ac:dyDescent="0.2">
      <c r="B16" s="45" t="s">
        <v>487</v>
      </c>
      <c r="C16" s="199">
        <v>8400</v>
      </c>
      <c r="D16" s="199">
        <v>1262</v>
      </c>
      <c r="E16" s="199" t="s">
        <v>585</v>
      </c>
      <c r="F16" s="199" t="s">
        <v>585</v>
      </c>
      <c r="G16" s="534">
        <v>9662</v>
      </c>
      <c r="H16" s="200">
        <v>2.1443336748317502E-2</v>
      </c>
    </row>
    <row r="17" spans="2:8" ht="12" customHeight="1" x14ac:dyDescent="0.2">
      <c r="B17" s="45" t="s">
        <v>488</v>
      </c>
      <c r="C17" s="199">
        <v>6960</v>
      </c>
      <c r="D17" s="199">
        <v>955</v>
      </c>
      <c r="E17" s="199" t="s">
        <v>585</v>
      </c>
      <c r="F17" s="199" t="s">
        <v>585</v>
      </c>
      <c r="G17" s="534">
        <v>7915</v>
      </c>
      <c r="H17" s="200">
        <v>1.7566136448243948E-2</v>
      </c>
    </row>
    <row r="18" spans="2:8" ht="12" customHeight="1" x14ac:dyDescent="0.2">
      <c r="B18" s="45" t="s">
        <v>489</v>
      </c>
      <c r="C18" s="199" t="s">
        <v>585</v>
      </c>
      <c r="D18" s="199">
        <v>58880</v>
      </c>
      <c r="E18" s="199" t="s">
        <v>585</v>
      </c>
      <c r="F18" s="199" t="s">
        <v>585</v>
      </c>
      <c r="G18" s="534">
        <v>58880</v>
      </c>
      <c r="H18" s="200">
        <v>0.13067518813298845</v>
      </c>
    </row>
    <row r="19" spans="2:8" ht="12" customHeight="1" x14ac:dyDescent="0.2">
      <c r="B19" s="45" t="s">
        <v>490</v>
      </c>
      <c r="C19" s="199" t="s">
        <v>585</v>
      </c>
      <c r="D19" s="199">
        <v>25742</v>
      </c>
      <c r="E19" s="199" t="s">
        <v>585</v>
      </c>
      <c r="F19" s="199" t="s">
        <v>585</v>
      </c>
      <c r="G19" s="534">
        <v>25742</v>
      </c>
      <c r="H19" s="200">
        <v>5.7130446550940711E-2</v>
      </c>
    </row>
    <row r="20" spans="2:8" ht="12" customHeight="1" x14ac:dyDescent="0.2">
      <c r="B20" s="45" t="s">
        <v>491</v>
      </c>
      <c r="C20" s="199" t="s">
        <v>585</v>
      </c>
      <c r="D20" s="199" t="s">
        <v>585</v>
      </c>
      <c r="E20" s="199">
        <v>4328953</v>
      </c>
      <c r="F20" s="199">
        <v>19612</v>
      </c>
      <c r="G20" s="534">
        <v>4348565</v>
      </c>
      <c r="H20" s="200">
        <v>9.6509774029131954</v>
      </c>
    </row>
    <row r="21" spans="2:8" ht="12" customHeight="1" x14ac:dyDescent="0.2">
      <c r="B21" s="45" t="s">
        <v>492</v>
      </c>
      <c r="C21" s="199" t="s">
        <v>585</v>
      </c>
      <c r="D21" s="199">
        <v>9814</v>
      </c>
      <c r="E21" s="199" t="s">
        <v>585</v>
      </c>
      <c r="F21" s="199" t="s">
        <v>585</v>
      </c>
      <c r="G21" s="534">
        <v>9814</v>
      </c>
      <c r="H21" s="200">
        <v>2.178067758724777E-2</v>
      </c>
    </row>
    <row r="22" spans="2:8" ht="12" customHeight="1" x14ac:dyDescent="0.2">
      <c r="B22" s="45" t="s">
        <v>493</v>
      </c>
      <c r="C22" s="199" t="s">
        <v>585</v>
      </c>
      <c r="D22" s="199">
        <v>14</v>
      </c>
      <c r="E22" s="199" t="s">
        <v>585</v>
      </c>
      <c r="F22" s="199" t="s">
        <v>585</v>
      </c>
      <c r="G22" s="534">
        <v>14</v>
      </c>
      <c r="H22" s="200">
        <v>3.1070866743577422E-5</v>
      </c>
    </row>
    <row r="23" spans="2:8" ht="12" customHeight="1" x14ac:dyDescent="0.2">
      <c r="B23" s="45" t="s">
        <v>494</v>
      </c>
      <c r="C23" s="199" t="s">
        <v>585</v>
      </c>
      <c r="D23" s="199">
        <v>411</v>
      </c>
      <c r="E23" s="199" t="s">
        <v>585</v>
      </c>
      <c r="F23" s="199" t="s">
        <v>585</v>
      </c>
      <c r="G23" s="534">
        <v>411</v>
      </c>
      <c r="H23" s="200">
        <v>9.1215187368645135E-4</v>
      </c>
    </row>
    <row r="24" spans="2:8" ht="12" customHeight="1" x14ac:dyDescent="0.2">
      <c r="B24" s="45" t="s">
        <v>495</v>
      </c>
      <c r="C24" s="199" t="s">
        <v>585</v>
      </c>
      <c r="D24" s="199">
        <v>27643</v>
      </c>
      <c r="E24" s="199" t="s">
        <v>585</v>
      </c>
      <c r="F24" s="199" t="s">
        <v>585</v>
      </c>
      <c r="G24" s="534">
        <v>27643</v>
      </c>
      <c r="H24" s="200">
        <v>6.1349426385193612E-2</v>
      </c>
    </row>
    <row r="25" spans="2:8" ht="12" customHeight="1" x14ac:dyDescent="0.2">
      <c r="B25" s="45" t="s">
        <v>496</v>
      </c>
      <c r="C25" s="199" t="s">
        <v>585</v>
      </c>
      <c r="D25" s="199">
        <v>65254</v>
      </c>
      <c r="E25" s="199">
        <v>46675</v>
      </c>
      <c r="F25" s="199" t="s">
        <v>585</v>
      </c>
      <c r="G25" s="534">
        <v>111929</v>
      </c>
      <c r="H25" s="200">
        <v>0.24840936026727692</v>
      </c>
    </row>
    <row r="26" spans="2:8" ht="12" customHeight="1" x14ac:dyDescent="0.2">
      <c r="B26" s="45" t="s">
        <v>497</v>
      </c>
      <c r="C26" s="199">
        <v>6748</v>
      </c>
      <c r="D26" s="199" t="s">
        <v>585</v>
      </c>
      <c r="E26" s="199" t="s">
        <v>585</v>
      </c>
      <c r="F26" s="199" t="s">
        <v>585</v>
      </c>
      <c r="G26" s="534">
        <v>6748</v>
      </c>
      <c r="H26" s="200">
        <v>1.4976157770404315E-2</v>
      </c>
    </row>
    <row r="27" spans="2:8" ht="12" customHeight="1" x14ac:dyDescent="0.2">
      <c r="B27" s="45" t="s">
        <v>498</v>
      </c>
      <c r="C27" s="199" t="s">
        <v>585</v>
      </c>
      <c r="D27" s="199" t="s">
        <v>585</v>
      </c>
      <c r="E27" s="199">
        <v>116024</v>
      </c>
      <c r="F27" s="199" t="s">
        <v>585</v>
      </c>
      <c r="G27" s="534">
        <v>116024</v>
      </c>
      <c r="H27" s="200">
        <v>0.2574975887897733</v>
      </c>
    </row>
    <row r="28" spans="2:8" ht="12" customHeight="1" x14ac:dyDescent="0.2">
      <c r="B28" s="45" t="s">
        <v>499</v>
      </c>
      <c r="C28" s="199">
        <v>33064</v>
      </c>
      <c r="D28" s="199">
        <v>26759</v>
      </c>
      <c r="E28" s="199">
        <v>153711</v>
      </c>
      <c r="F28" s="199" t="s">
        <v>585</v>
      </c>
      <c r="G28" s="534">
        <v>213534</v>
      </c>
      <c r="H28" s="200">
        <v>0.47390617565879006</v>
      </c>
    </row>
    <row r="29" spans="2:8" ht="12" customHeight="1" x14ac:dyDescent="0.2">
      <c r="B29" s="45" t="s">
        <v>500</v>
      </c>
      <c r="C29" s="199" t="s">
        <v>585</v>
      </c>
      <c r="D29" s="199" t="s">
        <v>585</v>
      </c>
      <c r="E29" s="199">
        <v>251777</v>
      </c>
      <c r="F29" s="199" t="s">
        <v>585</v>
      </c>
      <c r="G29" s="534">
        <v>251777</v>
      </c>
      <c r="H29" s="200">
        <v>0.55878068686412086</v>
      </c>
    </row>
    <row r="30" spans="2:8" ht="12" customHeight="1" x14ac:dyDescent="0.2">
      <c r="B30" s="45" t="s">
        <v>501</v>
      </c>
      <c r="C30" s="199" t="s">
        <v>585</v>
      </c>
      <c r="D30" s="199">
        <v>35363</v>
      </c>
      <c r="E30" s="199" t="s">
        <v>585</v>
      </c>
      <c r="F30" s="199" t="s">
        <v>585</v>
      </c>
      <c r="G30" s="534">
        <v>35363</v>
      </c>
      <c r="H30" s="200">
        <v>7.8482790046652012E-2</v>
      </c>
    </row>
    <row r="31" spans="2:8" ht="12" customHeight="1" x14ac:dyDescent="0.2">
      <c r="B31" s="45" t="s">
        <v>502</v>
      </c>
      <c r="C31" s="199">
        <v>46537</v>
      </c>
      <c r="D31" s="199">
        <v>14860126</v>
      </c>
      <c r="E31" s="199" t="s">
        <v>585</v>
      </c>
      <c r="F31" s="199" t="s">
        <v>585</v>
      </c>
      <c r="G31" s="534">
        <v>14906663</v>
      </c>
      <c r="H31" s="200">
        <v>33.083067118886859</v>
      </c>
    </row>
    <row r="32" spans="2:8" ht="12" customHeight="1" x14ac:dyDescent="0.2">
      <c r="B32" s="45" t="s">
        <v>503</v>
      </c>
      <c r="C32" s="199">
        <v>109770</v>
      </c>
      <c r="D32" s="199">
        <v>1113348</v>
      </c>
      <c r="E32" s="199" t="s">
        <v>585</v>
      </c>
      <c r="F32" s="199" t="s">
        <v>585</v>
      </c>
      <c r="G32" s="534">
        <v>1223118</v>
      </c>
      <c r="H32" s="200">
        <v>2.7145240278336376</v>
      </c>
    </row>
    <row r="33" spans="2:8" ht="12" customHeight="1" x14ac:dyDescent="0.2">
      <c r="B33" s="45" t="s">
        <v>504</v>
      </c>
      <c r="C33" s="199" t="s">
        <v>585</v>
      </c>
      <c r="D33" s="199">
        <v>9</v>
      </c>
      <c r="E33" s="199" t="s">
        <v>585</v>
      </c>
      <c r="F33" s="199" t="s">
        <v>585</v>
      </c>
      <c r="G33" s="534">
        <v>9</v>
      </c>
      <c r="H33" s="200">
        <v>1.9974128620871199E-5</v>
      </c>
    </row>
    <row r="34" spans="2:8" ht="12" customHeight="1" x14ac:dyDescent="0.2">
      <c r="B34" s="45" t="s">
        <v>505</v>
      </c>
      <c r="C34" s="199" t="s">
        <v>585</v>
      </c>
      <c r="D34" s="199">
        <v>84</v>
      </c>
      <c r="E34" s="199" t="s">
        <v>585</v>
      </c>
      <c r="F34" s="199">
        <v>3</v>
      </c>
      <c r="G34" s="534">
        <v>87</v>
      </c>
      <c r="H34" s="200">
        <v>1.9308324333508825E-4</v>
      </c>
    </row>
    <row r="35" spans="2:8" ht="12" customHeight="1" x14ac:dyDescent="0.2">
      <c r="B35" s="45" t="s">
        <v>506</v>
      </c>
      <c r="C35" s="199">
        <v>787</v>
      </c>
      <c r="D35" s="199">
        <v>44</v>
      </c>
      <c r="E35" s="199" t="s">
        <v>585</v>
      </c>
      <c r="F35" s="199" t="s">
        <v>585</v>
      </c>
      <c r="G35" s="534">
        <v>831</v>
      </c>
      <c r="H35" s="200">
        <v>1.8442778759937739E-3</v>
      </c>
    </row>
    <row r="36" spans="2:8" ht="12" customHeight="1" x14ac:dyDescent="0.2">
      <c r="B36" s="45" t="s">
        <v>507</v>
      </c>
      <c r="C36" s="199" t="s">
        <v>585</v>
      </c>
      <c r="D36" s="199">
        <v>92064</v>
      </c>
      <c r="E36" s="199" t="s">
        <v>585</v>
      </c>
      <c r="F36" s="199" t="s">
        <v>585</v>
      </c>
      <c r="G36" s="534">
        <v>92064</v>
      </c>
      <c r="H36" s="200">
        <v>0.20432201970576511</v>
      </c>
    </row>
    <row r="37" spans="2:8" ht="12" customHeight="1" x14ac:dyDescent="0.2">
      <c r="B37" s="45" t="s">
        <v>508</v>
      </c>
      <c r="C37" s="199">
        <v>47</v>
      </c>
      <c r="D37" s="199" t="s">
        <v>585</v>
      </c>
      <c r="E37" s="199">
        <v>524106</v>
      </c>
      <c r="F37" s="199" t="s">
        <v>585</v>
      </c>
      <c r="G37" s="534">
        <v>524153</v>
      </c>
      <c r="H37" s="200">
        <v>1.1632777154461669</v>
      </c>
    </row>
    <row r="38" spans="2:8" ht="12" customHeight="1" x14ac:dyDescent="0.2">
      <c r="B38" s="45" t="s">
        <v>509</v>
      </c>
      <c r="C38" s="199" t="s">
        <v>585</v>
      </c>
      <c r="D38" s="199" t="s">
        <v>585</v>
      </c>
      <c r="E38" s="199">
        <v>137984</v>
      </c>
      <c r="F38" s="199">
        <v>3</v>
      </c>
      <c r="G38" s="534">
        <v>137987</v>
      </c>
      <c r="H38" s="200">
        <v>0.30624112066757264</v>
      </c>
    </row>
    <row r="39" spans="2:8" ht="12" customHeight="1" x14ac:dyDescent="0.2">
      <c r="B39" s="45" t="s">
        <v>510</v>
      </c>
      <c r="C39" s="199">
        <v>68107</v>
      </c>
      <c r="D39" s="199">
        <v>126</v>
      </c>
      <c r="E39" s="199" t="s">
        <v>585</v>
      </c>
      <c r="F39" s="199" t="s">
        <v>585</v>
      </c>
      <c r="G39" s="534">
        <v>68233</v>
      </c>
      <c r="H39" s="200">
        <v>0.1514327464653227</v>
      </c>
    </row>
    <row r="40" spans="2:8" ht="12" customHeight="1" x14ac:dyDescent="0.2">
      <c r="B40" s="45" t="s">
        <v>511</v>
      </c>
      <c r="C40" s="199" t="s">
        <v>585</v>
      </c>
      <c r="D40" s="199">
        <v>26749</v>
      </c>
      <c r="E40" s="199" t="s">
        <v>585</v>
      </c>
      <c r="F40" s="199" t="s">
        <v>585</v>
      </c>
      <c r="G40" s="534">
        <v>26749</v>
      </c>
      <c r="H40" s="200">
        <v>5.936532960885374E-2</v>
      </c>
    </row>
    <row r="41" spans="2:8" ht="12" customHeight="1" x14ac:dyDescent="0.2">
      <c r="B41" s="45" t="s">
        <v>512</v>
      </c>
      <c r="C41" s="199" t="s">
        <v>585</v>
      </c>
      <c r="D41" s="199">
        <v>3414</v>
      </c>
      <c r="E41" s="199" t="s">
        <v>585</v>
      </c>
      <c r="F41" s="199" t="s">
        <v>585</v>
      </c>
      <c r="G41" s="534">
        <v>3414</v>
      </c>
      <c r="H41" s="200">
        <v>7.5768527901838075E-3</v>
      </c>
    </row>
    <row r="42" spans="2:8" ht="12" customHeight="1" x14ac:dyDescent="0.2">
      <c r="B42" s="45" t="s">
        <v>513</v>
      </c>
      <c r="C42" s="199" t="s">
        <v>585</v>
      </c>
      <c r="D42" s="199">
        <v>2184</v>
      </c>
      <c r="E42" s="199" t="s">
        <v>585</v>
      </c>
      <c r="F42" s="199" t="s">
        <v>585</v>
      </c>
      <c r="G42" s="534">
        <v>2184</v>
      </c>
      <c r="H42" s="200">
        <v>4.8470552119980774E-3</v>
      </c>
    </row>
    <row r="43" spans="2:8" ht="12" customHeight="1" x14ac:dyDescent="0.2">
      <c r="B43" s="45" t="s">
        <v>514</v>
      </c>
      <c r="C43" s="199" t="s">
        <v>585</v>
      </c>
      <c r="D43" s="199">
        <v>9</v>
      </c>
      <c r="E43" s="199" t="s">
        <v>585</v>
      </c>
      <c r="F43" s="199" t="s">
        <v>585</v>
      </c>
      <c r="G43" s="534">
        <v>9</v>
      </c>
      <c r="H43" s="200">
        <v>1.9974128620871199E-5</v>
      </c>
    </row>
    <row r="44" spans="2:8" ht="12" customHeight="1" x14ac:dyDescent="0.2">
      <c r="B44" s="45" t="s">
        <v>515</v>
      </c>
      <c r="C44" s="199">
        <v>86911</v>
      </c>
      <c r="D44" s="199" t="s">
        <v>585</v>
      </c>
      <c r="E44" s="199" t="s">
        <v>585</v>
      </c>
      <c r="F44" s="199" t="s">
        <v>585</v>
      </c>
      <c r="G44" s="534">
        <v>86911</v>
      </c>
      <c r="H44" s="200">
        <v>0.19288572139650406</v>
      </c>
    </row>
    <row r="45" spans="2:8" ht="12" customHeight="1" x14ac:dyDescent="0.2">
      <c r="B45" s="45" t="s">
        <v>516</v>
      </c>
      <c r="C45" s="199">
        <v>598749</v>
      </c>
      <c r="D45" s="199">
        <v>2622989</v>
      </c>
      <c r="E45" s="199" t="s">
        <v>585</v>
      </c>
      <c r="F45" s="199" t="s">
        <v>585</v>
      </c>
      <c r="G45" s="534">
        <v>3221738</v>
      </c>
      <c r="H45" s="200">
        <v>7.1501565771942586</v>
      </c>
    </row>
    <row r="46" spans="2:8" ht="12" customHeight="1" x14ac:dyDescent="0.2">
      <c r="B46" s="45" t="s">
        <v>517</v>
      </c>
      <c r="C46" s="199" t="s">
        <v>585</v>
      </c>
      <c r="D46" s="199">
        <v>161</v>
      </c>
      <c r="E46" s="199" t="s">
        <v>585</v>
      </c>
      <c r="F46" s="199" t="s">
        <v>585</v>
      </c>
      <c r="G46" s="534">
        <v>161</v>
      </c>
      <c r="H46" s="200">
        <v>3.573149675511403E-4</v>
      </c>
    </row>
    <row r="47" spans="2:8" ht="12" customHeight="1" x14ac:dyDescent="0.2">
      <c r="B47" s="45" t="s">
        <v>518</v>
      </c>
      <c r="C47" s="199" t="s">
        <v>585</v>
      </c>
      <c r="D47" s="199">
        <v>799</v>
      </c>
      <c r="E47" s="199" t="s">
        <v>585</v>
      </c>
      <c r="F47" s="199" t="s">
        <v>585</v>
      </c>
      <c r="G47" s="534">
        <v>799</v>
      </c>
      <c r="H47" s="200">
        <v>1.7732587520084542E-3</v>
      </c>
    </row>
    <row r="48" spans="2:8" ht="12" customHeight="1" x14ac:dyDescent="0.2">
      <c r="B48" s="45" t="s">
        <v>519</v>
      </c>
      <c r="C48" s="199">
        <v>2074</v>
      </c>
      <c r="D48" s="199">
        <v>7168</v>
      </c>
      <c r="E48" s="199" t="s">
        <v>585</v>
      </c>
      <c r="F48" s="199" t="s">
        <v>585</v>
      </c>
      <c r="G48" s="534">
        <v>9242</v>
      </c>
      <c r="H48" s="200">
        <v>2.0511210746010179E-2</v>
      </c>
    </row>
    <row r="49" spans="2:8" ht="12" customHeight="1" x14ac:dyDescent="0.2">
      <c r="B49" s="45" t="s">
        <v>520</v>
      </c>
      <c r="C49" s="199">
        <v>8</v>
      </c>
      <c r="D49" s="199" t="s">
        <v>585</v>
      </c>
      <c r="E49" s="199" t="s">
        <v>585</v>
      </c>
      <c r="F49" s="199" t="s">
        <v>585</v>
      </c>
      <c r="G49" s="534">
        <v>8</v>
      </c>
      <c r="H49" s="200">
        <v>1.7754780996329955E-5</v>
      </c>
    </row>
    <row r="50" spans="2:8" ht="12" customHeight="1" x14ac:dyDescent="0.2">
      <c r="B50" s="45" t="s">
        <v>521</v>
      </c>
      <c r="C50" s="199">
        <v>8821</v>
      </c>
      <c r="D50" s="199" t="s">
        <v>585</v>
      </c>
      <c r="E50" s="199" t="s">
        <v>585</v>
      </c>
      <c r="F50" s="199" t="s">
        <v>585</v>
      </c>
      <c r="G50" s="534">
        <v>8821</v>
      </c>
      <c r="H50" s="200">
        <v>1.9576865396078315E-2</v>
      </c>
    </row>
    <row r="51" spans="2:8" ht="12" customHeight="1" x14ac:dyDescent="0.2">
      <c r="B51" s="45" t="s">
        <v>522</v>
      </c>
      <c r="C51" s="199">
        <v>31673</v>
      </c>
      <c r="D51" s="199">
        <v>43262</v>
      </c>
      <c r="E51" s="199" t="s">
        <v>585</v>
      </c>
      <c r="F51" s="199" t="s">
        <v>585</v>
      </c>
      <c r="G51" s="534">
        <v>74935</v>
      </c>
      <c r="H51" s="200">
        <v>0.16630681424499813</v>
      </c>
    </row>
    <row r="52" spans="2:8" ht="12" customHeight="1" x14ac:dyDescent="0.2">
      <c r="B52" s="45" t="s">
        <v>523</v>
      </c>
      <c r="C52" s="199">
        <v>62</v>
      </c>
      <c r="D52" s="199">
        <v>29</v>
      </c>
      <c r="E52" s="199" t="s">
        <v>585</v>
      </c>
      <c r="F52" s="199" t="s">
        <v>585</v>
      </c>
      <c r="G52" s="534">
        <v>91</v>
      </c>
      <c r="H52" s="200">
        <v>2.0196063383325321E-4</v>
      </c>
    </row>
    <row r="53" spans="2:8" ht="12" customHeight="1" x14ac:dyDescent="0.2">
      <c r="B53" s="45" t="s">
        <v>524</v>
      </c>
      <c r="C53" s="199" t="s">
        <v>585</v>
      </c>
      <c r="D53" s="199">
        <v>265</v>
      </c>
      <c r="E53" s="199" t="s">
        <v>585</v>
      </c>
      <c r="F53" s="199" t="s">
        <v>585</v>
      </c>
      <c r="G53" s="534">
        <v>265</v>
      </c>
      <c r="H53" s="200">
        <v>5.8812712050342975E-4</v>
      </c>
    </row>
    <row r="54" spans="2:8" ht="12" customHeight="1" x14ac:dyDescent="0.2">
      <c r="B54" s="45" t="s">
        <v>525</v>
      </c>
      <c r="C54" s="199" t="s">
        <v>585</v>
      </c>
      <c r="D54" s="199">
        <v>28</v>
      </c>
      <c r="E54" s="199">
        <v>3</v>
      </c>
      <c r="F54" s="199" t="s">
        <v>585</v>
      </c>
      <c r="G54" s="534">
        <v>31</v>
      </c>
      <c r="H54" s="200">
        <v>6.8799776360778565E-5</v>
      </c>
    </row>
    <row r="55" spans="2:8" ht="12" customHeight="1" x14ac:dyDescent="0.2">
      <c r="B55" s="45" t="s">
        <v>526</v>
      </c>
      <c r="C55" s="199" t="s">
        <v>585</v>
      </c>
      <c r="D55" s="199" t="s">
        <v>585</v>
      </c>
      <c r="E55" s="199">
        <v>478463</v>
      </c>
      <c r="F55" s="199" t="s">
        <v>585</v>
      </c>
      <c r="G55" s="534">
        <v>478463</v>
      </c>
      <c r="H55" s="200">
        <v>1.0618757224808772</v>
      </c>
    </row>
    <row r="56" spans="2:8" ht="12" customHeight="1" x14ac:dyDescent="0.2">
      <c r="B56" s="45" t="s">
        <v>527</v>
      </c>
      <c r="C56" s="199">
        <v>22942</v>
      </c>
      <c r="D56" s="199">
        <v>1729</v>
      </c>
      <c r="E56" s="199" t="s">
        <v>585</v>
      </c>
      <c r="F56" s="199" t="s">
        <v>585</v>
      </c>
      <c r="G56" s="534">
        <v>24671</v>
      </c>
      <c r="H56" s="200">
        <v>5.4753525245057034E-2</v>
      </c>
    </row>
    <row r="57" spans="2:8" ht="12" customHeight="1" x14ac:dyDescent="0.2">
      <c r="B57" s="45" t="s">
        <v>528</v>
      </c>
      <c r="C57" s="199">
        <v>8773</v>
      </c>
      <c r="D57" s="199">
        <v>187485</v>
      </c>
      <c r="E57" s="199" t="s">
        <v>585</v>
      </c>
      <c r="F57" s="199" t="s">
        <v>585</v>
      </c>
      <c r="G57" s="534">
        <v>196258</v>
      </c>
      <c r="H57" s="200">
        <v>0.43556472609721553</v>
      </c>
    </row>
    <row r="58" spans="2:8" ht="12" customHeight="1" x14ac:dyDescent="0.2">
      <c r="B58" s="45" t="s">
        <v>529</v>
      </c>
      <c r="C58" s="199" t="s">
        <v>585</v>
      </c>
      <c r="D58" s="199">
        <v>4</v>
      </c>
      <c r="E58" s="199" t="s">
        <v>585</v>
      </c>
      <c r="F58" s="199" t="s">
        <v>585</v>
      </c>
      <c r="G58" s="534">
        <v>4</v>
      </c>
      <c r="H58" s="200">
        <v>8.8773904981649774E-6</v>
      </c>
    </row>
    <row r="59" spans="2:8" ht="12" customHeight="1" x14ac:dyDescent="0.2">
      <c r="B59" s="45" t="s">
        <v>530</v>
      </c>
      <c r="C59" s="199" t="s">
        <v>585</v>
      </c>
      <c r="D59" s="199">
        <v>103</v>
      </c>
      <c r="E59" s="199">
        <v>318550</v>
      </c>
      <c r="F59" s="199">
        <v>9673</v>
      </c>
      <c r="G59" s="534">
        <v>328326</v>
      </c>
      <c r="H59" s="200">
        <v>0.72866952817512853</v>
      </c>
    </row>
    <row r="60" spans="2:8" ht="12" customHeight="1" x14ac:dyDescent="0.2">
      <c r="B60" s="45" t="s">
        <v>531</v>
      </c>
      <c r="C60" s="199">
        <v>7700</v>
      </c>
      <c r="D60" s="199" t="s">
        <v>585</v>
      </c>
      <c r="E60" s="199" t="s">
        <v>585</v>
      </c>
      <c r="F60" s="199" t="s">
        <v>585</v>
      </c>
      <c r="G60" s="534">
        <v>7700</v>
      </c>
      <c r="H60" s="200">
        <v>1.7088976708967581E-2</v>
      </c>
    </row>
    <row r="61" spans="2:8" ht="12" customHeight="1" thickBot="1" x14ac:dyDescent="0.25">
      <c r="B61" s="45" t="s">
        <v>532</v>
      </c>
      <c r="C61" s="199">
        <v>13891</v>
      </c>
      <c r="D61" s="199">
        <v>1590</v>
      </c>
      <c r="E61" s="199" t="s">
        <v>585</v>
      </c>
      <c r="F61" s="199" t="s">
        <v>585</v>
      </c>
      <c r="G61" s="534">
        <v>15481</v>
      </c>
      <c r="H61" s="200">
        <v>3.4357720575522999E-2</v>
      </c>
    </row>
    <row r="62" spans="2:8" ht="12" customHeight="1" thickBot="1" x14ac:dyDescent="0.25">
      <c r="B62" s="32" t="s">
        <v>17</v>
      </c>
      <c r="C62" s="535">
        <v>1345328</v>
      </c>
      <c r="D62" s="535">
        <v>34545875</v>
      </c>
      <c r="E62" s="535">
        <v>9137792</v>
      </c>
      <c r="F62" s="535">
        <v>29291</v>
      </c>
      <c r="G62" s="535">
        <v>45058286</v>
      </c>
      <c r="H62" s="536">
        <v>100</v>
      </c>
    </row>
    <row r="63" spans="2:8" ht="12" customHeight="1" thickBot="1" x14ac:dyDescent="0.25">
      <c r="B63" s="281" t="s">
        <v>294</v>
      </c>
      <c r="C63" s="536">
        <v>2.9857505010288228</v>
      </c>
      <c r="D63" s="536">
        <v>76.669305618948755</v>
      </c>
      <c r="E63" s="536">
        <v>20.279936968751986</v>
      </c>
      <c r="F63" s="536">
        <v>6.500691127043759E-2</v>
      </c>
      <c r="G63" s="536">
        <v>100</v>
      </c>
      <c r="H63" s="537"/>
    </row>
  </sheetData>
  <mergeCells count="3">
    <mergeCell ref="B1:H1"/>
    <mergeCell ref="C2:F2"/>
    <mergeCell ref="G2:H2"/>
  </mergeCells>
  <printOptions horizontalCentered="1"/>
  <pageMargins left="0.51181102362204722" right="0.43307086614173229" top="0.59055118110236227" bottom="0.19685039370078741" header="0.51181102362204722" footer="0.11811023622047245"/>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T201"/>
  <sheetViews>
    <sheetView view="pageBreakPreview" topLeftCell="P1" zoomScaleNormal="100" zoomScaleSheetLayoutView="100" workbookViewId="0">
      <selection activeCell="A4" sqref="A4"/>
    </sheetView>
  </sheetViews>
  <sheetFormatPr defaultColWidth="9.140625" defaultRowHeight="12" x14ac:dyDescent="0.2"/>
  <cols>
    <col min="1" max="1" width="9.140625" style="68" customWidth="1"/>
    <col min="2" max="2" width="16" style="68" customWidth="1"/>
    <col min="3" max="3" width="27.42578125" style="68" customWidth="1"/>
    <col min="4" max="4" width="7.5703125" style="68" customWidth="1"/>
    <col min="5" max="10" width="9.5703125" style="68" customWidth="1"/>
    <col min="11" max="11" width="17.7109375" style="68" customWidth="1"/>
    <col min="12" max="12" width="27.5703125" style="68" customWidth="1"/>
    <col min="13" max="13" width="5.7109375" style="68" customWidth="1"/>
    <col min="14" max="14" width="9.140625" style="68" customWidth="1"/>
    <col min="15" max="15" width="10.140625" style="68" customWidth="1"/>
    <col min="16" max="16" width="9.140625" style="68" customWidth="1"/>
    <col min="17" max="17" width="8.42578125" style="68" customWidth="1"/>
    <col min="18" max="18" width="8.85546875" style="68" customWidth="1"/>
    <col min="19" max="19" width="9.140625" style="68" customWidth="1"/>
    <col min="20" max="20" width="10.28515625" style="68" customWidth="1"/>
    <col min="21" max="16384" width="9.140625" style="68"/>
  </cols>
  <sheetData>
    <row r="1" spans="2:20" ht="30" customHeight="1" thickBot="1" x14ac:dyDescent="0.25">
      <c r="B1" s="604" t="s">
        <v>633</v>
      </c>
      <c r="C1" s="604"/>
      <c r="D1" s="604"/>
      <c r="E1" s="604"/>
      <c r="F1" s="604"/>
      <c r="G1" s="604"/>
      <c r="H1" s="604"/>
      <c r="I1" s="604"/>
      <c r="J1" s="604"/>
      <c r="K1" s="604" t="s">
        <v>633</v>
      </c>
      <c r="L1" s="604"/>
      <c r="M1" s="604"/>
      <c r="N1" s="604"/>
      <c r="O1" s="604"/>
      <c r="P1" s="604"/>
      <c r="Q1" s="604"/>
      <c r="R1" s="604"/>
      <c r="S1" s="604"/>
      <c r="T1" s="604"/>
    </row>
    <row r="2" spans="2:20" ht="14.25" customHeight="1" thickBot="1" x14ac:dyDescent="0.25">
      <c r="B2" s="254" t="s">
        <v>0</v>
      </c>
      <c r="C2" s="254" t="s">
        <v>0</v>
      </c>
      <c r="D2" s="215" t="s">
        <v>0</v>
      </c>
      <c r="E2" s="605" t="s">
        <v>263</v>
      </c>
      <c r="F2" s="605"/>
      <c r="G2" s="605"/>
      <c r="H2" s="605"/>
      <c r="I2" s="605"/>
      <c r="J2" s="605"/>
      <c r="K2" s="532"/>
      <c r="L2" s="532"/>
      <c r="M2" s="532"/>
      <c r="N2" s="605" t="s">
        <v>263</v>
      </c>
      <c r="O2" s="605"/>
      <c r="P2" s="605"/>
      <c r="Q2" s="605"/>
      <c r="R2" s="605"/>
      <c r="S2" s="605"/>
      <c r="T2" s="215"/>
    </row>
    <row r="3" spans="2:20" ht="18.75" customHeight="1" thickBot="1" x14ac:dyDescent="0.25">
      <c r="B3" s="606" t="s">
        <v>533</v>
      </c>
      <c r="C3" s="606"/>
      <c r="D3" s="606"/>
      <c r="E3" s="329" t="s">
        <v>5</v>
      </c>
      <c r="F3" s="329" t="s">
        <v>6</v>
      </c>
      <c r="G3" s="329" t="s">
        <v>7</v>
      </c>
      <c r="H3" s="329" t="s">
        <v>8</v>
      </c>
      <c r="I3" s="329" t="s">
        <v>9</v>
      </c>
      <c r="J3" s="329" t="s">
        <v>10</v>
      </c>
      <c r="K3" s="606" t="s">
        <v>533</v>
      </c>
      <c r="L3" s="606"/>
      <c r="M3" s="606"/>
      <c r="N3" s="329" t="s">
        <v>11</v>
      </c>
      <c r="O3" s="329" t="s">
        <v>12</v>
      </c>
      <c r="P3" s="329" t="s">
        <v>13</v>
      </c>
      <c r="Q3" s="329" t="s">
        <v>14</v>
      </c>
      <c r="R3" s="329" t="s">
        <v>15</v>
      </c>
      <c r="S3" s="329" t="s">
        <v>16</v>
      </c>
      <c r="T3" s="330" t="s">
        <v>17</v>
      </c>
    </row>
    <row r="4" spans="2:20" ht="12.75" customHeight="1" x14ac:dyDescent="0.2">
      <c r="B4" s="598" t="s">
        <v>475</v>
      </c>
      <c r="C4" s="327" t="s">
        <v>362</v>
      </c>
      <c r="D4" s="336" t="s">
        <v>267</v>
      </c>
      <c r="E4" s="344">
        <v>59</v>
      </c>
      <c r="F4" s="344">
        <v>37</v>
      </c>
      <c r="G4" s="344">
        <v>59</v>
      </c>
      <c r="H4" s="344">
        <v>110</v>
      </c>
      <c r="I4" s="344">
        <v>80</v>
      </c>
      <c r="J4" s="344">
        <v>78</v>
      </c>
      <c r="K4" s="598" t="s">
        <v>475</v>
      </c>
      <c r="L4" s="327" t="s">
        <v>362</v>
      </c>
      <c r="M4" s="336" t="s">
        <v>267</v>
      </c>
      <c r="N4" s="344">
        <v>48</v>
      </c>
      <c r="O4" s="344">
        <v>107</v>
      </c>
      <c r="P4" s="344">
        <v>52</v>
      </c>
      <c r="Q4" s="344">
        <v>167</v>
      </c>
      <c r="R4" s="344">
        <v>99</v>
      </c>
      <c r="S4" s="344">
        <v>79</v>
      </c>
      <c r="T4" s="345">
        <v>975</v>
      </c>
    </row>
    <row r="5" spans="2:20" ht="12.95" customHeight="1" x14ac:dyDescent="0.2">
      <c r="B5" s="599"/>
      <c r="C5" s="250" t="s">
        <v>360</v>
      </c>
      <c r="D5" s="337" t="s">
        <v>268</v>
      </c>
      <c r="E5" s="346">
        <v>6167</v>
      </c>
      <c r="F5" s="346">
        <v>6763</v>
      </c>
      <c r="G5" s="346">
        <v>8204</v>
      </c>
      <c r="H5" s="346">
        <v>12147</v>
      </c>
      <c r="I5" s="346">
        <v>8637</v>
      </c>
      <c r="J5" s="346">
        <v>13395</v>
      </c>
      <c r="K5" s="599"/>
      <c r="L5" s="250" t="s">
        <v>360</v>
      </c>
      <c r="M5" s="337" t="s">
        <v>268</v>
      </c>
      <c r="N5" s="346">
        <v>21100</v>
      </c>
      <c r="O5" s="346">
        <v>17775</v>
      </c>
      <c r="P5" s="346">
        <v>12888</v>
      </c>
      <c r="Q5" s="346">
        <v>11351</v>
      </c>
      <c r="R5" s="346">
        <v>7474</v>
      </c>
      <c r="S5" s="346">
        <v>8205</v>
      </c>
      <c r="T5" s="347">
        <v>134106</v>
      </c>
    </row>
    <row r="6" spans="2:20" ht="12.95" customHeight="1" x14ac:dyDescent="0.2">
      <c r="B6" s="599"/>
      <c r="C6" s="250" t="s">
        <v>361</v>
      </c>
      <c r="D6" s="602" t="s">
        <v>267</v>
      </c>
      <c r="E6" s="346">
        <v>88</v>
      </c>
      <c r="F6" s="346">
        <v>64</v>
      </c>
      <c r="G6" s="346">
        <v>98</v>
      </c>
      <c r="H6" s="346">
        <v>120</v>
      </c>
      <c r="I6" s="346">
        <v>123</v>
      </c>
      <c r="J6" s="346">
        <v>135</v>
      </c>
      <c r="K6" s="599"/>
      <c r="L6" s="250" t="s">
        <v>361</v>
      </c>
      <c r="M6" s="602" t="s">
        <v>267</v>
      </c>
      <c r="N6" s="346">
        <v>99</v>
      </c>
      <c r="O6" s="346">
        <v>100</v>
      </c>
      <c r="P6" s="346">
        <v>78</v>
      </c>
      <c r="Q6" s="346">
        <v>106</v>
      </c>
      <c r="R6" s="346">
        <v>129</v>
      </c>
      <c r="S6" s="346">
        <v>95</v>
      </c>
      <c r="T6" s="347">
        <v>1235</v>
      </c>
    </row>
    <row r="7" spans="2:20" ht="12.95" customHeight="1" x14ac:dyDescent="0.2">
      <c r="B7" s="599"/>
      <c r="C7" s="250" t="s">
        <v>594</v>
      </c>
      <c r="D7" s="602"/>
      <c r="E7" s="346">
        <v>9</v>
      </c>
      <c r="F7" s="346">
        <v>67</v>
      </c>
      <c r="G7" s="346">
        <v>20</v>
      </c>
      <c r="H7" s="346">
        <v>23</v>
      </c>
      <c r="I7" s="346">
        <v>15</v>
      </c>
      <c r="J7" s="346">
        <v>10</v>
      </c>
      <c r="K7" s="599"/>
      <c r="L7" s="250" t="s">
        <v>594</v>
      </c>
      <c r="M7" s="602"/>
      <c r="N7" s="346">
        <v>27</v>
      </c>
      <c r="O7" s="346">
        <v>20</v>
      </c>
      <c r="P7" s="346">
        <v>14</v>
      </c>
      <c r="Q7" s="346">
        <v>7</v>
      </c>
      <c r="R7" s="346">
        <v>49</v>
      </c>
      <c r="S7" s="346">
        <v>46</v>
      </c>
      <c r="T7" s="347">
        <v>307</v>
      </c>
    </row>
    <row r="8" spans="2:20" ht="12.95" customHeight="1" thickBot="1" x14ac:dyDescent="0.25">
      <c r="B8" s="600"/>
      <c r="C8" s="331" t="s">
        <v>17</v>
      </c>
      <c r="D8" s="332" t="s">
        <v>262</v>
      </c>
      <c r="E8" s="348">
        <v>6323</v>
      </c>
      <c r="F8" s="348">
        <v>6931</v>
      </c>
      <c r="G8" s="348">
        <v>8381</v>
      </c>
      <c r="H8" s="348">
        <v>12400</v>
      </c>
      <c r="I8" s="348">
        <v>8855</v>
      </c>
      <c r="J8" s="348">
        <v>13618</v>
      </c>
      <c r="K8" s="600"/>
      <c r="L8" s="331" t="s">
        <v>17</v>
      </c>
      <c r="M8" s="332" t="s">
        <v>262</v>
      </c>
      <c r="N8" s="348">
        <v>21274</v>
      </c>
      <c r="O8" s="348">
        <v>18002</v>
      </c>
      <c r="P8" s="348">
        <v>13032</v>
      </c>
      <c r="Q8" s="348">
        <v>11631</v>
      </c>
      <c r="R8" s="348">
        <v>7751</v>
      </c>
      <c r="S8" s="348">
        <v>8425</v>
      </c>
      <c r="T8" s="349">
        <v>136623</v>
      </c>
    </row>
    <row r="9" spans="2:20" ht="12.95" customHeight="1" x14ac:dyDescent="0.2">
      <c r="B9" s="597" t="s">
        <v>477</v>
      </c>
      <c r="C9" s="328" t="s">
        <v>595</v>
      </c>
      <c r="D9" s="338" t="s">
        <v>269</v>
      </c>
      <c r="E9" s="350">
        <v>15455</v>
      </c>
      <c r="F9" s="350">
        <v>18639</v>
      </c>
      <c r="G9" s="350">
        <v>58348</v>
      </c>
      <c r="H9" s="350">
        <v>19110</v>
      </c>
      <c r="I9" s="350">
        <v>27678</v>
      </c>
      <c r="J9" s="350">
        <v>32620</v>
      </c>
      <c r="K9" s="597" t="s">
        <v>477</v>
      </c>
      <c r="L9" s="328" t="s">
        <v>595</v>
      </c>
      <c r="M9" s="338" t="s">
        <v>269</v>
      </c>
      <c r="N9" s="350">
        <v>47748</v>
      </c>
      <c r="O9" s="350">
        <v>56178</v>
      </c>
      <c r="P9" s="350">
        <v>51341</v>
      </c>
      <c r="Q9" s="350">
        <v>30314</v>
      </c>
      <c r="R9" s="350">
        <v>22606</v>
      </c>
      <c r="S9" s="350">
        <v>23601</v>
      </c>
      <c r="T9" s="351">
        <v>403638</v>
      </c>
    </row>
    <row r="10" spans="2:20" ht="12.95" customHeight="1" x14ac:dyDescent="0.2">
      <c r="B10" s="597"/>
      <c r="C10" s="328" t="s">
        <v>634</v>
      </c>
      <c r="D10" s="338" t="s">
        <v>268</v>
      </c>
      <c r="E10" s="340" t="s">
        <v>585</v>
      </c>
      <c r="F10" s="340" t="s">
        <v>585</v>
      </c>
      <c r="G10" s="340" t="s">
        <v>585</v>
      </c>
      <c r="H10" s="340" t="s">
        <v>585</v>
      </c>
      <c r="I10" s="340" t="s">
        <v>585</v>
      </c>
      <c r="J10" s="340" t="s">
        <v>585</v>
      </c>
      <c r="K10" s="597"/>
      <c r="L10" s="328" t="s">
        <v>634</v>
      </c>
      <c r="M10" s="338" t="s">
        <v>268</v>
      </c>
      <c r="N10" s="340" t="s">
        <v>585</v>
      </c>
      <c r="O10" s="340" t="s">
        <v>585</v>
      </c>
      <c r="P10" s="340" t="s">
        <v>585</v>
      </c>
      <c r="Q10" s="340" t="s">
        <v>585</v>
      </c>
      <c r="R10" s="340" t="s">
        <v>585</v>
      </c>
      <c r="S10" s="350">
        <v>5</v>
      </c>
      <c r="T10" s="351">
        <v>5</v>
      </c>
    </row>
    <row r="11" spans="2:20" ht="12.95" customHeight="1" thickBot="1" x14ac:dyDescent="0.25">
      <c r="B11" s="597"/>
      <c r="C11" s="257" t="s">
        <v>17</v>
      </c>
      <c r="D11" s="333" t="s">
        <v>262</v>
      </c>
      <c r="E11" s="352">
        <v>15455</v>
      </c>
      <c r="F11" s="352">
        <v>18639</v>
      </c>
      <c r="G11" s="352">
        <v>58348</v>
      </c>
      <c r="H11" s="352">
        <v>19110</v>
      </c>
      <c r="I11" s="352">
        <v>27678</v>
      </c>
      <c r="J11" s="352">
        <v>32620</v>
      </c>
      <c r="K11" s="597"/>
      <c r="L11" s="257" t="s">
        <v>17</v>
      </c>
      <c r="M11" s="333" t="s">
        <v>262</v>
      </c>
      <c r="N11" s="352">
        <v>47748</v>
      </c>
      <c r="O11" s="352">
        <v>56178</v>
      </c>
      <c r="P11" s="352">
        <v>51341</v>
      </c>
      <c r="Q11" s="352">
        <v>30314</v>
      </c>
      <c r="R11" s="352">
        <v>22606</v>
      </c>
      <c r="S11" s="352">
        <v>23606</v>
      </c>
      <c r="T11" s="353">
        <v>403643</v>
      </c>
    </row>
    <row r="12" spans="2:20" ht="12.95" customHeight="1" thickBot="1" x14ac:dyDescent="0.25">
      <c r="B12" s="268" t="s">
        <v>478</v>
      </c>
      <c r="C12" s="256" t="s">
        <v>363</v>
      </c>
      <c r="D12" s="334" t="s">
        <v>268</v>
      </c>
      <c r="E12" s="342" t="s">
        <v>585</v>
      </c>
      <c r="F12" s="343">
        <v>2</v>
      </c>
      <c r="G12" s="343">
        <v>12</v>
      </c>
      <c r="H12" s="342" t="s">
        <v>585</v>
      </c>
      <c r="I12" s="342" t="s">
        <v>585</v>
      </c>
      <c r="J12" s="343">
        <v>1</v>
      </c>
      <c r="K12" s="268" t="s">
        <v>478</v>
      </c>
      <c r="L12" s="256" t="s">
        <v>363</v>
      </c>
      <c r="M12" s="334" t="s">
        <v>268</v>
      </c>
      <c r="N12" s="343">
        <v>6</v>
      </c>
      <c r="O12" s="343">
        <v>1</v>
      </c>
      <c r="P12" s="342" t="s">
        <v>585</v>
      </c>
      <c r="Q12" s="343">
        <v>1</v>
      </c>
      <c r="R12" s="342" t="s">
        <v>585</v>
      </c>
      <c r="S12" s="342" t="s">
        <v>585</v>
      </c>
      <c r="T12" s="354">
        <v>23</v>
      </c>
    </row>
    <row r="13" spans="2:20" ht="12.95" customHeight="1" thickBot="1" x14ac:dyDescent="0.25">
      <c r="B13" s="339" t="s">
        <v>479</v>
      </c>
      <c r="C13" s="257" t="s">
        <v>364</v>
      </c>
      <c r="D13" s="333" t="s">
        <v>268</v>
      </c>
      <c r="E13" s="352">
        <v>29542</v>
      </c>
      <c r="F13" s="352">
        <v>36292</v>
      </c>
      <c r="G13" s="352">
        <v>37258</v>
      </c>
      <c r="H13" s="352">
        <v>45099</v>
      </c>
      <c r="I13" s="352">
        <v>38000</v>
      </c>
      <c r="J13" s="352">
        <v>59974</v>
      </c>
      <c r="K13" s="339" t="s">
        <v>479</v>
      </c>
      <c r="L13" s="257" t="s">
        <v>364</v>
      </c>
      <c r="M13" s="333" t="s">
        <v>268</v>
      </c>
      <c r="N13" s="352">
        <v>88938</v>
      </c>
      <c r="O13" s="352">
        <v>73905</v>
      </c>
      <c r="P13" s="352">
        <v>57098</v>
      </c>
      <c r="Q13" s="352">
        <v>47604</v>
      </c>
      <c r="R13" s="352">
        <v>34468</v>
      </c>
      <c r="S13" s="352">
        <v>40912</v>
      </c>
      <c r="T13" s="353">
        <v>589090</v>
      </c>
    </row>
    <row r="14" spans="2:20" ht="12.95" customHeight="1" x14ac:dyDescent="0.2">
      <c r="B14" s="598" t="s">
        <v>480</v>
      </c>
      <c r="C14" s="327" t="s">
        <v>365</v>
      </c>
      <c r="D14" s="603" t="s">
        <v>267</v>
      </c>
      <c r="E14" s="344">
        <v>3</v>
      </c>
      <c r="F14" s="344">
        <v>7</v>
      </c>
      <c r="G14" s="344">
        <v>1</v>
      </c>
      <c r="H14" s="344">
        <v>4</v>
      </c>
      <c r="I14" s="344">
        <v>164</v>
      </c>
      <c r="J14" s="344">
        <v>622</v>
      </c>
      <c r="K14" s="598" t="s">
        <v>480</v>
      </c>
      <c r="L14" s="327" t="s">
        <v>365</v>
      </c>
      <c r="M14" s="603" t="s">
        <v>267</v>
      </c>
      <c r="N14" s="344">
        <v>1204</v>
      </c>
      <c r="O14" s="344">
        <v>1841</v>
      </c>
      <c r="P14" s="344">
        <v>766</v>
      </c>
      <c r="Q14" s="344">
        <v>3</v>
      </c>
      <c r="R14" s="344">
        <v>4301</v>
      </c>
      <c r="S14" s="344">
        <v>6193</v>
      </c>
      <c r="T14" s="345">
        <v>15109</v>
      </c>
    </row>
    <row r="15" spans="2:20" ht="12.95" customHeight="1" x14ac:dyDescent="0.2">
      <c r="B15" s="599"/>
      <c r="C15" s="250" t="s">
        <v>366</v>
      </c>
      <c r="D15" s="602"/>
      <c r="E15" s="346">
        <v>40</v>
      </c>
      <c r="F15" s="346">
        <v>99</v>
      </c>
      <c r="G15" s="346">
        <v>246</v>
      </c>
      <c r="H15" s="346">
        <v>865</v>
      </c>
      <c r="I15" s="346">
        <v>1645</v>
      </c>
      <c r="J15" s="346">
        <v>2709</v>
      </c>
      <c r="K15" s="599"/>
      <c r="L15" s="250" t="s">
        <v>366</v>
      </c>
      <c r="M15" s="602"/>
      <c r="N15" s="346">
        <v>4086</v>
      </c>
      <c r="O15" s="346">
        <v>5568</v>
      </c>
      <c r="P15" s="346">
        <v>4507</v>
      </c>
      <c r="Q15" s="346">
        <v>2819</v>
      </c>
      <c r="R15" s="346">
        <v>270</v>
      </c>
      <c r="S15" s="346">
        <v>93</v>
      </c>
      <c r="T15" s="347">
        <v>22947</v>
      </c>
    </row>
    <row r="16" spans="2:20" ht="12.95" customHeight="1" x14ac:dyDescent="0.2">
      <c r="B16" s="599"/>
      <c r="C16" s="250" t="s">
        <v>367</v>
      </c>
      <c r="D16" s="602"/>
      <c r="E16" s="346">
        <v>3</v>
      </c>
      <c r="F16" s="346">
        <v>4</v>
      </c>
      <c r="G16" s="346">
        <v>10</v>
      </c>
      <c r="H16" s="346">
        <v>23</v>
      </c>
      <c r="I16" s="346">
        <v>69</v>
      </c>
      <c r="J16" s="346">
        <v>85</v>
      </c>
      <c r="K16" s="599"/>
      <c r="L16" s="250" t="s">
        <v>367</v>
      </c>
      <c r="M16" s="602"/>
      <c r="N16" s="346">
        <v>115</v>
      </c>
      <c r="O16" s="346">
        <v>87</v>
      </c>
      <c r="P16" s="346">
        <v>33</v>
      </c>
      <c r="Q16" s="346">
        <v>21</v>
      </c>
      <c r="R16" s="346">
        <v>14</v>
      </c>
      <c r="S16" s="346">
        <v>3</v>
      </c>
      <c r="T16" s="347">
        <v>467</v>
      </c>
    </row>
    <row r="17" spans="2:20" ht="12.95" customHeight="1" x14ac:dyDescent="0.2">
      <c r="B17" s="599"/>
      <c r="C17" s="250" t="s">
        <v>635</v>
      </c>
      <c r="D17" s="602"/>
      <c r="E17" s="346">
        <v>1217</v>
      </c>
      <c r="F17" s="346">
        <v>1085</v>
      </c>
      <c r="G17" s="346">
        <v>439</v>
      </c>
      <c r="H17" s="346">
        <v>767</v>
      </c>
      <c r="I17" s="346">
        <v>559</v>
      </c>
      <c r="J17" s="346">
        <v>451</v>
      </c>
      <c r="K17" s="599"/>
      <c r="L17" s="250" t="s">
        <v>635</v>
      </c>
      <c r="M17" s="602"/>
      <c r="N17" s="346">
        <v>415</v>
      </c>
      <c r="O17" s="346">
        <v>389</v>
      </c>
      <c r="P17" s="346">
        <v>285</v>
      </c>
      <c r="Q17" s="346">
        <v>351</v>
      </c>
      <c r="R17" s="346">
        <v>381</v>
      </c>
      <c r="S17" s="346">
        <v>321</v>
      </c>
      <c r="T17" s="347">
        <v>6660</v>
      </c>
    </row>
    <row r="18" spans="2:20" ht="12.95" customHeight="1" x14ac:dyDescent="0.2">
      <c r="B18" s="599"/>
      <c r="C18" s="250" t="s">
        <v>596</v>
      </c>
      <c r="D18" s="602" t="s">
        <v>268</v>
      </c>
      <c r="E18" s="346">
        <v>1467</v>
      </c>
      <c r="F18" s="346">
        <v>2598</v>
      </c>
      <c r="G18" s="346">
        <v>3961</v>
      </c>
      <c r="H18" s="346">
        <v>20481</v>
      </c>
      <c r="I18" s="346">
        <v>37051</v>
      </c>
      <c r="J18" s="346">
        <v>45789</v>
      </c>
      <c r="K18" s="599"/>
      <c r="L18" s="250" t="s">
        <v>596</v>
      </c>
      <c r="M18" s="602" t="s">
        <v>268</v>
      </c>
      <c r="N18" s="346">
        <v>57948</v>
      </c>
      <c r="O18" s="346">
        <v>50113</v>
      </c>
      <c r="P18" s="346">
        <v>46588</v>
      </c>
      <c r="Q18" s="346">
        <v>27510</v>
      </c>
      <c r="R18" s="346">
        <v>3070</v>
      </c>
      <c r="S18" s="346">
        <v>1814</v>
      </c>
      <c r="T18" s="347">
        <v>298390</v>
      </c>
    </row>
    <row r="19" spans="2:20" ht="12.95" customHeight="1" x14ac:dyDescent="0.2">
      <c r="B19" s="599"/>
      <c r="C19" s="250" t="s">
        <v>636</v>
      </c>
      <c r="D19" s="602"/>
      <c r="E19" s="346">
        <v>114249</v>
      </c>
      <c r="F19" s="346">
        <v>131434</v>
      </c>
      <c r="G19" s="346">
        <v>248895</v>
      </c>
      <c r="H19" s="346">
        <v>909538</v>
      </c>
      <c r="I19" s="346">
        <v>1662838</v>
      </c>
      <c r="J19" s="346">
        <v>2154560</v>
      </c>
      <c r="K19" s="599"/>
      <c r="L19" s="250" t="s">
        <v>636</v>
      </c>
      <c r="M19" s="602"/>
      <c r="N19" s="346">
        <v>2441417</v>
      </c>
      <c r="O19" s="346">
        <v>2421218</v>
      </c>
      <c r="P19" s="346">
        <v>2120122</v>
      </c>
      <c r="Q19" s="346">
        <v>1604369</v>
      </c>
      <c r="R19" s="346">
        <v>300027</v>
      </c>
      <c r="S19" s="346">
        <v>198202</v>
      </c>
      <c r="T19" s="347">
        <v>14306869</v>
      </c>
    </row>
    <row r="20" spans="2:20" ht="12.95" customHeight="1" x14ac:dyDescent="0.2">
      <c r="B20" s="599"/>
      <c r="C20" s="250" t="s">
        <v>368</v>
      </c>
      <c r="D20" s="337" t="s">
        <v>267</v>
      </c>
      <c r="E20" s="341" t="s">
        <v>585</v>
      </c>
      <c r="F20" s="341" t="s">
        <v>585</v>
      </c>
      <c r="G20" s="346">
        <v>2</v>
      </c>
      <c r="H20" s="346">
        <v>7</v>
      </c>
      <c r="I20" s="346">
        <v>17</v>
      </c>
      <c r="J20" s="346">
        <v>4</v>
      </c>
      <c r="K20" s="599"/>
      <c r="L20" s="250" t="s">
        <v>368</v>
      </c>
      <c r="M20" s="337" t="s">
        <v>267</v>
      </c>
      <c r="N20" s="346">
        <v>2</v>
      </c>
      <c r="O20" s="346">
        <v>1</v>
      </c>
      <c r="P20" s="346">
        <v>2</v>
      </c>
      <c r="Q20" s="341" t="s">
        <v>585</v>
      </c>
      <c r="R20" s="346">
        <v>4</v>
      </c>
      <c r="S20" s="341" t="s">
        <v>585</v>
      </c>
      <c r="T20" s="347">
        <v>39</v>
      </c>
    </row>
    <row r="21" spans="2:20" ht="12.95" customHeight="1" thickBot="1" x14ac:dyDescent="0.25">
      <c r="B21" s="600"/>
      <c r="C21" s="331" t="s">
        <v>17</v>
      </c>
      <c r="D21" s="332" t="s">
        <v>262</v>
      </c>
      <c r="E21" s="348">
        <v>116979</v>
      </c>
      <c r="F21" s="348">
        <v>135227</v>
      </c>
      <c r="G21" s="348">
        <v>253554</v>
      </c>
      <c r="H21" s="348">
        <v>931685</v>
      </c>
      <c r="I21" s="348">
        <v>1702343</v>
      </c>
      <c r="J21" s="348">
        <v>2204220</v>
      </c>
      <c r="K21" s="600"/>
      <c r="L21" s="331" t="s">
        <v>17</v>
      </c>
      <c r="M21" s="332" t="s">
        <v>262</v>
      </c>
      <c r="N21" s="348">
        <v>2505187</v>
      </c>
      <c r="O21" s="348">
        <v>2479217</v>
      </c>
      <c r="P21" s="348">
        <v>2172303</v>
      </c>
      <c r="Q21" s="348">
        <v>1635073</v>
      </c>
      <c r="R21" s="348">
        <v>308067</v>
      </c>
      <c r="S21" s="348">
        <v>206626</v>
      </c>
      <c r="T21" s="349">
        <v>14650481</v>
      </c>
    </row>
    <row r="22" spans="2:20" ht="12.95" customHeight="1" x14ac:dyDescent="0.2">
      <c r="B22" s="597" t="s">
        <v>482</v>
      </c>
      <c r="C22" s="328" t="s">
        <v>369</v>
      </c>
      <c r="D22" s="338" t="s">
        <v>267</v>
      </c>
      <c r="E22" s="350">
        <v>27</v>
      </c>
      <c r="F22" s="350">
        <v>52</v>
      </c>
      <c r="G22" s="350">
        <v>54</v>
      </c>
      <c r="H22" s="350">
        <v>61</v>
      </c>
      <c r="I22" s="350">
        <v>96</v>
      </c>
      <c r="J22" s="350">
        <v>52</v>
      </c>
      <c r="K22" s="597" t="s">
        <v>482</v>
      </c>
      <c r="L22" s="328" t="s">
        <v>369</v>
      </c>
      <c r="M22" s="338" t="s">
        <v>267</v>
      </c>
      <c r="N22" s="350">
        <v>73</v>
      </c>
      <c r="O22" s="350">
        <v>93</v>
      </c>
      <c r="P22" s="350">
        <v>50</v>
      </c>
      <c r="Q22" s="350">
        <v>123</v>
      </c>
      <c r="R22" s="350">
        <v>115</v>
      </c>
      <c r="S22" s="350">
        <v>141</v>
      </c>
      <c r="T22" s="351">
        <v>937</v>
      </c>
    </row>
    <row r="23" spans="2:20" ht="12.95" customHeight="1" x14ac:dyDescent="0.2">
      <c r="B23" s="597"/>
      <c r="C23" s="328" t="s">
        <v>370</v>
      </c>
      <c r="D23" s="338" t="s">
        <v>268</v>
      </c>
      <c r="E23" s="350">
        <v>111</v>
      </c>
      <c r="F23" s="350">
        <v>74</v>
      </c>
      <c r="G23" s="350">
        <v>143</v>
      </c>
      <c r="H23" s="350">
        <v>65</v>
      </c>
      <c r="I23" s="350">
        <v>107</v>
      </c>
      <c r="J23" s="350">
        <v>113</v>
      </c>
      <c r="K23" s="597"/>
      <c r="L23" s="328" t="s">
        <v>370</v>
      </c>
      <c r="M23" s="338" t="s">
        <v>268</v>
      </c>
      <c r="N23" s="350">
        <v>174</v>
      </c>
      <c r="O23" s="350">
        <v>222</v>
      </c>
      <c r="P23" s="350">
        <v>162</v>
      </c>
      <c r="Q23" s="350">
        <v>118</v>
      </c>
      <c r="R23" s="350">
        <v>47</v>
      </c>
      <c r="S23" s="350">
        <v>89</v>
      </c>
      <c r="T23" s="351">
        <v>1425</v>
      </c>
    </row>
    <row r="24" spans="2:20" ht="12.95" customHeight="1" x14ac:dyDescent="0.2">
      <c r="B24" s="597"/>
      <c r="C24" s="328" t="s">
        <v>371</v>
      </c>
      <c r="D24" s="338" t="s">
        <v>269</v>
      </c>
      <c r="E24" s="350">
        <v>118774</v>
      </c>
      <c r="F24" s="350">
        <v>126701</v>
      </c>
      <c r="G24" s="350">
        <v>152837</v>
      </c>
      <c r="H24" s="350">
        <v>153157</v>
      </c>
      <c r="I24" s="350">
        <v>197394</v>
      </c>
      <c r="J24" s="350">
        <v>190694</v>
      </c>
      <c r="K24" s="597"/>
      <c r="L24" s="328" t="s">
        <v>371</v>
      </c>
      <c r="M24" s="338" t="s">
        <v>269</v>
      </c>
      <c r="N24" s="350">
        <v>268708</v>
      </c>
      <c r="O24" s="350">
        <v>287461</v>
      </c>
      <c r="P24" s="350">
        <v>261886</v>
      </c>
      <c r="Q24" s="350">
        <v>183818</v>
      </c>
      <c r="R24" s="350">
        <v>173775</v>
      </c>
      <c r="S24" s="350">
        <v>174845</v>
      </c>
      <c r="T24" s="351">
        <v>2290050</v>
      </c>
    </row>
    <row r="25" spans="2:20" ht="12.95" customHeight="1" thickBot="1" x14ac:dyDescent="0.25">
      <c r="B25" s="597"/>
      <c r="C25" s="257" t="s">
        <v>17</v>
      </c>
      <c r="D25" s="333" t="s">
        <v>262</v>
      </c>
      <c r="E25" s="352">
        <v>118912</v>
      </c>
      <c r="F25" s="352">
        <v>126827</v>
      </c>
      <c r="G25" s="352">
        <v>153034</v>
      </c>
      <c r="H25" s="352">
        <v>153283</v>
      </c>
      <c r="I25" s="352">
        <v>197597</v>
      </c>
      <c r="J25" s="352">
        <v>190859</v>
      </c>
      <c r="K25" s="597"/>
      <c r="L25" s="257" t="s">
        <v>17</v>
      </c>
      <c r="M25" s="333" t="s">
        <v>262</v>
      </c>
      <c r="N25" s="352">
        <v>268955</v>
      </c>
      <c r="O25" s="352">
        <v>287776</v>
      </c>
      <c r="P25" s="352">
        <v>262098</v>
      </c>
      <c r="Q25" s="352">
        <v>184059</v>
      </c>
      <c r="R25" s="352">
        <v>173937</v>
      </c>
      <c r="S25" s="352">
        <v>175075</v>
      </c>
      <c r="T25" s="353">
        <v>2292412</v>
      </c>
    </row>
    <row r="26" spans="2:20" ht="12.95" customHeight="1" x14ac:dyDescent="0.2">
      <c r="B26" s="598" t="s">
        <v>483</v>
      </c>
      <c r="C26" s="327" t="s">
        <v>372</v>
      </c>
      <c r="D26" s="603" t="s">
        <v>267</v>
      </c>
      <c r="E26" s="344">
        <v>12</v>
      </c>
      <c r="F26" s="344">
        <v>597</v>
      </c>
      <c r="G26" s="344">
        <v>4046</v>
      </c>
      <c r="H26" s="344">
        <v>11990</v>
      </c>
      <c r="I26" s="344">
        <v>19420</v>
      </c>
      <c r="J26" s="344">
        <v>24076</v>
      </c>
      <c r="K26" s="598" t="s">
        <v>483</v>
      </c>
      <c r="L26" s="327" t="s">
        <v>372</v>
      </c>
      <c r="M26" s="603" t="s">
        <v>267</v>
      </c>
      <c r="N26" s="344">
        <v>28721</v>
      </c>
      <c r="O26" s="344">
        <v>30399</v>
      </c>
      <c r="P26" s="344">
        <v>26578</v>
      </c>
      <c r="Q26" s="344">
        <v>22708</v>
      </c>
      <c r="R26" s="344">
        <v>6008</v>
      </c>
      <c r="S26" s="344">
        <v>9081</v>
      </c>
      <c r="T26" s="345">
        <v>183636</v>
      </c>
    </row>
    <row r="27" spans="2:20" ht="12.95" customHeight="1" x14ac:dyDescent="0.2">
      <c r="B27" s="599"/>
      <c r="C27" s="250" t="s">
        <v>373</v>
      </c>
      <c r="D27" s="602"/>
      <c r="E27" s="346">
        <v>3</v>
      </c>
      <c r="F27" s="346">
        <v>1</v>
      </c>
      <c r="G27" s="346">
        <v>8</v>
      </c>
      <c r="H27" s="346">
        <v>37</v>
      </c>
      <c r="I27" s="346">
        <v>24</v>
      </c>
      <c r="J27" s="346">
        <v>84</v>
      </c>
      <c r="K27" s="599"/>
      <c r="L27" s="250" t="s">
        <v>373</v>
      </c>
      <c r="M27" s="602"/>
      <c r="N27" s="346">
        <v>235</v>
      </c>
      <c r="O27" s="346">
        <v>535</v>
      </c>
      <c r="P27" s="346">
        <v>318</v>
      </c>
      <c r="Q27" s="341" t="s">
        <v>585</v>
      </c>
      <c r="R27" s="341" t="s">
        <v>585</v>
      </c>
      <c r="S27" s="341" t="s">
        <v>585</v>
      </c>
      <c r="T27" s="347">
        <v>1245</v>
      </c>
    </row>
    <row r="28" spans="2:20" ht="12.95" customHeight="1" x14ac:dyDescent="0.2">
      <c r="B28" s="599"/>
      <c r="C28" s="250" t="s">
        <v>637</v>
      </c>
      <c r="D28" s="602"/>
      <c r="E28" s="341" t="s">
        <v>585</v>
      </c>
      <c r="F28" s="341" t="s">
        <v>585</v>
      </c>
      <c r="G28" s="341" t="s">
        <v>585</v>
      </c>
      <c r="H28" s="341" t="s">
        <v>585</v>
      </c>
      <c r="I28" s="341" t="s">
        <v>585</v>
      </c>
      <c r="J28" s="341" t="s">
        <v>585</v>
      </c>
      <c r="K28" s="599"/>
      <c r="L28" s="250" t="s">
        <v>637</v>
      </c>
      <c r="M28" s="602"/>
      <c r="N28" s="346">
        <v>302</v>
      </c>
      <c r="O28" s="346">
        <v>339</v>
      </c>
      <c r="P28" s="346">
        <v>3</v>
      </c>
      <c r="Q28" s="346">
        <v>86</v>
      </c>
      <c r="R28" s="346">
        <v>14</v>
      </c>
      <c r="S28" s="346">
        <v>2</v>
      </c>
      <c r="T28" s="347">
        <v>746</v>
      </c>
    </row>
    <row r="29" spans="2:20" ht="12.95" customHeight="1" thickBot="1" x14ac:dyDescent="0.25">
      <c r="B29" s="600"/>
      <c r="C29" s="331" t="s">
        <v>17</v>
      </c>
      <c r="D29" s="332" t="s">
        <v>262</v>
      </c>
      <c r="E29" s="348">
        <v>15</v>
      </c>
      <c r="F29" s="348">
        <v>598</v>
      </c>
      <c r="G29" s="348">
        <v>4054</v>
      </c>
      <c r="H29" s="348">
        <v>12027</v>
      </c>
      <c r="I29" s="348">
        <v>19444</v>
      </c>
      <c r="J29" s="348">
        <v>24160</v>
      </c>
      <c r="K29" s="600"/>
      <c r="L29" s="331" t="s">
        <v>17</v>
      </c>
      <c r="M29" s="332" t="s">
        <v>262</v>
      </c>
      <c r="N29" s="348">
        <v>29258</v>
      </c>
      <c r="O29" s="348">
        <v>31273</v>
      </c>
      <c r="P29" s="348">
        <v>26899</v>
      </c>
      <c r="Q29" s="348">
        <v>22794</v>
      </c>
      <c r="R29" s="348">
        <v>6022</v>
      </c>
      <c r="S29" s="348">
        <v>9083</v>
      </c>
      <c r="T29" s="349">
        <v>185627</v>
      </c>
    </row>
    <row r="30" spans="2:20" ht="12.95" customHeight="1" x14ac:dyDescent="0.2">
      <c r="B30" s="597" t="s">
        <v>484</v>
      </c>
      <c r="C30" s="328" t="s">
        <v>374</v>
      </c>
      <c r="D30" s="338" t="s">
        <v>268</v>
      </c>
      <c r="E30" s="350">
        <v>62</v>
      </c>
      <c r="F30" s="350">
        <v>2</v>
      </c>
      <c r="G30" s="350">
        <v>4</v>
      </c>
      <c r="H30" s="350">
        <v>1</v>
      </c>
      <c r="I30" s="350">
        <v>17</v>
      </c>
      <c r="J30" s="350">
        <v>9</v>
      </c>
      <c r="K30" s="597" t="s">
        <v>484</v>
      </c>
      <c r="L30" s="328" t="s">
        <v>374</v>
      </c>
      <c r="M30" s="338" t="s">
        <v>268</v>
      </c>
      <c r="N30" s="340" t="s">
        <v>585</v>
      </c>
      <c r="O30" s="340" t="s">
        <v>585</v>
      </c>
      <c r="P30" s="350">
        <v>4</v>
      </c>
      <c r="Q30" s="340" t="s">
        <v>585</v>
      </c>
      <c r="R30" s="340" t="s">
        <v>585</v>
      </c>
      <c r="S30" s="340" t="s">
        <v>585</v>
      </c>
      <c r="T30" s="351">
        <v>99</v>
      </c>
    </row>
    <row r="31" spans="2:20" ht="12.95" customHeight="1" x14ac:dyDescent="0.2">
      <c r="B31" s="597"/>
      <c r="C31" s="328" t="s">
        <v>597</v>
      </c>
      <c r="D31" s="601" t="s">
        <v>267</v>
      </c>
      <c r="E31" s="350">
        <v>8</v>
      </c>
      <c r="F31" s="350">
        <v>1</v>
      </c>
      <c r="G31" s="340" t="s">
        <v>585</v>
      </c>
      <c r="H31" s="350">
        <v>8</v>
      </c>
      <c r="I31" s="350">
        <v>82</v>
      </c>
      <c r="J31" s="350">
        <v>10</v>
      </c>
      <c r="K31" s="597"/>
      <c r="L31" s="328" t="s">
        <v>597</v>
      </c>
      <c r="M31" s="601" t="s">
        <v>267</v>
      </c>
      <c r="N31" s="350">
        <v>71</v>
      </c>
      <c r="O31" s="350">
        <v>52</v>
      </c>
      <c r="P31" s="350">
        <v>92</v>
      </c>
      <c r="Q31" s="350">
        <v>61</v>
      </c>
      <c r="R31" s="350">
        <v>39</v>
      </c>
      <c r="S31" s="350">
        <v>40</v>
      </c>
      <c r="T31" s="351">
        <v>464</v>
      </c>
    </row>
    <row r="32" spans="2:20" ht="12.95" customHeight="1" x14ac:dyDescent="0.2">
      <c r="B32" s="597"/>
      <c r="C32" s="328" t="s">
        <v>375</v>
      </c>
      <c r="D32" s="601"/>
      <c r="E32" s="350">
        <v>21</v>
      </c>
      <c r="F32" s="350">
        <v>10</v>
      </c>
      <c r="G32" s="350">
        <v>22</v>
      </c>
      <c r="H32" s="350">
        <v>33</v>
      </c>
      <c r="I32" s="350">
        <v>560</v>
      </c>
      <c r="J32" s="350">
        <v>480</v>
      </c>
      <c r="K32" s="597"/>
      <c r="L32" s="328" t="s">
        <v>375</v>
      </c>
      <c r="M32" s="601"/>
      <c r="N32" s="350">
        <v>443</v>
      </c>
      <c r="O32" s="350">
        <v>261</v>
      </c>
      <c r="P32" s="350">
        <v>558</v>
      </c>
      <c r="Q32" s="350">
        <v>548</v>
      </c>
      <c r="R32" s="350">
        <v>477</v>
      </c>
      <c r="S32" s="350">
        <v>429</v>
      </c>
      <c r="T32" s="351">
        <v>3842</v>
      </c>
    </row>
    <row r="33" spans="2:20" ht="12.95" customHeight="1" x14ac:dyDescent="0.2">
      <c r="B33" s="597"/>
      <c r="C33" s="328" t="s">
        <v>376</v>
      </c>
      <c r="D33" s="601"/>
      <c r="E33" s="350">
        <v>686</v>
      </c>
      <c r="F33" s="350">
        <v>1130</v>
      </c>
      <c r="G33" s="350">
        <v>1735</v>
      </c>
      <c r="H33" s="350">
        <v>2553</v>
      </c>
      <c r="I33" s="350">
        <v>3914</v>
      </c>
      <c r="J33" s="350">
        <v>4692</v>
      </c>
      <c r="K33" s="597"/>
      <c r="L33" s="328" t="s">
        <v>376</v>
      </c>
      <c r="M33" s="601"/>
      <c r="N33" s="350">
        <v>5535</v>
      </c>
      <c r="O33" s="350">
        <v>9419</v>
      </c>
      <c r="P33" s="350">
        <v>6479</v>
      </c>
      <c r="Q33" s="350">
        <v>4089</v>
      </c>
      <c r="R33" s="350">
        <v>2206</v>
      </c>
      <c r="S33" s="350">
        <v>1360</v>
      </c>
      <c r="T33" s="351">
        <v>43798</v>
      </c>
    </row>
    <row r="34" spans="2:20" ht="12.95" customHeight="1" thickBot="1" x14ac:dyDescent="0.25">
      <c r="B34" s="597"/>
      <c r="C34" s="257" t="s">
        <v>17</v>
      </c>
      <c r="D34" s="333" t="s">
        <v>262</v>
      </c>
      <c r="E34" s="352">
        <v>777</v>
      </c>
      <c r="F34" s="352">
        <v>1143</v>
      </c>
      <c r="G34" s="352">
        <v>1761</v>
      </c>
      <c r="H34" s="352">
        <v>2595</v>
      </c>
      <c r="I34" s="352">
        <v>4573</v>
      </c>
      <c r="J34" s="352">
        <v>5191</v>
      </c>
      <c r="K34" s="597"/>
      <c r="L34" s="257" t="s">
        <v>17</v>
      </c>
      <c r="M34" s="333" t="s">
        <v>262</v>
      </c>
      <c r="N34" s="352">
        <v>6049</v>
      </c>
      <c r="O34" s="352">
        <v>9732</v>
      </c>
      <c r="P34" s="352">
        <v>7133</v>
      </c>
      <c r="Q34" s="352">
        <v>4698</v>
      </c>
      <c r="R34" s="352">
        <v>2722</v>
      </c>
      <c r="S34" s="352">
        <v>1829</v>
      </c>
      <c r="T34" s="353">
        <v>48203</v>
      </c>
    </row>
    <row r="35" spans="2:20" ht="12.95" customHeight="1" thickBot="1" x14ac:dyDescent="0.25">
      <c r="B35" s="268" t="s">
        <v>486</v>
      </c>
      <c r="C35" s="256" t="s">
        <v>638</v>
      </c>
      <c r="D35" s="334" t="s">
        <v>268</v>
      </c>
      <c r="E35" s="342" t="s">
        <v>585</v>
      </c>
      <c r="F35" s="342" t="s">
        <v>585</v>
      </c>
      <c r="G35" s="343">
        <v>2</v>
      </c>
      <c r="H35" s="342" t="s">
        <v>585</v>
      </c>
      <c r="I35" s="342" t="s">
        <v>585</v>
      </c>
      <c r="J35" s="342" t="s">
        <v>585</v>
      </c>
      <c r="K35" s="268" t="s">
        <v>486</v>
      </c>
      <c r="L35" s="256" t="s">
        <v>638</v>
      </c>
      <c r="M35" s="334" t="s">
        <v>268</v>
      </c>
      <c r="N35" s="342" t="s">
        <v>585</v>
      </c>
      <c r="O35" s="342" t="s">
        <v>585</v>
      </c>
      <c r="P35" s="342" t="s">
        <v>585</v>
      </c>
      <c r="Q35" s="342" t="s">
        <v>585</v>
      </c>
      <c r="R35" s="342" t="s">
        <v>585</v>
      </c>
      <c r="S35" s="342" t="s">
        <v>585</v>
      </c>
      <c r="T35" s="354">
        <v>2</v>
      </c>
    </row>
    <row r="36" spans="2:20" ht="12.95" customHeight="1" x14ac:dyDescent="0.2">
      <c r="B36" s="597" t="s">
        <v>487</v>
      </c>
      <c r="C36" s="328" t="s">
        <v>377</v>
      </c>
      <c r="D36" s="338" t="s">
        <v>268</v>
      </c>
      <c r="E36" s="350">
        <v>393</v>
      </c>
      <c r="F36" s="350">
        <v>329</v>
      </c>
      <c r="G36" s="350">
        <v>325</v>
      </c>
      <c r="H36" s="350">
        <v>26</v>
      </c>
      <c r="I36" s="350">
        <v>38</v>
      </c>
      <c r="J36" s="350">
        <v>29</v>
      </c>
      <c r="K36" s="597" t="s">
        <v>487</v>
      </c>
      <c r="L36" s="328" t="s">
        <v>377</v>
      </c>
      <c r="M36" s="338" t="s">
        <v>268</v>
      </c>
      <c r="N36" s="350">
        <v>28</v>
      </c>
      <c r="O36" s="350">
        <v>11</v>
      </c>
      <c r="P36" s="350">
        <v>13</v>
      </c>
      <c r="Q36" s="350">
        <v>24</v>
      </c>
      <c r="R36" s="350">
        <v>9</v>
      </c>
      <c r="S36" s="350">
        <v>37</v>
      </c>
      <c r="T36" s="351">
        <v>1262</v>
      </c>
    </row>
    <row r="37" spans="2:20" ht="12.95" customHeight="1" x14ac:dyDescent="0.2">
      <c r="B37" s="597"/>
      <c r="C37" s="328" t="s">
        <v>378</v>
      </c>
      <c r="D37" s="338" t="s">
        <v>267</v>
      </c>
      <c r="E37" s="350">
        <v>30</v>
      </c>
      <c r="F37" s="350">
        <v>42</v>
      </c>
      <c r="G37" s="350">
        <v>58</v>
      </c>
      <c r="H37" s="350">
        <v>1048</v>
      </c>
      <c r="I37" s="350">
        <v>1042</v>
      </c>
      <c r="J37" s="350">
        <v>810</v>
      </c>
      <c r="K37" s="597"/>
      <c r="L37" s="328" t="s">
        <v>378</v>
      </c>
      <c r="M37" s="338" t="s">
        <v>267</v>
      </c>
      <c r="N37" s="350">
        <v>1056</v>
      </c>
      <c r="O37" s="350">
        <v>823</v>
      </c>
      <c r="P37" s="350">
        <v>891</v>
      </c>
      <c r="Q37" s="350">
        <v>873</v>
      </c>
      <c r="R37" s="350">
        <v>781</v>
      </c>
      <c r="S37" s="350">
        <v>946</v>
      </c>
      <c r="T37" s="351">
        <v>8400</v>
      </c>
    </row>
    <row r="38" spans="2:20" ht="12.95" customHeight="1" thickBot="1" x14ac:dyDescent="0.25">
      <c r="B38" s="597"/>
      <c r="C38" s="257" t="s">
        <v>17</v>
      </c>
      <c r="D38" s="333" t="s">
        <v>262</v>
      </c>
      <c r="E38" s="352">
        <v>423</v>
      </c>
      <c r="F38" s="352">
        <v>371</v>
      </c>
      <c r="G38" s="352">
        <v>383</v>
      </c>
      <c r="H38" s="352">
        <v>1074</v>
      </c>
      <c r="I38" s="352">
        <v>1080</v>
      </c>
      <c r="J38" s="352">
        <v>839</v>
      </c>
      <c r="K38" s="597"/>
      <c r="L38" s="257" t="s">
        <v>17</v>
      </c>
      <c r="M38" s="333" t="s">
        <v>262</v>
      </c>
      <c r="N38" s="352">
        <v>1084</v>
      </c>
      <c r="O38" s="352">
        <v>834</v>
      </c>
      <c r="P38" s="352">
        <v>904</v>
      </c>
      <c r="Q38" s="352">
        <v>897</v>
      </c>
      <c r="R38" s="352">
        <v>790</v>
      </c>
      <c r="S38" s="352">
        <v>983</v>
      </c>
      <c r="T38" s="353">
        <v>9662</v>
      </c>
    </row>
    <row r="39" spans="2:20" ht="12.95" customHeight="1" x14ac:dyDescent="0.2">
      <c r="B39" s="598" t="s">
        <v>488</v>
      </c>
      <c r="C39" s="327" t="s">
        <v>379</v>
      </c>
      <c r="D39" s="603" t="s">
        <v>267</v>
      </c>
      <c r="E39" s="344">
        <v>88</v>
      </c>
      <c r="F39" s="344">
        <v>105</v>
      </c>
      <c r="G39" s="344">
        <v>141</v>
      </c>
      <c r="H39" s="344">
        <v>38</v>
      </c>
      <c r="I39" s="344">
        <v>123</v>
      </c>
      <c r="J39" s="344">
        <v>99</v>
      </c>
      <c r="K39" s="598" t="s">
        <v>488</v>
      </c>
      <c r="L39" s="327" t="s">
        <v>379</v>
      </c>
      <c r="M39" s="603" t="s">
        <v>267</v>
      </c>
      <c r="N39" s="344">
        <v>129</v>
      </c>
      <c r="O39" s="344">
        <v>93</v>
      </c>
      <c r="P39" s="344">
        <v>82</v>
      </c>
      <c r="Q39" s="344">
        <v>1639</v>
      </c>
      <c r="R39" s="344">
        <v>1311</v>
      </c>
      <c r="S39" s="344">
        <v>100</v>
      </c>
      <c r="T39" s="345">
        <v>3948</v>
      </c>
    </row>
    <row r="40" spans="2:20" ht="12.95" customHeight="1" x14ac:dyDescent="0.2">
      <c r="B40" s="599"/>
      <c r="C40" s="250" t="s">
        <v>382</v>
      </c>
      <c r="D40" s="602"/>
      <c r="E40" s="346">
        <v>3</v>
      </c>
      <c r="F40" s="341" t="s">
        <v>585</v>
      </c>
      <c r="G40" s="346">
        <v>10</v>
      </c>
      <c r="H40" s="346">
        <v>4</v>
      </c>
      <c r="I40" s="346">
        <v>46</v>
      </c>
      <c r="J40" s="346">
        <v>46</v>
      </c>
      <c r="K40" s="599"/>
      <c r="L40" s="250" t="s">
        <v>382</v>
      </c>
      <c r="M40" s="602"/>
      <c r="N40" s="346">
        <v>35</v>
      </c>
      <c r="O40" s="346">
        <v>23</v>
      </c>
      <c r="P40" s="346">
        <v>38</v>
      </c>
      <c r="Q40" s="346">
        <v>52</v>
      </c>
      <c r="R40" s="341" t="s">
        <v>585</v>
      </c>
      <c r="S40" s="346">
        <v>7</v>
      </c>
      <c r="T40" s="347">
        <v>264</v>
      </c>
    </row>
    <row r="41" spans="2:20" ht="12.95" customHeight="1" x14ac:dyDescent="0.2">
      <c r="B41" s="599"/>
      <c r="C41" s="250" t="s">
        <v>380</v>
      </c>
      <c r="D41" s="602"/>
      <c r="E41" s="346">
        <v>1</v>
      </c>
      <c r="F41" s="346">
        <v>7</v>
      </c>
      <c r="G41" s="346">
        <v>4</v>
      </c>
      <c r="H41" s="341" t="s">
        <v>585</v>
      </c>
      <c r="I41" s="346">
        <v>2</v>
      </c>
      <c r="J41" s="341" t="s">
        <v>585</v>
      </c>
      <c r="K41" s="599"/>
      <c r="L41" s="250" t="s">
        <v>380</v>
      </c>
      <c r="M41" s="602"/>
      <c r="N41" s="346">
        <v>127</v>
      </c>
      <c r="O41" s="346">
        <v>1</v>
      </c>
      <c r="P41" s="341" t="s">
        <v>585</v>
      </c>
      <c r="Q41" s="346">
        <v>1</v>
      </c>
      <c r="R41" s="346">
        <v>6</v>
      </c>
      <c r="S41" s="341" t="s">
        <v>585</v>
      </c>
      <c r="T41" s="347">
        <v>149</v>
      </c>
    </row>
    <row r="42" spans="2:20" ht="12.95" customHeight="1" x14ac:dyDescent="0.2">
      <c r="B42" s="599"/>
      <c r="C42" s="250" t="s">
        <v>381</v>
      </c>
      <c r="D42" s="602"/>
      <c r="E42" s="346">
        <v>10</v>
      </c>
      <c r="F42" s="346">
        <v>32</v>
      </c>
      <c r="G42" s="346">
        <v>19</v>
      </c>
      <c r="H42" s="346">
        <v>27</v>
      </c>
      <c r="I42" s="346">
        <v>77</v>
      </c>
      <c r="J42" s="346">
        <v>29</v>
      </c>
      <c r="K42" s="599"/>
      <c r="L42" s="250" t="s">
        <v>381</v>
      </c>
      <c r="M42" s="602"/>
      <c r="N42" s="346">
        <v>18</v>
      </c>
      <c r="O42" s="346">
        <v>34</v>
      </c>
      <c r="P42" s="346">
        <v>12</v>
      </c>
      <c r="Q42" s="346">
        <v>30</v>
      </c>
      <c r="R42" s="346">
        <v>35</v>
      </c>
      <c r="S42" s="346">
        <v>30</v>
      </c>
      <c r="T42" s="347">
        <v>353</v>
      </c>
    </row>
    <row r="43" spans="2:20" ht="12.95" customHeight="1" x14ac:dyDescent="0.2">
      <c r="B43" s="599"/>
      <c r="C43" s="250" t="s">
        <v>639</v>
      </c>
      <c r="D43" s="337" t="s">
        <v>268</v>
      </c>
      <c r="E43" s="341" t="s">
        <v>585</v>
      </c>
      <c r="F43" s="346">
        <v>3</v>
      </c>
      <c r="G43" s="346">
        <v>1</v>
      </c>
      <c r="H43" s="346">
        <v>14</v>
      </c>
      <c r="I43" s="341" t="s">
        <v>585</v>
      </c>
      <c r="J43" s="346">
        <v>1</v>
      </c>
      <c r="K43" s="599"/>
      <c r="L43" s="250" t="s">
        <v>639</v>
      </c>
      <c r="M43" s="337" t="s">
        <v>268</v>
      </c>
      <c r="N43" s="346">
        <v>604</v>
      </c>
      <c r="O43" s="346">
        <v>313</v>
      </c>
      <c r="P43" s="346">
        <v>4</v>
      </c>
      <c r="Q43" s="346">
        <v>15</v>
      </c>
      <c r="R43" s="341" t="s">
        <v>585</v>
      </c>
      <c r="S43" s="341" t="s">
        <v>585</v>
      </c>
      <c r="T43" s="347">
        <v>955</v>
      </c>
    </row>
    <row r="44" spans="2:20" ht="12.95" customHeight="1" x14ac:dyDescent="0.2">
      <c r="B44" s="599"/>
      <c r="C44" s="250" t="s">
        <v>558</v>
      </c>
      <c r="D44" s="602" t="s">
        <v>267</v>
      </c>
      <c r="E44" s="341" t="s">
        <v>585</v>
      </c>
      <c r="F44" s="341" t="s">
        <v>585</v>
      </c>
      <c r="G44" s="341" t="s">
        <v>585</v>
      </c>
      <c r="H44" s="346">
        <v>1</v>
      </c>
      <c r="I44" s="341" t="s">
        <v>585</v>
      </c>
      <c r="J44" s="346">
        <v>1</v>
      </c>
      <c r="K44" s="599"/>
      <c r="L44" s="250" t="s">
        <v>558</v>
      </c>
      <c r="M44" s="602" t="s">
        <v>267</v>
      </c>
      <c r="N44" s="341" t="s">
        <v>585</v>
      </c>
      <c r="O44" s="346">
        <v>11</v>
      </c>
      <c r="P44" s="346">
        <v>2</v>
      </c>
      <c r="Q44" s="346">
        <v>10</v>
      </c>
      <c r="R44" s="346">
        <v>8</v>
      </c>
      <c r="S44" s="346">
        <v>2</v>
      </c>
      <c r="T44" s="347">
        <v>35</v>
      </c>
    </row>
    <row r="45" spans="2:20" ht="12.95" customHeight="1" x14ac:dyDescent="0.2">
      <c r="B45" s="599"/>
      <c r="C45" s="250" t="s">
        <v>598</v>
      </c>
      <c r="D45" s="602"/>
      <c r="E45" s="341" t="s">
        <v>585</v>
      </c>
      <c r="F45" s="341" t="s">
        <v>585</v>
      </c>
      <c r="G45" s="341" t="s">
        <v>585</v>
      </c>
      <c r="H45" s="341" t="s">
        <v>585</v>
      </c>
      <c r="I45" s="346">
        <v>136</v>
      </c>
      <c r="J45" s="346">
        <v>215</v>
      </c>
      <c r="K45" s="599"/>
      <c r="L45" s="250" t="s">
        <v>598</v>
      </c>
      <c r="M45" s="602"/>
      <c r="N45" s="346">
        <v>648</v>
      </c>
      <c r="O45" s="346">
        <v>841</v>
      </c>
      <c r="P45" s="346">
        <v>371</v>
      </c>
      <c r="Q45" s="341" t="s">
        <v>585</v>
      </c>
      <c r="R45" s="341" t="s">
        <v>585</v>
      </c>
      <c r="S45" s="341" t="s">
        <v>585</v>
      </c>
      <c r="T45" s="347">
        <v>2211</v>
      </c>
    </row>
    <row r="46" spans="2:20" ht="12.95" customHeight="1" thickBot="1" x14ac:dyDescent="0.25">
      <c r="B46" s="600"/>
      <c r="C46" s="331" t="s">
        <v>17</v>
      </c>
      <c r="D46" s="332" t="s">
        <v>262</v>
      </c>
      <c r="E46" s="348">
        <v>102</v>
      </c>
      <c r="F46" s="348">
        <v>147</v>
      </c>
      <c r="G46" s="348">
        <v>175</v>
      </c>
      <c r="H46" s="348">
        <v>84</v>
      </c>
      <c r="I46" s="348">
        <v>384</v>
      </c>
      <c r="J46" s="348">
        <v>391</v>
      </c>
      <c r="K46" s="600"/>
      <c r="L46" s="331" t="s">
        <v>17</v>
      </c>
      <c r="M46" s="332" t="s">
        <v>262</v>
      </c>
      <c r="N46" s="348">
        <v>1561</v>
      </c>
      <c r="O46" s="348">
        <v>1316</v>
      </c>
      <c r="P46" s="348">
        <v>509</v>
      </c>
      <c r="Q46" s="348">
        <v>1747</v>
      </c>
      <c r="R46" s="348">
        <v>1360</v>
      </c>
      <c r="S46" s="348">
        <v>139</v>
      </c>
      <c r="T46" s="349">
        <v>7915</v>
      </c>
    </row>
    <row r="47" spans="2:20" ht="12.95" customHeight="1" thickBot="1" x14ac:dyDescent="0.25">
      <c r="B47" s="339" t="s">
        <v>489</v>
      </c>
      <c r="C47" s="257" t="s">
        <v>383</v>
      </c>
      <c r="D47" s="333" t="s">
        <v>268</v>
      </c>
      <c r="E47" s="352">
        <v>1877</v>
      </c>
      <c r="F47" s="352">
        <v>2375</v>
      </c>
      <c r="G47" s="352">
        <v>9822</v>
      </c>
      <c r="H47" s="352">
        <v>5156</v>
      </c>
      <c r="I47" s="352">
        <v>5550</v>
      </c>
      <c r="J47" s="352">
        <v>5694</v>
      </c>
      <c r="K47" s="339" t="s">
        <v>489</v>
      </c>
      <c r="L47" s="257" t="s">
        <v>383</v>
      </c>
      <c r="M47" s="333" t="s">
        <v>268</v>
      </c>
      <c r="N47" s="352">
        <v>4818</v>
      </c>
      <c r="O47" s="352">
        <v>6804</v>
      </c>
      <c r="P47" s="352">
        <v>6578</v>
      </c>
      <c r="Q47" s="352">
        <v>5540</v>
      </c>
      <c r="R47" s="352">
        <v>3137</v>
      </c>
      <c r="S47" s="352">
        <v>1529</v>
      </c>
      <c r="T47" s="353">
        <v>58880</v>
      </c>
    </row>
    <row r="48" spans="2:20" ht="12.95" customHeight="1" thickBot="1" x14ac:dyDescent="0.25">
      <c r="B48" s="268" t="s">
        <v>490</v>
      </c>
      <c r="C48" s="256" t="s">
        <v>640</v>
      </c>
      <c r="D48" s="334" t="s">
        <v>268</v>
      </c>
      <c r="E48" s="343">
        <v>64</v>
      </c>
      <c r="F48" s="343">
        <v>1</v>
      </c>
      <c r="G48" s="343">
        <v>379</v>
      </c>
      <c r="H48" s="343">
        <v>1577</v>
      </c>
      <c r="I48" s="343">
        <v>1131</v>
      </c>
      <c r="J48" s="343">
        <v>3505</v>
      </c>
      <c r="K48" s="268" t="s">
        <v>490</v>
      </c>
      <c r="L48" s="256" t="s">
        <v>640</v>
      </c>
      <c r="M48" s="334" t="s">
        <v>268</v>
      </c>
      <c r="N48" s="343">
        <v>5591</v>
      </c>
      <c r="O48" s="343">
        <v>4782</v>
      </c>
      <c r="P48" s="343">
        <v>4072</v>
      </c>
      <c r="Q48" s="343">
        <v>3140</v>
      </c>
      <c r="R48" s="343">
        <v>764</v>
      </c>
      <c r="S48" s="343">
        <v>736</v>
      </c>
      <c r="T48" s="354">
        <v>25742</v>
      </c>
    </row>
    <row r="49" spans="2:20" ht="12.95" customHeight="1" x14ac:dyDescent="0.2">
      <c r="B49" s="597" t="s">
        <v>491</v>
      </c>
      <c r="C49" s="328" t="s">
        <v>384</v>
      </c>
      <c r="D49" s="601" t="s">
        <v>269</v>
      </c>
      <c r="E49" s="350">
        <v>30295</v>
      </c>
      <c r="F49" s="350">
        <v>33031</v>
      </c>
      <c r="G49" s="350">
        <v>49686</v>
      </c>
      <c r="H49" s="350">
        <v>63789</v>
      </c>
      <c r="I49" s="350">
        <v>57261</v>
      </c>
      <c r="J49" s="350">
        <v>76839</v>
      </c>
      <c r="K49" s="597" t="s">
        <v>491</v>
      </c>
      <c r="L49" s="328" t="s">
        <v>384</v>
      </c>
      <c r="M49" s="601" t="s">
        <v>269</v>
      </c>
      <c r="N49" s="350">
        <v>74292</v>
      </c>
      <c r="O49" s="350">
        <v>84303</v>
      </c>
      <c r="P49" s="350">
        <v>65558</v>
      </c>
      <c r="Q49" s="350">
        <v>51250</v>
      </c>
      <c r="R49" s="350">
        <v>46894</v>
      </c>
      <c r="S49" s="350">
        <v>46182</v>
      </c>
      <c r="T49" s="351">
        <v>679380</v>
      </c>
    </row>
    <row r="50" spans="2:20" ht="12.95" customHeight="1" x14ac:dyDescent="0.2">
      <c r="B50" s="597"/>
      <c r="C50" s="328" t="s">
        <v>385</v>
      </c>
      <c r="D50" s="601"/>
      <c r="E50" s="350">
        <v>41068</v>
      </c>
      <c r="F50" s="350">
        <v>39143</v>
      </c>
      <c r="G50" s="350">
        <v>65623</v>
      </c>
      <c r="H50" s="350">
        <v>73589</v>
      </c>
      <c r="I50" s="350">
        <v>55692</v>
      </c>
      <c r="J50" s="350">
        <v>70798</v>
      </c>
      <c r="K50" s="597"/>
      <c r="L50" s="328" t="s">
        <v>385</v>
      </c>
      <c r="M50" s="601"/>
      <c r="N50" s="350">
        <v>124129</v>
      </c>
      <c r="O50" s="350">
        <v>99417</v>
      </c>
      <c r="P50" s="350">
        <v>70173</v>
      </c>
      <c r="Q50" s="350">
        <v>71518</v>
      </c>
      <c r="R50" s="350">
        <v>53777</v>
      </c>
      <c r="S50" s="350">
        <v>53417</v>
      </c>
      <c r="T50" s="351">
        <v>818344</v>
      </c>
    </row>
    <row r="51" spans="2:20" ht="12.95" customHeight="1" x14ac:dyDescent="0.2">
      <c r="B51" s="597"/>
      <c r="C51" s="328" t="s">
        <v>386</v>
      </c>
      <c r="D51" s="601"/>
      <c r="E51" s="350">
        <v>101846</v>
      </c>
      <c r="F51" s="350">
        <v>114580</v>
      </c>
      <c r="G51" s="350">
        <v>162050</v>
      </c>
      <c r="H51" s="350">
        <v>209004</v>
      </c>
      <c r="I51" s="350">
        <v>187642</v>
      </c>
      <c r="J51" s="350">
        <v>245431</v>
      </c>
      <c r="K51" s="597"/>
      <c r="L51" s="328" t="s">
        <v>386</v>
      </c>
      <c r="M51" s="601"/>
      <c r="N51" s="350">
        <v>462400</v>
      </c>
      <c r="O51" s="350">
        <v>267105</v>
      </c>
      <c r="P51" s="350">
        <v>222324</v>
      </c>
      <c r="Q51" s="350">
        <v>195623</v>
      </c>
      <c r="R51" s="350">
        <v>175861</v>
      </c>
      <c r="S51" s="350">
        <v>188152</v>
      </c>
      <c r="T51" s="351">
        <v>2532018</v>
      </c>
    </row>
    <row r="52" spans="2:20" ht="12.95" customHeight="1" x14ac:dyDescent="0.2">
      <c r="B52" s="597"/>
      <c r="C52" s="328" t="s">
        <v>387</v>
      </c>
      <c r="D52" s="601"/>
      <c r="E52" s="350">
        <v>16772</v>
      </c>
      <c r="F52" s="350">
        <v>16096</v>
      </c>
      <c r="G52" s="350">
        <v>22893</v>
      </c>
      <c r="H52" s="350">
        <v>25777</v>
      </c>
      <c r="I52" s="350">
        <v>24301</v>
      </c>
      <c r="J52" s="350">
        <v>24021</v>
      </c>
      <c r="K52" s="597"/>
      <c r="L52" s="328" t="s">
        <v>387</v>
      </c>
      <c r="M52" s="601"/>
      <c r="N52" s="350">
        <v>32813</v>
      </c>
      <c r="O52" s="350">
        <v>26373</v>
      </c>
      <c r="P52" s="350">
        <v>30482</v>
      </c>
      <c r="Q52" s="350">
        <v>28275</v>
      </c>
      <c r="R52" s="350">
        <v>25567</v>
      </c>
      <c r="S52" s="350">
        <v>25841</v>
      </c>
      <c r="T52" s="351">
        <v>299211</v>
      </c>
    </row>
    <row r="53" spans="2:20" ht="12.95" customHeight="1" x14ac:dyDescent="0.2">
      <c r="B53" s="597"/>
      <c r="C53" s="328" t="s">
        <v>388</v>
      </c>
      <c r="D53" s="338" t="s">
        <v>270</v>
      </c>
      <c r="E53" s="350">
        <v>636</v>
      </c>
      <c r="F53" s="350">
        <v>648</v>
      </c>
      <c r="G53" s="350">
        <v>866</v>
      </c>
      <c r="H53" s="350">
        <v>1368</v>
      </c>
      <c r="I53" s="350">
        <v>1308</v>
      </c>
      <c r="J53" s="350">
        <v>1813</v>
      </c>
      <c r="K53" s="597"/>
      <c r="L53" s="328" t="s">
        <v>388</v>
      </c>
      <c r="M53" s="338" t="s">
        <v>270</v>
      </c>
      <c r="N53" s="350">
        <v>3293</v>
      </c>
      <c r="O53" s="350">
        <v>3573</v>
      </c>
      <c r="P53" s="350">
        <v>2058</v>
      </c>
      <c r="Q53" s="350">
        <v>1619</v>
      </c>
      <c r="R53" s="350">
        <v>1316</v>
      </c>
      <c r="S53" s="350">
        <v>1114</v>
      </c>
      <c r="T53" s="351">
        <v>19612</v>
      </c>
    </row>
    <row r="54" spans="2:20" ht="12.95" customHeight="1" thickBot="1" x14ac:dyDescent="0.25">
      <c r="B54" s="597"/>
      <c r="C54" s="257" t="s">
        <v>17</v>
      </c>
      <c r="D54" s="333" t="s">
        <v>262</v>
      </c>
      <c r="E54" s="352">
        <v>190617</v>
      </c>
      <c r="F54" s="352">
        <v>203498</v>
      </c>
      <c r="G54" s="352">
        <v>301118</v>
      </c>
      <c r="H54" s="352">
        <v>373527</v>
      </c>
      <c r="I54" s="352">
        <v>326204</v>
      </c>
      <c r="J54" s="352">
        <v>418902</v>
      </c>
      <c r="K54" s="597"/>
      <c r="L54" s="257" t="s">
        <v>17</v>
      </c>
      <c r="M54" s="333" t="s">
        <v>262</v>
      </c>
      <c r="N54" s="352">
        <v>696927</v>
      </c>
      <c r="O54" s="352">
        <v>480771</v>
      </c>
      <c r="P54" s="352">
        <v>390595</v>
      </c>
      <c r="Q54" s="352">
        <v>348285</v>
      </c>
      <c r="R54" s="352">
        <v>303415</v>
      </c>
      <c r="S54" s="352">
        <v>314706</v>
      </c>
      <c r="T54" s="353">
        <v>4348565</v>
      </c>
    </row>
    <row r="55" spans="2:20" ht="12.95" customHeight="1" thickBot="1" x14ac:dyDescent="0.25">
      <c r="B55" s="268" t="s">
        <v>492</v>
      </c>
      <c r="C55" s="256" t="s">
        <v>641</v>
      </c>
      <c r="D55" s="334" t="s">
        <v>268</v>
      </c>
      <c r="E55" s="343">
        <v>3</v>
      </c>
      <c r="F55" s="343">
        <v>6</v>
      </c>
      <c r="G55" s="343">
        <v>3</v>
      </c>
      <c r="H55" s="343">
        <v>354</v>
      </c>
      <c r="I55" s="343">
        <v>328</v>
      </c>
      <c r="J55" s="343">
        <v>1289</v>
      </c>
      <c r="K55" s="268" t="s">
        <v>492</v>
      </c>
      <c r="L55" s="256" t="s">
        <v>641</v>
      </c>
      <c r="M55" s="334" t="s">
        <v>268</v>
      </c>
      <c r="N55" s="343">
        <v>3113</v>
      </c>
      <c r="O55" s="343">
        <v>1905</v>
      </c>
      <c r="P55" s="343">
        <v>1280</v>
      </c>
      <c r="Q55" s="343">
        <v>904</v>
      </c>
      <c r="R55" s="343">
        <v>198</v>
      </c>
      <c r="S55" s="343">
        <v>431</v>
      </c>
      <c r="T55" s="354">
        <v>9814</v>
      </c>
    </row>
    <row r="56" spans="2:20" ht="12.95" customHeight="1" thickBot="1" x14ac:dyDescent="0.25">
      <c r="B56" s="268" t="s">
        <v>493</v>
      </c>
      <c r="C56" s="256" t="s">
        <v>642</v>
      </c>
      <c r="D56" s="334" t="s">
        <v>268</v>
      </c>
      <c r="E56" s="342" t="s">
        <v>585</v>
      </c>
      <c r="F56" s="342" t="s">
        <v>585</v>
      </c>
      <c r="G56" s="342" t="s">
        <v>585</v>
      </c>
      <c r="H56" s="342" t="s">
        <v>585</v>
      </c>
      <c r="I56" s="342" t="s">
        <v>585</v>
      </c>
      <c r="J56" s="342" t="s">
        <v>585</v>
      </c>
      <c r="K56" s="268" t="s">
        <v>493</v>
      </c>
      <c r="L56" s="256" t="s">
        <v>642</v>
      </c>
      <c r="M56" s="334" t="s">
        <v>268</v>
      </c>
      <c r="N56" s="342" t="s">
        <v>585</v>
      </c>
      <c r="O56" s="343">
        <v>9</v>
      </c>
      <c r="P56" s="342" t="s">
        <v>585</v>
      </c>
      <c r="Q56" s="342" t="s">
        <v>585</v>
      </c>
      <c r="R56" s="343">
        <v>5</v>
      </c>
      <c r="S56" s="342" t="s">
        <v>585</v>
      </c>
      <c r="T56" s="354">
        <v>14</v>
      </c>
    </row>
    <row r="57" spans="2:20" ht="12.95" customHeight="1" thickBot="1" x14ac:dyDescent="0.25">
      <c r="B57" s="268" t="s">
        <v>494</v>
      </c>
      <c r="C57" s="256" t="s">
        <v>643</v>
      </c>
      <c r="D57" s="334" t="s">
        <v>268</v>
      </c>
      <c r="E57" s="343">
        <v>134</v>
      </c>
      <c r="F57" s="342" t="s">
        <v>585</v>
      </c>
      <c r="G57" s="342" t="s">
        <v>585</v>
      </c>
      <c r="H57" s="342" t="s">
        <v>585</v>
      </c>
      <c r="I57" s="343">
        <v>2</v>
      </c>
      <c r="J57" s="343">
        <v>10</v>
      </c>
      <c r="K57" s="268" t="s">
        <v>494</v>
      </c>
      <c r="L57" s="256" t="s">
        <v>643</v>
      </c>
      <c r="M57" s="334" t="s">
        <v>268</v>
      </c>
      <c r="N57" s="343">
        <v>40</v>
      </c>
      <c r="O57" s="343">
        <v>3</v>
      </c>
      <c r="P57" s="342" t="s">
        <v>585</v>
      </c>
      <c r="Q57" s="342" t="s">
        <v>585</v>
      </c>
      <c r="R57" s="343">
        <v>3</v>
      </c>
      <c r="S57" s="343">
        <v>219</v>
      </c>
      <c r="T57" s="354">
        <v>411</v>
      </c>
    </row>
    <row r="58" spans="2:20" ht="12.95" customHeight="1" thickBot="1" x14ac:dyDescent="0.25">
      <c r="B58" s="268" t="s">
        <v>495</v>
      </c>
      <c r="C58" s="256" t="s">
        <v>644</v>
      </c>
      <c r="D58" s="334" t="s">
        <v>268</v>
      </c>
      <c r="E58" s="343">
        <v>1102</v>
      </c>
      <c r="F58" s="343">
        <v>984</v>
      </c>
      <c r="G58" s="343">
        <v>1273</v>
      </c>
      <c r="H58" s="343">
        <v>1842</v>
      </c>
      <c r="I58" s="343">
        <v>1058</v>
      </c>
      <c r="J58" s="343">
        <v>2363</v>
      </c>
      <c r="K58" s="268" t="s">
        <v>495</v>
      </c>
      <c r="L58" s="256" t="s">
        <v>644</v>
      </c>
      <c r="M58" s="334" t="s">
        <v>268</v>
      </c>
      <c r="N58" s="343">
        <v>8453</v>
      </c>
      <c r="O58" s="343">
        <v>3986</v>
      </c>
      <c r="P58" s="343">
        <v>1659</v>
      </c>
      <c r="Q58" s="343">
        <v>1515</v>
      </c>
      <c r="R58" s="343">
        <v>1406</v>
      </c>
      <c r="S58" s="343">
        <v>2002</v>
      </c>
      <c r="T58" s="354">
        <v>27643</v>
      </c>
    </row>
    <row r="59" spans="2:20" ht="12.95" customHeight="1" x14ac:dyDescent="0.2">
      <c r="B59" s="597" t="s">
        <v>496</v>
      </c>
      <c r="C59" s="328" t="s">
        <v>389</v>
      </c>
      <c r="D59" s="338" t="s">
        <v>269</v>
      </c>
      <c r="E59" s="350">
        <v>5</v>
      </c>
      <c r="F59" s="350">
        <v>5</v>
      </c>
      <c r="G59" s="340" t="s">
        <v>585</v>
      </c>
      <c r="H59" s="350">
        <v>4</v>
      </c>
      <c r="I59" s="350">
        <v>2</v>
      </c>
      <c r="J59" s="350">
        <v>10310</v>
      </c>
      <c r="K59" s="597" t="s">
        <v>496</v>
      </c>
      <c r="L59" s="328" t="s">
        <v>389</v>
      </c>
      <c r="M59" s="338" t="s">
        <v>269</v>
      </c>
      <c r="N59" s="350">
        <v>6814</v>
      </c>
      <c r="O59" s="350">
        <v>9067</v>
      </c>
      <c r="P59" s="350">
        <v>11221</v>
      </c>
      <c r="Q59" s="350">
        <v>5642</v>
      </c>
      <c r="R59" s="350">
        <v>1232</v>
      </c>
      <c r="S59" s="350">
        <v>2373</v>
      </c>
      <c r="T59" s="351">
        <v>46675</v>
      </c>
    </row>
    <row r="60" spans="2:20" ht="12.95" customHeight="1" x14ac:dyDescent="0.2">
      <c r="B60" s="597"/>
      <c r="C60" s="328" t="s">
        <v>645</v>
      </c>
      <c r="D60" s="338" t="s">
        <v>268</v>
      </c>
      <c r="E60" s="350">
        <v>1796</v>
      </c>
      <c r="F60" s="350">
        <v>1546</v>
      </c>
      <c r="G60" s="350">
        <v>2347</v>
      </c>
      <c r="H60" s="350">
        <v>4845</v>
      </c>
      <c r="I60" s="350">
        <v>3708</v>
      </c>
      <c r="J60" s="350">
        <v>6675</v>
      </c>
      <c r="K60" s="597"/>
      <c r="L60" s="328" t="s">
        <v>645</v>
      </c>
      <c r="M60" s="338" t="s">
        <v>268</v>
      </c>
      <c r="N60" s="350">
        <v>10718</v>
      </c>
      <c r="O60" s="350">
        <v>13965</v>
      </c>
      <c r="P60" s="350">
        <v>6684</v>
      </c>
      <c r="Q60" s="350">
        <v>6381</v>
      </c>
      <c r="R60" s="350">
        <v>3129</v>
      </c>
      <c r="S60" s="350">
        <v>3460</v>
      </c>
      <c r="T60" s="351">
        <v>65254</v>
      </c>
    </row>
    <row r="61" spans="2:20" ht="12.95" customHeight="1" thickBot="1" x14ac:dyDescent="0.25">
      <c r="B61" s="597"/>
      <c r="C61" s="257" t="s">
        <v>17</v>
      </c>
      <c r="D61" s="333" t="s">
        <v>262</v>
      </c>
      <c r="E61" s="352">
        <v>1801</v>
      </c>
      <c r="F61" s="352">
        <v>1551</v>
      </c>
      <c r="G61" s="352">
        <v>2347</v>
      </c>
      <c r="H61" s="352">
        <v>4849</v>
      </c>
      <c r="I61" s="352">
        <v>3710</v>
      </c>
      <c r="J61" s="352">
        <v>16985</v>
      </c>
      <c r="K61" s="597"/>
      <c r="L61" s="257" t="s">
        <v>17</v>
      </c>
      <c r="M61" s="333" t="s">
        <v>262</v>
      </c>
      <c r="N61" s="352">
        <v>17532</v>
      </c>
      <c r="O61" s="352">
        <v>23032</v>
      </c>
      <c r="P61" s="352">
        <v>17905</v>
      </c>
      <c r="Q61" s="352">
        <v>12023</v>
      </c>
      <c r="R61" s="352">
        <v>4361</v>
      </c>
      <c r="S61" s="352">
        <v>5833</v>
      </c>
      <c r="T61" s="353">
        <v>111929</v>
      </c>
    </row>
    <row r="62" spans="2:20" ht="12.95" customHeight="1" thickBot="1" x14ac:dyDescent="0.25">
      <c r="B62" s="268" t="s">
        <v>497</v>
      </c>
      <c r="C62" s="256" t="s">
        <v>646</v>
      </c>
      <c r="D62" s="334" t="s">
        <v>267</v>
      </c>
      <c r="E62" s="343">
        <v>269</v>
      </c>
      <c r="F62" s="343">
        <v>658</v>
      </c>
      <c r="G62" s="343">
        <v>823</v>
      </c>
      <c r="H62" s="343">
        <v>330</v>
      </c>
      <c r="I62" s="343">
        <v>2037</v>
      </c>
      <c r="J62" s="343">
        <v>510</v>
      </c>
      <c r="K62" s="268" t="s">
        <v>497</v>
      </c>
      <c r="L62" s="256" t="s">
        <v>646</v>
      </c>
      <c r="M62" s="334" t="s">
        <v>267</v>
      </c>
      <c r="N62" s="343">
        <v>546</v>
      </c>
      <c r="O62" s="343">
        <v>354</v>
      </c>
      <c r="P62" s="343">
        <v>182</v>
      </c>
      <c r="Q62" s="343">
        <v>297</v>
      </c>
      <c r="R62" s="343">
        <v>136</v>
      </c>
      <c r="S62" s="343">
        <v>606</v>
      </c>
      <c r="T62" s="354">
        <v>6748</v>
      </c>
    </row>
    <row r="63" spans="2:20" ht="12.95" customHeight="1" x14ac:dyDescent="0.2">
      <c r="B63" s="597" t="s">
        <v>498</v>
      </c>
      <c r="C63" s="328" t="s">
        <v>390</v>
      </c>
      <c r="D63" s="601" t="s">
        <v>269</v>
      </c>
      <c r="E63" s="350">
        <v>2399</v>
      </c>
      <c r="F63" s="350">
        <v>3483</v>
      </c>
      <c r="G63" s="350">
        <v>10789</v>
      </c>
      <c r="H63" s="350">
        <v>4198</v>
      </c>
      <c r="I63" s="350">
        <v>4982</v>
      </c>
      <c r="J63" s="350">
        <v>6710</v>
      </c>
      <c r="K63" s="597" t="s">
        <v>498</v>
      </c>
      <c r="L63" s="328" t="s">
        <v>390</v>
      </c>
      <c r="M63" s="601" t="s">
        <v>269</v>
      </c>
      <c r="N63" s="350">
        <v>9318</v>
      </c>
      <c r="O63" s="350">
        <v>14142</v>
      </c>
      <c r="P63" s="350">
        <v>13705</v>
      </c>
      <c r="Q63" s="350">
        <v>7960</v>
      </c>
      <c r="R63" s="350">
        <v>5847</v>
      </c>
      <c r="S63" s="350">
        <v>4416</v>
      </c>
      <c r="T63" s="351">
        <v>87949</v>
      </c>
    </row>
    <row r="64" spans="2:20" ht="12.95" customHeight="1" x14ac:dyDescent="0.2">
      <c r="B64" s="597"/>
      <c r="C64" s="328" t="s">
        <v>391</v>
      </c>
      <c r="D64" s="601"/>
      <c r="E64" s="350">
        <v>576</v>
      </c>
      <c r="F64" s="350">
        <v>868</v>
      </c>
      <c r="G64" s="350">
        <v>1533</v>
      </c>
      <c r="H64" s="350">
        <v>1464</v>
      </c>
      <c r="I64" s="350">
        <v>1046</v>
      </c>
      <c r="J64" s="350">
        <v>3082</v>
      </c>
      <c r="K64" s="597"/>
      <c r="L64" s="328" t="s">
        <v>391</v>
      </c>
      <c r="M64" s="601"/>
      <c r="N64" s="350">
        <v>3650</v>
      </c>
      <c r="O64" s="350">
        <v>4512</v>
      </c>
      <c r="P64" s="350">
        <v>4653</v>
      </c>
      <c r="Q64" s="350">
        <v>2871</v>
      </c>
      <c r="R64" s="350">
        <v>1975</v>
      </c>
      <c r="S64" s="350">
        <v>1845</v>
      </c>
      <c r="T64" s="351">
        <v>28075</v>
      </c>
    </row>
    <row r="65" spans="2:20" ht="12.95" customHeight="1" thickBot="1" x14ac:dyDescent="0.25">
      <c r="B65" s="597"/>
      <c r="C65" s="257" t="s">
        <v>17</v>
      </c>
      <c r="D65" s="333" t="s">
        <v>262</v>
      </c>
      <c r="E65" s="352">
        <v>2975</v>
      </c>
      <c r="F65" s="352">
        <v>4351</v>
      </c>
      <c r="G65" s="352">
        <v>12322</v>
      </c>
      <c r="H65" s="352">
        <v>5662</v>
      </c>
      <c r="I65" s="352">
        <v>6028</v>
      </c>
      <c r="J65" s="352">
        <v>9792</v>
      </c>
      <c r="K65" s="597"/>
      <c r="L65" s="257" t="s">
        <v>17</v>
      </c>
      <c r="M65" s="333" t="s">
        <v>262</v>
      </c>
      <c r="N65" s="352">
        <v>12968</v>
      </c>
      <c r="O65" s="352">
        <v>18654</v>
      </c>
      <c r="P65" s="352">
        <v>18358</v>
      </c>
      <c r="Q65" s="352">
        <v>10831</v>
      </c>
      <c r="R65" s="352">
        <v>7822</v>
      </c>
      <c r="S65" s="352">
        <v>6261</v>
      </c>
      <c r="T65" s="353">
        <v>116024</v>
      </c>
    </row>
    <row r="66" spans="2:20" ht="12.95" customHeight="1" x14ac:dyDescent="0.2">
      <c r="B66" s="598" t="s">
        <v>499</v>
      </c>
      <c r="C66" s="327" t="s">
        <v>599</v>
      </c>
      <c r="D66" s="603" t="s">
        <v>267</v>
      </c>
      <c r="E66" s="344">
        <v>104</v>
      </c>
      <c r="F66" s="344">
        <v>74</v>
      </c>
      <c r="G66" s="344">
        <v>100</v>
      </c>
      <c r="H66" s="344">
        <v>109</v>
      </c>
      <c r="I66" s="344">
        <v>24</v>
      </c>
      <c r="J66" s="344">
        <v>35</v>
      </c>
      <c r="K66" s="598" t="s">
        <v>499</v>
      </c>
      <c r="L66" s="327" t="s">
        <v>599</v>
      </c>
      <c r="M66" s="603" t="s">
        <v>267</v>
      </c>
      <c r="N66" s="344">
        <v>17</v>
      </c>
      <c r="O66" s="344">
        <v>31</v>
      </c>
      <c r="P66" s="344">
        <v>50</v>
      </c>
      <c r="Q66" s="344">
        <v>48</v>
      </c>
      <c r="R66" s="344">
        <v>21</v>
      </c>
      <c r="S66" s="344">
        <v>17</v>
      </c>
      <c r="T66" s="345">
        <v>630</v>
      </c>
    </row>
    <row r="67" spans="2:20" ht="12.95" customHeight="1" x14ac:dyDescent="0.2">
      <c r="B67" s="599"/>
      <c r="C67" s="250" t="s">
        <v>600</v>
      </c>
      <c r="D67" s="602"/>
      <c r="E67" s="346">
        <v>79</v>
      </c>
      <c r="F67" s="346">
        <v>23</v>
      </c>
      <c r="G67" s="346">
        <v>29</v>
      </c>
      <c r="H67" s="346">
        <v>47</v>
      </c>
      <c r="I67" s="346">
        <v>40</v>
      </c>
      <c r="J67" s="346">
        <v>30</v>
      </c>
      <c r="K67" s="599"/>
      <c r="L67" s="250" t="s">
        <v>600</v>
      </c>
      <c r="M67" s="602"/>
      <c r="N67" s="346">
        <v>62</v>
      </c>
      <c r="O67" s="346">
        <v>15</v>
      </c>
      <c r="P67" s="346">
        <v>44</v>
      </c>
      <c r="Q67" s="346">
        <v>35</v>
      </c>
      <c r="R67" s="346">
        <v>26</v>
      </c>
      <c r="S67" s="346">
        <v>19</v>
      </c>
      <c r="T67" s="347">
        <v>449</v>
      </c>
    </row>
    <row r="68" spans="2:20" ht="12.95" customHeight="1" x14ac:dyDescent="0.2">
      <c r="B68" s="599"/>
      <c r="C68" s="250" t="s">
        <v>606</v>
      </c>
      <c r="D68" s="602"/>
      <c r="E68" s="346">
        <v>2</v>
      </c>
      <c r="F68" s="346">
        <v>24</v>
      </c>
      <c r="G68" s="346">
        <v>3</v>
      </c>
      <c r="H68" s="341" t="s">
        <v>585</v>
      </c>
      <c r="I68" s="346">
        <v>2</v>
      </c>
      <c r="J68" s="346">
        <v>28</v>
      </c>
      <c r="K68" s="599"/>
      <c r="L68" s="250" t="s">
        <v>606</v>
      </c>
      <c r="M68" s="602"/>
      <c r="N68" s="346">
        <v>2</v>
      </c>
      <c r="O68" s="346">
        <v>24</v>
      </c>
      <c r="P68" s="346">
        <v>15</v>
      </c>
      <c r="Q68" s="346">
        <v>27</v>
      </c>
      <c r="R68" s="346">
        <v>27</v>
      </c>
      <c r="S68" s="346">
        <v>13</v>
      </c>
      <c r="T68" s="347">
        <v>167</v>
      </c>
    </row>
    <row r="69" spans="2:20" ht="12.95" customHeight="1" x14ac:dyDescent="0.2">
      <c r="B69" s="599"/>
      <c r="C69" s="250" t="s">
        <v>392</v>
      </c>
      <c r="D69" s="530" t="s">
        <v>269</v>
      </c>
      <c r="E69" s="346">
        <v>6334</v>
      </c>
      <c r="F69" s="346">
        <v>5877</v>
      </c>
      <c r="G69" s="346">
        <v>6594</v>
      </c>
      <c r="H69" s="346">
        <v>7269</v>
      </c>
      <c r="I69" s="346">
        <v>5650</v>
      </c>
      <c r="J69" s="346">
        <v>15057</v>
      </c>
      <c r="K69" s="599"/>
      <c r="L69" s="250" t="s">
        <v>392</v>
      </c>
      <c r="M69" s="530" t="s">
        <v>269</v>
      </c>
      <c r="N69" s="346">
        <v>20091</v>
      </c>
      <c r="O69" s="346">
        <v>14008</v>
      </c>
      <c r="P69" s="346">
        <v>27842</v>
      </c>
      <c r="Q69" s="346">
        <v>18152</v>
      </c>
      <c r="R69" s="346">
        <v>8024</v>
      </c>
      <c r="S69" s="346">
        <v>11348</v>
      </c>
      <c r="T69" s="347">
        <v>146246</v>
      </c>
    </row>
    <row r="70" spans="2:20" ht="12.95" customHeight="1" x14ac:dyDescent="0.2">
      <c r="B70" s="599"/>
      <c r="C70" s="250" t="s">
        <v>601</v>
      </c>
      <c r="D70" s="602" t="s">
        <v>267</v>
      </c>
      <c r="E70" s="346">
        <v>106</v>
      </c>
      <c r="F70" s="346">
        <v>75</v>
      </c>
      <c r="G70" s="346">
        <v>124</v>
      </c>
      <c r="H70" s="346">
        <v>193</v>
      </c>
      <c r="I70" s="346">
        <v>144</v>
      </c>
      <c r="J70" s="346">
        <v>170</v>
      </c>
      <c r="K70" s="599"/>
      <c r="L70" s="250" t="s">
        <v>601</v>
      </c>
      <c r="M70" s="602" t="s">
        <v>267</v>
      </c>
      <c r="N70" s="346">
        <v>152</v>
      </c>
      <c r="O70" s="346">
        <v>150</v>
      </c>
      <c r="P70" s="346">
        <v>105</v>
      </c>
      <c r="Q70" s="346">
        <v>93</v>
      </c>
      <c r="R70" s="346">
        <v>38</v>
      </c>
      <c r="S70" s="346">
        <v>97</v>
      </c>
      <c r="T70" s="347">
        <v>1447</v>
      </c>
    </row>
    <row r="71" spans="2:20" ht="12.95" customHeight="1" x14ac:dyDescent="0.2">
      <c r="B71" s="599"/>
      <c r="C71" s="250" t="s">
        <v>602</v>
      </c>
      <c r="D71" s="602"/>
      <c r="E71" s="346">
        <v>169</v>
      </c>
      <c r="F71" s="346">
        <v>175</v>
      </c>
      <c r="G71" s="346">
        <v>211</v>
      </c>
      <c r="H71" s="346">
        <v>206</v>
      </c>
      <c r="I71" s="346">
        <v>207</v>
      </c>
      <c r="J71" s="346">
        <v>189</v>
      </c>
      <c r="K71" s="599"/>
      <c r="L71" s="250" t="s">
        <v>602</v>
      </c>
      <c r="M71" s="602"/>
      <c r="N71" s="346">
        <v>217</v>
      </c>
      <c r="O71" s="346">
        <v>92</v>
      </c>
      <c r="P71" s="346">
        <v>112</v>
      </c>
      <c r="Q71" s="346">
        <v>163</v>
      </c>
      <c r="R71" s="346">
        <v>147</v>
      </c>
      <c r="S71" s="346">
        <v>140</v>
      </c>
      <c r="T71" s="347">
        <v>2028</v>
      </c>
    </row>
    <row r="72" spans="2:20" ht="12.95" customHeight="1" x14ac:dyDescent="0.2">
      <c r="B72" s="599"/>
      <c r="C72" s="250" t="s">
        <v>393</v>
      </c>
      <c r="D72" s="530" t="s">
        <v>269</v>
      </c>
      <c r="E72" s="346">
        <v>16</v>
      </c>
      <c r="F72" s="346">
        <v>19</v>
      </c>
      <c r="G72" s="346">
        <v>21</v>
      </c>
      <c r="H72" s="346">
        <v>26</v>
      </c>
      <c r="I72" s="346">
        <v>11</v>
      </c>
      <c r="J72" s="346">
        <v>47</v>
      </c>
      <c r="K72" s="599"/>
      <c r="L72" s="250" t="s">
        <v>393</v>
      </c>
      <c r="M72" s="530" t="s">
        <v>269</v>
      </c>
      <c r="N72" s="346">
        <v>64</v>
      </c>
      <c r="O72" s="346">
        <v>52</v>
      </c>
      <c r="P72" s="346">
        <v>38</v>
      </c>
      <c r="Q72" s="346">
        <v>14</v>
      </c>
      <c r="R72" s="346">
        <v>25</v>
      </c>
      <c r="S72" s="346">
        <v>16</v>
      </c>
      <c r="T72" s="347">
        <v>349</v>
      </c>
    </row>
    <row r="73" spans="2:20" ht="12.95" customHeight="1" x14ac:dyDescent="0.2">
      <c r="B73" s="599"/>
      <c r="C73" s="250" t="s">
        <v>607</v>
      </c>
      <c r="D73" s="530" t="s">
        <v>267</v>
      </c>
      <c r="E73" s="346">
        <v>132</v>
      </c>
      <c r="F73" s="346">
        <v>128</v>
      </c>
      <c r="G73" s="346">
        <v>314</v>
      </c>
      <c r="H73" s="346">
        <v>434</v>
      </c>
      <c r="I73" s="346">
        <v>463</v>
      </c>
      <c r="J73" s="346">
        <v>306</v>
      </c>
      <c r="K73" s="599"/>
      <c r="L73" s="250" t="s">
        <v>607</v>
      </c>
      <c r="M73" s="530" t="s">
        <v>267</v>
      </c>
      <c r="N73" s="346">
        <v>324</v>
      </c>
      <c r="O73" s="346">
        <v>246</v>
      </c>
      <c r="P73" s="346">
        <v>234</v>
      </c>
      <c r="Q73" s="346">
        <v>232</v>
      </c>
      <c r="R73" s="346">
        <v>379</v>
      </c>
      <c r="S73" s="346">
        <v>392</v>
      </c>
      <c r="T73" s="347">
        <v>3584</v>
      </c>
    </row>
    <row r="74" spans="2:20" ht="12.95" customHeight="1" x14ac:dyDescent="0.2">
      <c r="B74" s="599"/>
      <c r="C74" s="250" t="s">
        <v>647</v>
      </c>
      <c r="D74" s="530" t="s">
        <v>268</v>
      </c>
      <c r="E74" s="346">
        <v>1260</v>
      </c>
      <c r="F74" s="346">
        <v>1488</v>
      </c>
      <c r="G74" s="346">
        <v>1366</v>
      </c>
      <c r="H74" s="346">
        <v>1720</v>
      </c>
      <c r="I74" s="346">
        <v>1549</v>
      </c>
      <c r="J74" s="346">
        <v>2368</v>
      </c>
      <c r="K74" s="599"/>
      <c r="L74" s="250" t="s">
        <v>647</v>
      </c>
      <c r="M74" s="530" t="s">
        <v>268</v>
      </c>
      <c r="N74" s="346">
        <v>2790</v>
      </c>
      <c r="O74" s="346">
        <v>8613</v>
      </c>
      <c r="P74" s="346">
        <v>1710</v>
      </c>
      <c r="Q74" s="346">
        <v>1468</v>
      </c>
      <c r="R74" s="346">
        <v>1375</v>
      </c>
      <c r="S74" s="346">
        <v>1052</v>
      </c>
      <c r="T74" s="347">
        <v>26759</v>
      </c>
    </row>
    <row r="75" spans="2:20" ht="12.95" customHeight="1" x14ac:dyDescent="0.2">
      <c r="B75" s="599"/>
      <c r="C75" s="250" t="s">
        <v>603</v>
      </c>
      <c r="D75" s="602" t="s">
        <v>267</v>
      </c>
      <c r="E75" s="346">
        <v>294</v>
      </c>
      <c r="F75" s="346">
        <v>227</v>
      </c>
      <c r="G75" s="346">
        <v>359</v>
      </c>
      <c r="H75" s="346">
        <v>356</v>
      </c>
      <c r="I75" s="346">
        <v>359</v>
      </c>
      <c r="J75" s="346">
        <v>254</v>
      </c>
      <c r="K75" s="599"/>
      <c r="L75" s="250" t="s">
        <v>603</v>
      </c>
      <c r="M75" s="602" t="s">
        <v>267</v>
      </c>
      <c r="N75" s="346">
        <v>428</v>
      </c>
      <c r="O75" s="346">
        <v>243</v>
      </c>
      <c r="P75" s="346">
        <v>290</v>
      </c>
      <c r="Q75" s="346">
        <v>369</v>
      </c>
      <c r="R75" s="346">
        <v>367</v>
      </c>
      <c r="S75" s="346">
        <v>378</v>
      </c>
      <c r="T75" s="347">
        <v>3924</v>
      </c>
    </row>
    <row r="76" spans="2:20" ht="12.95" customHeight="1" x14ac:dyDescent="0.2">
      <c r="B76" s="599"/>
      <c r="C76" s="250" t="s">
        <v>604</v>
      </c>
      <c r="D76" s="602"/>
      <c r="E76" s="346">
        <v>208</v>
      </c>
      <c r="F76" s="346">
        <v>114</v>
      </c>
      <c r="G76" s="346">
        <v>263</v>
      </c>
      <c r="H76" s="346">
        <v>192</v>
      </c>
      <c r="I76" s="346">
        <v>320</v>
      </c>
      <c r="J76" s="346">
        <v>150</v>
      </c>
      <c r="K76" s="599"/>
      <c r="L76" s="250" t="s">
        <v>604</v>
      </c>
      <c r="M76" s="602"/>
      <c r="N76" s="346">
        <v>415</v>
      </c>
      <c r="O76" s="346">
        <v>318</v>
      </c>
      <c r="P76" s="346">
        <v>318</v>
      </c>
      <c r="Q76" s="346">
        <v>479</v>
      </c>
      <c r="R76" s="346">
        <v>559</v>
      </c>
      <c r="S76" s="346">
        <v>366</v>
      </c>
      <c r="T76" s="347">
        <v>3702</v>
      </c>
    </row>
    <row r="77" spans="2:20" ht="12.95" customHeight="1" x14ac:dyDescent="0.2">
      <c r="B77" s="599"/>
      <c r="C77" s="250" t="s">
        <v>394</v>
      </c>
      <c r="D77" s="602"/>
      <c r="E77" s="346">
        <v>1138</v>
      </c>
      <c r="F77" s="346">
        <v>962</v>
      </c>
      <c r="G77" s="346">
        <v>1635</v>
      </c>
      <c r="H77" s="346">
        <v>1737</v>
      </c>
      <c r="I77" s="346">
        <v>1509</v>
      </c>
      <c r="J77" s="346">
        <v>1214</v>
      </c>
      <c r="K77" s="599"/>
      <c r="L77" s="250" t="s">
        <v>394</v>
      </c>
      <c r="M77" s="602"/>
      <c r="N77" s="346">
        <v>1376</v>
      </c>
      <c r="O77" s="346">
        <v>1276</v>
      </c>
      <c r="P77" s="346">
        <v>1484</v>
      </c>
      <c r="Q77" s="346">
        <v>1434</v>
      </c>
      <c r="R77" s="346">
        <v>1923</v>
      </c>
      <c r="S77" s="346">
        <v>1341</v>
      </c>
      <c r="T77" s="347">
        <v>17029</v>
      </c>
    </row>
    <row r="78" spans="2:20" ht="12.95" customHeight="1" x14ac:dyDescent="0.2">
      <c r="B78" s="599"/>
      <c r="C78" s="250" t="s">
        <v>648</v>
      </c>
      <c r="D78" s="530" t="s">
        <v>269</v>
      </c>
      <c r="E78" s="341" t="s">
        <v>585</v>
      </c>
      <c r="F78" s="341" t="s">
        <v>585</v>
      </c>
      <c r="G78" s="341" t="s">
        <v>585</v>
      </c>
      <c r="H78" s="346">
        <v>485</v>
      </c>
      <c r="I78" s="346">
        <v>778</v>
      </c>
      <c r="J78" s="346">
        <v>623</v>
      </c>
      <c r="K78" s="599"/>
      <c r="L78" s="250" t="s">
        <v>648</v>
      </c>
      <c r="M78" s="530" t="s">
        <v>269</v>
      </c>
      <c r="N78" s="346">
        <v>812</v>
      </c>
      <c r="O78" s="346">
        <v>678</v>
      </c>
      <c r="P78" s="346">
        <v>726</v>
      </c>
      <c r="Q78" s="346">
        <v>899</v>
      </c>
      <c r="R78" s="346">
        <v>798</v>
      </c>
      <c r="S78" s="346">
        <v>1317</v>
      </c>
      <c r="T78" s="347">
        <v>7116</v>
      </c>
    </row>
    <row r="79" spans="2:20" ht="12.95" customHeight="1" x14ac:dyDescent="0.2">
      <c r="B79" s="599"/>
      <c r="C79" s="250" t="s">
        <v>605</v>
      </c>
      <c r="D79" s="530" t="s">
        <v>267</v>
      </c>
      <c r="E79" s="341" t="s">
        <v>585</v>
      </c>
      <c r="F79" s="341" t="s">
        <v>585</v>
      </c>
      <c r="G79" s="341" t="s">
        <v>585</v>
      </c>
      <c r="H79" s="341" t="s">
        <v>585</v>
      </c>
      <c r="I79" s="341" t="s">
        <v>585</v>
      </c>
      <c r="J79" s="341" t="s">
        <v>585</v>
      </c>
      <c r="K79" s="599"/>
      <c r="L79" s="250" t="s">
        <v>605</v>
      </c>
      <c r="M79" s="530" t="s">
        <v>267</v>
      </c>
      <c r="N79" s="341" t="s">
        <v>585</v>
      </c>
      <c r="O79" s="341" t="s">
        <v>585</v>
      </c>
      <c r="P79" s="346">
        <v>27</v>
      </c>
      <c r="Q79" s="341" t="s">
        <v>585</v>
      </c>
      <c r="R79" s="341" t="s">
        <v>585</v>
      </c>
      <c r="S79" s="346">
        <v>77</v>
      </c>
      <c r="T79" s="347">
        <v>104</v>
      </c>
    </row>
    <row r="80" spans="2:20" ht="12.95" customHeight="1" thickBot="1" x14ac:dyDescent="0.25">
      <c r="B80" s="600"/>
      <c r="C80" s="331" t="s">
        <v>17</v>
      </c>
      <c r="D80" s="332" t="s">
        <v>262</v>
      </c>
      <c r="E80" s="348">
        <v>9842</v>
      </c>
      <c r="F80" s="348">
        <v>9186</v>
      </c>
      <c r="G80" s="348">
        <v>11019</v>
      </c>
      <c r="H80" s="348">
        <v>12774</v>
      </c>
      <c r="I80" s="348">
        <v>11056</v>
      </c>
      <c r="J80" s="348">
        <v>20471</v>
      </c>
      <c r="K80" s="600"/>
      <c r="L80" s="331" t="s">
        <v>17</v>
      </c>
      <c r="M80" s="332" t="s">
        <v>262</v>
      </c>
      <c r="N80" s="348">
        <v>26750</v>
      </c>
      <c r="O80" s="348">
        <v>25746</v>
      </c>
      <c r="P80" s="348">
        <v>32995</v>
      </c>
      <c r="Q80" s="348">
        <v>23413</v>
      </c>
      <c r="R80" s="348">
        <v>13709</v>
      </c>
      <c r="S80" s="348">
        <v>16573</v>
      </c>
      <c r="T80" s="349">
        <v>213534</v>
      </c>
    </row>
    <row r="81" spans="2:20" ht="12.95" customHeight="1" thickBot="1" x14ac:dyDescent="0.25">
      <c r="B81" s="339" t="s">
        <v>501</v>
      </c>
      <c r="C81" s="257" t="s">
        <v>395</v>
      </c>
      <c r="D81" s="333" t="s">
        <v>268</v>
      </c>
      <c r="E81" s="352">
        <v>1826</v>
      </c>
      <c r="F81" s="352">
        <v>1757</v>
      </c>
      <c r="G81" s="352">
        <v>10193</v>
      </c>
      <c r="H81" s="352">
        <v>3584</v>
      </c>
      <c r="I81" s="352">
        <v>2527</v>
      </c>
      <c r="J81" s="352">
        <v>3371</v>
      </c>
      <c r="K81" s="339" t="s">
        <v>501</v>
      </c>
      <c r="L81" s="257" t="s">
        <v>395</v>
      </c>
      <c r="M81" s="333" t="s">
        <v>268</v>
      </c>
      <c r="N81" s="352">
        <v>2801</v>
      </c>
      <c r="O81" s="352">
        <v>3508</v>
      </c>
      <c r="P81" s="352">
        <v>3108</v>
      </c>
      <c r="Q81" s="352">
        <v>1948</v>
      </c>
      <c r="R81" s="352">
        <v>738</v>
      </c>
      <c r="S81" s="352">
        <v>2</v>
      </c>
      <c r="T81" s="353">
        <v>35363</v>
      </c>
    </row>
    <row r="82" spans="2:20" ht="12.95" customHeight="1" x14ac:dyDescent="0.2">
      <c r="B82" s="598" t="s">
        <v>515</v>
      </c>
      <c r="C82" s="327" t="s">
        <v>396</v>
      </c>
      <c r="D82" s="603" t="s">
        <v>267</v>
      </c>
      <c r="E82" s="344">
        <v>201</v>
      </c>
      <c r="F82" s="344">
        <v>133</v>
      </c>
      <c r="G82" s="344">
        <v>131</v>
      </c>
      <c r="H82" s="344">
        <v>165</v>
      </c>
      <c r="I82" s="344">
        <v>287</v>
      </c>
      <c r="J82" s="344">
        <v>1054</v>
      </c>
      <c r="K82" s="598" t="s">
        <v>515</v>
      </c>
      <c r="L82" s="327" t="s">
        <v>396</v>
      </c>
      <c r="M82" s="603" t="s">
        <v>267</v>
      </c>
      <c r="N82" s="344">
        <v>1230</v>
      </c>
      <c r="O82" s="344">
        <v>2301</v>
      </c>
      <c r="P82" s="344">
        <v>473</v>
      </c>
      <c r="Q82" s="344">
        <v>185</v>
      </c>
      <c r="R82" s="344">
        <v>170</v>
      </c>
      <c r="S82" s="355" t="s">
        <v>585</v>
      </c>
      <c r="T82" s="345">
        <v>6330</v>
      </c>
    </row>
    <row r="83" spans="2:20" ht="12.95" customHeight="1" x14ac:dyDescent="0.2">
      <c r="B83" s="599"/>
      <c r="C83" s="250" t="s">
        <v>397</v>
      </c>
      <c r="D83" s="602"/>
      <c r="E83" s="346">
        <v>801</v>
      </c>
      <c r="F83" s="346">
        <v>932</v>
      </c>
      <c r="G83" s="346">
        <v>920</v>
      </c>
      <c r="H83" s="346">
        <v>936</v>
      </c>
      <c r="I83" s="346">
        <v>925</v>
      </c>
      <c r="J83" s="346">
        <v>1643</v>
      </c>
      <c r="K83" s="599"/>
      <c r="L83" s="250" t="s">
        <v>397</v>
      </c>
      <c r="M83" s="602"/>
      <c r="N83" s="346">
        <v>2518</v>
      </c>
      <c r="O83" s="346">
        <v>2468</v>
      </c>
      <c r="P83" s="346">
        <v>1437</v>
      </c>
      <c r="Q83" s="346">
        <v>1093</v>
      </c>
      <c r="R83" s="346">
        <v>914</v>
      </c>
      <c r="S83" s="346">
        <v>758</v>
      </c>
      <c r="T83" s="347">
        <v>15345</v>
      </c>
    </row>
    <row r="84" spans="2:20" ht="12.95" customHeight="1" x14ac:dyDescent="0.2">
      <c r="B84" s="599"/>
      <c r="C84" s="250" t="s">
        <v>649</v>
      </c>
      <c r="D84" s="602"/>
      <c r="E84" s="346">
        <v>4135</v>
      </c>
      <c r="F84" s="346">
        <v>3677</v>
      </c>
      <c r="G84" s="346">
        <v>4607</v>
      </c>
      <c r="H84" s="346">
        <v>5231</v>
      </c>
      <c r="I84" s="346">
        <v>4915</v>
      </c>
      <c r="J84" s="346">
        <v>4746</v>
      </c>
      <c r="K84" s="599"/>
      <c r="L84" s="250" t="s">
        <v>649</v>
      </c>
      <c r="M84" s="602"/>
      <c r="N84" s="346">
        <v>5024</v>
      </c>
      <c r="O84" s="346">
        <v>4828</v>
      </c>
      <c r="P84" s="346">
        <v>5189</v>
      </c>
      <c r="Q84" s="346">
        <v>5859</v>
      </c>
      <c r="R84" s="346">
        <v>5559</v>
      </c>
      <c r="S84" s="346">
        <v>5763</v>
      </c>
      <c r="T84" s="347">
        <v>59533</v>
      </c>
    </row>
    <row r="85" spans="2:20" ht="12.95" customHeight="1" x14ac:dyDescent="0.2">
      <c r="B85" s="599"/>
      <c r="C85" s="250" t="s">
        <v>398</v>
      </c>
      <c r="D85" s="602"/>
      <c r="E85" s="346">
        <v>222</v>
      </c>
      <c r="F85" s="346">
        <v>294</v>
      </c>
      <c r="G85" s="346">
        <v>552</v>
      </c>
      <c r="H85" s="346">
        <v>825</v>
      </c>
      <c r="I85" s="346">
        <v>502</v>
      </c>
      <c r="J85" s="346">
        <v>549</v>
      </c>
      <c r="K85" s="599"/>
      <c r="L85" s="250" t="s">
        <v>398</v>
      </c>
      <c r="M85" s="602"/>
      <c r="N85" s="346">
        <v>446</v>
      </c>
      <c r="O85" s="346">
        <v>469</v>
      </c>
      <c r="P85" s="346">
        <v>384</v>
      </c>
      <c r="Q85" s="346">
        <v>504</v>
      </c>
      <c r="R85" s="346">
        <v>526</v>
      </c>
      <c r="S85" s="346">
        <v>286</v>
      </c>
      <c r="T85" s="347">
        <v>5559</v>
      </c>
    </row>
    <row r="86" spans="2:20" ht="12.95" customHeight="1" x14ac:dyDescent="0.2">
      <c r="B86" s="599"/>
      <c r="C86" s="250" t="s">
        <v>650</v>
      </c>
      <c r="D86" s="602"/>
      <c r="E86" s="341" t="s">
        <v>585</v>
      </c>
      <c r="F86" s="346">
        <v>18</v>
      </c>
      <c r="G86" s="341" t="s">
        <v>585</v>
      </c>
      <c r="H86" s="341" t="s">
        <v>585</v>
      </c>
      <c r="I86" s="346">
        <v>6</v>
      </c>
      <c r="J86" s="346">
        <v>37</v>
      </c>
      <c r="K86" s="599"/>
      <c r="L86" s="250" t="s">
        <v>650</v>
      </c>
      <c r="M86" s="602"/>
      <c r="N86" s="341" t="s">
        <v>585</v>
      </c>
      <c r="O86" s="341" t="s">
        <v>585</v>
      </c>
      <c r="P86" s="346">
        <v>21</v>
      </c>
      <c r="Q86" s="346">
        <v>9</v>
      </c>
      <c r="R86" s="346">
        <v>5</v>
      </c>
      <c r="S86" s="341" t="s">
        <v>585</v>
      </c>
      <c r="T86" s="347">
        <v>96</v>
      </c>
    </row>
    <row r="87" spans="2:20" ht="12.95" customHeight="1" x14ac:dyDescent="0.2">
      <c r="B87" s="599"/>
      <c r="C87" s="250" t="s">
        <v>608</v>
      </c>
      <c r="D87" s="602"/>
      <c r="E87" s="341" t="s">
        <v>585</v>
      </c>
      <c r="F87" s="341" t="s">
        <v>585</v>
      </c>
      <c r="G87" s="341" t="s">
        <v>585</v>
      </c>
      <c r="H87" s="341" t="s">
        <v>585</v>
      </c>
      <c r="I87" s="341" t="s">
        <v>585</v>
      </c>
      <c r="J87" s="341" t="s">
        <v>585</v>
      </c>
      <c r="K87" s="599"/>
      <c r="L87" s="250" t="s">
        <v>608</v>
      </c>
      <c r="M87" s="602"/>
      <c r="N87" s="346">
        <v>33</v>
      </c>
      <c r="O87" s="341" t="s">
        <v>585</v>
      </c>
      <c r="P87" s="341" t="s">
        <v>585</v>
      </c>
      <c r="Q87" s="341" t="s">
        <v>585</v>
      </c>
      <c r="R87" s="341" t="s">
        <v>585</v>
      </c>
      <c r="S87" s="341" t="s">
        <v>585</v>
      </c>
      <c r="T87" s="347">
        <v>33</v>
      </c>
    </row>
    <row r="88" spans="2:20" ht="12.95" customHeight="1" x14ac:dyDescent="0.2">
      <c r="B88" s="599"/>
      <c r="C88" s="250" t="s">
        <v>651</v>
      </c>
      <c r="D88" s="602"/>
      <c r="E88" s="341" t="s">
        <v>585</v>
      </c>
      <c r="F88" s="341" t="s">
        <v>585</v>
      </c>
      <c r="G88" s="341" t="s">
        <v>585</v>
      </c>
      <c r="H88" s="341" t="s">
        <v>585</v>
      </c>
      <c r="I88" s="341" t="s">
        <v>585</v>
      </c>
      <c r="J88" s="341" t="s">
        <v>585</v>
      </c>
      <c r="K88" s="599"/>
      <c r="L88" s="250" t="s">
        <v>651</v>
      </c>
      <c r="M88" s="602"/>
      <c r="N88" s="341" t="s">
        <v>585</v>
      </c>
      <c r="O88" s="341" t="s">
        <v>585</v>
      </c>
      <c r="P88" s="341" t="s">
        <v>585</v>
      </c>
      <c r="Q88" s="346">
        <v>13</v>
      </c>
      <c r="R88" s="346">
        <v>2</v>
      </c>
      <c r="S88" s="341" t="s">
        <v>585</v>
      </c>
      <c r="T88" s="347">
        <v>15</v>
      </c>
    </row>
    <row r="89" spans="2:20" ht="12.95" customHeight="1" thickBot="1" x14ac:dyDescent="0.25">
      <c r="B89" s="600"/>
      <c r="C89" s="331" t="s">
        <v>17</v>
      </c>
      <c r="D89" s="332" t="s">
        <v>262</v>
      </c>
      <c r="E89" s="348">
        <v>5359</v>
      </c>
      <c r="F89" s="348">
        <v>5054</v>
      </c>
      <c r="G89" s="348">
        <v>6210</v>
      </c>
      <c r="H89" s="348">
        <v>7157</v>
      </c>
      <c r="I89" s="348">
        <v>6635</v>
      </c>
      <c r="J89" s="348">
        <v>8029</v>
      </c>
      <c r="K89" s="600"/>
      <c r="L89" s="331" t="s">
        <v>17</v>
      </c>
      <c r="M89" s="332" t="s">
        <v>262</v>
      </c>
      <c r="N89" s="348">
        <v>9251</v>
      </c>
      <c r="O89" s="348">
        <v>10066</v>
      </c>
      <c r="P89" s="348">
        <v>7504</v>
      </c>
      <c r="Q89" s="348">
        <v>7663</v>
      </c>
      <c r="R89" s="348">
        <v>7176</v>
      </c>
      <c r="S89" s="348">
        <v>6807</v>
      </c>
      <c r="T89" s="349">
        <v>86911</v>
      </c>
    </row>
    <row r="90" spans="2:20" ht="12.95" customHeight="1" x14ac:dyDescent="0.2">
      <c r="B90" s="597" t="s">
        <v>502</v>
      </c>
      <c r="C90" s="328" t="s">
        <v>399</v>
      </c>
      <c r="D90" s="601" t="s">
        <v>267</v>
      </c>
      <c r="E90" s="350">
        <v>986</v>
      </c>
      <c r="F90" s="350">
        <v>947</v>
      </c>
      <c r="G90" s="350">
        <v>1054</v>
      </c>
      <c r="H90" s="350">
        <v>856</v>
      </c>
      <c r="I90" s="350">
        <v>777</v>
      </c>
      <c r="J90" s="350">
        <v>770</v>
      </c>
      <c r="K90" s="597" t="s">
        <v>502</v>
      </c>
      <c r="L90" s="328" t="s">
        <v>399</v>
      </c>
      <c r="M90" s="601" t="s">
        <v>267</v>
      </c>
      <c r="N90" s="350">
        <v>1032</v>
      </c>
      <c r="O90" s="350">
        <v>908</v>
      </c>
      <c r="P90" s="350">
        <v>904</v>
      </c>
      <c r="Q90" s="350">
        <v>891</v>
      </c>
      <c r="R90" s="350">
        <v>1024</v>
      </c>
      <c r="S90" s="350">
        <v>1057</v>
      </c>
      <c r="T90" s="351">
        <v>11206</v>
      </c>
    </row>
    <row r="91" spans="2:20" ht="12.95" customHeight="1" x14ac:dyDescent="0.2">
      <c r="B91" s="597"/>
      <c r="C91" s="328" t="s">
        <v>609</v>
      </c>
      <c r="D91" s="601"/>
      <c r="E91" s="350">
        <v>7</v>
      </c>
      <c r="F91" s="340" t="s">
        <v>585</v>
      </c>
      <c r="G91" s="350">
        <v>7</v>
      </c>
      <c r="H91" s="350">
        <v>41</v>
      </c>
      <c r="I91" s="350">
        <v>28</v>
      </c>
      <c r="J91" s="350">
        <v>18</v>
      </c>
      <c r="K91" s="597"/>
      <c r="L91" s="328" t="s">
        <v>609</v>
      </c>
      <c r="M91" s="601"/>
      <c r="N91" s="350">
        <v>19</v>
      </c>
      <c r="O91" s="350">
        <v>63</v>
      </c>
      <c r="P91" s="350">
        <v>99</v>
      </c>
      <c r="Q91" s="350">
        <v>31</v>
      </c>
      <c r="R91" s="350">
        <v>29</v>
      </c>
      <c r="S91" s="350">
        <v>10</v>
      </c>
      <c r="T91" s="351">
        <v>352</v>
      </c>
    </row>
    <row r="92" spans="2:20" ht="12.95" customHeight="1" x14ac:dyDescent="0.2">
      <c r="B92" s="597"/>
      <c r="C92" s="328" t="s">
        <v>400</v>
      </c>
      <c r="D92" s="338" t="s">
        <v>268</v>
      </c>
      <c r="E92" s="350">
        <v>703917</v>
      </c>
      <c r="F92" s="350">
        <v>745126</v>
      </c>
      <c r="G92" s="350">
        <v>888335</v>
      </c>
      <c r="H92" s="350">
        <v>164528</v>
      </c>
      <c r="I92" s="350">
        <v>1349</v>
      </c>
      <c r="J92" s="350">
        <v>1223</v>
      </c>
      <c r="K92" s="597"/>
      <c r="L92" s="328" t="s">
        <v>400</v>
      </c>
      <c r="M92" s="338" t="s">
        <v>268</v>
      </c>
      <c r="N92" s="350">
        <v>1489</v>
      </c>
      <c r="O92" s="350">
        <v>1543</v>
      </c>
      <c r="P92" s="350">
        <v>1591</v>
      </c>
      <c r="Q92" s="350">
        <v>1625</v>
      </c>
      <c r="R92" s="350">
        <v>1316</v>
      </c>
      <c r="S92" s="350">
        <v>1168</v>
      </c>
      <c r="T92" s="351">
        <v>2513210</v>
      </c>
    </row>
    <row r="93" spans="2:20" ht="12.95" customHeight="1" x14ac:dyDescent="0.2">
      <c r="B93" s="597"/>
      <c r="C93" s="328" t="s">
        <v>401</v>
      </c>
      <c r="D93" s="601" t="s">
        <v>267</v>
      </c>
      <c r="E93" s="350">
        <v>128</v>
      </c>
      <c r="F93" s="350">
        <v>185</v>
      </c>
      <c r="G93" s="350">
        <v>166</v>
      </c>
      <c r="H93" s="350">
        <v>80</v>
      </c>
      <c r="I93" s="350">
        <v>100</v>
      </c>
      <c r="J93" s="350">
        <v>146</v>
      </c>
      <c r="K93" s="597"/>
      <c r="L93" s="328" t="s">
        <v>401</v>
      </c>
      <c r="M93" s="601" t="s">
        <v>267</v>
      </c>
      <c r="N93" s="350">
        <v>96</v>
      </c>
      <c r="O93" s="350">
        <v>86</v>
      </c>
      <c r="P93" s="350">
        <v>106</v>
      </c>
      <c r="Q93" s="350">
        <v>59</v>
      </c>
      <c r="R93" s="350">
        <v>76</v>
      </c>
      <c r="S93" s="350">
        <v>52</v>
      </c>
      <c r="T93" s="351">
        <v>1280</v>
      </c>
    </row>
    <row r="94" spans="2:20" ht="12.95" customHeight="1" x14ac:dyDescent="0.2">
      <c r="B94" s="597"/>
      <c r="C94" s="328" t="s">
        <v>619</v>
      </c>
      <c r="D94" s="601"/>
      <c r="E94" s="350">
        <v>41</v>
      </c>
      <c r="F94" s="340" t="s">
        <v>585</v>
      </c>
      <c r="G94" s="340" t="s">
        <v>585</v>
      </c>
      <c r="H94" s="350">
        <v>139</v>
      </c>
      <c r="I94" s="350">
        <v>201</v>
      </c>
      <c r="J94" s="350">
        <v>737</v>
      </c>
      <c r="K94" s="597"/>
      <c r="L94" s="328" t="s">
        <v>619</v>
      </c>
      <c r="M94" s="601"/>
      <c r="N94" s="350">
        <v>483</v>
      </c>
      <c r="O94" s="350">
        <v>984</v>
      </c>
      <c r="P94" s="350">
        <v>1</v>
      </c>
      <c r="Q94" s="350">
        <v>3472</v>
      </c>
      <c r="R94" s="350">
        <v>3390</v>
      </c>
      <c r="S94" s="340" t="s">
        <v>585</v>
      </c>
      <c r="T94" s="351">
        <v>9448</v>
      </c>
    </row>
    <row r="95" spans="2:20" ht="12.95" customHeight="1" x14ac:dyDescent="0.2">
      <c r="B95" s="597"/>
      <c r="C95" s="328" t="s">
        <v>402</v>
      </c>
      <c r="D95" s="601" t="s">
        <v>268</v>
      </c>
      <c r="E95" s="350">
        <v>204411</v>
      </c>
      <c r="F95" s="350">
        <v>220458</v>
      </c>
      <c r="G95" s="350">
        <v>260690</v>
      </c>
      <c r="H95" s="350">
        <v>325254</v>
      </c>
      <c r="I95" s="350">
        <v>232990</v>
      </c>
      <c r="J95" s="350">
        <v>344427</v>
      </c>
      <c r="K95" s="597"/>
      <c r="L95" s="328" t="s">
        <v>402</v>
      </c>
      <c r="M95" s="601" t="s">
        <v>268</v>
      </c>
      <c r="N95" s="350">
        <v>448236</v>
      </c>
      <c r="O95" s="350">
        <v>397814</v>
      </c>
      <c r="P95" s="350">
        <v>330474</v>
      </c>
      <c r="Q95" s="350">
        <v>331026</v>
      </c>
      <c r="R95" s="350">
        <v>270663</v>
      </c>
      <c r="S95" s="350">
        <v>318090</v>
      </c>
      <c r="T95" s="351">
        <v>3684533</v>
      </c>
    </row>
    <row r="96" spans="2:20" ht="12.95" customHeight="1" x14ac:dyDescent="0.2">
      <c r="B96" s="597"/>
      <c r="C96" s="328" t="s">
        <v>652</v>
      </c>
      <c r="D96" s="601"/>
      <c r="E96" s="350">
        <v>7551</v>
      </c>
      <c r="F96" s="350">
        <v>16326</v>
      </c>
      <c r="G96" s="350">
        <v>13384</v>
      </c>
      <c r="H96" s="350">
        <v>836836</v>
      </c>
      <c r="I96" s="350">
        <v>779122</v>
      </c>
      <c r="J96" s="350">
        <v>1011936</v>
      </c>
      <c r="K96" s="597"/>
      <c r="L96" s="328" t="s">
        <v>652</v>
      </c>
      <c r="M96" s="601"/>
      <c r="N96" s="350">
        <v>1212893</v>
      </c>
      <c r="O96" s="350">
        <v>1136770</v>
      </c>
      <c r="P96" s="350">
        <v>1024105</v>
      </c>
      <c r="Q96" s="350">
        <v>1008259</v>
      </c>
      <c r="R96" s="350">
        <v>809521</v>
      </c>
      <c r="S96" s="350">
        <v>805680</v>
      </c>
      <c r="T96" s="351">
        <v>8662383</v>
      </c>
    </row>
    <row r="97" spans="2:20" ht="12.95" customHeight="1" x14ac:dyDescent="0.2">
      <c r="B97" s="597"/>
      <c r="C97" s="328" t="s">
        <v>403</v>
      </c>
      <c r="D97" s="601" t="s">
        <v>267</v>
      </c>
      <c r="E97" s="350">
        <v>524</v>
      </c>
      <c r="F97" s="350">
        <v>291</v>
      </c>
      <c r="G97" s="350">
        <v>321</v>
      </c>
      <c r="H97" s="350">
        <v>413</v>
      </c>
      <c r="I97" s="350">
        <v>627</v>
      </c>
      <c r="J97" s="350">
        <v>480</v>
      </c>
      <c r="K97" s="597"/>
      <c r="L97" s="328" t="s">
        <v>403</v>
      </c>
      <c r="M97" s="601" t="s">
        <v>267</v>
      </c>
      <c r="N97" s="350">
        <v>502</v>
      </c>
      <c r="O97" s="350">
        <v>443</v>
      </c>
      <c r="P97" s="350">
        <v>459</v>
      </c>
      <c r="Q97" s="350">
        <v>560</v>
      </c>
      <c r="R97" s="350">
        <v>490</v>
      </c>
      <c r="S97" s="350">
        <v>443</v>
      </c>
      <c r="T97" s="351">
        <v>5553</v>
      </c>
    </row>
    <row r="98" spans="2:20" ht="12.95" customHeight="1" x14ac:dyDescent="0.2">
      <c r="B98" s="597"/>
      <c r="C98" s="328" t="s">
        <v>535</v>
      </c>
      <c r="D98" s="601"/>
      <c r="E98" s="350">
        <v>1211</v>
      </c>
      <c r="F98" s="350">
        <v>1106</v>
      </c>
      <c r="G98" s="350">
        <v>1343</v>
      </c>
      <c r="H98" s="350">
        <v>1376</v>
      </c>
      <c r="I98" s="350">
        <v>1267</v>
      </c>
      <c r="J98" s="350">
        <v>1128</v>
      </c>
      <c r="K98" s="597"/>
      <c r="L98" s="328" t="s">
        <v>535</v>
      </c>
      <c r="M98" s="601"/>
      <c r="N98" s="350">
        <v>1404</v>
      </c>
      <c r="O98" s="350">
        <v>1409</v>
      </c>
      <c r="P98" s="350">
        <v>1324</v>
      </c>
      <c r="Q98" s="350">
        <v>1545</v>
      </c>
      <c r="R98" s="350">
        <v>1759</v>
      </c>
      <c r="S98" s="350">
        <v>1243</v>
      </c>
      <c r="T98" s="351">
        <v>16115</v>
      </c>
    </row>
    <row r="99" spans="2:20" ht="12.95" customHeight="1" x14ac:dyDescent="0.2">
      <c r="B99" s="597"/>
      <c r="C99" s="328" t="s">
        <v>405</v>
      </c>
      <c r="D99" s="601"/>
      <c r="E99" s="350">
        <v>173</v>
      </c>
      <c r="F99" s="350">
        <v>250</v>
      </c>
      <c r="G99" s="350">
        <v>291</v>
      </c>
      <c r="H99" s="350">
        <v>345</v>
      </c>
      <c r="I99" s="350">
        <v>348</v>
      </c>
      <c r="J99" s="350">
        <v>422</v>
      </c>
      <c r="K99" s="597"/>
      <c r="L99" s="328" t="s">
        <v>405</v>
      </c>
      <c r="M99" s="601"/>
      <c r="N99" s="350">
        <v>165</v>
      </c>
      <c r="O99" s="350">
        <v>97</v>
      </c>
      <c r="P99" s="350">
        <v>112</v>
      </c>
      <c r="Q99" s="350">
        <v>86</v>
      </c>
      <c r="R99" s="350">
        <v>104</v>
      </c>
      <c r="S99" s="350">
        <v>172</v>
      </c>
      <c r="T99" s="351">
        <v>2565</v>
      </c>
    </row>
    <row r="100" spans="2:20" ht="12.95" customHeight="1" x14ac:dyDescent="0.2">
      <c r="B100" s="597"/>
      <c r="C100" s="328" t="s">
        <v>404</v>
      </c>
      <c r="D100" s="601"/>
      <c r="E100" s="340" t="s">
        <v>585</v>
      </c>
      <c r="F100" s="340" t="s">
        <v>585</v>
      </c>
      <c r="G100" s="340" t="s">
        <v>585</v>
      </c>
      <c r="H100" s="340" t="s">
        <v>585</v>
      </c>
      <c r="I100" s="340" t="s">
        <v>585</v>
      </c>
      <c r="J100" s="350">
        <v>15</v>
      </c>
      <c r="K100" s="597"/>
      <c r="L100" s="328" t="s">
        <v>404</v>
      </c>
      <c r="M100" s="601"/>
      <c r="N100" s="340" t="s">
        <v>585</v>
      </c>
      <c r="O100" s="350">
        <v>3</v>
      </c>
      <c r="P100" s="340" t="s">
        <v>585</v>
      </c>
      <c r="Q100" s="340" t="s">
        <v>585</v>
      </c>
      <c r="R100" s="340" t="s">
        <v>585</v>
      </c>
      <c r="S100" s="340" t="s">
        <v>585</v>
      </c>
      <c r="T100" s="351">
        <v>18</v>
      </c>
    </row>
    <row r="101" spans="2:20" ht="12.95" customHeight="1" thickBot="1" x14ac:dyDescent="0.25">
      <c r="B101" s="597"/>
      <c r="C101" s="257" t="s">
        <v>17</v>
      </c>
      <c r="D101" s="333" t="s">
        <v>262</v>
      </c>
      <c r="E101" s="352">
        <v>918949</v>
      </c>
      <c r="F101" s="352">
        <v>984689</v>
      </c>
      <c r="G101" s="352">
        <v>1165591</v>
      </c>
      <c r="H101" s="352">
        <v>1329868</v>
      </c>
      <c r="I101" s="352">
        <v>1016809</v>
      </c>
      <c r="J101" s="352">
        <v>1361302</v>
      </c>
      <c r="K101" s="597"/>
      <c r="L101" s="257" t="s">
        <v>17</v>
      </c>
      <c r="M101" s="333" t="s">
        <v>262</v>
      </c>
      <c r="N101" s="352">
        <v>1666319</v>
      </c>
      <c r="O101" s="352">
        <v>1540120</v>
      </c>
      <c r="P101" s="352">
        <v>1359175</v>
      </c>
      <c r="Q101" s="352">
        <v>1347554</v>
      </c>
      <c r="R101" s="352">
        <v>1088372</v>
      </c>
      <c r="S101" s="352">
        <v>1127915</v>
      </c>
      <c r="T101" s="353">
        <v>14906663</v>
      </c>
    </row>
    <row r="102" spans="2:20" ht="12.95" customHeight="1" x14ac:dyDescent="0.2">
      <c r="B102" s="598" t="s">
        <v>503</v>
      </c>
      <c r="C102" s="327" t="s">
        <v>406</v>
      </c>
      <c r="D102" s="603" t="s">
        <v>267</v>
      </c>
      <c r="E102" s="344">
        <v>1477</v>
      </c>
      <c r="F102" s="344">
        <v>1751</v>
      </c>
      <c r="G102" s="344">
        <v>3838</v>
      </c>
      <c r="H102" s="344">
        <v>4659</v>
      </c>
      <c r="I102" s="344">
        <v>5913</v>
      </c>
      <c r="J102" s="344">
        <v>7920</v>
      </c>
      <c r="K102" s="598" t="s">
        <v>503</v>
      </c>
      <c r="L102" s="327" t="s">
        <v>406</v>
      </c>
      <c r="M102" s="603" t="s">
        <v>267</v>
      </c>
      <c r="N102" s="344">
        <v>9324</v>
      </c>
      <c r="O102" s="344">
        <v>13178</v>
      </c>
      <c r="P102" s="344">
        <v>9826</v>
      </c>
      <c r="Q102" s="344">
        <v>7062</v>
      </c>
      <c r="R102" s="344">
        <v>4674</v>
      </c>
      <c r="S102" s="344">
        <v>2555</v>
      </c>
      <c r="T102" s="345">
        <v>72177</v>
      </c>
    </row>
    <row r="103" spans="2:20" ht="12.95" customHeight="1" x14ac:dyDescent="0.2">
      <c r="B103" s="599"/>
      <c r="C103" s="250" t="s">
        <v>653</v>
      </c>
      <c r="D103" s="602"/>
      <c r="E103" s="346">
        <v>950</v>
      </c>
      <c r="F103" s="346">
        <v>998</v>
      </c>
      <c r="G103" s="346">
        <v>1153</v>
      </c>
      <c r="H103" s="346">
        <v>1115</v>
      </c>
      <c r="I103" s="346">
        <v>1125</v>
      </c>
      <c r="J103" s="346">
        <v>942</v>
      </c>
      <c r="K103" s="599"/>
      <c r="L103" s="250" t="s">
        <v>653</v>
      </c>
      <c r="M103" s="602"/>
      <c r="N103" s="346">
        <v>1022</v>
      </c>
      <c r="O103" s="346">
        <v>909</v>
      </c>
      <c r="P103" s="346">
        <v>1076</v>
      </c>
      <c r="Q103" s="346">
        <v>1290</v>
      </c>
      <c r="R103" s="346">
        <v>1071</v>
      </c>
      <c r="S103" s="346">
        <v>1219</v>
      </c>
      <c r="T103" s="347">
        <v>12870</v>
      </c>
    </row>
    <row r="104" spans="2:20" ht="12.95" customHeight="1" x14ac:dyDescent="0.2">
      <c r="B104" s="599"/>
      <c r="C104" s="250" t="s">
        <v>407</v>
      </c>
      <c r="D104" s="602"/>
      <c r="E104" s="346">
        <v>1719</v>
      </c>
      <c r="F104" s="346">
        <v>1610</v>
      </c>
      <c r="G104" s="346">
        <v>1937</v>
      </c>
      <c r="H104" s="346">
        <v>2140</v>
      </c>
      <c r="I104" s="346">
        <v>1662</v>
      </c>
      <c r="J104" s="346">
        <v>1500</v>
      </c>
      <c r="K104" s="599"/>
      <c r="L104" s="250" t="s">
        <v>407</v>
      </c>
      <c r="M104" s="602"/>
      <c r="N104" s="346">
        <v>1613</v>
      </c>
      <c r="O104" s="346">
        <v>1827</v>
      </c>
      <c r="P104" s="346">
        <v>1722</v>
      </c>
      <c r="Q104" s="346">
        <v>1761</v>
      </c>
      <c r="R104" s="346">
        <v>1836</v>
      </c>
      <c r="S104" s="346">
        <v>1877</v>
      </c>
      <c r="T104" s="347">
        <v>21204</v>
      </c>
    </row>
    <row r="105" spans="2:20" ht="12.95" customHeight="1" x14ac:dyDescent="0.2">
      <c r="B105" s="599"/>
      <c r="C105" s="250" t="s">
        <v>408</v>
      </c>
      <c r="D105" s="337" t="s">
        <v>268</v>
      </c>
      <c r="E105" s="346">
        <v>15740</v>
      </c>
      <c r="F105" s="346">
        <v>19486</v>
      </c>
      <c r="G105" s="346">
        <v>30554</v>
      </c>
      <c r="H105" s="346">
        <v>64363</v>
      </c>
      <c r="I105" s="346">
        <v>87539</v>
      </c>
      <c r="J105" s="346">
        <v>157642</v>
      </c>
      <c r="K105" s="599"/>
      <c r="L105" s="250" t="s">
        <v>408</v>
      </c>
      <c r="M105" s="337" t="s">
        <v>268</v>
      </c>
      <c r="N105" s="346">
        <v>225312</v>
      </c>
      <c r="O105" s="346">
        <v>192712</v>
      </c>
      <c r="P105" s="346">
        <v>153571</v>
      </c>
      <c r="Q105" s="346">
        <v>105737</v>
      </c>
      <c r="R105" s="346">
        <v>24845</v>
      </c>
      <c r="S105" s="346">
        <v>35847</v>
      </c>
      <c r="T105" s="347">
        <v>1113348</v>
      </c>
    </row>
    <row r="106" spans="2:20" ht="12.95" customHeight="1" x14ac:dyDescent="0.2">
      <c r="B106" s="599"/>
      <c r="C106" s="250" t="s">
        <v>410</v>
      </c>
      <c r="D106" s="602" t="s">
        <v>267</v>
      </c>
      <c r="E106" s="346">
        <v>129</v>
      </c>
      <c r="F106" s="346">
        <v>71</v>
      </c>
      <c r="G106" s="346">
        <v>36</v>
      </c>
      <c r="H106" s="346">
        <v>82</v>
      </c>
      <c r="I106" s="346">
        <v>77</v>
      </c>
      <c r="J106" s="346">
        <v>36</v>
      </c>
      <c r="K106" s="599"/>
      <c r="L106" s="250" t="s">
        <v>410</v>
      </c>
      <c r="M106" s="602" t="s">
        <v>267</v>
      </c>
      <c r="N106" s="346">
        <v>849</v>
      </c>
      <c r="O106" s="346">
        <v>275</v>
      </c>
      <c r="P106" s="346">
        <v>92</v>
      </c>
      <c r="Q106" s="346">
        <v>35</v>
      </c>
      <c r="R106" s="346">
        <v>80</v>
      </c>
      <c r="S106" s="346">
        <v>98</v>
      </c>
      <c r="T106" s="347">
        <v>1860</v>
      </c>
    </row>
    <row r="107" spans="2:20" ht="12.95" customHeight="1" x14ac:dyDescent="0.2">
      <c r="B107" s="599"/>
      <c r="C107" s="250" t="s">
        <v>409</v>
      </c>
      <c r="D107" s="602"/>
      <c r="E107" s="341" t="s">
        <v>585</v>
      </c>
      <c r="F107" s="341" t="s">
        <v>585</v>
      </c>
      <c r="G107" s="341" t="s">
        <v>585</v>
      </c>
      <c r="H107" s="341" t="s">
        <v>585</v>
      </c>
      <c r="I107" s="346">
        <v>14</v>
      </c>
      <c r="J107" s="346">
        <v>337</v>
      </c>
      <c r="K107" s="599"/>
      <c r="L107" s="250" t="s">
        <v>409</v>
      </c>
      <c r="M107" s="602"/>
      <c r="N107" s="346">
        <v>434</v>
      </c>
      <c r="O107" s="346">
        <v>547</v>
      </c>
      <c r="P107" s="346">
        <v>303</v>
      </c>
      <c r="Q107" s="341" t="s">
        <v>585</v>
      </c>
      <c r="R107" s="346">
        <v>1</v>
      </c>
      <c r="S107" s="341" t="s">
        <v>585</v>
      </c>
      <c r="T107" s="347">
        <v>1636</v>
      </c>
    </row>
    <row r="108" spans="2:20" ht="12.95" customHeight="1" x14ac:dyDescent="0.2">
      <c r="B108" s="599"/>
      <c r="C108" s="250" t="s">
        <v>411</v>
      </c>
      <c r="D108" s="602"/>
      <c r="E108" s="341" t="s">
        <v>585</v>
      </c>
      <c r="F108" s="341" t="s">
        <v>585</v>
      </c>
      <c r="G108" s="341" t="s">
        <v>585</v>
      </c>
      <c r="H108" s="341" t="s">
        <v>585</v>
      </c>
      <c r="I108" s="341" t="s">
        <v>585</v>
      </c>
      <c r="J108" s="346">
        <v>3</v>
      </c>
      <c r="K108" s="599"/>
      <c r="L108" s="250" t="s">
        <v>411</v>
      </c>
      <c r="M108" s="602"/>
      <c r="N108" s="341" t="s">
        <v>585</v>
      </c>
      <c r="O108" s="346">
        <v>13</v>
      </c>
      <c r="P108" s="346">
        <v>3</v>
      </c>
      <c r="Q108" s="346">
        <v>1</v>
      </c>
      <c r="R108" s="341" t="s">
        <v>585</v>
      </c>
      <c r="S108" s="346">
        <v>3</v>
      </c>
      <c r="T108" s="347">
        <v>23</v>
      </c>
    </row>
    <row r="109" spans="2:20" ht="12.95" customHeight="1" thickBot="1" x14ac:dyDescent="0.25">
      <c r="B109" s="600"/>
      <c r="C109" s="331" t="s">
        <v>17</v>
      </c>
      <c r="D109" s="332" t="s">
        <v>262</v>
      </c>
      <c r="E109" s="348">
        <v>20015</v>
      </c>
      <c r="F109" s="348">
        <v>23916</v>
      </c>
      <c r="G109" s="348">
        <v>37518</v>
      </c>
      <c r="H109" s="348">
        <v>72359</v>
      </c>
      <c r="I109" s="348">
        <v>96330</v>
      </c>
      <c r="J109" s="348">
        <v>168380</v>
      </c>
      <c r="K109" s="600"/>
      <c r="L109" s="331" t="s">
        <v>17</v>
      </c>
      <c r="M109" s="332" t="s">
        <v>262</v>
      </c>
      <c r="N109" s="348">
        <v>238554</v>
      </c>
      <c r="O109" s="348">
        <v>209461</v>
      </c>
      <c r="P109" s="348">
        <v>166593</v>
      </c>
      <c r="Q109" s="348">
        <v>115886</v>
      </c>
      <c r="R109" s="348">
        <v>32507</v>
      </c>
      <c r="S109" s="348">
        <v>41599</v>
      </c>
      <c r="T109" s="349">
        <v>1223118</v>
      </c>
    </row>
    <row r="110" spans="2:20" ht="12.95" customHeight="1" x14ac:dyDescent="0.2">
      <c r="B110" s="597" t="s">
        <v>505</v>
      </c>
      <c r="C110" s="328" t="s">
        <v>412</v>
      </c>
      <c r="D110" s="338" t="s">
        <v>268</v>
      </c>
      <c r="E110" s="340" t="s">
        <v>585</v>
      </c>
      <c r="F110" s="350">
        <v>66</v>
      </c>
      <c r="G110" s="340" t="s">
        <v>585</v>
      </c>
      <c r="H110" s="340" t="s">
        <v>585</v>
      </c>
      <c r="I110" s="340" t="s">
        <v>585</v>
      </c>
      <c r="J110" s="350">
        <v>9</v>
      </c>
      <c r="K110" s="597" t="s">
        <v>505</v>
      </c>
      <c r="L110" s="328" t="s">
        <v>412</v>
      </c>
      <c r="M110" s="338" t="s">
        <v>268</v>
      </c>
      <c r="N110" s="340" t="s">
        <v>585</v>
      </c>
      <c r="O110" s="340" t="s">
        <v>585</v>
      </c>
      <c r="P110" s="350">
        <v>2</v>
      </c>
      <c r="Q110" s="340" t="s">
        <v>585</v>
      </c>
      <c r="R110" s="340" t="s">
        <v>585</v>
      </c>
      <c r="S110" s="350">
        <v>7</v>
      </c>
      <c r="T110" s="351">
        <v>84</v>
      </c>
    </row>
    <row r="111" spans="2:20" ht="12.95" customHeight="1" x14ac:dyDescent="0.2">
      <c r="B111" s="597"/>
      <c r="C111" s="328" t="s">
        <v>654</v>
      </c>
      <c r="D111" s="338" t="s">
        <v>270</v>
      </c>
      <c r="E111" s="340" t="s">
        <v>585</v>
      </c>
      <c r="F111" s="340" t="s">
        <v>585</v>
      </c>
      <c r="G111" s="340" t="s">
        <v>585</v>
      </c>
      <c r="H111" s="350">
        <v>1</v>
      </c>
      <c r="I111" s="340" t="s">
        <v>585</v>
      </c>
      <c r="J111" s="340" t="s">
        <v>585</v>
      </c>
      <c r="K111" s="597"/>
      <c r="L111" s="328" t="s">
        <v>654</v>
      </c>
      <c r="M111" s="338" t="s">
        <v>270</v>
      </c>
      <c r="N111" s="350">
        <v>2</v>
      </c>
      <c r="O111" s="340" t="s">
        <v>585</v>
      </c>
      <c r="P111" s="340" t="s">
        <v>585</v>
      </c>
      <c r="Q111" s="340" t="s">
        <v>585</v>
      </c>
      <c r="R111" s="340" t="s">
        <v>585</v>
      </c>
      <c r="S111" s="340" t="s">
        <v>585</v>
      </c>
      <c r="T111" s="351">
        <v>3</v>
      </c>
    </row>
    <row r="112" spans="2:20" ht="12.95" customHeight="1" thickBot="1" x14ac:dyDescent="0.25">
      <c r="B112" s="597"/>
      <c r="C112" s="257" t="s">
        <v>17</v>
      </c>
      <c r="D112" s="333" t="s">
        <v>262</v>
      </c>
      <c r="E112" s="356" t="s">
        <v>585</v>
      </c>
      <c r="F112" s="352">
        <v>66</v>
      </c>
      <c r="G112" s="356" t="s">
        <v>585</v>
      </c>
      <c r="H112" s="352">
        <v>1</v>
      </c>
      <c r="I112" s="356" t="s">
        <v>585</v>
      </c>
      <c r="J112" s="352">
        <v>9</v>
      </c>
      <c r="K112" s="597"/>
      <c r="L112" s="257" t="s">
        <v>17</v>
      </c>
      <c r="M112" s="333" t="s">
        <v>262</v>
      </c>
      <c r="N112" s="352">
        <v>2</v>
      </c>
      <c r="O112" s="356" t="s">
        <v>585</v>
      </c>
      <c r="P112" s="352">
        <v>2</v>
      </c>
      <c r="Q112" s="356" t="s">
        <v>585</v>
      </c>
      <c r="R112" s="356" t="s">
        <v>585</v>
      </c>
      <c r="S112" s="352">
        <v>7</v>
      </c>
      <c r="T112" s="353">
        <v>87</v>
      </c>
    </row>
    <row r="113" spans="2:20" ht="12.95" customHeight="1" x14ac:dyDescent="0.2">
      <c r="B113" s="598" t="s">
        <v>506</v>
      </c>
      <c r="C113" s="327" t="s">
        <v>413</v>
      </c>
      <c r="D113" s="336" t="s">
        <v>267</v>
      </c>
      <c r="E113" s="344">
        <v>16</v>
      </c>
      <c r="F113" s="344">
        <v>24</v>
      </c>
      <c r="G113" s="344">
        <v>100</v>
      </c>
      <c r="H113" s="344">
        <v>34</v>
      </c>
      <c r="I113" s="344">
        <v>74</v>
      </c>
      <c r="J113" s="344">
        <v>136</v>
      </c>
      <c r="K113" s="598" t="s">
        <v>506</v>
      </c>
      <c r="L113" s="327" t="s">
        <v>413</v>
      </c>
      <c r="M113" s="336" t="s">
        <v>267</v>
      </c>
      <c r="N113" s="344">
        <v>125</v>
      </c>
      <c r="O113" s="344">
        <v>43</v>
      </c>
      <c r="P113" s="344">
        <v>43</v>
      </c>
      <c r="Q113" s="344">
        <v>86</v>
      </c>
      <c r="R113" s="344">
        <v>56</v>
      </c>
      <c r="S113" s="344">
        <v>50</v>
      </c>
      <c r="T113" s="345">
        <v>787</v>
      </c>
    </row>
    <row r="114" spans="2:20" ht="12.95" customHeight="1" x14ac:dyDescent="0.2">
      <c r="B114" s="599"/>
      <c r="C114" s="250" t="s">
        <v>655</v>
      </c>
      <c r="D114" s="337" t="s">
        <v>268</v>
      </c>
      <c r="E114" s="341" t="s">
        <v>585</v>
      </c>
      <c r="F114" s="341" t="s">
        <v>585</v>
      </c>
      <c r="G114" s="346">
        <v>4</v>
      </c>
      <c r="H114" s="341" t="s">
        <v>585</v>
      </c>
      <c r="I114" s="341" t="s">
        <v>585</v>
      </c>
      <c r="J114" s="341" t="s">
        <v>585</v>
      </c>
      <c r="K114" s="599"/>
      <c r="L114" s="250" t="s">
        <v>655</v>
      </c>
      <c r="M114" s="337" t="s">
        <v>268</v>
      </c>
      <c r="N114" s="346">
        <v>36</v>
      </c>
      <c r="O114" s="341" t="s">
        <v>585</v>
      </c>
      <c r="P114" s="346">
        <v>4</v>
      </c>
      <c r="Q114" s="341" t="s">
        <v>585</v>
      </c>
      <c r="R114" s="341" t="s">
        <v>585</v>
      </c>
      <c r="S114" s="341" t="s">
        <v>585</v>
      </c>
      <c r="T114" s="347">
        <v>44</v>
      </c>
    </row>
    <row r="115" spans="2:20" ht="12.95" customHeight="1" thickBot="1" x14ac:dyDescent="0.25">
      <c r="B115" s="600"/>
      <c r="C115" s="331" t="s">
        <v>17</v>
      </c>
      <c r="D115" s="332" t="s">
        <v>262</v>
      </c>
      <c r="E115" s="348">
        <v>16</v>
      </c>
      <c r="F115" s="348">
        <v>24</v>
      </c>
      <c r="G115" s="348">
        <v>104</v>
      </c>
      <c r="H115" s="348">
        <v>34</v>
      </c>
      <c r="I115" s="348">
        <v>74</v>
      </c>
      <c r="J115" s="348">
        <v>136</v>
      </c>
      <c r="K115" s="600"/>
      <c r="L115" s="331" t="s">
        <v>17</v>
      </c>
      <c r="M115" s="332" t="s">
        <v>262</v>
      </c>
      <c r="N115" s="348">
        <v>161</v>
      </c>
      <c r="O115" s="348">
        <v>43</v>
      </c>
      <c r="P115" s="348">
        <v>47</v>
      </c>
      <c r="Q115" s="348">
        <v>86</v>
      </c>
      <c r="R115" s="348">
        <v>56</v>
      </c>
      <c r="S115" s="348">
        <v>50</v>
      </c>
      <c r="T115" s="349">
        <v>831</v>
      </c>
    </row>
    <row r="116" spans="2:20" ht="12.95" customHeight="1" thickBot="1" x14ac:dyDescent="0.25">
      <c r="B116" s="339" t="s">
        <v>507</v>
      </c>
      <c r="C116" s="257" t="s">
        <v>414</v>
      </c>
      <c r="D116" s="333" t="s">
        <v>268</v>
      </c>
      <c r="E116" s="352">
        <v>4919</v>
      </c>
      <c r="F116" s="352">
        <v>4877</v>
      </c>
      <c r="G116" s="352">
        <v>4438</v>
      </c>
      <c r="H116" s="352">
        <v>5471</v>
      </c>
      <c r="I116" s="352">
        <v>4244</v>
      </c>
      <c r="J116" s="352">
        <v>9864</v>
      </c>
      <c r="K116" s="339" t="s">
        <v>507</v>
      </c>
      <c r="L116" s="257" t="s">
        <v>414</v>
      </c>
      <c r="M116" s="333" t="s">
        <v>268</v>
      </c>
      <c r="N116" s="352">
        <v>19513</v>
      </c>
      <c r="O116" s="352">
        <v>14435</v>
      </c>
      <c r="P116" s="352">
        <v>7747</v>
      </c>
      <c r="Q116" s="352">
        <v>6896</v>
      </c>
      <c r="R116" s="352">
        <v>3199</v>
      </c>
      <c r="S116" s="352">
        <v>6461</v>
      </c>
      <c r="T116" s="353">
        <v>92064</v>
      </c>
    </row>
    <row r="117" spans="2:20" ht="12.95" customHeight="1" x14ac:dyDescent="0.2">
      <c r="B117" s="598" t="s">
        <v>508</v>
      </c>
      <c r="C117" s="327" t="s">
        <v>415</v>
      </c>
      <c r="D117" s="336" t="s">
        <v>269</v>
      </c>
      <c r="E117" s="344">
        <v>18028</v>
      </c>
      <c r="F117" s="344">
        <v>19791</v>
      </c>
      <c r="G117" s="344">
        <v>31674</v>
      </c>
      <c r="H117" s="344">
        <v>48101</v>
      </c>
      <c r="I117" s="344">
        <v>39892</v>
      </c>
      <c r="J117" s="344">
        <v>47474</v>
      </c>
      <c r="K117" s="598" t="s">
        <v>508</v>
      </c>
      <c r="L117" s="327" t="s">
        <v>415</v>
      </c>
      <c r="M117" s="336" t="s">
        <v>269</v>
      </c>
      <c r="N117" s="344">
        <v>56184</v>
      </c>
      <c r="O117" s="344">
        <v>69900</v>
      </c>
      <c r="P117" s="344">
        <v>62082</v>
      </c>
      <c r="Q117" s="344">
        <v>53044</v>
      </c>
      <c r="R117" s="344">
        <v>40300</v>
      </c>
      <c r="S117" s="344">
        <v>37636</v>
      </c>
      <c r="T117" s="345">
        <v>524106</v>
      </c>
    </row>
    <row r="118" spans="2:20" ht="12.95" customHeight="1" x14ac:dyDescent="0.2">
      <c r="B118" s="599"/>
      <c r="C118" s="250" t="s">
        <v>610</v>
      </c>
      <c r="D118" s="337" t="s">
        <v>267</v>
      </c>
      <c r="E118" s="341" t="s">
        <v>585</v>
      </c>
      <c r="F118" s="341" t="s">
        <v>585</v>
      </c>
      <c r="G118" s="341" t="s">
        <v>585</v>
      </c>
      <c r="H118" s="341" t="s">
        <v>585</v>
      </c>
      <c r="I118" s="341" t="s">
        <v>585</v>
      </c>
      <c r="J118" s="346">
        <v>47</v>
      </c>
      <c r="K118" s="599"/>
      <c r="L118" s="250" t="s">
        <v>610</v>
      </c>
      <c r="M118" s="337" t="s">
        <v>267</v>
      </c>
      <c r="N118" s="341" t="s">
        <v>585</v>
      </c>
      <c r="O118" s="341" t="s">
        <v>585</v>
      </c>
      <c r="P118" s="341" t="s">
        <v>585</v>
      </c>
      <c r="Q118" s="341" t="s">
        <v>585</v>
      </c>
      <c r="R118" s="341" t="s">
        <v>585</v>
      </c>
      <c r="S118" s="341" t="s">
        <v>585</v>
      </c>
      <c r="T118" s="347">
        <v>47</v>
      </c>
    </row>
    <row r="119" spans="2:20" ht="12.95" customHeight="1" thickBot="1" x14ac:dyDescent="0.25">
      <c r="B119" s="600"/>
      <c r="C119" s="331" t="s">
        <v>17</v>
      </c>
      <c r="D119" s="332" t="s">
        <v>262</v>
      </c>
      <c r="E119" s="348">
        <v>18028</v>
      </c>
      <c r="F119" s="348">
        <v>19791</v>
      </c>
      <c r="G119" s="348">
        <v>31674</v>
      </c>
      <c r="H119" s="348">
        <v>48101</v>
      </c>
      <c r="I119" s="348">
        <v>39892</v>
      </c>
      <c r="J119" s="348">
        <v>47521</v>
      </c>
      <c r="K119" s="600"/>
      <c r="L119" s="331" t="s">
        <v>17</v>
      </c>
      <c r="M119" s="332" t="s">
        <v>262</v>
      </c>
      <c r="N119" s="348">
        <v>56184</v>
      </c>
      <c r="O119" s="348">
        <v>69900</v>
      </c>
      <c r="P119" s="348">
        <v>62082</v>
      </c>
      <c r="Q119" s="348">
        <v>53044</v>
      </c>
      <c r="R119" s="348">
        <v>40300</v>
      </c>
      <c r="S119" s="348">
        <v>37636</v>
      </c>
      <c r="T119" s="349">
        <v>524153</v>
      </c>
    </row>
    <row r="120" spans="2:20" ht="12.95" customHeight="1" x14ac:dyDescent="0.2">
      <c r="B120" s="597" t="s">
        <v>510</v>
      </c>
      <c r="C120" s="328" t="s">
        <v>416</v>
      </c>
      <c r="D120" s="338" t="s">
        <v>268</v>
      </c>
      <c r="E120" s="350">
        <v>3</v>
      </c>
      <c r="F120" s="340" t="s">
        <v>585</v>
      </c>
      <c r="G120" s="340" t="s">
        <v>585</v>
      </c>
      <c r="H120" s="340" t="s">
        <v>585</v>
      </c>
      <c r="I120" s="340" t="s">
        <v>585</v>
      </c>
      <c r="J120" s="350">
        <v>40</v>
      </c>
      <c r="K120" s="597" t="s">
        <v>510</v>
      </c>
      <c r="L120" s="328" t="s">
        <v>416</v>
      </c>
      <c r="M120" s="338" t="s">
        <v>268</v>
      </c>
      <c r="N120" s="350">
        <v>13</v>
      </c>
      <c r="O120" s="350">
        <v>10</v>
      </c>
      <c r="P120" s="340" t="s">
        <v>585</v>
      </c>
      <c r="Q120" s="350">
        <v>54</v>
      </c>
      <c r="R120" s="340" t="s">
        <v>585</v>
      </c>
      <c r="S120" s="350">
        <v>6</v>
      </c>
      <c r="T120" s="351">
        <v>126</v>
      </c>
    </row>
    <row r="121" spans="2:20" ht="12.95" customHeight="1" x14ac:dyDescent="0.2">
      <c r="B121" s="597"/>
      <c r="C121" s="328" t="s">
        <v>417</v>
      </c>
      <c r="D121" s="338" t="s">
        <v>267</v>
      </c>
      <c r="E121" s="350">
        <v>3195</v>
      </c>
      <c r="F121" s="350">
        <v>3123</v>
      </c>
      <c r="G121" s="350">
        <v>3991</v>
      </c>
      <c r="H121" s="350">
        <v>7400</v>
      </c>
      <c r="I121" s="350">
        <v>7304</v>
      </c>
      <c r="J121" s="350">
        <v>5840</v>
      </c>
      <c r="K121" s="597"/>
      <c r="L121" s="328" t="s">
        <v>417</v>
      </c>
      <c r="M121" s="338" t="s">
        <v>267</v>
      </c>
      <c r="N121" s="350">
        <v>7236</v>
      </c>
      <c r="O121" s="350">
        <v>3431</v>
      </c>
      <c r="P121" s="350">
        <v>7706</v>
      </c>
      <c r="Q121" s="350">
        <v>7622</v>
      </c>
      <c r="R121" s="350">
        <v>7020</v>
      </c>
      <c r="S121" s="350">
        <v>4239</v>
      </c>
      <c r="T121" s="351">
        <v>68107</v>
      </c>
    </row>
    <row r="122" spans="2:20" ht="12.95" customHeight="1" thickBot="1" x14ac:dyDescent="0.25">
      <c r="B122" s="597"/>
      <c r="C122" s="257" t="s">
        <v>17</v>
      </c>
      <c r="D122" s="333" t="s">
        <v>262</v>
      </c>
      <c r="E122" s="352">
        <v>3198</v>
      </c>
      <c r="F122" s="352">
        <v>3123</v>
      </c>
      <c r="G122" s="352">
        <v>3991</v>
      </c>
      <c r="H122" s="352">
        <v>7400</v>
      </c>
      <c r="I122" s="352">
        <v>7304</v>
      </c>
      <c r="J122" s="352">
        <v>5880</v>
      </c>
      <c r="K122" s="597"/>
      <c r="L122" s="257" t="s">
        <v>17</v>
      </c>
      <c r="M122" s="333" t="s">
        <v>262</v>
      </c>
      <c r="N122" s="352">
        <v>7249</v>
      </c>
      <c r="O122" s="352">
        <v>3441</v>
      </c>
      <c r="P122" s="352">
        <v>7706</v>
      </c>
      <c r="Q122" s="352">
        <v>7676</v>
      </c>
      <c r="R122" s="352">
        <v>7020</v>
      </c>
      <c r="S122" s="352">
        <v>4245</v>
      </c>
      <c r="T122" s="353">
        <v>68233</v>
      </c>
    </row>
    <row r="123" spans="2:20" ht="12.95" customHeight="1" thickBot="1" x14ac:dyDescent="0.25">
      <c r="B123" s="268" t="s">
        <v>511</v>
      </c>
      <c r="C123" s="256" t="s">
        <v>656</v>
      </c>
      <c r="D123" s="334" t="s">
        <v>268</v>
      </c>
      <c r="E123" s="343">
        <v>362</v>
      </c>
      <c r="F123" s="343">
        <v>363</v>
      </c>
      <c r="G123" s="343">
        <v>416</v>
      </c>
      <c r="H123" s="343">
        <v>598</v>
      </c>
      <c r="I123" s="343">
        <v>799</v>
      </c>
      <c r="J123" s="343">
        <v>4751</v>
      </c>
      <c r="K123" s="268" t="s">
        <v>511</v>
      </c>
      <c r="L123" s="256" t="s">
        <v>656</v>
      </c>
      <c r="M123" s="334" t="s">
        <v>268</v>
      </c>
      <c r="N123" s="343">
        <v>10131</v>
      </c>
      <c r="O123" s="343">
        <v>3822</v>
      </c>
      <c r="P123" s="343">
        <v>1980</v>
      </c>
      <c r="Q123" s="343">
        <v>1942</v>
      </c>
      <c r="R123" s="343">
        <v>383</v>
      </c>
      <c r="S123" s="343">
        <v>1202</v>
      </c>
      <c r="T123" s="354">
        <v>26749</v>
      </c>
    </row>
    <row r="124" spans="2:20" ht="12.95" customHeight="1" thickBot="1" x14ac:dyDescent="0.25">
      <c r="B124" s="268" t="s">
        <v>512</v>
      </c>
      <c r="C124" s="256" t="s">
        <v>418</v>
      </c>
      <c r="D124" s="334" t="s">
        <v>268</v>
      </c>
      <c r="E124" s="342" t="s">
        <v>585</v>
      </c>
      <c r="F124" s="343">
        <v>1</v>
      </c>
      <c r="G124" s="342" t="s">
        <v>585</v>
      </c>
      <c r="H124" s="343">
        <v>2</v>
      </c>
      <c r="I124" s="343">
        <v>71</v>
      </c>
      <c r="J124" s="343">
        <v>695</v>
      </c>
      <c r="K124" s="268" t="s">
        <v>512</v>
      </c>
      <c r="L124" s="256" t="s">
        <v>418</v>
      </c>
      <c r="M124" s="334" t="s">
        <v>268</v>
      </c>
      <c r="N124" s="343">
        <v>1105</v>
      </c>
      <c r="O124" s="343">
        <v>723</v>
      </c>
      <c r="P124" s="343">
        <v>446</v>
      </c>
      <c r="Q124" s="343">
        <v>370</v>
      </c>
      <c r="R124" s="342" t="s">
        <v>585</v>
      </c>
      <c r="S124" s="343">
        <v>1</v>
      </c>
      <c r="T124" s="354">
        <v>3414</v>
      </c>
    </row>
    <row r="125" spans="2:20" ht="12.95" customHeight="1" thickBot="1" x14ac:dyDescent="0.25">
      <c r="B125" s="268" t="s">
        <v>513</v>
      </c>
      <c r="C125" s="256" t="s">
        <v>419</v>
      </c>
      <c r="D125" s="334" t="s">
        <v>268</v>
      </c>
      <c r="E125" s="342" t="s">
        <v>585</v>
      </c>
      <c r="F125" s="342" t="s">
        <v>585</v>
      </c>
      <c r="G125" s="343">
        <v>2</v>
      </c>
      <c r="H125" s="343">
        <v>1</v>
      </c>
      <c r="I125" s="343">
        <v>4</v>
      </c>
      <c r="J125" s="343">
        <v>351</v>
      </c>
      <c r="K125" s="268" t="s">
        <v>513</v>
      </c>
      <c r="L125" s="256" t="s">
        <v>419</v>
      </c>
      <c r="M125" s="334" t="s">
        <v>268</v>
      </c>
      <c r="N125" s="343">
        <v>551</v>
      </c>
      <c r="O125" s="343">
        <v>515</v>
      </c>
      <c r="P125" s="343">
        <v>411</v>
      </c>
      <c r="Q125" s="343">
        <v>237</v>
      </c>
      <c r="R125" s="342" t="s">
        <v>585</v>
      </c>
      <c r="S125" s="343">
        <v>112</v>
      </c>
      <c r="T125" s="354">
        <v>2184</v>
      </c>
    </row>
    <row r="126" spans="2:20" ht="12.95" customHeight="1" thickBot="1" x14ac:dyDescent="0.25">
      <c r="B126" s="268" t="s">
        <v>504</v>
      </c>
      <c r="C126" s="256" t="s">
        <v>657</v>
      </c>
      <c r="D126" s="334" t="s">
        <v>268</v>
      </c>
      <c r="E126" s="342" t="s">
        <v>585</v>
      </c>
      <c r="F126" s="342" t="s">
        <v>585</v>
      </c>
      <c r="G126" s="343">
        <v>5</v>
      </c>
      <c r="H126" s="342" t="s">
        <v>585</v>
      </c>
      <c r="I126" s="342" t="s">
        <v>585</v>
      </c>
      <c r="J126" s="342" t="s">
        <v>585</v>
      </c>
      <c r="K126" s="268" t="s">
        <v>504</v>
      </c>
      <c r="L126" s="256" t="s">
        <v>657</v>
      </c>
      <c r="M126" s="334" t="s">
        <v>268</v>
      </c>
      <c r="N126" s="342" t="s">
        <v>585</v>
      </c>
      <c r="O126" s="342" t="s">
        <v>585</v>
      </c>
      <c r="P126" s="343">
        <v>4</v>
      </c>
      <c r="Q126" s="342" t="s">
        <v>585</v>
      </c>
      <c r="R126" s="342" t="s">
        <v>585</v>
      </c>
      <c r="S126" s="342" t="s">
        <v>585</v>
      </c>
      <c r="T126" s="354">
        <v>9</v>
      </c>
    </row>
    <row r="127" spans="2:20" ht="12.95" customHeight="1" thickBot="1" x14ac:dyDescent="0.25">
      <c r="B127" s="268" t="s">
        <v>514</v>
      </c>
      <c r="C127" s="256" t="s">
        <v>658</v>
      </c>
      <c r="D127" s="334" t="s">
        <v>268</v>
      </c>
      <c r="E127" s="342" t="s">
        <v>585</v>
      </c>
      <c r="F127" s="342" t="s">
        <v>585</v>
      </c>
      <c r="G127" s="342" t="s">
        <v>585</v>
      </c>
      <c r="H127" s="343">
        <v>5</v>
      </c>
      <c r="I127" s="342" t="s">
        <v>585</v>
      </c>
      <c r="J127" s="343">
        <v>3</v>
      </c>
      <c r="K127" s="268" t="s">
        <v>514</v>
      </c>
      <c r="L127" s="256" t="s">
        <v>658</v>
      </c>
      <c r="M127" s="334" t="s">
        <v>268</v>
      </c>
      <c r="N127" s="342" t="s">
        <v>585</v>
      </c>
      <c r="O127" s="342" t="s">
        <v>585</v>
      </c>
      <c r="P127" s="342" t="s">
        <v>585</v>
      </c>
      <c r="Q127" s="343">
        <v>1</v>
      </c>
      <c r="R127" s="342" t="s">
        <v>585</v>
      </c>
      <c r="S127" s="342" t="s">
        <v>585</v>
      </c>
      <c r="T127" s="354">
        <v>9</v>
      </c>
    </row>
    <row r="128" spans="2:20" ht="12.95" customHeight="1" x14ac:dyDescent="0.2">
      <c r="B128" s="597" t="s">
        <v>516</v>
      </c>
      <c r="C128" s="328" t="s">
        <v>420</v>
      </c>
      <c r="D128" s="601" t="s">
        <v>267</v>
      </c>
      <c r="E128" s="350">
        <v>483</v>
      </c>
      <c r="F128" s="350">
        <v>715</v>
      </c>
      <c r="G128" s="350">
        <v>1043</v>
      </c>
      <c r="H128" s="350">
        <v>6782</v>
      </c>
      <c r="I128" s="350">
        <v>22352</v>
      </c>
      <c r="J128" s="350">
        <v>30994</v>
      </c>
      <c r="K128" s="597" t="s">
        <v>516</v>
      </c>
      <c r="L128" s="328" t="s">
        <v>420</v>
      </c>
      <c r="M128" s="601" t="s">
        <v>267</v>
      </c>
      <c r="N128" s="350">
        <v>44246</v>
      </c>
      <c r="O128" s="350">
        <v>50780</v>
      </c>
      <c r="P128" s="350">
        <v>42373</v>
      </c>
      <c r="Q128" s="350">
        <v>25276</v>
      </c>
      <c r="R128" s="350">
        <v>954</v>
      </c>
      <c r="S128" s="350">
        <v>866</v>
      </c>
      <c r="T128" s="351">
        <v>226864</v>
      </c>
    </row>
    <row r="129" spans="2:20" ht="12.95" customHeight="1" x14ac:dyDescent="0.2">
      <c r="B129" s="597"/>
      <c r="C129" s="328" t="s">
        <v>421</v>
      </c>
      <c r="D129" s="601"/>
      <c r="E129" s="350">
        <v>2</v>
      </c>
      <c r="F129" s="350">
        <v>3</v>
      </c>
      <c r="G129" s="350">
        <v>13</v>
      </c>
      <c r="H129" s="350">
        <v>54</v>
      </c>
      <c r="I129" s="350">
        <v>1110</v>
      </c>
      <c r="J129" s="350">
        <v>4231</v>
      </c>
      <c r="K129" s="597"/>
      <c r="L129" s="328" t="s">
        <v>421</v>
      </c>
      <c r="M129" s="601"/>
      <c r="N129" s="350">
        <v>6408</v>
      </c>
      <c r="O129" s="350">
        <v>7587</v>
      </c>
      <c r="P129" s="350">
        <v>4431</v>
      </c>
      <c r="Q129" s="350">
        <v>1485</v>
      </c>
      <c r="R129" s="350">
        <v>74</v>
      </c>
      <c r="S129" s="350">
        <v>156</v>
      </c>
      <c r="T129" s="351">
        <v>25554</v>
      </c>
    </row>
    <row r="130" spans="2:20" ht="12.95" customHeight="1" x14ac:dyDescent="0.2">
      <c r="B130" s="597"/>
      <c r="C130" s="328" t="s">
        <v>611</v>
      </c>
      <c r="D130" s="601"/>
      <c r="E130" s="350">
        <v>97</v>
      </c>
      <c r="F130" s="350">
        <v>109</v>
      </c>
      <c r="G130" s="350">
        <v>70</v>
      </c>
      <c r="H130" s="350">
        <v>7637</v>
      </c>
      <c r="I130" s="350">
        <v>15099</v>
      </c>
      <c r="J130" s="350">
        <v>17531</v>
      </c>
      <c r="K130" s="597"/>
      <c r="L130" s="328" t="s">
        <v>611</v>
      </c>
      <c r="M130" s="601"/>
      <c r="N130" s="350">
        <v>21135</v>
      </c>
      <c r="O130" s="350">
        <v>25193</v>
      </c>
      <c r="P130" s="350">
        <v>20172</v>
      </c>
      <c r="Q130" s="350">
        <v>8555</v>
      </c>
      <c r="R130" s="350">
        <v>359</v>
      </c>
      <c r="S130" s="350">
        <v>179</v>
      </c>
      <c r="T130" s="351">
        <v>116136</v>
      </c>
    </row>
    <row r="131" spans="2:20" ht="12.95" customHeight="1" x14ac:dyDescent="0.2">
      <c r="B131" s="597"/>
      <c r="C131" s="328" t="s">
        <v>659</v>
      </c>
      <c r="D131" s="601"/>
      <c r="E131" s="350">
        <v>6</v>
      </c>
      <c r="F131" s="350">
        <v>14</v>
      </c>
      <c r="G131" s="350">
        <v>21</v>
      </c>
      <c r="H131" s="350">
        <v>13</v>
      </c>
      <c r="I131" s="350">
        <v>13</v>
      </c>
      <c r="J131" s="350">
        <v>11</v>
      </c>
      <c r="K131" s="597"/>
      <c r="L131" s="328" t="s">
        <v>659</v>
      </c>
      <c r="M131" s="601"/>
      <c r="N131" s="350">
        <v>2</v>
      </c>
      <c r="O131" s="350">
        <v>23</v>
      </c>
      <c r="P131" s="350">
        <v>15</v>
      </c>
      <c r="Q131" s="350">
        <v>8</v>
      </c>
      <c r="R131" s="350">
        <v>11</v>
      </c>
      <c r="S131" s="350">
        <v>6</v>
      </c>
      <c r="T131" s="351">
        <v>143</v>
      </c>
    </row>
    <row r="132" spans="2:20" ht="12.95" customHeight="1" x14ac:dyDescent="0.2">
      <c r="B132" s="597"/>
      <c r="C132" s="328" t="s">
        <v>422</v>
      </c>
      <c r="D132" s="601" t="s">
        <v>268</v>
      </c>
      <c r="E132" s="350">
        <v>1026</v>
      </c>
      <c r="F132" s="350">
        <v>744</v>
      </c>
      <c r="G132" s="350">
        <v>5542</v>
      </c>
      <c r="H132" s="350">
        <v>88337</v>
      </c>
      <c r="I132" s="350">
        <v>232272</v>
      </c>
      <c r="J132" s="350">
        <v>285890</v>
      </c>
      <c r="K132" s="597"/>
      <c r="L132" s="328" t="s">
        <v>422</v>
      </c>
      <c r="M132" s="601" t="s">
        <v>268</v>
      </c>
      <c r="N132" s="350">
        <v>323922</v>
      </c>
      <c r="O132" s="350">
        <v>322939</v>
      </c>
      <c r="P132" s="350">
        <v>272487</v>
      </c>
      <c r="Q132" s="350">
        <v>144101</v>
      </c>
      <c r="R132" s="350">
        <v>2552</v>
      </c>
      <c r="S132" s="350">
        <v>380</v>
      </c>
      <c r="T132" s="351">
        <v>1680192</v>
      </c>
    </row>
    <row r="133" spans="2:20" ht="12.95" customHeight="1" x14ac:dyDescent="0.2">
      <c r="B133" s="597"/>
      <c r="C133" s="328" t="s">
        <v>423</v>
      </c>
      <c r="D133" s="601"/>
      <c r="E133" s="350">
        <v>18</v>
      </c>
      <c r="F133" s="350">
        <v>39</v>
      </c>
      <c r="G133" s="350">
        <v>269</v>
      </c>
      <c r="H133" s="350">
        <v>36853</v>
      </c>
      <c r="I133" s="350">
        <v>107361</v>
      </c>
      <c r="J133" s="350">
        <v>166166</v>
      </c>
      <c r="K133" s="597"/>
      <c r="L133" s="328" t="s">
        <v>423</v>
      </c>
      <c r="M133" s="601"/>
      <c r="N133" s="350">
        <v>196011</v>
      </c>
      <c r="O133" s="350">
        <v>202238</v>
      </c>
      <c r="P133" s="350">
        <v>161490</v>
      </c>
      <c r="Q133" s="350">
        <v>72253</v>
      </c>
      <c r="R133" s="350">
        <v>89</v>
      </c>
      <c r="S133" s="350">
        <v>10</v>
      </c>
      <c r="T133" s="351">
        <v>942797</v>
      </c>
    </row>
    <row r="134" spans="2:20" ht="12.95" customHeight="1" x14ac:dyDescent="0.2">
      <c r="B134" s="597"/>
      <c r="C134" s="328" t="s">
        <v>424</v>
      </c>
      <c r="D134" s="601" t="s">
        <v>267</v>
      </c>
      <c r="E134" s="350">
        <v>16</v>
      </c>
      <c r="F134" s="350">
        <v>23</v>
      </c>
      <c r="G134" s="350">
        <v>40</v>
      </c>
      <c r="H134" s="350">
        <v>73</v>
      </c>
      <c r="I134" s="350">
        <v>216</v>
      </c>
      <c r="J134" s="350">
        <v>546</v>
      </c>
      <c r="K134" s="597"/>
      <c r="L134" s="328" t="s">
        <v>424</v>
      </c>
      <c r="M134" s="601" t="s">
        <v>267</v>
      </c>
      <c r="N134" s="350">
        <v>866</v>
      </c>
      <c r="O134" s="350">
        <v>1079</v>
      </c>
      <c r="P134" s="350">
        <v>546</v>
      </c>
      <c r="Q134" s="350">
        <v>265</v>
      </c>
      <c r="R134" s="350">
        <v>66</v>
      </c>
      <c r="S134" s="350">
        <v>42</v>
      </c>
      <c r="T134" s="351">
        <v>3778</v>
      </c>
    </row>
    <row r="135" spans="2:20" ht="12.95" customHeight="1" x14ac:dyDescent="0.2">
      <c r="B135" s="597"/>
      <c r="C135" s="328" t="s">
        <v>426</v>
      </c>
      <c r="D135" s="601"/>
      <c r="E135" s="350">
        <v>149</v>
      </c>
      <c r="F135" s="350">
        <v>201</v>
      </c>
      <c r="G135" s="350">
        <v>1876</v>
      </c>
      <c r="H135" s="350">
        <v>6074</v>
      </c>
      <c r="I135" s="350">
        <v>23847</v>
      </c>
      <c r="J135" s="350">
        <v>23790</v>
      </c>
      <c r="K135" s="597"/>
      <c r="L135" s="328" t="s">
        <v>426</v>
      </c>
      <c r="M135" s="601"/>
      <c r="N135" s="350">
        <v>30964</v>
      </c>
      <c r="O135" s="350">
        <v>37882</v>
      </c>
      <c r="P135" s="350">
        <v>35203</v>
      </c>
      <c r="Q135" s="350">
        <v>18023</v>
      </c>
      <c r="R135" s="350">
        <v>7478</v>
      </c>
      <c r="S135" s="350">
        <v>4608</v>
      </c>
      <c r="T135" s="351">
        <v>190095</v>
      </c>
    </row>
    <row r="136" spans="2:20" ht="12.95" customHeight="1" x14ac:dyDescent="0.2">
      <c r="B136" s="597"/>
      <c r="C136" s="328" t="s">
        <v>427</v>
      </c>
      <c r="D136" s="601"/>
      <c r="E136" s="350">
        <v>12</v>
      </c>
      <c r="F136" s="350">
        <v>13</v>
      </c>
      <c r="G136" s="350">
        <v>226</v>
      </c>
      <c r="H136" s="350">
        <v>911</v>
      </c>
      <c r="I136" s="350">
        <v>2800</v>
      </c>
      <c r="J136" s="350">
        <v>3231</v>
      </c>
      <c r="K136" s="597"/>
      <c r="L136" s="328" t="s">
        <v>427</v>
      </c>
      <c r="M136" s="601"/>
      <c r="N136" s="350">
        <v>4307</v>
      </c>
      <c r="O136" s="350">
        <v>5317</v>
      </c>
      <c r="P136" s="350">
        <v>4662</v>
      </c>
      <c r="Q136" s="350">
        <v>2870</v>
      </c>
      <c r="R136" s="350">
        <v>400</v>
      </c>
      <c r="S136" s="350">
        <v>219</v>
      </c>
      <c r="T136" s="351">
        <v>24968</v>
      </c>
    </row>
    <row r="137" spans="2:20" ht="12.95" customHeight="1" x14ac:dyDescent="0.2">
      <c r="B137" s="597"/>
      <c r="C137" s="328" t="s">
        <v>428</v>
      </c>
      <c r="D137" s="601"/>
      <c r="E137" s="350">
        <v>3</v>
      </c>
      <c r="F137" s="340" t="s">
        <v>585</v>
      </c>
      <c r="G137" s="350">
        <v>14</v>
      </c>
      <c r="H137" s="350">
        <v>19</v>
      </c>
      <c r="I137" s="350">
        <v>166</v>
      </c>
      <c r="J137" s="350">
        <v>439</v>
      </c>
      <c r="K137" s="597"/>
      <c r="L137" s="328" t="s">
        <v>428</v>
      </c>
      <c r="M137" s="601"/>
      <c r="N137" s="350">
        <v>1372</v>
      </c>
      <c r="O137" s="350">
        <v>1506</v>
      </c>
      <c r="P137" s="350">
        <v>316</v>
      </c>
      <c r="Q137" s="350">
        <v>88</v>
      </c>
      <c r="R137" s="340" t="s">
        <v>585</v>
      </c>
      <c r="S137" s="340" t="s">
        <v>585</v>
      </c>
      <c r="T137" s="351">
        <v>3923</v>
      </c>
    </row>
    <row r="138" spans="2:20" ht="12.95" customHeight="1" x14ac:dyDescent="0.2">
      <c r="B138" s="597"/>
      <c r="C138" s="328" t="s">
        <v>660</v>
      </c>
      <c r="D138" s="601"/>
      <c r="E138" s="340" t="s">
        <v>585</v>
      </c>
      <c r="F138" s="340" t="s">
        <v>585</v>
      </c>
      <c r="G138" s="350">
        <v>23</v>
      </c>
      <c r="H138" s="350">
        <v>43</v>
      </c>
      <c r="I138" s="350">
        <v>191</v>
      </c>
      <c r="J138" s="350">
        <v>436</v>
      </c>
      <c r="K138" s="597"/>
      <c r="L138" s="328" t="s">
        <v>660</v>
      </c>
      <c r="M138" s="601"/>
      <c r="N138" s="350">
        <v>542</v>
      </c>
      <c r="O138" s="350">
        <v>456</v>
      </c>
      <c r="P138" s="350">
        <v>265</v>
      </c>
      <c r="Q138" s="350">
        <v>155</v>
      </c>
      <c r="R138" s="350">
        <v>20</v>
      </c>
      <c r="S138" s="350">
        <v>2</v>
      </c>
      <c r="T138" s="351">
        <v>2133</v>
      </c>
    </row>
    <row r="139" spans="2:20" ht="12.95" customHeight="1" x14ac:dyDescent="0.2">
      <c r="B139" s="597"/>
      <c r="C139" s="328" t="s">
        <v>425</v>
      </c>
      <c r="D139" s="601"/>
      <c r="E139" s="340" t="s">
        <v>585</v>
      </c>
      <c r="F139" s="340" t="s">
        <v>585</v>
      </c>
      <c r="G139" s="340" t="s">
        <v>585</v>
      </c>
      <c r="H139" s="350">
        <v>1</v>
      </c>
      <c r="I139" s="350">
        <v>3</v>
      </c>
      <c r="J139" s="350">
        <v>23</v>
      </c>
      <c r="K139" s="597"/>
      <c r="L139" s="328" t="s">
        <v>425</v>
      </c>
      <c r="M139" s="601"/>
      <c r="N139" s="350">
        <v>17</v>
      </c>
      <c r="O139" s="350">
        <v>7</v>
      </c>
      <c r="P139" s="350">
        <v>2</v>
      </c>
      <c r="Q139" s="340" t="s">
        <v>585</v>
      </c>
      <c r="R139" s="340" t="s">
        <v>585</v>
      </c>
      <c r="S139" s="340" t="s">
        <v>585</v>
      </c>
      <c r="T139" s="351">
        <v>53</v>
      </c>
    </row>
    <row r="140" spans="2:20" ht="12.95" customHeight="1" x14ac:dyDescent="0.2">
      <c r="B140" s="597"/>
      <c r="C140" s="328" t="s">
        <v>429</v>
      </c>
      <c r="D140" s="601"/>
      <c r="E140" s="340" t="s">
        <v>585</v>
      </c>
      <c r="F140" s="340" t="s">
        <v>585</v>
      </c>
      <c r="G140" s="340" t="s">
        <v>585</v>
      </c>
      <c r="H140" s="340" t="s">
        <v>585</v>
      </c>
      <c r="I140" s="350">
        <v>217</v>
      </c>
      <c r="J140" s="350">
        <v>621</v>
      </c>
      <c r="K140" s="597"/>
      <c r="L140" s="328" t="s">
        <v>429</v>
      </c>
      <c r="M140" s="601"/>
      <c r="N140" s="350">
        <v>1510</v>
      </c>
      <c r="O140" s="350">
        <v>1611</v>
      </c>
      <c r="P140" s="350">
        <v>870</v>
      </c>
      <c r="Q140" s="350">
        <v>264</v>
      </c>
      <c r="R140" s="350">
        <v>9</v>
      </c>
      <c r="S140" s="340" t="s">
        <v>585</v>
      </c>
      <c r="T140" s="351">
        <v>5102</v>
      </c>
    </row>
    <row r="141" spans="2:20" ht="12.95" customHeight="1" thickBot="1" x14ac:dyDescent="0.25">
      <c r="B141" s="597"/>
      <c r="C141" s="257" t="s">
        <v>17</v>
      </c>
      <c r="D141" s="333" t="s">
        <v>262</v>
      </c>
      <c r="E141" s="352">
        <v>1812</v>
      </c>
      <c r="F141" s="352">
        <v>1861</v>
      </c>
      <c r="G141" s="352">
        <v>9137</v>
      </c>
      <c r="H141" s="352">
        <v>146797</v>
      </c>
      <c r="I141" s="352">
        <v>405647</v>
      </c>
      <c r="J141" s="352">
        <v>533909</v>
      </c>
      <c r="K141" s="597"/>
      <c r="L141" s="257" t="s">
        <v>17</v>
      </c>
      <c r="M141" s="333" t="s">
        <v>262</v>
      </c>
      <c r="N141" s="352">
        <v>631302</v>
      </c>
      <c r="O141" s="352">
        <v>656618</v>
      </c>
      <c r="P141" s="352">
        <v>542832</v>
      </c>
      <c r="Q141" s="352">
        <v>273343</v>
      </c>
      <c r="R141" s="352">
        <v>12012</v>
      </c>
      <c r="S141" s="352">
        <v>6468</v>
      </c>
      <c r="T141" s="353">
        <v>3221738</v>
      </c>
    </row>
    <row r="142" spans="2:20" ht="12.95" customHeight="1" thickBot="1" x14ac:dyDescent="0.25">
      <c r="B142" s="268" t="s">
        <v>517</v>
      </c>
      <c r="C142" s="256" t="s">
        <v>661</v>
      </c>
      <c r="D142" s="334" t="s">
        <v>268</v>
      </c>
      <c r="E142" s="342" t="s">
        <v>585</v>
      </c>
      <c r="F142" s="342" t="s">
        <v>585</v>
      </c>
      <c r="G142" s="342" t="s">
        <v>585</v>
      </c>
      <c r="H142" s="342" t="s">
        <v>585</v>
      </c>
      <c r="I142" s="342" t="s">
        <v>585</v>
      </c>
      <c r="J142" s="343">
        <v>8</v>
      </c>
      <c r="K142" s="268" t="s">
        <v>517</v>
      </c>
      <c r="L142" s="256" t="s">
        <v>661</v>
      </c>
      <c r="M142" s="334" t="s">
        <v>268</v>
      </c>
      <c r="N142" s="342" t="s">
        <v>585</v>
      </c>
      <c r="O142" s="343">
        <v>148</v>
      </c>
      <c r="P142" s="342" t="s">
        <v>585</v>
      </c>
      <c r="Q142" s="342" t="s">
        <v>585</v>
      </c>
      <c r="R142" s="343">
        <v>5</v>
      </c>
      <c r="S142" s="342" t="s">
        <v>585</v>
      </c>
      <c r="T142" s="354">
        <v>161</v>
      </c>
    </row>
    <row r="143" spans="2:20" ht="12.95" customHeight="1" thickBot="1" x14ac:dyDescent="0.25">
      <c r="B143" s="339" t="s">
        <v>518</v>
      </c>
      <c r="C143" s="257" t="s">
        <v>430</v>
      </c>
      <c r="D143" s="333" t="s">
        <v>268</v>
      </c>
      <c r="E143" s="356" t="s">
        <v>585</v>
      </c>
      <c r="F143" s="352">
        <v>1</v>
      </c>
      <c r="G143" s="352">
        <v>9</v>
      </c>
      <c r="H143" s="352">
        <v>203</v>
      </c>
      <c r="I143" s="352">
        <v>160</v>
      </c>
      <c r="J143" s="352">
        <v>15</v>
      </c>
      <c r="K143" s="339" t="s">
        <v>518</v>
      </c>
      <c r="L143" s="257" t="s">
        <v>430</v>
      </c>
      <c r="M143" s="333" t="s">
        <v>268</v>
      </c>
      <c r="N143" s="352">
        <v>24</v>
      </c>
      <c r="O143" s="352">
        <v>93</v>
      </c>
      <c r="P143" s="352">
        <v>186</v>
      </c>
      <c r="Q143" s="352">
        <v>13</v>
      </c>
      <c r="R143" s="352">
        <v>18</v>
      </c>
      <c r="S143" s="352">
        <v>77</v>
      </c>
      <c r="T143" s="353">
        <v>799</v>
      </c>
    </row>
    <row r="144" spans="2:20" ht="12.95" customHeight="1" x14ac:dyDescent="0.2">
      <c r="B144" s="598" t="s">
        <v>519</v>
      </c>
      <c r="C144" s="327" t="s">
        <v>432</v>
      </c>
      <c r="D144" s="336" t="s">
        <v>267</v>
      </c>
      <c r="E144" s="344">
        <v>12</v>
      </c>
      <c r="F144" s="344">
        <v>12</v>
      </c>
      <c r="G144" s="344">
        <v>48</v>
      </c>
      <c r="H144" s="344">
        <v>8</v>
      </c>
      <c r="I144" s="344">
        <v>27</v>
      </c>
      <c r="J144" s="344">
        <v>35</v>
      </c>
      <c r="K144" s="598" t="s">
        <v>519</v>
      </c>
      <c r="L144" s="327" t="s">
        <v>432</v>
      </c>
      <c r="M144" s="336" t="s">
        <v>267</v>
      </c>
      <c r="N144" s="344">
        <v>20</v>
      </c>
      <c r="O144" s="344">
        <v>24</v>
      </c>
      <c r="P144" s="344">
        <v>20</v>
      </c>
      <c r="Q144" s="344">
        <v>27</v>
      </c>
      <c r="R144" s="344">
        <v>23</v>
      </c>
      <c r="S144" s="344">
        <v>36</v>
      </c>
      <c r="T144" s="345">
        <v>292</v>
      </c>
    </row>
    <row r="145" spans="2:20" ht="12.95" customHeight="1" x14ac:dyDescent="0.2">
      <c r="B145" s="599"/>
      <c r="C145" s="250" t="s">
        <v>662</v>
      </c>
      <c r="D145" s="337" t="s">
        <v>268</v>
      </c>
      <c r="E145" s="346">
        <v>2</v>
      </c>
      <c r="F145" s="341" t="s">
        <v>585</v>
      </c>
      <c r="G145" s="346">
        <v>7</v>
      </c>
      <c r="H145" s="346">
        <v>198</v>
      </c>
      <c r="I145" s="341" t="s">
        <v>585</v>
      </c>
      <c r="J145" s="346">
        <v>1100</v>
      </c>
      <c r="K145" s="599"/>
      <c r="L145" s="250" t="s">
        <v>662</v>
      </c>
      <c r="M145" s="337" t="s">
        <v>268</v>
      </c>
      <c r="N145" s="346">
        <v>2726</v>
      </c>
      <c r="O145" s="346">
        <v>2000</v>
      </c>
      <c r="P145" s="346">
        <v>517</v>
      </c>
      <c r="Q145" s="346">
        <v>495</v>
      </c>
      <c r="R145" s="341" t="s">
        <v>585</v>
      </c>
      <c r="S145" s="346">
        <v>123</v>
      </c>
      <c r="T145" s="347">
        <v>7168</v>
      </c>
    </row>
    <row r="146" spans="2:20" ht="12.95" customHeight="1" x14ac:dyDescent="0.2">
      <c r="B146" s="599"/>
      <c r="C146" s="250" t="s">
        <v>431</v>
      </c>
      <c r="D146" s="337" t="s">
        <v>267</v>
      </c>
      <c r="E146" s="346">
        <v>164</v>
      </c>
      <c r="F146" s="346">
        <v>126</v>
      </c>
      <c r="G146" s="346">
        <v>196</v>
      </c>
      <c r="H146" s="346">
        <v>67</v>
      </c>
      <c r="I146" s="346">
        <v>220</v>
      </c>
      <c r="J146" s="346">
        <v>43</v>
      </c>
      <c r="K146" s="599"/>
      <c r="L146" s="250" t="s">
        <v>431</v>
      </c>
      <c r="M146" s="337" t="s">
        <v>267</v>
      </c>
      <c r="N146" s="346">
        <v>306</v>
      </c>
      <c r="O146" s="346">
        <v>103</v>
      </c>
      <c r="P146" s="346">
        <v>69</v>
      </c>
      <c r="Q146" s="346">
        <v>221</v>
      </c>
      <c r="R146" s="346">
        <v>66</v>
      </c>
      <c r="S146" s="346">
        <v>201</v>
      </c>
      <c r="T146" s="347">
        <v>1782</v>
      </c>
    </row>
    <row r="147" spans="2:20" ht="12.95" customHeight="1" thickBot="1" x14ac:dyDescent="0.25">
      <c r="B147" s="600"/>
      <c r="C147" s="331" t="s">
        <v>17</v>
      </c>
      <c r="D147" s="332" t="s">
        <v>262</v>
      </c>
      <c r="E147" s="348">
        <v>178</v>
      </c>
      <c r="F147" s="348">
        <v>138</v>
      </c>
      <c r="G147" s="348">
        <v>251</v>
      </c>
      <c r="H147" s="348">
        <v>273</v>
      </c>
      <c r="I147" s="348">
        <v>247</v>
      </c>
      <c r="J147" s="348">
        <v>1178</v>
      </c>
      <c r="K147" s="600"/>
      <c r="L147" s="331" t="s">
        <v>17</v>
      </c>
      <c r="M147" s="332" t="s">
        <v>262</v>
      </c>
      <c r="N147" s="348">
        <v>3052</v>
      </c>
      <c r="O147" s="348">
        <v>2127</v>
      </c>
      <c r="P147" s="348">
        <v>606</v>
      </c>
      <c r="Q147" s="348">
        <v>743</v>
      </c>
      <c r="R147" s="348">
        <v>89</v>
      </c>
      <c r="S147" s="348">
        <v>360</v>
      </c>
      <c r="T147" s="349">
        <v>9242</v>
      </c>
    </row>
    <row r="148" spans="2:20" ht="12.95" customHeight="1" thickBot="1" x14ac:dyDescent="0.25">
      <c r="B148" s="339" t="s">
        <v>520</v>
      </c>
      <c r="C148" s="257" t="s">
        <v>663</v>
      </c>
      <c r="D148" s="333" t="s">
        <v>267</v>
      </c>
      <c r="E148" s="340" t="s">
        <v>585</v>
      </c>
      <c r="F148" s="340" t="s">
        <v>585</v>
      </c>
      <c r="G148" s="340" t="s">
        <v>585</v>
      </c>
      <c r="H148" s="340" t="s">
        <v>585</v>
      </c>
      <c r="I148" s="352">
        <v>3</v>
      </c>
      <c r="J148" s="356" t="s">
        <v>585</v>
      </c>
      <c r="K148" s="339" t="s">
        <v>520</v>
      </c>
      <c r="L148" s="257" t="s">
        <v>663</v>
      </c>
      <c r="M148" s="333" t="s">
        <v>267</v>
      </c>
      <c r="N148" s="356" t="s">
        <v>585</v>
      </c>
      <c r="O148" s="356" t="s">
        <v>585</v>
      </c>
      <c r="P148" s="356" t="s">
        <v>585</v>
      </c>
      <c r="Q148" s="352">
        <v>4</v>
      </c>
      <c r="R148" s="356" t="s">
        <v>585</v>
      </c>
      <c r="S148" s="352">
        <v>1</v>
      </c>
      <c r="T148" s="353">
        <v>8</v>
      </c>
    </row>
    <row r="149" spans="2:20" ht="12.95" customHeight="1" thickBot="1" x14ac:dyDescent="0.25">
      <c r="B149" s="268" t="s">
        <v>521</v>
      </c>
      <c r="C149" s="256" t="s">
        <v>433</v>
      </c>
      <c r="D149" s="334" t="s">
        <v>267</v>
      </c>
      <c r="E149" s="343">
        <v>537</v>
      </c>
      <c r="F149" s="343">
        <v>480</v>
      </c>
      <c r="G149" s="343">
        <v>440</v>
      </c>
      <c r="H149" s="343">
        <v>443</v>
      </c>
      <c r="I149" s="343">
        <v>346</v>
      </c>
      <c r="J149" s="343">
        <v>118</v>
      </c>
      <c r="K149" s="268" t="s">
        <v>521</v>
      </c>
      <c r="L149" s="256" t="s">
        <v>433</v>
      </c>
      <c r="M149" s="334" t="s">
        <v>267</v>
      </c>
      <c r="N149" s="343">
        <v>930</v>
      </c>
      <c r="O149" s="343">
        <v>1674</v>
      </c>
      <c r="P149" s="343">
        <v>1527</v>
      </c>
      <c r="Q149" s="343">
        <v>439</v>
      </c>
      <c r="R149" s="343">
        <v>384</v>
      </c>
      <c r="S149" s="343">
        <v>1503</v>
      </c>
      <c r="T149" s="354">
        <v>8821</v>
      </c>
    </row>
    <row r="150" spans="2:20" ht="12.95" customHeight="1" x14ac:dyDescent="0.2">
      <c r="B150" s="597" t="s">
        <v>522</v>
      </c>
      <c r="C150" s="328" t="s">
        <v>434</v>
      </c>
      <c r="D150" s="601" t="s">
        <v>267</v>
      </c>
      <c r="E150" s="350">
        <v>153</v>
      </c>
      <c r="F150" s="350">
        <v>263</v>
      </c>
      <c r="G150" s="350">
        <v>286</v>
      </c>
      <c r="H150" s="350">
        <v>216</v>
      </c>
      <c r="I150" s="350">
        <v>311</v>
      </c>
      <c r="J150" s="350">
        <v>259</v>
      </c>
      <c r="K150" s="597" t="s">
        <v>522</v>
      </c>
      <c r="L150" s="328" t="s">
        <v>434</v>
      </c>
      <c r="M150" s="601" t="s">
        <v>267</v>
      </c>
      <c r="N150" s="350">
        <v>379</v>
      </c>
      <c r="O150" s="350">
        <v>293</v>
      </c>
      <c r="P150" s="350">
        <v>281</v>
      </c>
      <c r="Q150" s="350">
        <v>302</v>
      </c>
      <c r="R150" s="350">
        <v>391</v>
      </c>
      <c r="S150" s="350">
        <v>414</v>
      </c>
      <c r="T150" s="351">
        <v>3548</v>
      </c>
    </row>
    <row r="151" spans="2:20" ht="12.95" customHeight="1" x14ac:dyDescent="0.2">
      <c r="B151" s="597"/>
      <c r="C151" s="328" t="s">
        <v>664</v>
      </c>
      <c r="D151" s="601"/>
      <c r="E151" s="350">
        <v>1942</v>
      </c>
      <c r="F151" s="350">
        <v>1987</v>
      </c>
      <c r="G151" s="350">
        <v>2063</v>
      </c>
      <c r="H151" s="350">
        <v>1951</v>
      </c>
      <c r="I151" s="350">
        <v>1934</v>
      </c>
      <c r="J151" s="350">
        <v>1948</v>
      </c>
      <c r="K151" s="597"/>
      <c r="L151" s="328" t="s">
        <v>664</v>
      </c>
      <c r="M151" s="601"/>
      <c r="N151" s="350">
        <v>3084</v>
      </c>
      <c r="O151" s="350">
        <v>2389</v>
      </c>
      <c r="P151" s="350">
        <v>2265</v>
      </c>
      <c r="Q151" s="350">
        <v>2771</v>
      </c>
      <c r="R151" s="350">
        <v>2235</v>
      </c>
      <c r="S151" s="350">
        <v>3085</v>
      </c>
      <c r="T151" s="351">
        <v>27654</v>
      </c>
    </row>
    <row r="152" spans="2:20" ht="12.95" customHeight="1" x14ac:dyDescent="0.2">
      <c r="B152" s="597"/>
      <c r="C152" s="328" t="s">
        <v>362</v>
      </c>
      <c r="D152" s="601"/>
      <c r="E152" s="350">
        <v>64</v>
      </c>
      <c r="F152" s="350">
        <v>86</v>
      </c>
      <c r="G152" s="350">
        <v>53</v>
      </c>
      <c r="H152" s="350">
        <v>43</v>
      </c>
      <c r="I152" s="350">
        <v>30</v>
      </c>
      <c r="J152" s="350">
        <v>39</v>
      </c>
      <c r="K152" s="597"/>
      <c r="L152" s="328" t="s">
        <v>362</v>
      </c>
      <c r="M152" s="601"/>
      <c r="N152" s="350">
        <v>55</v>
      </c>
      <c r="O152" s="350">
        <v>14</v>
      </c>
      <c r="P152" s="350">
        <v>29</v>
      </c>
      <c r="Q152" s="350">
        <v>18</v>
      </c>
      <c r="R152" s="350">
        <v>10</v>
      </c>
      <c r="S152" s="350">
        <v>30</v>
      </c>
      <c r="T152" s="351">
        <v>471</v>
      </c>
    </row>
    <row r="153" spans="2:20" ht="12.95" customHeight="1" x14ac:dyDescent="0.2">
      <c r="B153" s="597"/>
      <c r="C153" s="328" t="s">
        <v>665</v>
      </c>
      <c r="D153" s="338" t="s">
        <v>268</v>
      </c>
      <c r="E153" s="350">
        <v>508</v>
      </c>
      <c r="F153" s="350">
        <v>712</v>
      </c>
      <c r="G153" s="350">
        <v>950</v>
      </c>
      <c r="H153" s="350">
        <v>1728</v>
      </c>
      <c r="I153" s="350">
        <v>1661</v>
      </c>
      <c r="J153" s="350">
        <v>4375</v>
      </c>
      <c r="K153" s="597"/>
      <c r="L153" s="328" t="s">
        <v>665</v>
      </c>
      <c r="M153" s="338" t="s">
        <v>268</v>
      </c>
      <c r="N153" s="350">
        <v>9698</v>
      </c>
      <c r="O153" s="350">
        <v>9849</v>
      </c>
      <c r="P153" s="350">
        <v>5366</v>
      </c>
      <c r="Q153" s="350">
        <v>3352</v>
      </c>
      <c r="R153" s="350">
        <v>2050</v>
      </c>
      <c r="S153" s="350">
        <v>3013</v>
      </c>
      <c r="T153" s="351">
        <v>43262</v>
      </c>
    </row>
    <row r="154" spans="2:20" ht="12.95" customHeight="1" thickBot="1" x14ac:dyDescent="0.25">
      <c r="B154" s="597"/>
      <c r="C154" s="257" t="s">
        <v>17</v>
      </c>
      <c r="D154" s="333" t="s">
        <v>262</v>
      </c>
      <c r="E154" s="352">
        <v>2667</v>
      </c>
      <c r="F154" s="352">
        <v>3048</v>
      </c>
      <c r="G154" s="352">
        <v>3352</v>
      </c>
      <c r="H154" s="352">
        <v>3938</v>
      </c>
      <c r="I154" s="352">
        <v>3936</v>
      </c>
      <c r="J154" s="352">
        <v>6621</v>
      </c>
      <c r="K154" s="597"/>
      <c r="L154" s="257" t="s">
        <v>17</v>
      </c>
      <c r="M154" s="333" t="s">
        <v>262</v>
      </c>
      <c r="N154" s="352">
        <v>13216</v>
      </c>
      <c r="O154" s="352">
        <v>12545</v>
      </c>
      <c r="P154" s="352">
        <v>7941</v>
      </c>
      <c r="Q154" s="352">
        <v>6443</v>
      </c>
      <c r="R154" s="352">
        <v>4686</v>
      </c>
      <c r="S154" s="352">
        <v>6542</v>
      </c>
      <c r="T154" s="353">
        <v>74935</v>
      </c>
    </row>
    <row r="155" spans="2:20" ht="12.95" customHeight="1" x14ac:dyDescent="0.2">
      <c r="B155" s="598" t="s">
        <v>523</v>
      </c>
      <c r="C155" s="327" t="s">
        <v>666</v>
      </c>
      <c r="D155" s="336" t="s">
        <v>267</v>
      </c>
      <c r="E155" s="344">
        <v>4</v>
      </c>
      <c r="F155" s="344">
        <v>2</v>
      </c>
      <c r="G155" s="355" t="s">
        <v>585</v>
      </c>
      <c r="H155" s="344">
        <v>5</v>
      </c>
      <c r="I155" s="355" t="s">
        <v>585</v>
      </c>
      <c r="J155" s="344">
        <v>7</v>
      </c>
      <c r="K155" s="598" t="s">
        <v>523</v>
      </c>
      <c r="L155" s="327" t="s">
        <v>666</v>
      </c>
      <c r="M155" s="336" t="s">
        <v>267</v>
      </c>
      <c r="N155" s="355" t="s">
        <v>585</v>
      </c>
      <c r="O155" s="344">
        <v>22</v>
      </c>
      <c r="P155" s="344">
        <v>4</v>
      </c>
      <c r="Q155" s="344">
        <v>7</v>
      </c>
      <c r="R155" s="344">
        <v>6</v>
      </c>
      <c r="S155" s="344">
        <v>5</v>
      </c>
      <c r="T155" s="345">
        <v>62</v>
      </c>
    </row>
    <row r="156" spans="2:20" ht="12.95" customHeight="1" x14ac:dyDescent="0.2">
      <c r="B156" s="599"/>
      <c r="C156" s="250" t="s">
        <v>667</v>
      </c>
      <c r="D156" s="337" t="s">
        <v>268</v>
      </c>
      <c r="E156" s="346">
        <v>2</v>
      </c>
      <c r="F156" s="346">
        <v>2</v>
      </c>
      <c r="G156" s="346">
        <v>5</v>
      </c>
      <c r="H156" s="341" t="s">
        <v>585</v>
      </c>
      <c r="I156" s="346">
        <v>6</v>
      </c>
      <c r="J156" s="346">
        <v>11</v>
      </c>
      <c r="K156" s="599"/>
      <c r="L156" s="250" t="s">
        <v>667</v>
      </c>
      <c r="M156" s="337" t="s">
        <v>268</v>
      </c>
      <c r="N156" s="341" t="s">
        <v>585</v>
      </c>
      <c r="O156" s="346">
        <v>3</v>
      </c>
      <c r="P156" s="341" t="s">
        <v>585</v>
      </c>
      <c r="Q156" s="341" t="s">
        <v>585</v>
      </c>
      <c r="R156" s="341" t="s">
        <v>585</v>
      </c>
      <c r="S156" s="341" t="s">
        <v>585</v>
      </c>
      <c r="T156" s="347">
        <v>29</v>
      </c>
    </row>
    <row r="157" spans="2:20" ht="12.95" customHeight="1" thickBot="1" x14ac:dyDescent="0.25">
      <c r="B157" s="600"/>
      <c r="C157" s="331" t="s">
        <v>17</v>
      </c>
      <c r="D157" s="332" t="s">
        <v>262</v>
      </c>
      <c r="E157" s="348">
        <v>6</v>
      </c>
      <c r="F157" s="348">
        <v>4</v>
      </c>
      <c r="G157" s="348">
        <v>5</v>
      </c>
      <c r="H157" s="348">
        <v>5</v>
      </c>
      <c r="I157" s="348">
        <v>6</v>
      </c>
      <c r="J157" s="348">
        <v>18</v>
      </c>
      <c r="K157" s="600"/>
      <c r="L157" s="331" t="s">
        <v>17</v>
      </c>
      <c r="M157" s="332" t="s">
        <v>262</v>
      </c>
      <c r="N157" s="357" t="s">
        <v>585</v>
      </c>
      <c r="O157" s="348">
        <v>25</v>
      </c>
      <c r="P157" s="348">
        <v>4</v>
      </c>
      <c r="Q157" s="348">
        <v>7</v>
      </c>
      <c r="R157" s="348">
        <v>6</v>
      </c>
      <c r="S157" s="348">
        <v>5</v>
      </c>
      <c r="T157" s="349">
        <v>91</v>
      </c>
    </row>
    <row r="158" spans="2:20" ht="12.95" customHeight="1" thickBot="1" x14ac:dyDescent="0.25">
      <c r="B158" s="339" t="s">
        <v>524</v>
      </c>
      <c r="C158" s="257" t="s">
        <v>668</v>
      </c>
      <c r="D158" s="333" t="s">
        <v>268</v>
      </c>
      <c r="E158" s="356" t="s">
        <v>585</v>
      </c>
      <c r="F158" s="352">
        <v>2</v>
      </c>
      <c r="G158" s="356" t="s">
        <v>585</v>
      </c>
      <c r="H158" s="356" t="s">
        <v>585</v>
      </c>
      <c r="I158" s="356" t="s">
        <v>585</v>
      </c>
      <c r="J158" s="352">
        <v>2</v>
      </c>
      <c r="K158" s="339" t="s">
        <v>524</v>
      </c>
      <c r="L158" s="257" t="s">
        <v>668</v>
      </c>
      <c r="M158" s="333" t="s">
        <v>268</v>
      </c>
      <c r="N158" s="352">
        <v>1</v>
      </c>
      <c r="O158" s="352">
        <v>10</v>
      </c>
      <c r="P158" s="356" t="s">
        <v>585</v>
      </c>
      <c r="Q158" s="352">
        <v>249</v>
      </c>
      <c r="R158" s="352">
        <v>1</v>
      </c>
      <c r="S158" s="356" t="s">
        <v>585</v>
      </c>
      <c r="T158" s="353">
        <v>265</v>
      </c>
    </row>
    <row r="159" spans="2:20" ht="12.95" customHeight="1" x14ac:dyDescent="0.2">
      <c r="B159" s="598" t="s">
        <v>527</v>
      </c>
      <c r="C159" s="327" t="s">
        <v>435</v>
      </c>
      <c r="D159" s="336" t="s">
        <v>268</v>
      </c>
      <c r="E159" s="344">
        <v>103</v>
      </c>
      <c r="F159" s="344">
        <v>235</v>
      </c>
      <c r="G159" s="344">
        <v>165</v>
      </c>
      <c r="H159" s="344">
        <v>481</v>
      </c>
      <c r="I159" s="344">
        <v>255</v>
      </c>
      <c r="J159" s="344">
        <v>41</v>
      </c>
      <c r="K159" s="598" t="s">
        <v>527</v>
      </c>
      <c r="L159" s="327" t="s">
        <v>435</v>
      </c>
      <c r="M159" s="336" t="s">
        <v>268</v>
      </c>
      <c r="N159" s="344">
        <v>150</v>
      </c>
      <c r="O159" s="344">
        <v>50</v>
      </c>
      <c r="P159" s="344">
        <v>71</v>
      </c>
      <c r="Q159" s="344">
        <v>6</v>
      </c>
      <c r="R159" s="344">
        <v>68</v>
      </c>
      <c r="S159" s="344">
        <v>104</v>
      </c>
      <c r="T159" s="345">
        <v>1729</v>
      </c>
    </row>
    <row r="160" spans="2:20" ht="12.95" customHeight="1" x14ac:dyDescent="0.2">
      <c r="B160" s="599"/>
      <c r="C160" s="250" t="s">
        <v>669</v>
      </c>
      <c r="D160" s="602" t="s">
        <v>267</v>
      </c>
      <c r="E160" s="346">
        <v>267</v>
      </c>
      <c r="F160" s="346">
        <v>237</v>
      </c>
      <c r="G160" s="346">
        <v>239</v>
      </c>
      <c r="H160" s="346">
        <v>257</v>
      </c>
      <c r="I160" s="346">
        <v>241</v>
      </c>
      <c r="J160" s="346">
        <v>240</v>
      </c>
      <c r="K160" s="599"/>
      <c r="L160" s="250" t="s">
        <v>669</v>
      </c>
      <c r="M160" s="602" t="s">
        <v>267</v>
      </c>
      <c r="N160" s="346">
        <v>468</v>
      </c>
      <c r="O160" s="346">
        <v>298</v>
      </c>
      <c r="P160" s="346">
        <v>309</v>
      </c>
      <c r="Q160" s="346">
        <v>220</v>
      </c>
      <c r="R160" s="346">
        <v>211</v>
      </c>
      <c r="S160" s="346">
        <v>225</v>
      </c>
      <c r="T160" s="347">
        <v>3212</v>
      </c>
    </row>
    <row r="161" spans="1:20" ht="12.95" customHeight="1" x14ac:dyDescent="0.2">
      <c r="B161" s="599"/>
      <c r="C161" s="250" t="s">
        <v>670</v>
      </c>
      <c r="D161" s="602"/>
      <c r="E161" s="346">
        <v>1582</v>
      </c>
      <c r="F161" s="346">
        <v>1429</v>
      </c>
      <c r="G161" s="346">
        <v>1695</v>
      </c>
      <c r="H161" s="346">
        <v>1546</v>
      </c>
      <c r="I161" s="346">
        <v>2084</v>
      </c>
      <c r="J161" s="346">
        <v>1844</v>
      </c>
      <c r="K161" s="599"/>
      <c r="L161" s="250" t="s">
        <v>670</v>
      </c>
      <c r="M161" s="602"/>
      <c r="N161" s="346">
        <v>1481</v>
      </c>
      <c r="O161" s="346">
        <v>1532</v>
      </c>
      <c r="P161" s="346">
        <v>1852</v>
      </c>
      <c r="Q161" s="346">
        <v>1574</v>
      </c>
      <c r="R161" s="346">
        <v>1330</v>
      </c>
      <c r="S161" s="346">
        <v>1781</v>
      </c>
      <c r="T161" s="347">
        <v>19730</v>
      </c>
    </row>
    <row r="162" spans="1:20" ht="12.95" customHeight="1" thickBot="1" x14ac:dyDescent="0.25">
      <c r="B162" s="600"/>
      <c r="C162" s="331" t="s">
        <v>17</v>
      </c>
      <c r="D162" s="332" t="s">
        <v>262</v>
      </c>
      <c r="E162" s="348">
        <v>1952</v>
      </c>
      <c r="F162" s="348">
        <v>1901</v>
      </c>
      <c r="G162" s="348">
        <v>2099</v>
      </c>
      <c r="H162" s="348">
        <v>2284</v>
      </c>
      <c r="I162" s="348">
        <v>2580</v>
      </c>
      <c r="J162" s="348">
        <v>2125</v>
      </c>
      <c r="K162" s="600"/>
      <c r="L162" s="331" t="s">
        <v>17</v>
      </c>
      <c r="M162" s="332" t="s">
        <v>262</v>
      </c>
      <c r="N162" s="348">
        <v>2099</v>
      </c>
      <c r="O162" s="348">
        <v>1880</v>
      </c>
      <c r="P162" s="348">
        <v>2232</v>
      </c>
      <c r="Q162" s="348">
        <v>1800</v>
      </c>
      <c r="R162" s="348">
        <v>1609</v>
      </c>
      <c r="S162" s="348">
        <v>2110</v>
      </c>
      <c r="T162" s="349">
        <v>24671</v>
      </c>
    </row>
    <row r="163" spans="1:20" ht="12.75" customHeight="1" x14ac:dyDescent="0.2">
      <c r="A163" s="251"/>
      <c r="B163" s="597" t="s">
        <v>528</v>
      </c>
      <c r="C163" s="328" t="s">
        <v>671</v>
      </c>
      <c r="D163" s="338" t="s">
        <v>267</v>
      </c>
      <c r="E163" s="350">
        <v>837</v>
      </c>
      <c r="F163" s="350">
        <v>537</v>
      </c>
      <c r="G163" s="350">
        <v>490</v>
      </c>
      <c r="H163" s="350">
        <v>447</v>
      </c>
      <c r="I163" s="350">
        <v>545</v>
      </c>
      <c r="J163" s="350">
        <v>500</v>
      </c>
      <c r="K163" s="597" t="s">
        <v>528</v>
      </c>
      <c r="L163" s="328" t="s">
        <v>671</v>
      </c>
      <c r="M163" s="338" t="s">
        <v>267</v>
      </c>
      <c r="N163" s="350">
        <v>654</v>
      </c>
      <c r="O163" s="350">
        <v>582</v>
      </c>
      <c r="P163" s="350">
        <v>811</v>
      </c>
      <c r="Q163" s="350">
        <v>1283</v>
      </c>
      <c r="R163" s="350">
        <v>961</v>
      </c>
      <c r="S163" s="350">
        <v>1126</v>
      </c>
      <c r="T163" s="351">
        <v>8773</v>
      </c>
    </row>
    <row r="164" spans="1:20" ht="12" customHeight="1" x14ac:dyDescent="0.2">
      <c r="A164" s="251"/>
      <c r="B164" s="597"/>
      <c r="C164" s="328" t="s">
        <v>672</v>
      </c>
      <c r="D164" s="338" t="s">
        <v>268</v>
      </c>
      <c r="E164" s="350">
        <v>3442</v>
      </c>
      <c r="F164" s="350">
        <v>2345</v>
      </c>
      <c r="G164" s="350">
        <v>2209</v>
      </c>
      <c r="H164" s="350">
        <v>5732</v>
      </c>
      <c r="I164" s="350">
        <v>1877</v>
      </c>
      <c r="J164" s="350">
        <v>35953</v>
      </c>
      <c r="K164" s="597"/>
      <c r="L164" s="328" t="s">
        <v>672</v>
      </c>
      <c r="M164" s="338" t="s">
        <v>268</v>
      </c>
      <c r="N164" s="350">
        <v>62485</v>
      </c>
      <c r="O164" s="350">
        <v>53867</v>
      </c>
      <c r="P164" s="350">
        <v>12758</v>
      </c>
      <c r="Q164" s="350">
        <v>2373</v>
      </c>
      <c r="R164" s="350">
        <v>1919</v>
      </c>
      <c r="S164" s="350">
        <v>2525</v>
      </c>
      <c r="T164" s="351">
        <v>187485</v>
      </c>
    </row>
    <row r="165" spans="1:20" ht="12.75" customHeight="1" thickBot="1" x14ac:dyDescent="0.25">
      <c r="A165" s="251"/>
      <c r="B165" s="597"/>
      <c r="C165" s="257" t="s">
        <v>17</v>
      </c>
      <c r="D165" s="333" t="s">
        <v>262</v>
      </c>
      <c r="E165" s="352">
        <v>4279</v>
      </c>
      <c r="F165" s="352">
        <v>2882</v>
      </c>
      <c r="G165" s="352">
        <v>2699</v>
      </c>
      <c r="H165" s="352">
        <v>6179</v>
      </c>
      <c r="I165" s="352">
        <v>2422</v>
      </c>
      <c r="J165" s="352">
        <v>36453</v>
      </c>
      <c r="K165" s="597"/>
      <c r="L165" s="257" t="s">
        <v>17</v>
      </c>
      <c r="M165" s="333" t="s">
        <v>262</v>
      </c>
      <c r="N165" s="352">
        <v>63139</v>
      </c>
      <c r="O165" s="352">
        <v>54449</v>
      </c>
      <c r="P165" s="352">
        <v>13569</v>
      </c>
      <c r="Q165" s="352">
        <v>3656</v>
      </c>
      <c r="R165" s="352">
        <v>2880</v>
      </c>
      <c r="S165" s="352">
        <v>3651</v>
      </c>
      <c r="T165" s="353">
        <v>196258</v>
      </c>
    </row>
    <row r="166" spans="1:20" ht="12.75" customHeight="1" x14ac:dyDescent="0.2">
      <c r="A166" s="251"/>
      <c r="B166" s="598" t="s">
        <v>525</v>
      </c>
      <c r="C166" s="327" t="s">
        <v>436</v>
      </c>
      <c r="D166" s="336" t="s">
        <v>268</v>
      </c>
      <c r="E166" s="344">
        <v>1</v>
      </c>
      <c r="F166" s="344">
        <v>4</v>
      </c>
      <c r="G166" s="344">
        <v>2</v>
      </c>
      <c r="H166" s="344">
        <v>3</v>
      </c>
      <c r="I166" s="344">
        <v>1</v>
      </c>
      <c r="J166" s="344">
        <v>6</v>
      </c>
      <c r="K166" s="598" t="s">
        <v>525</v>
      </c>
      <c r="L166" s="327" t="s">
        <v>436</v>
      </c>
      <c r="M166" s="336" t="s">
        <v>268</v>
      </c>
      <c r="N166" s="344">
        <v>6</v>
      </c>
      <c r="O166" s="344">
        <v>1</v>
      </c>
      <c r="P166" s="344">
        <v>1</v>
      </c>
      <c r="Q166" s="355" t="s">
        <v>585</v>
      </c>
      <c r="R166" s="344">
        <v>3</v>
      </c>
      <c r="S166" s="355" t="s">
        <v>585</v>
      </c>
      <c r="T166" s="345">
        <v>28</v>
      </c>
    </row>
    <row r="167" spans="1:20" ht="12.75" customHeight="1" x14ac:dyDescent="0.2">
      <c r="A167" s="251"/>
      <c r="B167" s="599"/>
      <c r="C167" s="250" t="s">
        <v>673</v>
      </c>
      <c r="D167" s="337" t="s">
        <v>269</v>
      </c>
      <c r="E167" s="341" t="s">
        <v>585</v>
      </c>
      <c r="F167" s="341" t="s">
        <v>585</v>
      </c>
      <c r="G167" s="341" t="s">
        <v>585</v>
      </c>
      <c r="H167" s="341" t="s">
        <v>585</v>
      </c>
      <c r="I167" s="341" t="s">
        <v>585</v>
      </c>
      <c r="J167" s="341" t="s">
        <v>585</v>
      </c>
      <c r="K167" s="599"/>
      <c r="L167" s="250" t="s">
        <v>673</v>
      </c>
      <c r="M167" s="337" t="s">
        <v>269</v>
      </c>
      <c r="N167" s="341" t="s">
        <v>585</v>
      </c>
      <c r="O167" s="341" t="s">
        <v>585</v>
      </c>
      <c r="P167" s="341" t="s">
        <v>585</v>
      </c>
      <c r="Q167" s="341" t="s">
        <v>585</v>
      </c>
      <c r="R167" s="341" t="s">
        <v>585</v>
      </c>
      <c r="S167" s="346">
        <v>3</v>
      </c>
      <c r="T167" s="347">
        <v>3</v>
      </c>
    </row>
    <row r="168" spans="1:20" ht="13.5" customHeight="1" thickBot="1" x14ac:dyDescent="0.25">
      <c r="A168" s="251"/>
      <c r="B168" s="600"/>
      <c r="C168" s="331" t="s">
        <v>17</v>
      </c>
      <c r="D168" s="332" t="s">
        <v>262</v>
      </c>
      <c r="E168" s="348">
        <v>1</v>
      </c>
      <c r="F168" s="348">
        <v>4</v>
      </c>
      <c r="G168" s="348">
        <v>2</v>
      </c>
      <c r="H168" s="348">
        <v>3</v>
      </c>
      <c r="I168" s="348">
        <v>1</v>
      </c>
      <c r="J168" s="348">
        <v>6</v>
      </c>
      <c r="K168" s="600"/>
      <c r="L168" s="331" t="s">
        <v>17</v>
      </c>
      <c r="M168" s="332" t="s">
        <v>262</v>
      </c>
      <c r="N168" s="348">
        <v>6</v>
      </c>
      <c r="O168" s="348">
        <v>1</v>
      </c>
      <c r="P168" s="348">
        <v>1</v>
      </c>
      <c r="Q168" s="357" t="s">
        <v>585</v>
      </c>
      <c r="R168" s="348">
        <v>3</v>
      </c>
      <c r="S168" s="348">
        <v>3</v>
      </c>
      <c r="T168" s="349">
        <v>31</v>
      </c>
    </row>
    <row r="169" spans="1:20" ht="12.75" thickBot="1" x14ac:dyDescent="0.25">
      <c r="A169" s="251"/>
      <c r="B169" s="339" t="s">
        <v>529</v>
      </c>
      <c r="C169" s="257" t="s">
        <v>674</v>
      </c>
      <c r="D169" s="333" t="s">
        <v>268</v>
      </c>
      <c r="E169" s="356" t="s">
        <v>585</v>
      </c>
      <c r="F169" s="356" t="s">
        <v>585</v>
      </c>
      <c r="G169" s="352">
        <v>4</v>
      </c>
      <c r="H169" s="356" t="s">
        <v>585</v>
      </c>
      <c r="I169" s="356" t="s">
        <v>585</v>
      </c>
      <c r="J169" s="356" t="s">
        <v>585</v>
      </c>
      <c r="K169" s="339" t="s">
        <v>529</v>
      </c>
      <c r="L169" s="257" t="s">
        <v>674</v>
      </c>
      <c r="M169" s="333" t="s">
        <v>268</v>
      </c>
      <c r="N169" s="356" t="s">
        <v>585</v>
      </c>
      <c r="O169" s="356" t="s">
        <v>585</v>
      </c>
      <c r="P169" s="356" t="s">
        <v>585</v>
      </c>
      <c r="Q169" s="356" t="s">
        <v>585</v>
      </c>
      <c r="R169" s="356" t="s">
        <v>585</v>
      </c>
      <c r="S169" s="356" t="s">
        <v>585</v>
      </c>
      <c r="T169" s="353">
        <v>4</v>
      </c>
    </row>
    <row r="170" spans="1:20" x14ac:dyDescent="0.2">
      <c r="A170" s="251"/>
      <c r="B170" s="598" t="s">
        <v>530</v>
      </c>
      <c r="C170" s="327" t="s">
        <v>437</v>
      </c>
      <c r="D170" s="336" t="s">
        <v>270</v>
      </c>
      <c r="E170" s="344">
        <v>112</v>
      </c>
      <c r="F170" s="344">
        <v>83</v>
      </c>
      <c r="G170" s="344">
        <v>295</v>
      </c>
      <c r="H170" s="344">
        <v>111</v>
      </c>
      <c r="I170" s="344">
        <v>98</v>
      </c>
      <c r="J170" s="344">
        <v>209</v>
      </c>
      <c r="K170" s="598" t="s">
        <v>530</v>
      </c>
      <c r="L170" s="327" t="s">
        <v>437</v>
      </c>
      <c r="M170" s="336" t="s">
        <v>270</v>
      </c>
      <c r="N170" s="344">
        <v>854</v>
      </c>
      <c r="O170" s="344">
        <v>1881</v>
      </c>
      <c r="P170" s="344">
        <v>2178</v>
      </c>
      <c r="Q170" s="344">
        <v>1834</v>
      </c>
      <c r="R170" s="344">
        <v>909</v>
      </c>
      <c r="S170" s="344">
        <v>1109</v>
      </c>
      <c r="T170" s="345">
        <v>9673</v>
      </c>
    </row>
    <row r="171" spans="1:20" x14ac:dyDescent="0.2">
      <c r="A171" s="251"/>
      <c r="B171" s="599"/>
      <c r="C171" s="250" t="s">
        <v>438</v>
      </c>
      <c r="D171" s="337" t="s">
        <v>269</v>
      </c>
      <c r="E171" s="346">
        <v>6168</v>
      </c>
      <c r="F171" s="346">
        <v>12593</v>
      </c>
      <c r="G171" s="346">
        <v>29951</v>
      </c>
      <c r="H171" s="346">
        <v>8331</v>
      </c>
      <c r="I171" s="346">
        <v>11424</v>
      </c>
      <c r="J171" s="346">
        <v>26742</v>
      </c>
      <c r="K171" s="599"/>
      <c r="L171" s="250" t="s">
        <v>438</v>
      </c>
      <c r="M171" s="337" t="s">
        <v>269</v>
      </c>
      <c r="N171" s="346">
        <v>37926</v>
      </c>
      <c r="O171" s="346">
        <v>62535</v>
      </c>
      <c r="P171" s="346">
        <v>56857</v>
      </c>
      <c r="Q171" s="346">
        <v>31601</v>
      </c>
      <c r="R171" s="346">
        <v>22467</v>
      </c>
      <c r="S171" s="346">
        <v>11955</v>
      </c>
      <c r="T171" s="347">
        <v>318550</v>
      </c>
    </row>
    <row r="172" spans="1:20" x14ac:dyDescent="0.2">
      <c r="A172" s="251"/>
      <c r="B172" s="599"/>
      <c r="C172" s="250" t="s">
        <v>675</v>
      </c>
      <c r="D172" s="337" t="s">
        <v>268</v>
      </c>
      <c r="E172" s="346">
        <v>6</v>
      </c>
      <c r="F172" s="346">
        <v>11</v>
      </c>
      <c r="G172" s="346">
        <v>7</v>
      </c>
      <c r="H172" s="346">
        <v>5</v>
      </c>
      <c r="I172" s="346">
        <v>21</v>
      </c>
      <c r="J172" s="346">
        <v>8</v>
      </c>
      <c r="K172" s="599"/>
      <c r="L172" s="250" t="s">
        <v>675</v>
      </c>
      <c r="M172" s="337" t="s">
        <v>268</v>
      </c>
      <c r="N172" s="346">
        <v>20</v>
      </c>
      <c r="O172" s="346">
        <v>1</v>
      </c>
      <c r="P172" s="341" t="s">
        <v>585</v>
      </c>
      <c r="Q172" s="346">
        <v>6</v>
      </c>
      <c r="R172" s="346">
        <v>6</v>
      </c>
      <c r="S172" s="346">
        <v>12</v>
      </c>
      <c r="T172" s="347">
        <v>103</v>
      </c>
    </row>
    <row r="173" spans="1:20" ht="12.75" thickBot="1" x14ac:dyDescent="0.25">
      <c r="A173" s="251"/>
      <c r="B173" s="600"/>
      <c r="C173" s="331" t="s">
        <v>17</v>
      </c>
      <c r="D173" s="332" t="s">
        <v>262</v>
      </c>
      <c r="E173" s="348">
        <v>6286</v>
      </c>
      <c r="F173" s="348">
        <v>12687</v>
      </c>
      <c r="G173" s="348">
        <v>30253</v>
      </c>
      <c r="H173" s="348">
        <v>8447</v>
      </c>
      <c r="I173" s="348">
        <v>11543</v>
      </c>
      <c r="J173" s="348">
        <v>26959</v>
      </c>
      <c r="K173" s="600"/>
      <c r="L173" s="331" t="s">
        <v>17</v>
      </c>
      <c r="M173" s="332" t="s">
        <v>262</v>
      </c>
      <c r="N173" s="348">
        <v>38800</v>
      </c>
      <c r="O173" s="348">
        <v>64417</v>
      </c>
      <c r="P173" s="348">
        <v>59035</v>
      </c>
      <c r="Q173" s="348">
        <v>33441</v>
      </c>
      <c r="R173" s="348">
        <v>23382</v>
      </c>
      <c r="S173" s="348">
        <v>13076</v>
      </c>
      <c r="T173" s="349">
        <v>328326</v>
      </c>
    </row>
    <row r="174" spans="1:20" ht="13.5" customHeight="1" x14ac:dyDescent="0.2">
      <c r="A174" s="251"/>
      <c r="B174" s="597" t="s">
        <v>532</v>
      </c>
      <c r="C174" s="328" t="s">
        <v>676</v>
      </c>
      <c r="D174" s="601" t="s">
        <v>267</v>
      </c>
      <c r="E174" s="350">
        <v>487</v>
      </c>
      <c r="F174" s="350">
        <v>497</v>
      </c>
      <c r="G174" s="350">
        <v>698</v>
      </c>
      <c r="H174" s="350">
        <v>511</v>
      </c>
      <c r="I174" s="350">
        <v>235</v>
      </c>
      <c r="J174" s="350">
        <v>434</v>
      </c>
      <c r="K174" s="597" t="s">
        <v>532</v>
      </c>
      <c r="L174" s="328" t="s">
        <v>676</v>
      </c>
      <c r="M174" s="601" t="s">
        <v>267</v>
      </c>
      <c r="N174" s="350">
        <v>331</v>
      </c>
      <c r="O174" s="350">
        <v>357</v>
      </c>
      <c r="P174" s="350">
        <v>437</v>
      </c>
      <c r="Q174" s="350">
        <v>550</v>
      </c>
      <c r="R174" s="350">
        <v>693</v>
      </c>
      <c r="S174" s="350">
        <v>735</v>
      </c>
      <c r="T174" s="351">
        <v>5965</v>
      </c>
    </row>
    <row r="175" spans="1:20" x14ac:dyDescent="0.2">
      <c r="A175" s="251"/>
      <c r="B175" s="597"/>
      <c r="C175" s="328" t="s">
        <v>536</v>
      </c>
      <c r="D175" s="601"/>
      <c r="E175" s="350">
        <v>108</v>
      </c>
      <c r="F175" s="350">
        <v>138</v>
      </c>
      <c r="G175" s="350">
        <v>717</v>
      </c>
      <c r="H175" s="350">
        <v>347</v>
      </c>
      <c r="I175" s="350">
        <v>314</v>
      </c>
      <c r="J175" s="350">
        <v>241</v>
      </c>
      <c r="K175" s="597"/>
      <c r="L175" s="328" t="s">
        <v>536</v>
      </c>
      <c r="M175" s="601"/>
      <c r="N175" s="350">
        <v>541</v>
      </c>
      <c r="O175" s="350">
        <v>686</v>
      </c>
      <c r="P175" s="350">
        <v>480</v>
      </c>
      <c r="Q175" s="350">
        <v>801</v>
      </c>
      <c r="R175" s="350">
        <v>573</v>
      </c>
      <c r="S175" s="350">
        <v>419</v>
      </c>
      <c r="T175" s="351">
        <v>5365</v>
      </c>
    </row>
    <row r="176" spans="1:20" x14ac:dyDescent="0.2">
      <c r="A176" s="251"/>
      <c r="B176" s="597"/>
      <c r="C176" s="328" t="s">
        <v>612</v>
      </c>
      <c r="D176" s="601"/>
      <c r="E176" s="350">
        <v>22</v>
      </c>
      <c r="F176" s="350">
        <v>7</v>
      </c>
      <c r="G176" s="350">
        <v>269</v>
      </c>
      <c r="H176" s="350">
        <v>376</v>
      </c>
      <c r="I176" s="350">
        <v>34</v>
      </c>
      <c r="J176" s="350">
        <v>200</v>
      </c>
      <c r="K176" s="597"/>
      <c r="L176" s="328" t="s">
        <v>612</v>
      </c>
      <c r="M176" s="601"/>
      <c r="N176" s="350">
        <v>267</v>
      </c>
      <c r="O176" s="350">
        <v>336</v>
      </c>
      <c r="P176" s="350">
        <v>225</v>
      </c>
      <c r="Q176" s="350">
        <v>238</v>
      </c>
      <c r="R176" s="350">
        <v>325</v>
      </c>
      <c r="S176" s="350">
        <v>262</v>
      </c>
      <c r="T176" s="351">
        <v>2561</v>
      </c>
    </row>
    <row r="177" spans="1:20" x14ac:dyDescent="0.2">
      <c r="A177" s="251"/>
      <c r="B177" s="597"/>
      <c r="C177" s="328" t="s">
        <v>439</v>
      </c>
      <c r="D177" s="338" t="s">
        <v>268</v>
      </c>
      <c r="E177" s="340" t="s">
        <v>585</v>
      </c>
      <c r="F177" s="340" t="s">
        <v>585</v>
      </c>
      <c r="G177" s="340" t="s">
        <v>585</v>
      </c>
      <c r="H177" s="340" t="s">
        <v>585</v>
      </c>
      <c r="I177" s="340" t="s">
        <v>585</v>
      </c>
      <c r="J177" s="350">
        <v>130</v>
      </c>
      <c r="K177" s="597"/>
      <c r="L177" s="328" t="s">
        <v>439</v>
      </c>
      <c r="M177" s="338" t="s">
        <v>268</v>
      </c>
      <c r="N177" s="350">
        <v>493</v>
      </c>
      <c r="O177" s="350">
        <v>474</v>
      </c>
      <c r="P177" s="350">
        <v>296</v>
      </c>
      <c r="Q177" s="350">
        <v>197</v>
      </c>
      <c r="R177" s="340" t="s">
        <v>585</v>
      </c>
      <c r="S177" s="340" t="s">
        <v>585</v>
      </c>
      <c r="T177" s="351">
        <v>1590</v>
      </c>
    </row>
    <row r="178" spans="1:20" ht="12.75" thickBot="1" x14ac:dyDescent="0.25">
      <c r="A178" s="251"/>
      <c r="B178" s="597"/>
      <c r="C178" s="257" t="s">
        <v>17</v>
      </c>
      <c r="D178" s="333" t="s">
        <v>262</v>
      </c>
      <c r="E178" s="352">
        <v>617</v>
      </c>
      <c r="F178" s="352">
        <v>642</v>
      </c>
      <c r="G178" s="352">
        <v>1684</v>
      </c>
      <c r="H178" s="352">
        <v>1234</v>
      </c>
      <c r="I178" s="352">
        <v>583</v>
      </c>
      <c r="J178" s="352">
        <v>1005</v>
      </c>
      <c r="K178" s="597"/>
      <c r="L178" s="257" t="s">
        <v>17</v>
      </c>
      <c r="M178" s="333" t="s">
        <v>262</v>
      </c>
      <c r="N178" s="352">
        <v>1632</v>
      </c>
      <c r="O178" s="352">
        <v>1853</v>
      </c>
      <c r="P178" s="352">
        <v>1438</v>
      </c>
      <c r="Q178" s="352">
        <v>1786</v>
      </c>
      <c r="R178" s="352">
        <v>1591</v>
      </c>
      <c r="S178" s="352">
        <v>1416</v>
      </c>
      <c r="T178" s="353">
        <v>15481</v>
      </c>
    </row>
    <row r="179" spans="1:20" ht="12.75" thickBot="1" x14ac:dyDescent="0.25">
      <c r="A179" s="251"/>
      <c r="B179" s="268" t="s">
        <v>526</v>
      </c>
      <c r="C179" s="256" t="s">
        <v>440</v>
      </c>
      <c r="D179" s="334" t="s">
        <v>269</v>
      </c>
      <c r="E179" s="343">
        <v>25892</v>
      </c>
      <c r="F179" s="343">
        <v>29369</v>
      </c>
      <c r="G179" s="343">
        <v>34191</v>
      </c>
      <c r="H179" s="343">
        <v>33771</v>
      </c>
      <c r="I179" s="343">
        <v>28756</v>
      </c>
      <c r="J179" s="343">
        <v>42334</v>
      </c>
      <c r="K179" s="268" t="s">
        <v>526</v>
      </c>
      <c r="L179" s="256" t="s">
        <v>440</v>
      </c>
      <c r="M179" s="334" t="s">
        <v>269</v>
      </c>
      <c r="N179" s="343">
        <v>55511</v>
      </c>
      <c r="O179" s="343">
        <v>71641</v>
      </c>
      <c r="P179" s="343">
        <v>52275</v>
      </c>
      <c r="Q179" s="343">
        <v>35323</v>
      </c>
      <c r="R179" s="343">
        <v>31991</v>
      </c>
      <c r="S179" s="343">
        <v>37409</v>
      </c>
      <c r="T179" s="354">
        <v>478463</v>
      </c>
    </row>
    <row r="180" spans="1:20" ht="12.75" thickBot="1" x14ac:dyDescent="0.25">
      <c r="A180" s="251"/>
      <c r="B180" s="268" t="s">
        <v>485</v>
      </c>
      <c r="C180" s="256" t="s">
        <v>677</v>
      </c>
      <c r="D180" s="334" t="s">
        <v>267</v>
      </c>
      <c r="E180" s="343">
        <v>51</v>
      </c>
      <c r="F180" s="343">
        <v>47</v>
      </c>
      <c r="G180" s="343">
        <v>37</v>
      </c>
      <c r="H180" s="343">
        <v>126</v>
      </c>
      <c r="I180" s="343">
        <v>88</v>
      </c>
      <c r="J180" s="343">
        <v>47</v>
      </c>
      <c r="K180" s="268" t="s">
        <v>485</v>
      </c>
      <c r="L180" s="256" t="s">
        <v>677</v>
      </c>
      <c r="M180" s="334" t="s">
        <v>267</v>
      </c>
      <c r="N180" s="343">
        <v>73</v>
      </c>
      <c r="O180" s="343">
        <v>95</v>
      </c>
      <c r="P180" s="343">
        <v>122</v>
      </c>
      <c r="Q180" s="343">
        <v>94</v>
      </c>
      <c r="R180" s="343">
        <v>45</v>
      </c>
      <c r="S180" s="343">
        <v>72</v>
      </c>
      <c r="T180" s="354">
        <v>897</v>
      </c>
    </row>
    <row r="181" spans="1:20" x14ac:dyDescent="0.2">
      <c r="A181" s="251"/>
      <c r="B181" s="597" t="s">
        <v>481</v>
      </c>
      <c r="C181" s="328" t="s">
        <v>441</v>
      </c>
      <c r="D181" s="601" t="s">
        <v>269</v>
      </c>
      <c r="E181" s="350">
        <v>1812</v>
      </c>
      <c r="F181" s="350">
        <v>1733</v>
      </c>
      <c r="G181" s="350">
        <v>2771</v>
      </c>
      <c r="H181" s="350">
        <v>3743</v>
      </c>
      <c r="I181" s="350">
        <v>4355</v>
      </c>
      <c r="J181" s="350">
        <v>5094</v>
      </c>
      <c r="K181" s="597" t="s">
        <v>481</v>
      </c>
      <c r="L181" s="328" t="s">
        <v>441</v>
      </c>
      <c r="M181" s="601" t="s">
        <v>269</v>
      </c>
      <c r="N181" s="350">
        <v>5879</v>
      </c>
      <c r="O181" s="350">
        <v>7690</v>
      </c>
      <c r="P181" s="350">
        <v>5786</v>
      </c>
      <c r="Q181" s="350">
        <v>3582</v>
      </c>
      <c r="R181" s="350">
        <v>2398</v>
      </c>
      <c r="S181" s="350">
        <v>1760</v>
      </c>
      <c r="T181" s="351">
        <v>46603</v>
      </c>
    </row>
    <row r="182" spans="1:20" x14ac:dyDescent="0.2">
      <c r="A182" s="251"/>
      <c r="B182" s="597"/>
      <c r="C182" s="328" t="s">
        <v>442</v>
      </c>
      <c r="D182" s="601"/>
      <c r="E182" s="350">
        <v>766</v>
      </c>
      <c r="F182" s="350">
        <v>1265</v>
      </c>
      <c r="G182" s="350">
        <v>2223</v>
      </c>
      <c r="H182" s="350">
        <v>2331</v>
      </c>
      <c r="I182" s="350">
        <v>3535</v>
      </c>
      <c r="J182" s="350">
        <v>3419</v>
      </c>
      <c r="K182" s="597"/>
      <c r="L182" s="328" t="s">
        <v>442</v>
      </c>
      <c r="M182" s="601"/>
      <c r="N182" s="350">
        <v>4829</v>
      </c>
      <c r="O182" s="350">
        <v>5653</v>
      </c>
      <c r="P182" s="350">
        <v>5357</v>
      </c>
      <c r="Q182" s="350">
        <v>4819</v>
      </c>
      <c r="R182" s="350">
        <v>4716</v>
      </c>
      <c r="S182" s="350">
        <v>2342</v>
      </c>
      <c r="T182" s="351">
        <v>41255</v>
      </c>
    </row>
    <row r="183" spans="1:20" ht="12.75" thickBot="1" x14ac:dyDescent="0.25">
      <c r="A183" s="251"/>
      <c r="B183" s="597"/>
      <c r="C183" s="257" t="s">
        <v>17</v>
      </c>
      <c r="D183" s="333" t="s">
        <v>262</v>
      </c>
      <c r="E183" s="352">
        <v>2578</v>
      </c>
      <c r="F183" s="352">
        <v>2998</v>
      </c>
      <c r="G183" s="352">
        <v>4994</v>
      </c>
      <c r="H183" s="352">
        <v>6074</v>
      </c>
      <c r="I183" s="352">
        <v>7890</v>
      </c>
      <c r="J183" s="352">
        <v>8513</v>
      </c>
      <c r="K183" s="597"/>
      <c r="L183" s="257" t="s">
        <v>17</v>
      </c>
      <c r="M183" s="333" t="s">
        <v>262</v>
      </c>
      <c r="N183" s="352">
        <v>10708</v>
      </c>
      <c r="O183" s="352">
        <v>13343</v>
      </c>
      <c r="P183" s="352">
        <v>11143</v>
      </c>
      <c r="Q183" s="352">
        <v>8401</v>
      </c>
      <c r="R183" s="352">
        <v>7114</v>
      </c>
      <c r="S183" s="352">
        <v>4102</v>
      </c>
      <c r="T183" s="353">
        <v>87858</v>
      </c>
    </row>
    <row r="184" spans="1:20" ht="12.75" thickBot="1" x14ac:dyDescent="0.25">
      <c r="A184" s="251"/>
      <c r="B184" s="268" t="s">
        <v>500</v>
      </c>
      <c r="C184" s="256" t="s">
        <v>443</v>
      </c>
      <c r="D184" s="334" t="s">
        <v>269</v>
      </c>
      <c r="E184" s="343">
        <v>13949</v>
      </c>
      <c r="F184" s="343">
        <v>15147</v>
      </c>
      <c r="G184" s="343">
        <v>19743</v>
      </c>
      <c r="H184" s="343">
        <v>18092</v>
      </c>
      <c r="I184" s="343">
        <v>19739</v>
      </c>
      <c r="J184" s="343">
        <v>21774</v>
      </c>
      <c r="K184" s="268" t="s">
        <v>500</v>
      </c>
      <c r="L184" s="256" t="s">
        <v>443</v>
      </c>
      <c r="M184" s="334" t="s">
        <v>269</v>
      </c>
      <c r="N184" s="343">
        <v>25240</v>
      </c>
      <c r="O184" s="343">
        <v>27990</v>
      </c>
      <c r="P184" s="343">
        <v>24472</v>
      </c>
      <c r="Q184" s="343">
        <v>22289</v>
      </c>
      <c r="R184" s="343">
        <v>22717</v>
      </c>
      <c r="S184" s="343">
        <v>20625</v>
      </c>
      <c r="T184" s="354">
        <v>251777</v>
      </c>
    </row>
    <row r="185" spans="1:20" ht="12.75" thickBot="1" x14ac:dyDescent="0.25">
      <c r="A185" s="251"/>
      <c r="B185" s="268" t="s">
        <v>531</v>
      </c>
      <c r="C185" s="256" t="s">
        <v>444</v>
      </c>
      <c r="D185" s="334" t="s">
        <v>267</v>
      </c>
      <c r="E185" s="343">
        <v>373</v>
      </c>
      <c r="F185" s="343">
        <v>569</v>
      </c>
      <c r="G185" s="343">
        <v>620</v>
      </c>
      <c r="H185" s="343">
        <v>563</v>
      </c>
      <c r="I185" s="343">
        <v>297</v>
      </c>
      <c r="J185" s="343">
        <v>259</v>
      </c>
      <c r="K185" s="268" t="s">
        <v>531</v>
      </c>
      <c r="L185" s="256" t="s">
        <v>444</v>
      </c>
      <c r="M185" s="334" t="s">
        <v>267</v>
      </c>
      <c r="N185" s="343">
        <v>223</v>
      </c>
      <c r="O185" s="343">
        <v>240</v>
      </c>
      <c r="P185" s="343">
        <v>1118</v>
      </c>
      <c r="Q185" s="343">
        <v>1566</v>
      </c>
      <c r="R185" s="343">
        <v>1057</v>
      </c>
      <c r="S185" s="343">
        <v>815</v>
      </c>
      <c r="T185" s="354">
        <v>7700</v>
      </c>
    </row>
    <row r="186" spans="1:20" x14ac:dyDescent="0.2">
      <c r="A186" s="251"/>
      <c r="B186" s="597" t="s">
        <v>509</v>
      </c>
      <c r="C186" s="328" t="s">
        <v>445</v>
      </c>
      <c r="D186" s="338" t="s">
        <v>269</v>
      </c>
      <c r="E186" s="350">
        <v>8434</v>
      </c>
      <c r="F186" s="350">
        <v>6010</v>
      </c>
      <c r="G186" s="350">
        <v>6628</v>
      </c>
      <c r="H186" s="350">
        <v>6734</v>
      </c>
      <c r="I186" s="350">
        <v>6263</v>
      </c>
      <c r="J186" s="350">
        <v>15954</v>
      </c>
      <c r="K186" s="597" t="s">
        <v>509</v>
      </c>
      <c r="L186" s="328" t="s">
        <v>445</v>
      </c>
      <c r="M186" s="338" t="s">
        <v>269</v>
      </c>
      <c r="N186" s="350">
        <v>12804</v>
      </c>
      <c r="O186" s="350">
        <v>18045</v>
      </c>
      <c r="P186" s="350">
        <v>26570</v>
      </c>
      <c r="Q186" s="350">
        <v>13908</v>
      </c>
      <c r="R186" s="350">
        <v>8602</v>
      </c>
      <c r="S186" s="350">
        <v>8032</v>
      </c>
      <c r="T186" s="351">
        <v>137984</v>
      </c>
    </row>
    <row r="187" spans="1:20" x14ac:dyDescent="0.2">
      <c r="A187" s="251"/>
      <c r="B187" s="597"/>
      <c r="C187" s="328" t="s">
        <v>613</v>
      </c>
      <c r="D187" s="338" t="s">
        <v>270</v>
      </c>
      <c r="E187" s="340" t="s">
        <v>585</v>
      </c>
      <c r="F187" s="340" t="s">
        <v>585</v>
      </c>
      <c r="G187" s="340" t="s">
        <v>585</v>
      </c>
      <c r="H187" s="350">
        <v>1</v>
      </c>
      <c r="I187" s="340" t="s">
        <v>585</v>
      </c>
      <c r="J187" s="340" t="s">
        <v>585</v>
      </c>
      <c r="K187" s="597"/>
      <c r="L187" s="328" t="s">
        <v>613</v>
      </c>
      <c r="M187" s="338" t="s">
        <v>270</v>
      </c>
      <c r="N187" s="350">
        <v>1</v>
      </c>
      <c r="O187" s="340" t="s">
        <v>585</v>
      </c>
      <c r="P187" s="350">
        <v>1</v>
      </c>
      <c r="Q187" s="340" t="s">
        <v>585</v>
      </c>
      <c r="R187" s="340" t="s">
        <v>585</v>
      </c>
      <c r="S187" s="340" t="s">
        <v>585</v>
      </c>
      <c r="T187" s="351">
        <v>3</v>
      </c>
    </row>
    <row r="188" spans="1:20" ht="12.75" thickBot="1" x14ac:dyDescent="0.25">
      <c r="A188" s="251"/>
      <c r="B188" s="597"/>
      <c r="C188" s="257" t="s">
        <v>17</v>
      </c>
      <c r="D188" s="335" t="s">
        <v>262</v>
      </c>
      <c r="E188" s="352">
        <v>8434</v>
      </c>
      <c r="F188" s="352">
        <v>6010</v>
      </c>
      <c r="G188" s="352">
        <v>6628</v>
      </c>
      <c r="H188" s="352">
        <v>6735</v>
      </c>
      <c r="I188" s="352">
        <v>6263</v>
      </c>
      <c r="J188" s="352">
        <v>15954</v>
      </c>
      <c r="K188" s="597"/>
      <c r="L188" s="257" t="s">
        <v>17</v>
      </c>
      <c r="M188" s="335" t="s">
        <v>262</v>
      </c>
      <c r="N188" s="352">
        <v>12805</v>
      </c>
      <c r="O188" s="352">
        <v>18045</v>
      </c>
      <c r="P188" s="352">
        <v>26571</v>
      </c>
      <c r="Q188" s="352">
        <v>13908</v>
      </c>
      <c r="R188" s="352">
        <v>8602</v>
      </c>
      <c r="S188" s="352">
        <v>8032</v>
      </c>
      <c r="T188" s="353">
        <v>137987</v>
      </c>
    </row>
    <row r="189" spans="1:20" ht="12.75" thickBot="1" x14ac:dyDescent="0.25">
      <c r="A189" s="251"/>
      <c r="B189" s="256" t="s">
        <v>17</v>
      </c>
      <c r="C189" s="256" t="s">
        <v>262</v>
      </c>
      <c r="D189" s="255"/>
      <c r="E189" s="354">
        <v>1539496</v>
      </c>
      <c r="F189" s="354">
        <v>1670238</v>
      </c>
      <c r="G189" s="354">
        <v>2232358</v>
      </c>
      <c r="H189" s="354">
        <v>3293176</v>
      </c>
      <c r="I189" s="354">
        <v>4022254</v>
      </c>
      <c r="J189" s="354">
        <v>5318984</v>
      </c>
      <c r="K189" s="256" t="s">
        <v>17</v>
      </c>
      <c r="L189" s="256" t="s">
        <v>262</v>
      </c>
      <c r="M189" s="255"/>
      <c r="N189" s="354">
        <v>6617380</v>
      </c>
      <c r="O189" s="354">
        <v>6307508</v>
      </c>
      <c r="P189" s="354">
        <v>5426818</v>
      </c>
      <c r="Q189" s="354">
        <v>4291574</v>
      </c>
      <c r="R189" s="354">
        <v>2190622</v>
      </c>
      <c r="S189" s="354">
        <v>2147878</v>
      </c>
      <c r="T189" s="354">
        <v>45058286</v>
      </c>
    </row>
    <row r="190" spans="1:20" ht="12.75" thickBot="1" x14ac:dyDescent="0.25">
      <c r="A190" s="251"/>
      <c r="B190" s="256" t="s">
        <v>294</v>
      </c>
      <c r="C190" s="256" t="s">
        <v>0</v>
      </c>
      <c r="D190" s="334" t="s">
        <v>0</v>
      </c>
      <c r="E190" s="358">
        <v>3.4166767905907474</v>
      </c>
      <c r="F190" s="358">
        <v>3.7068387377185186</v>
      </c>
      <c r="G190" s="358">
        <v>4.9543784244256432</v>
      </c>
      <c r="H190" s="358">
        <v>7.3087023327962362</v>
      </c>
      <c r="I190" s="358">
        <v>8.9267798602015169</v>
      </c>
      <c r="J190" s="358">
        <v>11.804674505372885</v>
      </c>
      <c r="K190" s="256" t="s">
        <v>294</v>
      </c>
      <c r="L190" s="256" t="s">
        <v>0</v>
      </c>
      <c r="M190" s="334" t="s">
        <v>0</v>
      </c>
      <c r="N190" s="358">
        <v>14.686266583686738</v>
      </c>
      <c r="O190" s="358">
        <v>13.998552896574894</v>
      </c>
      <c r="P190" s="358">
        <v>12.043995637117666</v>
      </c>
      <c r="Q190" s="358">
        <v>9.5244945624429658</v>
      </c>
      <c r="R190" s="358">
        <v>4.8617517319677894</v>
      </c>
      <c r="S190" s="358">
        <v>4.7668879371043982</v>
      </c>
      <c r="T190" s="358">
        <v>100</v>
      </c>
    </row>
    <row r="191" spans="1:20" x14ac:dyDescent="0.2">
      <c r="A191" s="251"/>
      <c r="B191" s="216"/>
      <c r="C191" s="216"/>
      <c r="D191" s="250"/>
      <c r="E191" s="253"/>
      <c r="F191" s="253"/>
      <c r="G191" s="253"/>
      <c r="H191" s="253"/>
      <c r="I191" s="253"/>
      <c r="J191" s="253"/>
      <c r="K191" s="216"/>
      <c r="L191" s="216"/>
      <c r="M191" s="250"/>
      <c r="N191" s="253"/>
      <c r="O191" s="253"/>
      <c r="P191" s="253"/>
      <c r="Q191" s="253"/>
      <c r="R191" s="253"/>
      <c r="S191" s="253"/>
      <c r="T191" s="253"/>
    </row>
    <row r="192" spans="1:20" x14ac:dyDescent="0.2">
      <c r="A192" s="251"/>
      <c r="B192" s="216"/>
      <c r="C192" s="216"/>
      <c r="D192" s="250"/>
      <c r="E192" s="253"/>
      <c r="F192" s="253"/>
      <c r="G192" s="253"/>
      <c r="H192" s="253"/>
      <c r="I192" s="253"/>
      <c r="J192" s="253"/>
      <c r="K192" s="216"/>
      <c r="L192" s="216"/>
      <c r="M192" s="250"/>
      <c r="N192" s="253"/>
      <c r="O192" s="253"/>
      <c r="P192" s="253"/>
      <c r="Q192" s="253"/>
      <c r="R192" s="253"/>
      <c r="S192" s="253"/>
      <c r="T192" s="253"/>
    </row>
    <row r="193" spans="2:20" x14ac:dyDescent="0.2">
      <c r="B193" s="216"/>
      <c r="C193" s="216"/>
      <c r="D193" s="250"/>
      <c r="E193" s="253"/>
      <c r="F193" s="253"/>
      <c r="G193" s="253"/>
      <c r="H193" s="253"/>
      <c r="I193" s="253"/>
      <c r="J193" s="253"/>
      <c r="K193" s="216"/>
      <c r="L193" s="216"/>
      <c r="M193" s="250"/>
      <c r="N193" s="253"/>
      <c r="O193" s="253"/>
      <c r="P193" s="253"/>
      <c r="Q193" s="253"/>
      <c r="R193" s="253"/>
      <c r="S193" s="253"/>
      <c r="T193" s="253"/>
    </row>
    <row r="194" spans="2:20" x14ac:dyDescent="0.2">
      <c r="B194" s="216"/>
      <c r="C194" s="216"/>
      <c r="D194" s="250"/>
      <c r="E194" s="253"/>
      <c r="F194" s="253"/>
      <c r="G194" s="253"/>
      <c r="H194" s="253"/>
      <c r="I194" s="253"/>
      <c r="J194" s="253"/>
      <c r="K194" s="216"/>
      <c r="L194" s="216"/>
      <c r="M194" s="250"/>
      <c r="N194" s="253"/>
      <c r="O194" s="253"/>
      <c r="P194" s="253"/>
      <c r="Q194" s="253"/>
      <c r="R194" s="253"/>
      <c r="S194" s="253"/>
      <c r="T194" s="253"/>
    </row>
    <row r="195" spans="2:20" x14ac:dyDescent="0.2">
      <c r="B195" s="216"/>
      <c r="C195" s="216"/>
      <c r="D195" s="250"/>
      <c r="E195" s="253"/>
      <c r="F195" s="253"/>
      <c r="G195" s="253"/>
      <c r="H195" s="253"/>
      <c r="I195" s="253"/>
      <c r="J195" s="253"/>
      <c r="K195" s="216"/>
      <c r="L195" s="216"/>
      <c r="M195" s="250"/>
      <c r="N195" s="253"/>
      <c r="O195" s="253"/>
      <c r="P195" s="253"/>
      <c r="Q195" s="253"/>
      <c r="R195" s="253"/>
      <c r="S195" s="253"/>
      <c r="T195" s="253"/>
    </row>
    <row r="196" spans="2:20" x14ac:dyDescent="0.2">
      <c r="B196" s="216"/>
      <c r="C196" s="216"/>
      <c r="D196" s="250"/>
      <c r="E196" s="253"/>
      <c r="F196" s="253"/>
      <c r="G196" s="253"/>
      <c r="H196" s="253"/>
      <c r="I196" s="253"/>
      <c r="J196" s="253"/>
      <c r="K196" s="216"/>
      <c r="L196" s="216"/>
      <c r="M196" s="250"/>
      <c r="N196" s="253"/>
      <c r="O196" s="253"/>
      <c r="P196" s="253"/>
      <c r="Q196" s="253"/>
      <c r="R196" s="253"/>
      <c r="S196" s="253"/>
      <c r="T196" s="253"/>
    </row>
    <row r="197" spans="2:20" x14ac:dyDescent="0.2">
      <c r="B197" s="216"/>
      <c r="C197" s="216"/>
      <c r="D197" s="250"/>
      <c r="E197" s="253"/>
      <c r="F197" s="253"/>
      <c r="G197" s="253"/>
      <c r="H197" s="253"/>
      <c r="I197" s="253"/>
      <c r="J197" s="253"/>
      <c r="K197" s="216"/>
      <c r="L197" s="216"/>
      <c r="M197" s="250"/>
      <c r="N197" s="253"/>
      <c r="O197" s="253"/>
      <c r="P197" s="253"/>
      <c r="Q197" s="253"/>
      <c r="R197" s="253"/>
      <c r="S197" s="253"/>
      <c r="T197" s="253"/>
    </row>
    <row r="198" spans="2:20" x14ac:dyDescent="0.2">
      <c r="B198" s="216"/>
      <c r="C198" s="216"/>
      <c r="D198" s="250"/>
      <c r="E198" s="253"/>
      <c r="F198" s="253"/>
      <c r="G198" s="253"/>
      <c r="H198" s="253"/>
      <c r="I198" s="253"/>
      <c r="J198" s="253"/>
      <c r="K198" s="216"/>
      <c r="L198" s="216"/>
      <c r="M198" s="250"/>
      <c r="N198" s="253"/>
      <c r="O198" s="253"/>
      <c r="P198" s="253"/>
      <c r="Q198" s="253"/>
      <c r="R198" s="253"/>
      <c r="S198" s="253"/>
      <c r="T198" s="253"/>
    </row>
    <row r="199" spans="2:20" x14ac:dyDescent="0.2">
      <c r="B199" s="216"/>
      <c r="C199" s="216"/>
      <c r="D199" s="250"/>
      <c r="E199" s="253"/>
      <c r="F199" s="253"/>
      <c r="G199" s="253"/>
      <c r="H199" s="253"/>
      <c r="I199" s="253"/>
      <c r="J199" s="253"/>
      <c r="K199" s="216"/>
      <c r="L199" s="216"/>
      <c r="M199" s="250"/>
      <c r="N199" s="253"/>
      <c r="O199" s="253"/>
      <c r="P199" s="253"/>
      <c r="Q199" s="253"/>
      <c r="R199" s="253"/>
      <c r="S199" s="253"/>
      <c r="T199" s="253"/>
    </row>
    <row r="200" spans="2:20" x14ac:dyDescent="0.2">
      <c r="B200" s="216"/>
      <c r="C200" s="216"/>
      <c r="D200" s="250"/>
      <c r="E200" s="253"/>
      <c r="F200" s="253"/>
      <c r="G200" s="253"/>
      <c r="H200" s="253"/>
      <c r="I200" s="253"/>
      <c r="J200" s="253"/>
      <c r="K200" s="216"/>
      <c r="L200" s="216"/>
      <c r="M200" s="250"/>
      <c r="N200" s="253"/>
      <c r="O200" s="253"/>
      <c r="P200" s="253"/>
      <c r="Q200" s="253"/>
      <c r="R200" s="253"/>
      <c r="S200" s="253"/>
      <c r="T200" s="253"/>
    </row>
    <row r="201" spans="2:20" x14ac:dyDescent="0.2">
      <c r="B201" s="216"/>
      <c r="C201" s="216"/>
      <c r="D201" s="250"/>
      <c r="E201" s="253"/>
      <c r="F201" s="253"/>
      <c r="G201" s="253"/>
      <c r="H201" s="253"/>
      <c r="I201" s="253"/>
      <c r="J201" s="253"/>
      <c r="K201" s="216"/>
      <c r="L201" s="216"/>
      <c r="M201" s="250"/>
      <c r="N201" s="253"/>
      <c r="O201" s="253"/>
      <c r="P201" s="253"/>
      <c r="Q201" s="253"/>
      <c r="R201" s="253"/>
      <c r="S201" s="253"/>
      <c r="T201" s="253"/>
    </row>
  </sheetData>
  <mergeCells count="118">
    <mergeCell ref="M128:M131"/>
    <mergeCell ref="D132:D133"/>
    <mergeCell ref="M132:M133"/>
    <mergeCell ref="B110:B112"/>
    <mergeCell ref="K110:K112"/>
    <mergeCell ref="B113:B115"/>
    <mergeCell ref="K113:K115"/>
    <mergeCell ref="B155:B157"/>
    <mergeCell ref="K155:K157"/>
    <mergeCell ref="B144:B147"/>
    <mergeCell ref="K144:K147"/>
    <mergeCell ref="B150:B154"/>
    <mergeCell ref="D150:D152"/>
    <mergeCell ref="K150:K154"/>
    <mergeCell ref="B117:B119"/>
    <mergeCell ref="K117:K119"/>
    <mergeCell ref="B120:B122"/>
    <mergeCell ref="K120:K122"/>
    <mergeCell ref="B128:B141"/>
    <mergeCell ref="D128:D131"/>
    <mergeCell ref="K128:K141"/>
    <mergeCell ref="D134:D140"/>
    <mergeCell ref="M134:M140"/>
    <mergeCell ref="B1:J1"/>
    <mergeCell ref="K1:T1"/>
    <mergeCell ref="B4:B8"/>
    <mergeCell ref="K4:K8"/>
    <mergeCell ref="D6:D7"/>
    <mergeCell ref="M6:M7"/>
    <mergeCell ref="D31:D33"/>
    <mergeCell ref="M31:M33"/>
    <mergeCell ref="B36:B38"/>
    <mergeCell ref="K36:K38"/>
    <mergeCell ref="B26:B29"/>
    <mergeCell ref="D26:D28"/>
    <mergeCell ref="K26:K29"/>
    <mergeCell ref="M26:M28"/>
    <mergeCell ref="E2:J2"/>
    <mergeCell ref="N2:S2"/>
    <mergeCell ref="B3:D3"/>
    <mergeCell ref="K3:M3"/>
    <mergeCell ref="M18:M19"/>
    <mergeCell ref="B30:B34"/>
    <mergeCell ref="K30:K34"/>
    <mergeCell ref="B9:B11"/>
    <mergeCell ref="K9:K11"/>
    <mergeCell ref="B14:B21"/>
    <mergeCell ref="D14:D17"/>
    <mergeCell ref="K14:K21"/>
    <mergeCell ref="M14:M17"/>
    <mergeCell ref="B22:B25"/>
    <mergeCell ref="K22:K25"/>
    <mergeCell ref="D18:D19"/>
    <mergeCell ref="B39:B46"/>
    <mergeCell ref="K39:K46"/>
    <mergeCell ref="B49:B54"/>
    <mergeCell ref="D49:D52"/>
    <mergeCell ref="K49:K54"/>
    <mergeCell ref="M49:M52"/>
    <mergeCell ref="D39:D42"/>
    <mergeCell ref="M39:M42"/>
    <mergeCell ref="D44:D45"/>
    <mergeCell ref="M44:M45"/>
    <mergeCell ref="B66:B80"/>
    <mergeCell ref="B63:B65"/>
    <mergeCell ref="D63:D64"/>
    <mergeCell ref="B59:B61"/>
    <mergeCell ref="K66:K80"/>
    <mergeCell ref="K59:K61"/>
    <mergeCell ref="K63:K65"/>
    <mergeCell ref="M63:M64"/>
    <mergeCell ref="D70:D71"/>
    <mergeCell ref="M70:M71"/>
    <mergeCell ref="M66:M68"/>
    <mergeCell ref="D66:D68"/>
    <mergeCell ref="D75:D77"/>
    <mergeCell ref="M75:M77"/>
    <mergeCell ref="K102:K109"/>
    <mergeCell ref="D106:D108"/>
    <mergeCell ref="M106:M108"/>
    <mergeCell ref="B82:B89"/>
    <mergeCell ref="D82:D88"/>
    <mergeCell ref="K82:K89"/>
    <mergeCell ref="M82:M88"/>
    <mergeCell ref="B90:B101"/>
    <mergeCell ref="D90:D91"/>
    <mergeCell ref="K90:K101"/>
    <mergeCell ref="M90:M91"/>
    <mergeCell ref="D93:D94"/>
    <mergeCell ref="M93:M94"/>
    <mergeCell ref="D95:D96"/>
    <mergeCell ref="M95:M96"/>
    <mergeCell ref="D97:D100"/>
    <mergeCell ref="M97:M100"/>
    <mergeCell ref="D102:D104"/>
    <mergeCell ref="M102:M104"/>
    <mergeCell ref="B102:B109"/>
    <mergeCell ref="B159:B162"/>
    <mergeCell ref="K159:K162"/>
    <mergeCell ref="D160:D161"/>
    <mergeCell ref="M160:M161"/>
    <mergeCell ref="M150:M152"/>
    <mergeCell ref="M174:M176"/>
    <mergeCell ref="B181:B183"/>
    <mergeCell ref="D181:D182"/>
    <mergeCell ref="K181:K183"/>
    <mergeCell ref="M181:M182"/>
    <mergeCell ref="B186:B188"/>
    <mergeCell ref="K186:K188"/>
    <mergeCell ref="B163:B165"/>
    <mergeCell ref="K163:K165"/>
    <mergeCell ref="B166:B168"/>
    <mergeCell ref="K166:K168"/>
    <mergeCell ref="B170:B173"/>
    <mergeCell ref="K170:K173"/>
    <mergeCell ref="B174:B178"/>
    <mergeCell ref="D174:D176"/>
    <mergeCell ref="K174:K178"/>
  </mergeCells>
  <printOptions horizontalCentered="1"/>
  <pageMargins left="0.59055118110236227" right="0.59055118110236227" top="0.62992125984251968" bottom="0.62992125984251968" header="0.51181102362204722" footer="0.51181102362204722"/>
  <pageSetup scale="80" pageOrder="overThenDown" orientation="portrait" r:id="rId1"/>
  <headerFooter alignWithMargins="0"/>
  <rowBreaks count="2" manualBreakCount="2">
    <brk id="65" min="1" max="19" man="1"/>
    <brk id="127" min="1"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67"/>
  <sheetViews>
    <sheetView zoomScaleNormal="100" workbookViewId="0">
      <selection activeCell="N44" sqref="N44"/>
    </sheetView>
  </sheetViews>
  <sheetFormatPr defaultRowHeight="12.75" x14ac:dyDescent="0.2"/>
  <cols>
    <col min="1" max="16384" width="9.140625" style="147"/>
  </cols>
  <sheetData>
    <row r="4" spans="1:1" x14ac:dyDescent="0.2">
      <c r="A4" s="177"/>
    </row>
    <row r="5" spans="1:1" x14ac:dyDescent="0.2">
      <c r="A5" s="178"/>
    </row>
    <row r="6" spans="1:1" x14ac:dyDescent="0.2">
      <c r="A6" s="177"/>
    </row>
    <row r="7" spans="1:1" x14ac:dyDescent="0.2">
      <c r="A7" s="179"/>
    </row>
    <row r="8" spans="1:1" x14ac:dyDescent="0.2">
      <c r="A8" s="180"/>
    </row>
    <row r="10" spans="1:1" x14ac:dyDescent="0.2">
      <c r="A10" s="179"/>
    </row>
    <row r="11" spans="1:1" x14ac:dyDescent="0.2">
      <c r="A11" s="179"/>
    </row>
    <row r="12" spans="1:1" x14ac:dyDescent="0.2">
      <c r="A12" s="179"/>
    </row>
    <row r="13" spans="1:1" x14ac:dyDescent="0.2">
      <c r="A13" s="179"/>
    </row>
    <row r="14" spans="1:1" x14ac:dyDescent="0.2">
      <c r="A14" s="179"/>
    </row>
    <row r="35" spans="1:14" x14ac:dyDescent="0.2">
      <c r="A35" s="225"/>
      <c r="B35" s="225"/>
      <c r="C35" s="225"/>
      <c r="D35" s="225"/>
      <c r="E35" s="225"/>
      <c r="F35" s="225"/>
      <c r="G35" s="225"/>
      <c r="H35" s="225"/>
      <c r="I35" s="225"/>
      <c r="J35" s="225"/>
      <c r="K35" s="225"/>
    </row>
    <row r="36" spans="1:14" x14ac:dyDescent="0.2">
      <c r="A36" s="225"/>
      <c r="B36" s="225"/>
      <c r="C36" s="225"/>
      <c r="D36" s="225"/>
      <c r="E36" s="225"/>
      <c r="F36" s="225"/>
      <c r="G36" s="225"/>
      <c r="H36" s="225"/>
      <c r="I36" s="225"/>
      <c r="J36" s="225"/>
      <c r="K36" s="225"/>
    </row>
    <row r="37" spans="1:14" x14ac:dyDescent="0.2">
      <c r="A37" s="225"/>
      <c r="B37" s="225"/>
      <c r="C37" s="225"/>
      <c r="D37" s="225"/>
      <c r="E37" s="225"/>
      <c r="F37" s="225"/>
      <c r="G37" s="225"/>
      <c r="H37" s="225"/>
      <c r="I37" s="225"/>
      <c r="J37" s="225"/>
      <c r="K37" s="225"/>
    </row>
    <row r="38" spans="1:14" x14ac:dyDescent="0.2">
      <c r="A38" s="177"/>
      <c r="B38" s="225"/>
      <c r="C38" s="225"/>
      <c r="D38" s="225"/>
      <c r="E38" s="225"/>
      <c r="F38" s="225"/>
      <c r="G38" s="225"/>
      <c r="H38" s="225"/>
      <c r="I38" s="225"/>
      <c r="J38" s="225"/>
      <c r="K38" s="225"/>
      <c r="N38" s="147" t="s">
        <v>0</v>
      </c>
    </row>
    <row r="39" spans="1:14" x14ac:dyDescent="0.2">
      <c r="A39" s="178"/>
      <c r="B39" s="225"/>
      <c r="C39" s="225"/>
      <c r="D39" s="225"/>
      <c r="E39" s="225"/>
      <c r="F39" s="225"/>
      <c r="G39" s="225"/>
      <c r="H39" s="225"/>
      <c r="I39" s="225"/>
      <c r="J39" s="225"/>
      <c r="K39" s="225"/>
    </row>
    <row r="40" spans="1:14" x14ac:dyDescent="0.2">
      <c r="A40" s="177"/>
      <c r="B40" s="225"/>
      <c r="C40" s="225"/>
      <c r="D40" s="225"/>
      <c r="E40" s="225"/>
      <c r="F40" s="225"/>
      <c r="G40" s="225"/>
      <c r="H40" s="225"/>
      <c r="I40" s="225"/>
      <c r="J40" s="225"/>
      <c r="K40" s="225"/>
    </row>
    <row r="41" spans="1:14" x14ac:dyDescent="0.2">
      <c r="A41" s="179"/>
      <c r="B41" s="225"/>
      <c r="C41" s="225"/>
      <c r="D41" s="225"/>
      <c r="E41" s="225"/>
      <c r="F41" s="225"/>
      <c r="G41" s="225"/>
      <c r="H41" s="225"/>
      <c r="I41" s="225"/>
      <c r="J41" s="225"/>
      <c r="K41" s="225"/>
    </row>
    <row r="42" spans="1:14" x14ac:dyDescent="0.2">
      <c r="A42" s="180"/>
      <c r="B42" s="225"/>
      <c r="C42" s="225"/>
      <c r="D42" s="225"/>
      <c r="E42" s="225"/>
      <c r="F42" s="225"/>
      <c r="G42" s="225"/>
      <c r="H42" s="225"/>
      <c r="I42" s="225"/>
      <c r="J42" s="225"/>
      <c r="K42" s="225"/>
    </row>
    <row r="43" spans="1:14" x14ac:dyDescent="0.2">
      <c r="A43" s="225"/>
      <c r="B43" s="225"/>
      <c r="C43" s="225"/>
      <c r="D43" s="225"/>
      <c r="E43" s="225"/>
      <c r="F43" s="225"/>
      <c r="G43" s="225"/>
      <c r="H43" s="225"/>
      <c r="I43" s="225"/>
      <c r="J43" s="225"/>
      <c r="K43" s="225"/>
    </row>
    <row r="44" spans="1:14" x14ac:dyDescent="0.2">
      <c r="A44" s="179"/>
      <c r="B44" s="225"/>
      <c r="C44" s="225"/>
      <c r="D44" s="225"/>
      <c r="E44" s="225"/>
      <c r="F44" s="225"/>
      <c r="G44" s="225"/>
      <c r="H44" s="225"/>
      <c r="I44" s="225"/>
      <c r="J44" s="225"/>
      <c r="K44" s="225"/>
    </row>
    <row r="45" spans="1:14" x14ac:dyDescent="0.2">
      <c r="A45" s="179"/>
      <c r="B45" s="225"/>
      <c r="C45" s="225"/>
      <c r="D45" s="225"/>
      <c r="E45" s="225"/>
      <c r="F45" s="225"/>
      <c r="G45" s="225"/>
      <c r="H45" s="225"/>
      <c r="I45" s="225"/>
      <c r="J45" s="225"/>
      <c r="K45" s="225"/>
    </row>
    <row r="46" spans="1:14" x14ac:dyDescent="0.2">
      <c r="A46" s="179"/>
      <c r="B46" s="225"/>
      <c r="C46" s="225"/>
      <c r="D46" s="225"/>
      <c r="E46" s="225"/>
      <c r="F46" s="225"/>
      <c r="G46" s="225"/>
      <c r="H46" s="225"/>
      <c r="I46" s="225"/>
      <c r="J46" s="225"/>
      <c r="K46" s="225"/>
    </row>
    <row r="47" spans="1:14" x14ac:dyDescent="0.2">
      <c r="A47" s="179"/>
      <c r="B47" s="225"/>
      <c r="C47" s="225"/>
      <c r="D47" s="225"/>
      <c r="E47" s="225"/>
      <c r="F47" s="225"/>
      <c r="G47" s="225"/>
      <c r="H47" s="225"/>
      <c r="I47" s="225"/>
      <c r="J47" s="225"/>
      <c r="K47" s="225"/>
    </row>
    <row r="48" spans="1:14" x14ac:dyDescent="0.2">
      <c r="A48" s="179"/>
      <c r="B48" s="225"/>
      <c r="C48" s="225"/>
      <c r="D48" s="225"/>
      <c r="E48" s="225"/>
      <c r="F48" s="225"/>
      <c r="G48" s="225"/>
      <c r="H48" s="225"/>
      <c r="I48" s="225"/>
      <c r="J48" s="225"/>
      <c r="K48" s="225"/>
    </row>
    <row r="49" spans="1:11" x14ac:dyDescent="0.2">
      <c r="A49" s="225"/>
      <c r="B49" s="225"/>
      <c r="C49" s="225"/>
      <c r="D49" s="225"/>
      <c r="E49" s="225"/>
      <c r="F49" s="225"/>
      <c r="G49" s="225"/>
      <c r="H49" s="225"/>
      <c r="I49" s="225"/>
      <c r="J49" s="225"/>
      <c r="K49" s="225"/>
    </row>
    <row r="50" spans="1:11" x14ac:dyDescent="0.2">
      <c r="A50" s="225"/>
      <c r="B50" s="225"/>
      <c r="C50" s="225"/>
      <c r="D50" s="225"/>
      <c r="E50" s="225"/>
      <c r="F50" s="225"/>
      <c r="G50" s="225"/>
      <c r="H50" s="225"/>
      <c r="I50" s="225"/>
      <c r="J50" s="225"/>
      <c r="K50" s="225"/>
    </row>
    <row r="51" spans="1:11" x14ac:dyDescent="0.2">
      <c r="A51" s="225"/>
      <c r="B51" s="225"/>
      <c r="C51" s="225"/>
      <c r="D51" s="225"/>
      <c r="E51" s="225"/>
      <c r="F51" s="225"/>
      <c r="G51" s="225"/>
      <c r="H51" s="225"/>
      <c r="I51" s="225"/>
      <c r="J51" s="225"/>
      <c r="K51" s="225"/>
    </row>
    <row r="52" spans="1:11" x14ac:dyDescent="0.2">
      <c r="A52" s="225"/>
      <c r="B52" s="225"/>
      <c r="C52" s="225"/>
      <c r="D52" s="225"/>
      <c r="E52" s="225"/>
      <c r="F52" s="225"/>
      <c r="G52" s="225"/>
      <c r="H52" s="225"/>
      <c r="I52" s="225"/>
      <c r="J52" s="225"/>
      <c r="K52" s="225"/>
    </row>
    <row r="53" spans="1:11" x14ac:dyDescent="0.2">
      <c r="A53" s="225"/>
      <c r="B53" s="225"/>
      <c r="C53" s="225"/>
      <c r="D53" s="225"/>
      <c r="E53" s="225"/>
      <c r="F53" s="225"/>
      <c r="G53" s="225"/>
      <c r="H53" s="225"/>
      <c r="I53" s="225"/>
      <c r="J53" s="225"/>
      <c r="K53" s="225"/>
    </row>
    <row r="54" spans="1:11" x14ac:dyDescent="0.2">
      <c r="A54" s="225"/>
      <c r="B54" s="225"/>
      <c r="C54" s="225"/>
      <c r="D54" s="225"/>
      <c r="E54" s="225"/>
      <c r="F54" s="225"/>
      <c r="G54" s="225"/>
      <c r="H54" s="225"/>
      <c r="I54" s="225"/>
      <c r="J54" s="225"/>
      <c r="K54" s="225"/>
    </row>
    <row r="55" spans="1:11" x14ac:dyDescent="0.2">
      <c r="A55" s="225"/>
      <c r="B55" s="225"/>
      <c r="C55" s="225"/>
      <c r="D55" s="225"/>
      <c r="E55" s="225"/>
      <c r="F55" s="225"/>
      <c r="G55" s="225"/>
      <c r="H55" s="225"/>
      <c r="I55" s="225"/>
      <c r="J55" s="225"/>
      <c r="K55" s="225"/>
    </row>
    <row r="56" spans="1:11" x14ac:dyDescent="0.2">
      <c r="A56" s="225"/>
      <c r="B56" s="225"/>
      <c r="C56" s="225"/>
      <c r="D56" s="225"/>
      <c r="E56" s="225"/>
      <c r="F56" s="225"/>
      <c r="G56" s="225"/>
      <c r="H56" s="225"/>
      <c r="I56" s="225"/>
      <c r="J56" s="225"/>
      <c r="K56" s="225"/>
    </row>
    <row r="57" spans="1:11" x14ac:dyDescent="0.2">
      <c r="A57" s="225"/>
      <c r="B57" s="225"/>
      <c r="C57" s="225"/>
      <c r="D57" s="225"/>
      <c r="E57" s="225"/>
      <c r="F57" s="225"/>
      <c r="G57" s="225"/>
      <c r="H57" s="225"/>
      <c r="I57" s="225"/>
      <c r="J57" s="225"/>
      <c r="K57" s="225"/>
    </row>
    <row r="58" spans="1:11" x14ac:dyDescent="0.2">
      <c r="A58" s="225"/>
      <c r="B58" s="225"/>
      <c r="C58" s="225"/>
      <c r="D58" s="225"/>
      <c r="E58" s="225"/>
      <c r="F58" s="225"/>
      <c r="G58" s="225"/>
      <c r="H58" s="225"/>
      <c r="I58" s="225"/>
      <c r="J58" s="225"/>
      <c r="K58" s="225"/>
    </row>
    <row r="59" spans="1:11" x14ac:dyDescent="0.2">
      <c r="A59" s="225"/>
      <c r="B59" s="225"/>
      <c r="C59" s="225"/>
      <c r="D59" s="225"/>
      <c r="E59" s="225"/>
      <c r="F59" s="225"/>
      <c r="G59" s="225"/>
      <c r="H59" s="225"/>
      <c r="I59" s="225"/>
      <c r="J59" s="225"/>
      <c r="K59" s="225"/>
    </row>
    <row r="60" spans="1:11" x14ac:dyDescent="0.2">
      <c r="A60" s="225"/>
      <c r="B60" s="225"/>
      <c r="C60" s="225"/>
      <c r="D60" s="225"/>
      <c r="E60" s="225"/>
      <c r="F60" s="225"/>
      <c r="G60" s="225"/>
      <c r="H60" s="225"/>
      <c r="I60" s="225"/>
      <c r="J60" s="225"/>
      <c r="K60" s="225"/>
    </row>
    <row r="61" spans="1:11" x14ac:dyDescent="0.2">
      <c r="A61" s="225"/>
      <c r="B61" s="225"/>
      <c r="C61" s="225"/>
      <c r="D61" s="225"/>
      <c r="E61" s="225"/>
      <c r="F61" s="225"/>
      <c r="G61" s="225"/>
      <c r="H61" s="225"/>
      <c r="I61" s="225"/>
      <c r="J61" s="225"/>
      <c r="K61" s="225"/>
    </row>
    <row r="62" spans="1:11" x14ac:dyDescent="0.2">
      <c r="A62" s="225"/>
      <c r="B62" s="225"/>
      <c r="C62" s="225"/>
      <c r="D62" s="225"/>
      <c r="E62" s="225"/>
      <c r="F62" s="225"/>
      <c r="G62" s="225"/>
      <c r="H62" s="225"/>
      <c r="I62" s="225"/>
      <c r="J62" s="225"/>
      <c r="K62" s="225"/>
    </row>
    <row r="63" spans="1:11" x14ac:dyDescent="0.2">
      <c r="A63" s="225"/>
      <c r="B63" s="225"/>
      <c r="C63" s="225"/>
      <c r="D63" s="225"/>
      <c r="E63" s="225"/>
      <c r="F63" s="225"/>
      <c r="G63" s="225"/>
      <c r="H63" s="225"/>
      <c r="I63" s="225"/>
      <c r="J63" s="225"/>
      <c r="K63" s="225"/>
    </row>
    <row r="64" spans="1:11" x14ac:dyDescent="0.2">
      <c r="A64" s="225"/>
      <c r="B64" s="225"/>
      <c r="C64" s="225"/>
      <c r="D64" s="225"/>
      <c r="E64" s="225"/>
      <c r="F64" s="225"/>
      <c r="G64" s="225"/>
      <c r="H64" s="225"/>
      <c r="I64" s="225"/>
      <c r="J64" s="225"/>
      <c r="K64" s="225"/>
    </row>
    <row r="65" spans="1:11" x14ac:dyDescent="0.2">
      <c r="A65" s="225"/>
      <c r="B65" s="225"/>
      <c r="C65" s="225"/>
      <c r="D65" s="225"/>
      <c r="E65" s="225"/>
      <c r="F65" s="225"/>
      <c r="G65" s="225"/>
      <c r="H65" s="225"/>
      <c r="I65" s="225"/>
      <c r="J65" s="225"/>
      <c r="K65" s="225"/>
    </row>
    <row r="66" spans="1:11" x14ac:dyDescent="0.2">
      <c r="A66" s="225"/>
      <c r="B66" s="225"/>
      <c r="C66" s="225"/>
      <c r="D66" s="225"/>
      <c r="E66" s="225"/>
      <c r="F66" s="225"/>
      <c r="G66" s="225"/>
      <c r="H66" s="225"/>
      <c r="I66" s="225"/>
      <c r="J66" s="225"/>
      <c r="K66" s="225"/>
    </row>
    <row r="67" spans="1:11" x14ac:dyDescent="0.2">
      <c r="A67" s="225"/>
      <c r="B67" s="225"/>
      <c r="C67" s="225"/>
      <c r="D67" s="225"/>
      <c r="E67" s="225"/>
      <c r="F67" s="225"/>
      <c r="G67" s="225"/>
      <c r="H67" s="225"/>
      <c r="I67" s="225"/>
      <c r="J67" s="225"/>
      <c r="K67" s="225"/>
    </row>
  </sheetData>
  <printOptions horizontalCentered="1" verticalCentered="1"/>
  <pageMargins left="0.47244094488188981" right="0.39370078740157483" top="0.43307086614173229" bottom="0.27559055118110237" header="0.31496062992125984" footer="0.31496062992125984"/>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J120"/>
  <sheetViews>
    <sheetView view="pageBreakPreview" topLeftCell="S1" zoomScaleNormal="100" zoomScaleSheetLayoutView="100" workbookViewId="0">
      <selection activeCell="A5" sqref="A5"/>
    </sheetView>
  </sheetViews>
  <sheetFormatPr defaultColWidth="9.140625" defaultRowHeight="12" x14ac:dyDescent="0.2"/>
  <cols>
    <col min="1" max="1" width="8" style="70" customWidth="1"/>
    <col min="2" max="2" width="29.28515625" style="70" customWidth="1"/>
    <col min="3" max="5" width="10.140625" style="70" customWidth="1"/>
    <col min="6" max="8" width="6.5703125" style="70" customWidth="1"/>
    <col min="9" max="10" width="10" style="70" customWidth="1"/>
    <col min="11" max="16384" width="9.140625" style="70"/>
  </cols>
  <sheetData>
    <row r="1" spans="2:10" ht="30" customHeight="1" thickBot="1" x14ac:dyDescent="0.25">
      <c r="B1" s="586" t="s">
        <v>715</v>
      </c>
      <c r="C1" s="587"/>
      <c r="D1" s="587"/>
      <c r="E1" s="587"/>
      <c r="F1" s="587"/>
      <c r="G1" s="587"/>
      <c r="H1" s="587"/>
      <c r="I1" s="587"/>
      <c r="J1" s="587"/>
    </row>
    <row r="2" spans="2:10" ht="12.75" customHeight="1" x14ac:dyDescent="0.2">
      <c r="B2" s="607" t="s">
        <v>265</v>
      </c>
      <c r="C2" s="581" t="s">
        <v>1</v>
      </c>
      <c r="D2" s="581"/>
      <c r="E2" s="581"/>
      <c r="F2" s="581" t="s">
        <v>446</v>
      </c>
      <c r="G2" s="581"/>
      <c r="H2" s="581"/>
      <c r="I2" s="581" t="s">
        <v>264</v>
      </c>
      <c r="J2" s="581"/>
    </row>
    <row r="3" spans="2:10" ht="15.75" customHeight="1" thickBot="1" x14ac:dyDescent="0.25">
      <c r="B3" s="608"/>
      <c r="C3" s="81">
        <v>2017</v>
      </c>
      <c r="D3" s="81">
        <v>2018</v>
      </c>
      <c r="E3" s="81">
        <v>2019</v>
      </c>
      <c r="F3" s="81">
        <v>2017</v>
      </c>
      <c r="G3" s="81">
        <v>2018</v>
      </c>
      <c r="H3" s="81">
        <v>2019</v>
      </c>
      <c r="I3" s="125" t="s">
        <v>591</v>
      </c>
      <c r="J3" s="125" t="s">
        <v>629</v>
      </c>
    </row>
    <row r="4" spans="2:10" ht="15.75" customHeight="1" x14ac:dyDescent="0.2">
      <c r="B4" s="79" t="s">
        <v>60</v>
      </c>
      <c r="C4" s="65">
        <v>213333</v>
      </c>
      <c r="D4" s="65">
        <v>288207</v>
      </c>
      <c r="E4" s="65">
        <v>295512</v>
      </c>
      <c r="F4" s="66">
        <v>0.6582313366286503</v>
      </c>
      <c r="G4" s="66">
        <v>0.72985229257573636</v>
      </c>
      <c r="H4" s="66">
        <v>0.65584385522343214</v>
      </c>
      <c r="I4" s="82">
        <v>35.097242339441152</v>
      </c>
      <c r="J4" s="82">
        <v>2.5346365633034589</v>
      </c>
    </row>
    <row r="5" spans="2:10" ht="15.75" customHeight="1" x14ac:dyDescent="0.2">
      <c r="B5" s="79" t="s">
        <v>80</v>
      </c>
      <c r="C5" s="65">
        <v>114155</v>
      </c>
      <c r="D5" s="65">
        <v>176538</v>
      </c>
      <c r="E5" s="65">
        <v>234264</v>
      </c>
      <c r="F5" s="66">
        <v>0.35222116706202777</v>
      </c>
      <c r="G5" s="66">
        <v>0.4470629236164817</v>
      </c>
      <c r="H5" s="66">
        <v>0.51991325191553006</v>
      </c>
      <c r="I5" s="82">
        <v>54.647628224782096</v>
      </c>
      <c r="J5" s="82">
        <v>32.6989090167556</v>
      </c>
    </row>
    <row r="6" spans="2:10" ht="15.75" customHeight="1" x14ac:dyDescent="0.2">
      <c r="B6" s="79" t="s">
        <v>100</v>
      </c>
      <c r="C6" s="65">
        <v>34487</v>
      </c>
      <c r="D6" s="65">
        <v>53544</v>
      </c>
      <c r="E6" s="65">
        <v>74652</v>
      </c>
      <c r="F6" s="66">
        <v>0.10640840426147039</v>
      </c>
      <c r="G6" s="66">
        <v>0.13559424702965309</v>
      </c>
      <c r="H6" s="66">
        <v>0.16567873886725296</v>
      </c>
      <c r="I6" s="82">
        <v>55.258503204105892</v>
      </c>
      <c r="J6" s="82">
        <v>39.421783953384136</v>
      </c>
    </row>
    <row r="7" spans="2:10" ht="15.75" customHeight="1" x14ac:dyDescent="0.2">
      <c r="B7" s="79" t="s">
        <v>149</v>
      </c>
      <c r="C7" s="65">
        <v>99395</v>
      </c>
      <c r="D7" s="65">
        <v>188312</v>
      </c>
      <c r="E7" s="65">
        <v>259243</v>
      </c>
      <c r="F7" s="66">
        <v>0.30667971530051463</v>
      </c>
      <c r="G7" s="66">
        <v>0.47687927399238073</v>
      </c>
      <c r="H7" s="66">
        <v>0.57535033622894582</v>
      </c>
      <c r="I7" s="82">
        <v>89.458222244579702</v>
      </c>
      <c r="J7" s="82">
        <v>37.666744551595222</v>
      </c>
    </row>
    <row r="8" spans="2:10" ht="15.75" customHeight="1" x14ac:dyDescent="0.2">
      <c r="B8" s="79" t="s">
        <v>168</v>
      </c>
      <c r="C8" s="65">
        <v>100971</v>
      </c>
      <c r="D8" s="65">
        <v>148943</v>
      </c>
      <c r="E8" s="65">
        <v>177655</v>
      </c>
      <c r="F8" s="66">
        <v>0.31154240689781443</v>
      </c>
      <c r="G8" s="66">
        <v>0.37718164379459174</v>
      </c>
      <c r="H8" s="66">
        <v>0.39427820223787474</v>
      </c>
      <c r="I8" s="82">
        <v>47.510671380891544</v>
      </c>
      <c r="J8" s="82">
        <v>19.27717314677427</v>
      </c>
    </row>
    <row r="9" spans="2:10" ht="15.75" customHeight="1" x14ac:dyDescent="0.2">
      <c r="B9" s="79" t="s">
        <v>222</v>
      </c>
      <c r="C9" s="65">
        <v>12162</v>
      </c>
      <c r="D9" s="65">
        <v>15661</v>
      </c>
      <c r="E9" s="65">
        <v>17863</v>
      </c>
      <c r="F9" s="66">
        <v>3.7525415740076049E-2</v>
      </c>
      <c r="G9" s="66">
        <v>3.9659747174872945E-2</v>
      </c>
      <c r="H9" s="66">
        <v>3.9644206617180246E-2</v>
      </c>
      <c r="I9" s="82">
        <v>28.769939154744286</v>
      </c>
      <c r="J9" s="82">
        <v>14.060404827277951</v>
      </c>
    </row>
    <row r="10" spans="2:10" ht="15.75" customHeight="1" x14ac:dyDescent="0.2">
      <c r="B10" s="79" t="s">
        <v>238</v>
      </c>
      <c r="C10" s="65">
        <v>111627</v>
      </c>
      <c r="D10" s="65">
        <v>142372</v>
      </c>
      <c r="E10" s="65">
        <v>172587</v>
      </c>
      <c r="F10" s="66">
        <v>0.34442111353539462</v>
      </c>
      <c r="G10" s="66">
        <v>0.36054131439761261</v>
      </c>
      <c r="H10" s="66">
        <v>0.38303054847669971</v>
      </c>
      <c r="I10" s="82">
        <v>27.542619617117722</v>
      </c>
      <c r="J10" s="82">
        <v>21.222571854016238</v>
      </c>
    </row>
    <row r="11" spans="2:10" ht="15.75" customHeight="1" thickBot="1" x14ac:dyDescent="0.25">
      <c r="B11" s="79" t="s">
        <v>272</v>
      </c>
      <c r="C11" s="65">
        <v>108122</v>
      </c>
      <c r="D11" s="65">
        <v>143090</v>
      </c>
      <c r="E11" s="65">
        <v>207510</v>
      </c>
      <c r="F11" s="66">
        <v>0.33360656147414103</v>
      </c>
      <c r="G11" s="66">
        <v>0.36235956983925482</v>
      </c>
      <c r="H11" s="66">
        <v>0.46053682556855358</v>
      </c>
      <c r="I11" s="82">
        <v>32.341244150126705</v>
      </c>
      <c r="J11" s="82">
        <v>45.020616395275702</v>
      </c>
    </row>
    <row r="12" spans="2:10" s="76" customFormat="1" ht="15.75" customHeight="1" thickBot="1" x14ac:dyDescent="0.25">
      <c r="B12" s="80" t="s">
        <v>273</v>
      </c>
      <c r="C12" s="84">
        <v>794252</v>
      </c>
      <c r="D12" s="84">
        <v>1156667</v>
      </c>
      <c r="E12" s="84">
        <v>1439286</v>
      </c>
      <c r="F12" s="85">
        <v>2.4506361209000893</v>
      </c>
      <c r="G12" s="85">
        <v>2.929131012420584</v>
      </c>
      <c r="H12" s="85">
        <v>3.1942759651354691</v>
      </c>
      <c r="I12" s="85">
        <v>45.629724571042942</v>
      </c>
      <c r="J12" s="85">
        <v>24.433912266884072</v>
      </c>
    </row>
    <row r="13" spans="2:10" ht="15.75" customHeight="1" x14ac:dyDescent="0.2">
      <c r="B13" s="79" t="s">
        <v>28</v>
      </c>
      <c r="C13" s="65">
        <v>48280</v>
      </c>
      <c r="D13" s="65">
        <v>68668</v>
      </c>
      <c r="E13" s="65">
        <v>64483</v>
      </c>
      <c r="F13" s="66">
        <v>0.14896621213047787</v>
      </c>
      <c r="G13" s="66">
        <v>0.17389410120708609</v>
      </c>
      <c r="H13" s="66">
        <v>0.14311019287329305</v>
      </c>
      <c r="I13" s="82">
        <v>42.228666114333059</v>
      </c>
      <c r="J13" s="82">
        <v>-6.0945418535562412</v>
      </c>
    </row>
    <row r="14" spans="2:10" ht="15.75" customHeight="1" x14ac:dyDescent="0.2">
      <c r="B14" s="79" t="s">
        <v>54</v>
      </c>
      <c r="C14" s="65">
        <v>49754</v>
      </c>
      <c r="D14" s="65">
        <v>78691</v>
      </c>
      <c r="E14" s="65">
        <v>101164</v>
      </c>
      <c r="F14" s="66">
        <v>0.15351418637820621</v>
      </c>
      <c r="G14" s="66">
        <v>0.199276238103437</v>
      </c>
      <c r="H14" s="66">
        <v>0.22451808308909044</v>
      </c>
      <c r="I14" s="82">
        <v>58.1601479278048</v>
      </c>
      <c r="J14" s="82">
        <v>28.558539095957606</v>
      </c>
    </row>
    <row r="15" spans="2:10" ht="15.75" customHeight="1" x14ac:dyDescent="0.2">
      <c r="B15" s="79" t="s">
        <v>135</v>
      </c>
      <c r="C15" s="65">
        <v>29650</v>
      </c>
      <c r="D15" s="65">
        <v>56031</v>
      </c>
      <c r="E15" s="65">
        <v>70974</v>
      </c>
      <c r="F15" s="66">
        <v>9.1484013870519229E-2</v>
      </c>
      <c r="G15" s="66">
        <v>0.14189229895634417</v>
      </c>
      <c r="H15" s="66">
        <v>0.15751597830419026</v>
      </c>
      <c r="I15" s="82">
        <v>88.974704890387855</v>
      </c>
      <c r="J15" s="82">
        <v>26.669165283503776</v>
      </c>
    </row>
    <row r="16" spans="2:10" ht="15.75" customHeight="1" x14ac:dyDescent="0.2">
      <c r="B16" s="79" t="s">
        <v>228</v>
      </c>
      <c r="C16" s="65">
        <v>8645</v>
      </c>
      <c r="D16" s="65">
        <v>14609</v>
      </c>
      <c r="E16" s="65">
        <v>18509</v>
      </c>
      <c r="F16" s="66">
        <v>2.6673838108284612E-2</v>
      </c>
      <c r="G16" s="66">
        <v>3.6995673742271813E-2</v>
      </c>
      <c r="H16" s="66">
        <v>4.1077905182633892E-2</v>
      </c>
      <c r="I16" s="82">
        <v>68.987854251012152</v>
      </c>
      <c r="J16" s="82">
        <v>26.695872407420083</v>
      </c>
    </row>
    <row r="17" spans="2:10" ht="15.75" customHeight="1" x14ac:dyDescent="0.2">
      <c r="B17" s="79" t="s">
        <v>249</v>
      </c>
      <c r="C17" s="65">
        <v>6956</v>
      </c>
      <c r="D17" s="65">
        <v>9246</v>
      </c>
      <c r="E17" s="65">
        <v>11738</v>
      </c>
      <c r="F17" s="66">
        <v>2.1462489055087075E-2</v>
      </c>
      <c r="G17" s="66">
        <v>2.341447049223391E-2</v>
      </c>
      <c r="H17" s="66">
        <v>2.6050702416865124E-2</v>
      </c>
      <c r="I17" s="82">
        <v>32.921219091431858</v>
      </c>
      <c r="J17" s="82">
        <v>26.952195544019034</v>
      </c>
    </row>
    <row r="18" spans="2:10" ht="15.75" customHeight="1" thickBot="1" x14ac:dyDescent="0.25">
      <c r="B18" s="79" t="s">
        <v>274</v>
      </c>
      <c r="C18" s="65">
        <v>15381</v>
      </c>
      <c r="D18" s="65">
        <v>25352</v>
      </c>
      <c r="E18" s="65">
        <v>31532</v>
      </c>
      <c r="F18" s="66">
        <v>4.7457525036845069E-2</v>
      </c>
      <c r="G18" s="66">
        <v>6.4201130858653907E-2</v>
      </c>
      <c r="H18" s="66">
        <v>6.9980469297034512E-2</v>
      </c>
      <c r="I18" s="82">
        <v>64.826734282556401</v>
      </c>
      <c r="J18" s="82">
        <v>24.376775007888924</v>
      </c>
    </row>
    <row r="19" spans="2:10" s="76" customFormat="1" ht="15.75" customHeight="1" thickBot="1" x14ac:dyDescent="0.25">
      <c r="B19" s="80" t="s">
        <v>275</v>
      </c>
      <c r="C19" s="84">
        <v>158666</v>
      </c>
      <c r="D19" s="84">
        <v>252597</v>
      </c>
      <c r="E19" s="84">
        <v>298400</v>
      </c>
      <c r="F19" s="85">
        <v>0.48955826457942009</v>
      </c>
      <c r="G19" s="85">
        <v>0.63967391336002688</v>
      </c>
      <c r="H19" s="85">
        <v>0.66225333116310725</v>
      </c>
      <c r="I19" s="85">
        <v>59.200458825457247</v>
      </c>
      <c r="J19" s="85">
        <v>18.132836098607665</v>
      </c>
    </row>
    <row r="20" spans="2:10" s="76" customFormat="1" ht="15.75" customHeight="1" thickBot="1" x14ac:dyDescent="0.25">
      <c r="B20" s="80" t="s">
        <v>276</v>
      </c>
      <c r="C20" s="84">
        <v>15597</v>
      </c>
      <c r="D20" s="84">
        <v>21510</v>
      </c>
      <c r="E20" s="84">
        <v>26560</v>
      </c>
      <c r="F20" s="85">
        <v>4.812398530652575E-2</v>
      </c>
      <c r="G20" s="85">
        <v>5.4471691573431902E-2</v>
      </c>
      <c r="H20" s="85">
        <v>5.8945872907815444E-2</v>
      </c>
      <c r="I20" s="85">
        <v>37.911136757068668</v>
      </c>
      <c r="J20" s="85">
        <v>23.477452347745235</v>
      </c>
    </row>
    <row r="21" spans="2:10" s="76" customFormat="1" ht="15.75" customHeight="1" thickBot="1" x14ac:dyDescent="0.25">
      <c r="B21" s="80" t="s">
        <v>277</v>
      </c>
      <c r="C21" s="84">
        <v>8435</v>
      </c>
      <c r="D21" s="84">
        <v>12531</v>
      </c>
      <c r="E21" s="84">
        <v>17433</v>
      </c>
      <c r="F21" s="85">
        <v>2.6025890623872842E-2</v>
      </c>
      <c r="G21" s="85">
        <v>3.1733368996126228E-2</v>
      </c>
      <c r="H21" s="85">
        <v>3.8689887138627511E-2</v>
      </c>
      <c r="I21" s="85">
        <v>48.559573206876109</v>
      </c>
      <c r="J21" s="85">
        <v>39.118984917404838</v>
      </c>
    </row>
    <row r="22" spans="2:10" s="76" customFormat="1" ht="15.75" customHeight="1" thickBot="1" x14ac:dyDescent="0.25">
      <c r="B22" s="80" t="s">
        <v>278</v>
      </c>
      <c r="C22" s="84">
        <v>182698</v>
      </c>
      <c r="D22" s="84">
        <v>286638</v>
      </c>
      <c r="E22" s="84">
        <v>342393</v>
      </c>
      <c r="F22" s="85">
        <v>0.56370814050981866</v>
      </c>
      <c r="G22" s="85">
        <v>0.725878973929585</v>
      </c>
      <c r="H22" s="85">
        <v>0.75988909120955017</v>
      </c>
      <c r="I22" s="85">
        <v>56.891701058577546</v>
      </c>
      <c r="J22" s="85">
        <v>19.451363741025265</v>
      </c>
    </row>
    <row r="23" spans="2:10" ht="15.75" customHeight="1" x14ac:dyDescent="0.2">
      <c r="B23" s="79" t="s">
        <v>35</v>
      </c>
      <c r="C23" s="65">
        <v>59442</v>
      </c>
      <c r="D23" s="65">
        <v>77075</v>
      </c>
      <c r="E23" s="65">
        <v>90299</v>
      </c>
      <c r="F23" s="66">
        <v>0.18340616365906928</v>
      </c>
      <c r="G23" s="66">
        <v>0.19518389716514478</v>
      </c>
      <c r="H23" s="66">
        <v>0.20040487114844982</v>
      </c>
      <c r="I23" s="82">
        <v>29.664210490898689</v>
      </c>
      <c r="J23" s="82">
        <v>17.157314304249109</v>
      </c>
    </row>
    <row r="24" spans="2:10" ht="15.75" customHeight="1" x14ac:dyDescent="0.2">
      <c r="B24" s="79" t="s">
        <v>48</v>
      </c>
      <c r="C24" s="65">
        <v>49360</v>
      </c>
      <c r="D24" s="65">
        <v>43292</v>
      </c>
      <c r="E24" s="65">
        <v>37500</v>
      </c>
      <c r="F24" s="66">
        <v>0.15229851347888126</v>
      </c>
      <c r="G24" s="66">
        <v>0.10963219300776449</v>
      </c>
      <c r="H24" s="66">
        <v>8.3225535920296662E-2</v>
      </c>
      <c r="I24" s="82">
        <v>-12.293354943273906</v>
      </c>
      <c r="J24" s="82">
        <v>-13.378915273029659</v>
      </c>
    </row>
    <row r="25" spans="2:10" ht="15.75" customHeight="1" x14ac:dyDescent="0.2">
      <c r="B25" s="79" t="s">
        <v>111</v>
      </c>
      <c r="C25" s="65">
        <v>896876</v>
      </c>
      <c r="D25" s="65">
        <v>1172896</v>
      </c>
      <c r="E25" s="65">
        <v>1374896</v>
      </c>
      <c r="F25" s="66">
        <v>2.7672788001394877</v>
      </c>
      <c r="G25" s="66">
        <v>2.970229156657926</v>
      </c>
      <c r="H25" s="66">
        <v>3.0513721715912583</v>
      </c>
      <c r="I25" s="82">
        <v>30.775714814534005</v>
      </c>
      <c r="J25" s="82">
        <v>17.222328322374704</v>
      </c>
    </row>
    <row r="26" spans="2:10" ht="15.75" customHeight="1" x14ac:dyDescent="0.2">
      <c r="B26" s="79" t="s">
        <v>117</v>
      </c>
      <c r="C26" s="65">
        <v>380415</v>
      </c>
      <c r="D26" s="65">
        <v>443732</v>
      </c>
      <c r="E26" s="65">
        <v>569368</v>
      </c>
      <c r="F26" s="66">
        <v>1.173756868011925</v>
      </c>
      <c r="G26" s="66">
        <v>1.1237021220484467</v>
      </c>
      <c r="H26" s="66">
        <v>1.2636255182897991</v>
      </c>
      <c r="I26" s="82">
        <v>16.644191212228751</v>
      </c>
      <c r="J26" s="82">
        <v>28.313486518889782</v>
      </c>
    </row>
    <row r="27" spans="2:10" ht="15.75" customHeight="1" x14ac:dyDescent="0.2">
      <c r="B27" s="79" t="s">
        <v>129</v>
      </c>
      <c r="C27" s="65">
        <v>48764</v>
      </c>
      <c r="D27" s="65">
        <v>96327</v>
      </c>
      <c r="E27" s="65">
        <v>108496</v>
      </c>
      <c r="F27" s="66">
        <v>0.15045957680883643</v>
      </c>
      <c r="G27" s="66">
        <v>0.2439374539374233</v>
      </c>
      <c r="H27" s="66">
        <v>0.24079033987222684</v>
      </c>
      <c r="I27" s="82">
        <v>97.537117545730453</v>
      </c>
      <c r="J27" s="82">
        <v>12.633010474737093</v>
      </c>
    </row>
    <row r="28" spans="2:10" ht="15.75" customHeight="1" x14ac:dyDescent="0.2">
      <c r="B28" s="79" t="s">
        <v>140</v>
      </c>
      <c r="C28" s="65">
        <v>255644</v>
      </c>
      <c r="D28" s="65">
        <v>298620</v>
      </c>
      <c r="E28" s="65">
        <v>374191</v>
      </c>
      <c r="F28" s="66">
        <v>0.78878041288077638</v>
      </c>
      <c r="G28" s="66">
        <v>0.75622206125793745</v>
      </c>
      <c r="H28" s="66">
        <v>0.83045990697471272</v>
      </c>
      <c r="I28" s="82">
        <v>16.810877626699629</v>
      </c>
      <c r="J28" s="82">
        <v>25.306744357377269</v>
      </c>
    </row>
    <row r="29" spans="2:10" ht="15.75" customHeight="1" x14ac:dyDescent="0.2">
      <c r="B29" s="79" t="s">
        <v>141</v>
      </c>
      <c r="C29" s="65">
        <v>245858</v>
      </c>
      <c r="D29" s="65">
        <v>256343</v>
      </c>
      <c r="E29" s="65">
        <v>255986</v>
      </c>
      <c r="F29" s="66">
        <v>0.75858606010718777</v>
      </c>
      <c r="G29" s="66">
        <v>0.64916024328257804</v>
      </c>
      <c r="H29" s="66">
        <v>0.56812192101581493</v>
      </c>
      <c r="I29" s="82">
        <v>4.2646568344328841</v>
      </c>
      <c r="J29" s="82">
        <v>-0.13926652961071689</v>
      </c>
    </row>
    <row r="30" spans="2:10" ht="15.75" customHeight="1" x14ac:dyDescent="0.2">
      <c r="B30" s="79" t="s">
        <v>152</v>
      </c>
      <c r="C30" s="65">
        <v>237476</v>
      </c>
      <c r="D30" s="65">
        <v>338837</v>
      </c>
      <c r="E30" s="65">
        <v>376721</v>
      </c>
      <c r="F30" s="66">
        <v>0.73272369908652368</v>
      </c>
      <c r="G30" s="66">
        <v>0.85806715749265206</v>
      </c>
      <c r="H30" s="66">
        <v>0.83607485646480206</v>
      </c>
      <c r="I30" s="82">
        <v>42.682628981454968</v>
      </c>
      <c r="J30" s="82">
        <v>11.18059716028651</v>
      </c>
    </row>
    <row r="31" spans="2:10" ht="15.75" customHeight="1" x14ac:dyDescent="0.2">
      <c r="B31" s="79" t="s">
        <v>225</v>
      </c>
      <c r="C31" s="65">
        <v>651170</v>
      </c>
      <c r="D31" s="65">
        <v>747233</v>
      </c>
      <c r="E31" s="65">
        <v>564816</v>
      </c>
      <c r="F31" s="66">
        <v>2.0091617305924454</v>
      </c>
      <c r="G31" s="66">
        <v>1.892284774964679</v>
      </c>
      <c r="H31" s="66">
        <v>1.2535230479028874</v>
      </c>
      <c r="I31" s="82">
        <v>14.75236881305957</v>
      </c>
      <c r="J31" s="82">
        <v>-24.412331896476736</v>
      </c>
    </row>
    <row r="32" spans="2:10" ht="15.75" customHeight="1" x14ac:dyDescent="0.2">
      <c r="B32" s="79" t="s">
        <v>246</v>
      </c>
      <c r="C32" s="65">
        <v>277729</v>
      </c>
      <c r="D32" s="65">
        <v>406469</v>
      </c>
      <c r="E32" s="65">
        <v>474874</v>
      </c>
      <c r="F32" s="66">
        <v>0.85692288999141442</v>
      </c>
      <c r="G32" s="66">
        <v>1.0293377034942488</v>
      </c>
      <c r="H32" s="66">
        <v>1.0539104838563988</v>
      </c>
      <c r="I32" s="82">
        <v>46.354539857198922</v>
      </c>
      <c r="J32" s="82">
        <v>16.829081676585421</v>
      </c>
    </row>
    <row r="33" spans="2:10" ht="15.75" customHeight="1" x14ac:dyDescent="0.2">
      <c r="B33" s="79" t="s">
        <v>253</v>
      </c>
      <c r="C33" s="65">
        <v>28491</v>
      </c>
      <c r="D33" s="65">
        <v>39545</v>
      </c>
      <c r="E33" s="65">
        <v>41673</v>
      </c>
      <c r="F33" s="66">
        <v>8.7907960849408551E-2</v>
      </c>
      <c r="G33" s="66">
        <v>0.10014333069601881</v>
      </c>
      <c r="H33" s="66">
        <v>9.2486873557507274E-2</v>
      </c>
      <c r="I33" s="82">
        <v>38.798216980800952</v>
      </c>
      <c r="J33" s="82">
        <v>5.3812112782905555</v>
      </c>
    </row>
    <row r="34" spans="2:10" ht="15.75" customHeight="1" thickBot="1" x14ac:dyDescent="0.25">
      <c r="B34" s="79" t="s">
        <v>279</v>
      </c>
      <c r="C34" s="65">
        <v>461776</v>
      </c>
      <c r="D34" s="65">
        <v>587485</v>
      </c>
      <c r="E34" s="65">
        <v>733114</v>
      </c>
      <c r="F34" s="66">
        <v>1.4247933217225257</v>
      </c>
      <c r="G34" s="66">
        <v>1.4877406659236467</v>
      </c>
      <c r="H34" s="66">
        <v>1.6270348144179296</v>
      </c>
      <c r="I34" s="82">
        <v>27.222939260593883</v>
      </c>
      <c r="J34" s="82">
        <v>24.788547792709601</v>
      </c>
    </row>
    <row r="35" spans="2:10" s="76" customFormat="1" ht="15.75" customHeight="1" thickBot="1" x14ac:dyDescent="0.25">
      <c r="B35" s="80" t="s">
        <v>280</v>
      </c>
      <c r="C35" s="84">
        <v>3593001</v>
      </c>
      <c r="D35" s="84">
        <v>4507854</v>
      </c>
      <c r="E35" s="84">
        <v>5001934</v>
      </c>
      <c r="F35" s="85">
        <v>11.086075997328482</v>
      </c>
      <c r="G35" s="85">
        <v>11.415640759928467</v>
      </c>
      <c r="H35" s="85">
        <v>11.101030341012084</v>
      </c>
      <c r="I35" s="85">
        <v>25.46208587194938</v>
      </c>
      <c r="J35" s="85">
        <v>10.960425958782162</v>
      </c>
    </row>
    <row r="36" spans="2:10" ht="15.75" customHeight="1" x14ac:dyDescent="0.2">
      <c r="B36" s="79" t="s">
        <v>37</v>
      </c>
      <c r="C36" s="65">
        <v>11346</v>
      </c>
      <c r="D36" s="65">
        <v>17932</v>
      </c>
      <c r="E36" s="65">
        <v>20605</v>
      </c>
      <c r="F36" s="66">
        <v>3.5007676943504595E-2</v>
      </c>
      <c r="G36" s="66">
        <v>4.541080303555467E-2</v>
      </c>
      <c r="H36" s="66">
        <v>4.5729657803672337E-2</v>
      </c>
      <c r="I36" s="82">
        <v>58.046888771373169</v>
      </c>
      <c r="J36" s="82">
        <v>14.906312737006468</v>
      </c>
    </row>
    <row r="37" spans="2:10" ht="15.75" customHeight="1" x14ac:dyDescent="0.2">
      <c r="B37" s="79" t="s">
        <v>64</v>
      </c>
      <c r="C37" s="65">
        <v>247277</v>
      </c>
      <c r="D37" s="65">
        <v>394109</v>
      </c>
      <c r="E37" s="65">
        <v>426344</v>
      </c>
      <c r="F37" s="66">
        <v>0.76296433382328444</v>
      </c>
      <c r="G37" s="66">
        <v>0.99803737305037998</v>
      </c>
      <c r="H37" s="66">
        <v>0.94620554363741227</v>
      </c>
      <c r="I37" s="82">
        <v>59.379562191388608</v>
      </c>
      <c r="J37" s="82">
        <v>8.1792093050399757</v>
      </c>
    </row>
    <row r="38" spans="2:10" ht="15.75" customHeight="1" x14ac:dyDescent="0.2">
      <c r="B38" s="79" t="s">
        <v>73</v>
      </c>
      <c r="C38" s="65">
        <v>85031</v>
      </c>
      <c r="D38" s="65">
        <v>119337</v>
      </c>
      <c r="E38" s="65">
        <v>127149</v>
      </c>
      <c r="F38" s="66">
        <v>0.26236010736674947</v>
      </c>
      <c r="G38" s="66">
        <v>0.30220772930258688</v>
      </c>
      <c r="H38" s="66">
        <v>0.28218783111279466</v>
      </c>
      <c r="I38" s="82">
        <v>40.34528583693006</v>
      </c>
      <c r="J38" s="82">
        <v>6.5461675758566074</v>
      </c>
    </row>
    <row r="39" spans="2:10" ht="15.75" customHeight="1" x14ac:dyDescent="0.2">
      <c r="B39" s="79" t="s">
        <v>83</v>
      </c>
      <c r="C39" s="65">
        <v>63244</v>
      </c>
      <c r="D39" s="65">
        <v>95068</v>
      </c>
      <c r="E39" s="65">
        <v>139126</v>
      </c>
      <c r="F39" s="66">
        <v>0.19513709859113385</v>
      </c>
      <c r="G39" s="66">
        <v>0.2407491759415632</v>
      </c>
      <c r="H39" s="66">
        <v>0.30876895761192513</v>
      </c>
      <c r="I39" s="82">
        <v>50.319397887546643</v>
      </c>
      <c r="J39" s="82">
        <v>46.343669794252534</v>
      </c>
    </row>
    <row r="40" spans="2:10" ht="15.75" customHeight="1" x14ac:dyDescent="0.2">
      <c r="B40" s="79" t="s">
        <v>107</v>
      </c>
      <c r="C40" s="65">
        <v>86996</v>
      </c>
      <c r="D40" s="65">
        <v>147127</v>
      </c>
      <c r="E40" s="65">
        <v>230131</v>
      </c>
      <c r="F40" s="66">
        <v>0.26842304454231675</v>
      </c>
      <c r="G40" s="66">
        <v>0.37258282501740192</v>
      </c>
      <c r="H40" s="66">
        <v>0.51074068818330109</v>
      </c>
      <c r="I40" s="82">
        <v>69.119269851487431</v>
      </c>
      <c r="J40" s="82">
        <v>56.416565280336037</v>
      </c>
    </row>
    <row r="41" spans="2:10" ht="15.75" customHeight="1" x14ac:dyDescent="0.2">
      <c r="B41" s="79" t="s">
        <v>114</v>
      </c>
      <c r="C41" s="65">
        <v>2501948</v>
      </c>
      <c r="D41" s="65">
        <v>2001744</v>
      </c>
      <c r="E41" s="65">
        <v>2102890</v>
      </c>
      <c r="F41" s="66">
        <v>7.7196710129955433</v>
      </c>
      <c r="G41" s="66">
        <v>5.0691948757307239</v>
      </c>
      <c r="H41" s="66">
        <v>4.6670439261715373</v>
      </c>
      <c r="I41" s="82">
        <v>-19.992581780276808</v>
      </c>
      <c r="J41" s="82">
        <v>5.0528938765396578</v>
      </c>
    </row>
    <row r="42" spans="2:10" ht="15.75" customHeight="1" x14ac:dyDescent="0.2">
      <c r="B42" s="79" t="s">
        <v>159</v>
      </c>
      <c r="C42" s="65">
        <v>61166</v>
      </c>
      <c r="D42" s="65">
        <v>95591</v>
      </c>
      <c r="E42" s="65">
        <v>114214</v>
      </c>
      <c r="F42" s="66">
        <v>0.18872550395966878</v>
      </c>
      <c r="G42" s="66">
        <v>0.24207361549028031</v>
      </c>
      <c r="H42" s="66">
        <v>0.25348056958935367</v>
      </c>
      <c r="I42" s="82">
        <v>56.281267370761533</v>
      </c>
      <c r="J42" s="82">
        <v>19.48195959870699</v>
      </c>
    </row>
    <row r="43" spans="2:10" ht="15.75" customHeight="1" x14ac:dyDescent="0.2">
      <c r="B43" s="79" t="s">
        <v>190</v>
      </c>
      <c r="C43" s="65">
        <v>77464</v>
      </c>
      <c r="D43" s="65">
        <v>113579</v>
      </c>
      <c r="E43" s="65">
        <v>130736</v>
      </c>
      <c r="F43" s="66">
        <v>0.23901239967844526</v>
      </c>
      <c r="G43" s="66">
        <v>0.28762623232072626</v>
      </c>
      <c r="H43" s="66">
        <v>0.2901486310420241</v>
      </c>
      <c r="I43" s="82">
        <v>46.62165651141175</v>
      </c>
      <c r="J43" s="82">
        <v>15.105785400470157</v>
      </c>
    </row>
    <row r="44" spans="2:10" ht="15.75" customHeight="1" x14ac:dyDescent="0.2">
      <c r="B44" s="79" t="s">
        <v>216</v>
      </c>
      <c r="C44" s="65">
        <v>17561</v>
      </c>
      <c r="D44" s="65">
        <v>28382</v>
      </c>
      <c r="E44" s="65">
        <v>34930</v>
      </c>
      <c r="F44" s="66">
        <v>5.4183837017881563E-2</v>
      </c>
      <c r="G44" s="66">
        <v>7.1874270117951847E-2</v>
      </c>
      <c r="H44" s="66">
        <v>7.7521812525225664E-2</v>
      </c>
      <c r="I44" s="82">
        <v>61.619497750697569</v>
      </c>
      <c r="J44" s="82">
        <v>23.070960467902193</v>
      </c>
    </row>
    <row r="45" spans="2:10" ht="15.75" customHeight="1" x14ac:dyDescent="0.2">
      <c r="B45" s="79" t="s">
        <v>232</v>
      </c>
      <c r="C45" s="65">
        <v>30721</v>
      </c>
      <c r="D45" s="65">
        <v>54098</v>
      </c>
      <c r="E45" s="65">
        <v>62192</v>
      </c>
      <c r="F45" s="66">
        <v>9.4788546041019273E-2</v>
      </c>
      <c r="G45" s="66">
        <v>0.13699719064339932</v>
      </c>
      <c r="H45" s="66">
        <v>0.13802566746546907</v>
      </c>
      <c r="I45" s="82">
        <v>76.094528172911041</v>
      </c>
      <c r="J45" s="82">
        <v>14.961736108543754</v>
      </c>
    </row>
    <row r="46" spans="2:10" ht="15.75" customHeight="1" thickBot="1" x14ac:dyDescent="0.25">
      <c r="B46" s="79" t="s">
        <v>281</v>
      </c>
      <c r="C46" s="65">
        <v>147155</v>
      </c>
      <c r="D46" s="65">
        <v>216371</v>
      </c>
      <c r="E46" s="65">
        <v>261627</v>
      </c>
      <c r="F46" s="66">
        <v>0.45404148604102051</v>
      </c>
      <c r="G46" s="66">
        <v>0.54793558240051299</v>
      </c>
      <c r="H46" s="66">
        <v>0.58064126096585211</v>
      </c>
      <c r="I46" s="82">
        <v>47.036118378580412</v>
      </c>
      <c r="J46" s="82">
        <v>20.915926810894252</v>
      </c>
    </row>
    <row r="47" spans="2:10" s="76" customFormat="1" ht="15.75" customHeight="1" thickBot="1" x14ac:dyDescent="0.25">
      <c r="B47" s="80" t="s">
        <v>282</v>
      </c>
      <c r="C47" s="84">
        <v>3329909</v>
      </c>
      <c r="D47" s="84">
        <v>3283338</v>
      </c>
      <c r="E47" s="84">
        <v>3649944</v>
      </c>
      <c r="F47" s="85">
        <v>10.274315047000568</v>
      </c>
      <c r="G47" s="85">
        <v>8.3146896730510811</v>
      </c>
      <c r="H47" s="85">
        <v>8.1004945461085676</v>
      </c>
      <c r="I47" s="85">
        <v>-1.3985667476198298</v>
      </c>
      <c r="J47" s="85">
        <v>11.165649104661171</v>
      </c>
    </row>
    <row r="48" spans="2:10" s="76" customFormat="1" ht="15.75" customHeight="1" thickBot="1" x14ac:dyDescent="0.25">
      <c r="B48" s="80" t="s">
        <v>283</v>
      </c>
      <c r="C48" s="84">
        <v>6922910</v>
      </c>
      <c r="D48" s="84">
        <v>7791192</v>
      </c>
      <c r="E48" s="84">
        <v>8651878</v>
      </c>
      <c r="F48" s="85">
        <v>21.360391044329049</v>
      </c>
      <c r="G48" s="85">
        <v>19.730330432979546</v>
      </c>
      <c r="H48" s="85">
        <v>19.201524887120652</v>
      </c>
      <c r="I48" s="85">
        <v>12.542153516368117</v>
      </c>
      <c r="J48" s="85">
        <v>11.046910408574195</v>
      </c>
    </row>
    <row r="49" spans="2:10" ht="15.75" customHeight="1" x14ac:dyDescent="0.2">
      <c r="B49" s="79" t="s">
        <v>21</v>
      </c>
      <c r="C49" s="65">
        <v>3584653</v>
      </c>
      <c r="D49" s="65">
        <v>4512360</v>
      </c>
      <c r="E49" s="65">
        <v>5027472</v>
      </c>
      <c r="F49" s="66">
        <v>11.060318542091007</v>
      </c>
      <c r="G49" s="66">
        <v>11.427051705638828</v>
      </c>
      <c r="H49" s="66">
        <v>11.157708040647618</v>
      </c>
      <c r="I49" s="82">
        <v>25.879966624384565</v>
      </c>
      <c r="J49" s="82">
        <v>11.415578544265085</v>
      </c>
    </row>
    <row r="50" spans="2:10" ht="15.75" customHeight="1" x14ac:dyDescent="0.2">
      <c r="B50" s="79" t="s">
        <v>32</v>
      </c>
      <c r="C50" s="65">
        <v>287746</v>
      </c>
      <c r="D50" s="65">
        <v>353628</v>
      </c>
      <c r="E50" s="65">
        <v>401475</v>
      </c>
      <c r="F50" s="66">
        <v>0.88782998499785593</v>
      </c>
      <c r="G50" s="66">
        <v>0.89552372606832065</v>
      </c>
      <c r="H50" s="66">
        <v>0.89101258756269597</v>
      </c>
      <c r="I50" s="82">
        <v>22.895887345089072</v>
      </c>
      <c r="J50" s="82">
        <v>13.530319997285282</v>
      </c>
    </row>
    <row r="51" spans="2:10" ht="15.75" customHeight="1" x14ac:dyDescent="0.2">
      <c r="B51" s="79" t="s">
        <v>42</v>
      </c>
      <c r="C51" s="65">
        <v>419998</v>
      </c>
      <c r="D51" s="65">
        <v>511559</v>
      </c>
      <c r="E51" s="65">
        <v>557435</v>
      </c>
      <c r="F51" s="66">
        <v>1.295888797895121</v>
      </c>
      <c r="G51" s="66">
        <v>1.2954664839429684</v>
      </c>
      <c r="H51" s="66">
        <v>1.2371420430861484</v>
      </c>
      <c r="I51" s="82">
        <v>21.800341906390031</v>
      </c>
      <c r="J51" s="82">
        <v>8.9678805377287851</v>
      </c>
    </row>
    <row r="52" spans="2:10" ht="15.75" customHeight="1" x14ac:dyDescent="0.2">
      <c r="B52" s="79" t="s">
        <v>63</v>
      </c>
      <c r="C52" s="65">
        <v>126567</v>
      </c>
      <c r="D52" s="65">
        <v>228251</v>
      </c>
      <c r="E52" s="65">
        <v>311359</v>
      </c>
      <c r="F52" s="66">
        <v>0.39051794885497498</v>
      </c>
      <c r="G52" s="66">
        <v>0.57802036603102769</v>
      </c>
      <c r="H52" s="66">
        <v>0.69101385702953722</v>
      </c>
      <c r="I52" s="82">
        <v>80.340057044885313</v>
      </c>
      <c r="J52" s="82">
        <v>36.410793380970951</v>
      </c>
    </row>
    <row r="53" spans="2:10" ht="15.75" customHeight="1" x14ac:dyDescent="0.2">
      <c r="B53" s="79" t="s">
        <v>65</v>
      </c>
      <c r="C53" s="65">
        <v>269026</v>
      </c>
      <c r="D53" s="65">
        <v>326278</v>
      </c>
      <c r="E53" s="65">
        <v>335877</v>
      </c>
      <c r="F53" s="66">
        <v>0.83007009495886364</v>
      </c>
      <c r="G53" s="66">
        <v>0.82626288159908023</v>
      </c>
      <c r="H53" s="66">
        <v>0.74542782208803948</v>
      </c>
      <c r="I53" s="82">
        <v>21.281214455108429</v>
      </c>
      <c r="J53" s="82">
        <v>2.941969731333403</v>
      </c>
    </row>
    <row r="54" spans="2:10" ht="15.75" customHeight="1" x14ac:dyDescent="0.2">
      <c r="B54" s="79" t="s">
        <v>85</v>
      </c>
      <c r="C54" s="65">
        <v>97112</v>
      </c>
      <c r="D54" s="65">
        <v>128860</v>
      </c>
      <c r="E54" s="65">
        <v>135192</v>
      </c>
      <c r="F54" s="66">
        <v>0.29963560050569527</v>
      </c>
      <c r="G54" s="66">
        <v>0.3263236716016939</v>
      </c>
      <c r="H54" s="66">
        <v>0.30003804405697987</v>
      </c>
      <c r="I54" s="82">
        <v>32.692149270944888</v>
      </c>
      <c r="J54" s="82">
        <v>4.9138600031041442</v>
      </c>
    </row>
    <row r="55" spans="2:10" ht="15.75" customHeight="1" x14ac:dyDescent="0.2">
      <c r="B55" s="79" t="s">
        <v>86</v>
      </c>
      <c r="C55" s="65">
        <v>578524</v>
      </c>
      <c r="D55" s="65">
        <v>731379</v>
      </c>
      <c r="E55" s="65">
        <v>875957</v>
      </c>
      <c r="F55" s="66">
        <v>1.7850150974849333</v>
      </c>
      <c r="G55" s="66">
        <v>1.8521362766752698</v>
      </c>
      <c r="H55" s="66">
        <v>1.9440530871502746</v>
      </c>
      <c r="I55" s="82">
        <v>26.421548630653181</v>
      </c>
      <c r="J55" s="82">
        <v>19.7678631735393</v>
      </c>
    </row>
    <row r="56" spans="2:10" ht="15.75" customHeight="1" x14ac:dyDescent="0.2">
      <c r="B56" s="79" t="s">
        <v>108</v>
      </c>
      <c r="C56" s="65">
        <v>799006</v>
      </c>
      <c r="D56" s="65">
        <v>1013642</v>
      </c>
      <c r="E56" s="65">
        <v>1117290</v>
      </c>
      <c r="F56" s="66">
        <v>2.4653044177614869</v>
      </c>
      <c r="G56" s="66">
        <v>2.5669360478789707</v>
      </c>
      <c r="H56" s="66">
        <v>2.4796549074236869</v>
      </c>
      <c r="I56" s="82">
        <v>26.862877124827598</v>
      </c>
      <c r="J56" s="82">
        <v>10.225306370493724</v>
      </c>
    </row>
    <row r="57" spans="2:10" ht="15.75" customHeight="1" x14ac:dyDescent="0.2">
      <c r="B57" s="79" t="s">
        <v>113</v>
      </c>
      <c r="C57" s="65">
        <v>1658715</v>
      </c>
      <c r="D57" s="65">
        <v>2254871</v>
      </c>
      <c r="E57" s="65">
        <v>2562064</v>
      </c>
      <c r="F57" s="66">
        <v>5.1179057695527259</v>
      </c>
      <c r="G57" s="66">
        <v>5.7102109553638298</v>
      </c>
      <c r="H57" s="66">
        <v>5.6861106523226379</v>
      </c>
      <c r="I57" s="82">
        <v>35.94083371766699</v>
      </c>
      <c r="J57" s="82">
        <v>13.623528796104079</v>
      </c>
    </row>
    <row r="58" spans="2:10" ht="15.75" customHeight="1" x14ac:dyDescent="0.2">
      <c r="B58" s="79" t="s">
        <v>115</v>
      </c>
      <c r="C58" s="65">
        <v>50102</v>
      </c>
      <c r="D58" s="65">
        <v>71221</v>
      </c>
      <c r="E58" s="65">
        <v>96886</v>
      </c>
      <c r="F58" s="66">
        <v>0.15458792792380285</v>
      </c>
      <c r="G58" s="66">
        <v>0.18035929082061339</v>
      </c>
      <c r="H58" s="66">
        <v>0.21502371395130299</v>
      </c>
      <c r="I58" s="82">
        <v>42.152009899804398</v>
      </c>
      <c r="J58" s="82">
        <v>36.035719801743866</v>
      </c>
    </row>
    <row r="59" spans="2:10" ht="15.75" customHeight="1" x14ac:dyDescent="0.2">
      <c r="B59" s="79" t="s">
        <v>116</v>
      </c>
      <c r="C59" s="65">
        <v>106757</v>
      </c>
      <c r="D59" s="65">
        <v>178018</v>
      </c>
      <c r="E59" s="65">
        <v>257342</v>
      </c>
      <c r="F59" s="66">
        <v>0.32939490282546446</v>
      </c>
      <c r="G59" s="66">
        <v>0.4508108596243236</v>
      </c>
      <c r="H59" s="66">
        <v>0.57113135639469281</v>
      </c>
      <c r="I59" s="82">
        <v>66.750658036475357</v>
      </c>
      <c r="J59" s="82">
        <v>44.559538923030253</v>
      </c>
    </row>
    <row r="60" spans="2:10" ht="15.75" customHeight="1" x14ac:dyDescent="0.2">
      <c r="B60" s="79" t="s">
        <v>118</v>
      </c>
      <c r="C60" s="65">
        <v>289134</v>
      </c>
      <c r="D60" s="65">
        <v>384397</v>
      </c>
      <c r="E60" s="65">
        <v>444285</v>
      </c>
      <c r="F60" s="66">
        <v>0.89211260932339653</v>
      </c>
      <c r="G60" s="66">
        <v>0.97344280919351478</v>
      </c>
      <c r="H60" s="66">
        <v>0.98602285936930667</v>
      </c>
      <c r="I60" s="82">
        <v>32.947698990779365</v>
      </c>
      <c r="J60" s="82">
        <v>15.579726168518485</v>
      </c>
    </row>
    <row r="61" spans="2:10" ht="15.75" customHeight="1" x14ac:dyDescent="0.2">
      <c r="B61" s="79" t="s">
        <v>119</v>
      </c>
      <c r="C61" s="65">
        <v>206479</v>
      </c>
      <c r="D61" s="65">
        <v>269649</v>
      </c>
      <c r="E61" s="65">
        <v>311107</v>
      </c>
      <c r="F61" s="66">
        <v>0.63708356492313456</v>
      </c>
      <c r="G61" s="66">
        <v>0.6828562139044323</v>
      </c>
      <c r="H61" s="66">
        <v>0.69045458142815286</v>
      </c>
      <c r="I61" s="82">
        <v>30.59391027658987</v>
      </c>
      <c r="J61" s="82">
        <v>15.374802057489552</v>
      </c>
    </row>
    <row r="62" spans="2:10" ht="15.75" customHeight="1" x14ac:dyDescent="0.2">
      <c r="B62" s="83" t="s">
        <v>120</v>
      </c>
      <c r="C62" s="86">
        <v>205788</v>
      </c>
      <c r="D62" s="86">
        <v>284195</v>
      </c>
      <c r="E62" s="86">
        <v>377011</v>
      </c>
      <c r="F62" s="87">
        <v>0.63495150915299869</v>
      </c>
      <c r="G62" s="87">
        <v>0.71969234712745145</v>
      </c>
      <c r="H62" s="87">
        <v>0.83671846727591903</v>
      </c>
      <c r="I62" s="88">
        <v>38.1008610803351</v>
      </c>
      <c r="J62" s="88">
        <v>32.659265645067649</v>
      </c>
    </row>
    <row r="63" spans="2:10" ht="15.75" customHeight="1" x14ac:dyDescent="0.2">
      <c r="B63" s="79"/>
      <c r="C63" s="36"/>
      <c r="D63" s="36"/>
      <c r="E63" s="36"/>
      <c r="F63" s="74"/>
      <c r="G63" s="74"/>
      <c r="H63" s="74"/>
      <c r="I63" s="75"/>
      <c r="J63" s="75"/>
    </row>
    <row r="64" spans="2:10" ht="15.75" customHeight="1" x14ac:dyDescent="0.2">
      <c r="B64" s="79"/>
      <c r="C64" s="36"/>
      <c r="D64" s="36"/>
      <c r="E64" s="36"/>
      <c r="F64" s="74"/>
      <c r="G64" s="74"/>
      <c r="H64" s="74"/>
      <c r="I64" s="75"/>
      <c r="J64" s="75"/>
    </row>
    <row r="65" spans="2:10" ht="30" customHeight="1" thickBot="1" x14ac:dyDescent="0.25">
      <c r="B65" s="586" t="s">
        <v>716</v>
      </c>
      <c r="C65" s="587"/>
      <c r="D65" s="587"/>
      <c r="E65" s="587"/>
      <c r="F65" s="587"/>
      <c r="G65" s="587"/>
      <c r="H65" s="587"/>
      <c r="I65" s="587"/>
      <c r="J65" s="587"/>
    </row>
    <row r="66" spans="2:10" ht="12.75" customHeight="1" x14ac:dyDescent="0.2">
      <c r="B66" s="579" t="s">
        <v>265</v>
      </c>
      <c r="C66" s="581" t="s">
        <v>1</v>
      </c>
      <c r="D66" s="581"/>
      <c r="E66" s="581"/>
      <c r="F66" s="581" t="s">
        <v>446</v>
      </c>
      <c r="G66" s="581"/>
      <c r="H66" s="581"/>
      <c r="I66" s="581" t="s">
        <v>264</v>
      </c>
      <c r="J66" s="581"/>
    </row>
    <row r="67" spans="2:10" ht="15.75" customHeight="1" thickBot="1" x14ac:dyDescent="0.25">
      <c r="B67" s="580"/>
      <c r="C67" s="81">
        <v>2017</v>
      </c>
      <c r="D67" s="81">
        <v>2018</v>
      </c>
      <c r="E67" s="81">
        <v>2019</v>
      </c>
      <c r="F67" s="81">
        <v>2017</v>
      </c>
      <c r="G67" s="81">
        <v>2018</v>
      </c>
      <c r="H67" s="81">
        <v>2019</v>
      </c>
      <c r="I67" s="125" t="s">
        <v>591</v>
      </c>
      <c r="J67" s="125" t="s">
        <v>629</v>
      </c>
    </row>
    <row r="68" spans="2:10" ht="15.75" customHeight="1" x14ac:dyDescent="0.2">
      <c r="B68" s="79" t="s">
        <v>121</v>
      </c>
      <c r="C68" s="65">
        <v>2455</v>
      </c>
      <c r="D68" s="65">
        <v>2935</v>
      </c>
      <c r="E68" s="65">
        <v>3966</v>
      </c>
      <c r="F68" s="66">
        <v>7.5748146391947631E-3</v>
      </c>
      <c r="G68" s="66">
        <v>7.432562285821601E-3</v>
      </c>
      <c r="H68" s="66">
        <v>8.8019326789305751E-3</v>
      </c>
      <c r="I68" s="82">
        <v>19.551934826883912</v>
      </c>
      <c r="J68" s="82">
        <v>35.127768313458262</v>
      </c>
    </row>
    <row r="69" spans="2:10" ht="15.75" customHeight="1" x14ac:dyDescent="0.2">
      <c r="B69" s="79" t="s">
        <v>153</v>
      </c>
      <c r="C69" s="65">
        <v>4922</v>
      </c>
      <c r="D69" s="65">
        <v>7716</v>
      </c>
      <c r="E69" s="65">
        <v>10957</v>
      </c>
      <c r="F69" s="66">
        <v>1.5186654848927341E-2</v>
      </c>
      <c r="G69" s="66">
        <v>1.9539915024667624E-2</v>
      </c>
      <c r="H69" s="66">
        <v>2.4317391922098412E-2</v>
      </c>
      <c r="I69" s="82">
        <v>56.765542462413656</v>
      </c>
      <c r="J69" s="82">
        <v>42.003628823224467</v>
      </c>
    </row>
    <row r="70" spans="2:10" ht="15.75" customHeight="1" x14ac:dyDescent="0.2">
      <c r="B70" s="79" t="s">
        <v>154</v>
      </c>
      <c r="C70" s="65">
        <v>79899</v>
      </c>
      <c r="D70" s="65">
        <v>123448</v>
      </c>
      <c r="E70" s="65">
        <v>149523</v>
      </c>
      <c r="F70" s="66">
        <v>0.24652550503341034</v>
      </c>
      <c r="G70" s="66">
        <v>0.31261838128112607</v>
      </c>
      <c r="H70" s="66">
        <v>0.33184351486428043</v>
      </c>
      <c r="I70" s="82">
        <v>54.505062641584999</v>
      </c>
      <c r="J70" s="82">
        <v>21.122253904477997</v>
      </c>
    </row>
    <row r="71" spans="2:10" ht="15.75" customHeight="1" x14ac:dyDescent="0.2">
      <c r="B71" s="79" t="s">
        <v>187</v>
      </c>
      <c r="C71" s="65">
        <v>116180</v>
      </c>
      <c r="D71" s="65">
        <v>161789</v>
      </c>
      <c r="E71" s="65">
        <v>208330</v>
      </c>
      <c r="F71" s="66">
        <v>0.35846923209028414</v>
      </c>
      <c r="G71" s="66">
        <v>0.40971271538698162</v>
      </c>
      <c r="H71" s="66">
        <v>0.46235669062067741</v>
      </c>
      <c r="I71" s="82">
        <v>39.257187123429162</v>
      </c>
      <c r="J71" s="82">
        <v>28.766479797761281</v>
      </c>
    </row>
    <row r="72" spans="2:10" ht="15.75" customHeight="1" x14ac:dyDescent="0.2">
      <c r="B72" s="79" t="s">
        <v>197</v>
      </c>
      <c r="C72" s="65">
        <v>296120</v>
      </c>
      <c r="D72" s="65">
        <v>646365</v>
      </c>
      <c r="E72" s="65">
        <v>880839</v>
      </c>
      <c r="F72" s="66">
        <v>0.91366766230482821</v>
      </c>
      <c r="G72" s="66">
        <v>1.6368477416950866</v>
      </c>
      <c r="H72" s="66">
        <v>1.954887942253285</v>
      </c>
      <c r="I72" s="82">
        <v>118.27806294745373</v>
      </c>
      <c r="J72" s="82">
        <v>36.275788447703697</v>
      </c>
    </row>
    <row r="73" spans="2:10" ht="15.75" customHeight="1" x14ac:dyDescent="0.2">
      <c r="B73" s="79" t="s">
        <v>198</v>
      </c>
      <c r="C73" s="65">
        <v>26727</v>
      </c>
      <c r="D73" s="65">
        <v>39948</v>
      </c>
      <c r="E73" s="65">
        <v>54130</v>
      </c>
      <c r="F73" s="66">
        <v>8.2465201980349664E-2</v>
      </c>
      <c r="G73" s="66">
        <v>0.10116388354139738</v>
      </c>
      <c r="H73" s="66">
        <v>0.12013328691641754</v>
      </c>
      <c r="I73" s="82">
        <v>49.466831294196879</v>
      </c>
      <c r="J73" s="82">
        <v>35.501151496946029</v>
      </c>
    </row>
    <row r="74" spans="2:10" ht="15.75" customHeight="1" x14ac:dyDescent="0.2">
      <c r="B74" s="79" t="s">
        <v>217</v>
      </c>
      <c r="C74" s="65">
        <v>97967</v>
      </c>
      <c r="D74" s="65">
        <v>157003</v>
      </c>
      <c r="E74" s="65">
        <v>207108</v>
      </c>
      <c r="F74" s="66">
        <v>0.30227367240651459</v>
      </c>
      <c r="G74" s="66">
        <v>0.39759270070216313</v>
      </c>
      <c r="H74" s="66">
        <v>0.45964464782348802</v>
      </c>
      <c r="I74" s="82">
        <v>60.261108332397647</v>
      </c>
      <c r="J74" s="82">
        <v>31.913402928606459</v>
      </c>
    </row>
    <row r="75" spans="2:10" ht="15.75" customHeight="1" x14ac:dyDescent="0.2">
      <c r="B75" s="79" t="s">
        <v>257</v>
      </c>
      <c r="C75" s="65">
        <v>623705</v>
      </c>
      <c r="D75" s="65">
        <v>686891</v>
      </c>
      <c r="E75" s="65">
        <v>836882</v>
      </c>
      <c r="F75" s="66">
        <v>1.9244194560240202</v>
      </c>
      <c r="G75" s="66">
        <v>1.7394753461908978</v>
      </c>
      <c r="H75" s="66">
        <v>1.8573320787213254</v>
      </c>
      <c r="I75" s="82">
        <v>10.130750915897741</v>
      </c>
      <c r="J75" s="82">
        <v>21.836215644112386</v>
      </c>
    </row>
    <row r="76" spans="2:10" ht="15.75" customHeight="1" thickBot="1" x14ac:dyDescent="0.25">
      <c r="B76" s="79" t="s">
        <v>284</v>
      </c>
      <c r="C76" s="199">
        <v>2</v>
      </c>
      <c r="D76" s="199" t="s">
        <v>585</v>
      </c>
      <c r="E76" s="199" t="s">
        <v>585</v>
      </c>
      <c r="F76" s="200">
        <v>6.1709284229692569E-6</v>
      </c>
      <c r="G76" s="200" t="s">
        <v>585</v>
      </c>
      <c r="H76" s="200" t="s">
        <v>585</v>
      </c>
      <c r="I76" s="201">
        <v>-100</v>
      </c>
      <c r="J76" s="201" t="s">
        <v>585</v>
      </c>
    </row>
    <row r="77" spans="2:10" s="76" customFormat="1" ht="15.75" customHeight="1" thickBot="1" x14ac:dyDescent="0.25">
      <c r="B77" s="80" t="s">
        <v>285</v>
      </c>
      <c r="C77" s="84">
        <v>9927584</v>
      </c>
      <c r="D77" s="84">
        <v>13074403</v>
      </c>
      <c r="E77" s="84">
        <v>15162487</v>
      </c>
      <c r="F77" s="85">
        <v>30.631205138507415</v>
      </c>
      <c r="G77" s="85">
        <v>33.109476881578466</v>
      </c>
      <c r="H77" s="85">
        <v>33.650829505587495</v>
      </c>
      <c r="I77" s="85">
        <v>31.697732298210724</v>
      </c>
      <c r="J77" s="85">
        <v>15.970778933462583</v>
      </c>
    </row>
    <row r="78" spans="2:10" ht="15.75" customHeight="1" x14ac:dyDescent="0.2">
      <c r="B78" s="79" t="s">
        <v>29</v>
      </c>
      <c r="C78" s="65">
        <v>103593</v>
      </c>
      <c r="D78" s="65">
        <v>125935</v>
      </c>
      <c r="E78" s="65">
        <v>134869</v>
      </c>
      <c r="F78" s="66">
        <v>0.31963249406032712</v>
      </c>
      <c r="G78" s="66">
        <v>0.31891643320781715</v>
      </c>
      <c r="H78" s="66">
        <v>0.29932119477425306</v>
      </c>
      <c r="I78" s="82">
        <v>21.567094301738535</v>
      </c>
      <c r="J78" s="82">
        <v>7.0941358637392309</v>
      </c>
    </row>
    <row r="79" spans="2:10" ht="15.75" customHeight="1" x14ac:dyDescent="0.2">
      <c r="B79" s="79" t="s">
        <v>51</v>
      </c>
      <c r="C79" s="65">
        <v>90378</v>
      </c>
      <c r="D79" s="65">
        <v>120480</v>
      </c>
      <c r="E79" s="65">
        <v>144445</v>
      </c>
      <c r="F79" s="66">
        <v>0.27885808450555777</v>
      </c>
      <c r="G79" s="66">
        <v>0.30510225015188636</v>
      </c>
      <c r="H79" s="66">
        <v>0.32057366762686001</v>
      </c>
      <c r="I79" s="82">
        <v>33.306778198234085</v>
      </c>
      <c r="J79" s="82">
        <v>19.891268260292165</v>
      </c>
    </row>
    <row r="80" spans="2:10" ht="15.75" customHeight="1" x14ac:dyDescent="0.2">
      <c r="B80" s="79" t="s">
        <v>56</v>
      </c>
      <c r="C80" s="65">
        <v>1852867</v>
      </c>
      <c r="D80" s="65">
        <v>2386885</v>
      </c>
      <c r="E80" s="65">
        <v>2713464</v>
      </c>
      <c r="F80" s="66">
        <v>5.7169548171408895</v>
      </c>
      <c r="G80" s="66">
        <v>6.0445217824849378</v>
      </c>
      <c r="H80" s="66">
        <v>6.022119882678183</v>
      </c>
      <c r="I80" s="82">
        <v>28.821172809489294</v>
      </c>
      <c r="J80" s="82">
        <v>13.682225997482075</v>
      </c>
    </row>
    <row r="81" spans="2:10" ht="15.75" customHeight="1" x14ac:dyDescent="0.2">
      <c r="B81" s="79" t="s">
        <v>76</v>
      </c>
      <c r="C81" s="65">
        <v>48024</v>
      </c>
      <c r="D81" s="65">
        <v>61707</v>
      </c>
      <c r="E81" s="65">
        <v>77041</v>
      </c>
      <c r="F81" s="66">
        <v>0.14817633329233779</v>
      </c>
      <c r="G81" s="66">
        <v>0.15626614002425673</v>
      </c>
      <c r="H81" s="66">
        <v>0.17098076034228199</v>
      </c>
      <c r="I81" s="82">
        <v>28.492003998001</v>
      </c>
      <c r="J81" s="82">
        <v>24.849692903560374</v>
      </c>
    </row>
    <row r="82" spans="2:10" ht="15.75" customHeight="1" x14ac:dyDescent="0.2">
      <c r="B82" s="79" t="s">
        <v>101</v>
      </c>
      <c r="C82" s="65">
        <v>10201</v>
      </c>
      <c r="D82" s="65">
        <v>10516</v>
      </c>
      <c r="E82" s="65">
        <v>12355</v>
      </c>
      <c r="F82" s="66">
        <v>3.1474820421354695E-2</v>
      </c>
      <c r="G82" s="66">
        <v>2.6630604769233377E-2</v>
      </c>
      <c r="H82" s="66">
        <v>2.7420039901207071E-2</v>
      </c>
      <c r="I82" s="82">
        <v>3.0879325556318009</v>
      </c>
      <c r="J82" s="82">
        <v>17.487637885127423</v>
      </c>
    </row>
    <row r="83" spans="2:10" ht="15.75" customHeight="1" x14ac:dyDescent="0.2">
      <c r="B83" s="79" t="s">
        <v>106</v>
      </c>
      <c r="C83" s="65">
        <v>23630</v>
      </c>
      <c r="D83" s="65">
        <v>44188</v>
      </c>
      <c r="E83" s="65">
        <v>56465</v>
      </c>
      <c r="F83" s="66">
        <v>7.2909519317381766E-2</v>
      </c>
      <c r="G83" s="66">
        <v>0.11190121372602552</v>
      </c>
      <c r="H83" s="66">
        <v>0.12531546361972135</v>
      </c>
      <c r="I83" s="82">
        <v>86.999576809140919</v>
      </c>
      <c r="J83" s="82">
        <v>27.783561147822937</v>
      </c>
    </row>
    <row r="84" spans="2:10" ht="15.75" customHeight="1" x14ac:dyDescent="0.2">
      <c r="B84" s="79" t="s">
        <v>128</v>
      </c>
      <c r="C84" s="65">
        <v>19555</v>
      </c>
      <c r="D84" s="65">
        <v>24183</v>
      </c>
      <c r="E84" s="65">
        <v>27639</v>
      </c>
      <c r="F84" s="66">
        <v>6.0336252655581908E-2</v>
      </c>
      <c r="G84" s="66">
        <v>6.1240767890297712E-2</v>
      </c>
      <c r="H84" s="66">
        <v>6.1340548994695446E-2</v>
      </c>
      <c r="I84" s="82">
        <v>23.666581436972642</v>
      </c>
      <c r="J84" s="82">
        <v>14.291030889467807</v>
      </c>
    </row>
    <row r="85" spans="2:10" ht="15.75" customHeight="1" x14ac:dyDescent="0.2">
      <c r="B85" s="79" t="s">
        <v>138</v>
      </c>
      <c r="C85" s="65">
        <v>116049</v>
      </c>
      <c r="D85" s="65">
        <v>139500</v>
      </c>
      <c r="E85" s="65">
        <v>152048</v>
      </c>
      <c r="F85" s="66">
        <v>0.35806503627857966</v>
      </c>
      <c r="G85" s="66">
        <v>0.35326829263104376</v>
      </c>
      <c r="H85" s="66">
        <v>0.33744736761624711</v>
      </c>
      <c r="I85" s="82">
        <v>20.207843238631956</v>
      </c>
      <c r="J85" s="82">
        <v>8.994982078853047</v>
      </c>
    </row>
    <row r="86" spans="2:10" ht="15.75" customHeight="1" x14ac:dyDescent="0.2">
      <c r="B86" s="79" t="s">
        <v>627</v>
      </c>
      <c r="C86" s="65">
        <v>172851</v>
      </c>
      <c r="D86" s="65">
        <v>209519</v>
      </c>
      <c r="E86" s="65">
        <v>222862</v>
      </c>
      <c r="F86" s="66">
        <v>0.53332557441932948</v>
      </c>
      <c r="G86" s="66">
        <v>0.53058365163988286</v>
      </c>
      <c r="H86" s="66">
        <v>0.49460825030051075</v>
      </c>
      <c r="I86" s="82">
        <v>21.213646435369192</v>
      </c>
      <c r="J86" s="82">
        <v>6.3683961836396703</v>
      </c>
    </row>
    <row r="87" spans="2:10" ht="15.75" customHeight="1" x14ac:dyDescent="0.2">
      <c r="B87" s="79" t="s">
        <v>147</v>
      </c>
      <c r="C87" s="65">
        <v>46536</v>
      </c>
      <c r="D87" s="65">
        <v>65868</v>
      </c>
      <c r="E87" s="65">
        <v>86051</v>
      </c>
      <c r="F87" s="66">
        <v>0.14358516254564868</v>
      </c>
      <c r="G87" s="66">
        <v>0.16680341146252034</v>
      </c>
      <c r="H87" s="66">
        <v>0.19097708243939859</v>
      </c>
      <c r="I87" s="82">
        <v>41.542031975244974</v>
      </c>
      <c r="J87" s="82">
        <v>30.641586202708446</v>
      </c>
    </row>
    <row r="88" spans="2:10" ht="15.75" customHeight="1" x14ac:dyDescent="0.2">
      <c r="B88" s="79" t="s">
        <v>151</v>
      </c>
      <c r="C88" s="65">
        <v>134264</v>
      </c>
      <c r="D88" s="65">
        <v>199371</v>
      </c>
      <c r="E88" s="65">
        <v>229704</v>
      </c>
      <c r="F88" s="66">
        <v>0.41426676689077219</v>
      </c>
      <c r="G88" s="66">
        <v>0.50488496609422095</v>
      </c>
      <c r="H88" s="66">
        <v>0.50979302674762195</v>
      </c>
      <c r="I88" s="82">
        <v>48.491777393791338</v>
      </c>
      <c r="J88" s="82">
        <v>15.214349128007584</v>
      </c>
    </row>
    <row r="89" spans="2:10" ht="15.75" customHeight="1" x14ac:dyDescent="0.2">
      <c r="B89" s="79" t="s">
        <v>161</v>
      </c>
      <c r="C89" s="65">
        <v>5523</v>
      </c>
      <c r="D89" s="65">
        <v>8287</v>
      </c>
      <c r="E89" s="65">
        <v>8739</v>
      </c>
      <c r="F89" s="66">
        <v>1.7041018840029603E-2</v>
      </c>
      <c r="G89" s="66">
        <v>2.0985909254720138E-2</v>
      </c>
      <c r="H89" s="66">
        <v>1.9394878890865934E-2</v>
      </c>
      <c r="I89" s="82">
        <v>50.045265254390728</v>
      </c>
      <c r="J89" s="82">
        <v>5.4543260528538671</v>
      </c>
    </row>
    <row r="90" spans="2:10" ht="15.75" customHeight="1" x14ac:dyDescent="0.2">
      <c r="B90" s="79" t="s">
        <v>201</v>
      </c>
      <c r="C90" s="65">
        <v>423868</v>
      </c>
      <c r="D90" s="65">
        <v>641484</v>
      </c>
      <c r="E90" s="65">
        <v>763320</v>
      </c>
      <c r="F90" s="66">
        <v>1.3078295443935666</v>
      </c>
      <c r="G90" s="66">
        <v>1.6244871500367919</v>
      </c>
      <c r="H90" s="66">
        <v>1.6940724287648226</v>
      </c>
      <c r="I90" s="82">
        <v>51.340511668727054</v>
      </c>
      <c r="J90" s="82">
        <v>18.99283536300204</v>
      </c>
    </row>
    <row r="91" spans="2:10" ht="15.75" customHeight="1" x14ac:dyDescent="0.2">
      <c r="B91" s="79" t="s">
        <v>214</v>
      </c>
      <c r="C91" s="65">
        <v>146852</v>
      </c>
      <c r="D91" s="65">
        <v>225312</v>
      </c>
      <c r="E91" s="65">
        <v>282347</v>
      </c>
      <c r="F91" s="66">
        <v>0.45310659038494067</v>
      </c>
      <c r="G91" s="66">
        <v>0.5705776741884282</v>
      </c>
      <c r="H91" s="66">
        <v>0.62662614374634673</v>
      </c>
      <c r="I91" s="82">
        <v>53.427941056301584</v>
      </c>
      <c r="J91" s="82">
        <v>25.313787104104531</v>
      </c>
    </row>
    <row r="92" spans="2:10" ht="15.75" customHeight="1" x14ac:dyDescent="0.2">
      <c r="B92" s="79" t="s">
        <v>218</v>
      </c>
      <c r="C92" s="65">
        <v>25105</v>
      </c>
      <c r="D92" s="65">
        <v>40716</v>
      </c>
      <c r="E92" s="65">
        <v>50414</v>
      </c>
      <c r="F92" s="66">
        <v>7.7460579029321602E-2</v>
      </c>
      <c r="G92" s="66">
        <v>0.10310875844276399</v>
      </c>
      <c r="H92" s="66">
        <v>0.11188619114362229</v>
      </c>
      <c r="I92" s="82">
        <v>62.182832105158333</v>
      </c>
      <c r="J92" s="82">
        <v>23.818646232439335</v>
      </c>
    </row>
    <row r="93" spans="2:10" ht="15.75" customHeight="1" thickBot="1" x14ac:dyDescent="0.25">
      <c r="B93" s="79" t="s">
        <v>286</v>
      </c>
      <c r="C93" s="65">
        <v>1612</v>
      </c>
      <c r="D93" s="65">
        <v>2200</v>
      </c>
      <c r="E93" s="65">
        <v>3217</v>
      </c>
      <c r="F93" s="66">
        <v>4.9737683089132213E-3</v>
      </c>
      <c r="G93" s="66">
        <v>5.5712562278730912E-3</v>
      </c>
      <c r="H93" s="66">
        <v>7.1396413081491828E-3</v>
      </c>
      <c r="I93" s="82">
        <v>36.476426799007442</v>
      </c>
      <c r="J93" s="82">
        <v>46.227272727272727</v>
      </c>
    </row>
    <row r="94" spans="2:10" s="76" customFormat="1" ht="15.75" customHeight="1" thickBot="1" x14ac:dyDescent="0.25">
      <c r="B94" s="80" t="s">
        <v>287</v>
      </c>
      <c r="C94" s="84">
        <v>3220908</v>
      </c>
      <c r="D94" s="84">
        <v>4306151</v>
      </c>
      <c r="E94" s="84">
        <v>4964980</v>
      </c>
      <c r="F94" s="85">
        <v>9.9379963624845313</v>
      </c>
      <c r="G94" s="85">
        <v>10.904850262232699</v>
      </c>
      <c r="H94" s="85">
        <v>11.019016568894786</v>
      </c>
      <c r="I94" s="85">
        <v>33.693697553609105</v>
      </c>
      <c r="J94" s="85">
        <v>15.299718936934632</v>
      </c>
    </row>
    <row r="95" spans="2:10" s="76" customFormat="1" ht="15.75" customHeight="1" thickBot="1" x14ac:dyDescent="0.25">
      <c r="B95" s="80" t="s">
        <v>288</v>
      </c>
      <c r="C95" s="84">
        <v>13148492</v>
      </c>
      <c r="D95" s="84">
        <v>17380554</v>
      </c>
      <c r="E95" s="84">
        <v>20127467</v>
      </c>
      <c r="F95" s="85">
        <v>40.569201500991944</v>
      </c>
      <c r="G95" s="85">
        <v>44.014327143811165</v>
      </c>
      <c r="H95" s="85">
        <v>44.66984607448228</v>
      </c>
      <c r="I95" s="85">
        <v>32.186672053342697</v>
      </c>
      <c r="J95" s="85">
        <v>15.804519234542235</v>
      </c>
    </row>
    <row r="96" spans="2:10" ht="15.75" customHeight="1" x14ac:dyDescent="0.2">
      <c r="B96" s="79" t="s">
        <v>33</v>
      </c>
      <c r="C96" s="65">
        <v>765514</v>
      </c>
      <c r="D96" s="65">
        <v>858506</v>
      </c>
      <c r="E96" s="65">
        <v>901723</v>
      </c>
      <c r="F96" s="66">
        <v>2.361966050390444</v>
      </c>
      <c r="G96" s="66">
        <v>2.1740713178029165</v>
      </c>
      <c r="H96" s="66">
        <v>2.0012367980442045</v>
      </c>
      <c r="I96" s="82">
        <v>12.147655039620439</v>
      </c>
      <c r="J96" s="82">
        <v>5.0339776309076463</v>
      </c>
    </row>
    <row r="97" spans="2:10" ht="15.75" customHeight="1" x14ac:dyDescent="0.2">
      <c r="B97" s="79" t="s">
        <v>46</v>
      </c>
      <c r="C97" s="65">
        <v>229229</v>
      </c>
      <c r="D97" s="65">
        <v>245254</v>
      </c>
      <c r="E97" s="65">
        <v>258419</v>
      </c>
      <c r="F97" s="66">
        <v>0.70727787573440992</v>
      </c>
      <c r="G97" s="66">
        <v>0.62107857950490319</v>
      </c>
      <c r="H97" s="66">
        <v>0.57352159378632384</v>
      </c>
      <c r="I97" s="82">
        <v>6.9908257681183441</v>
      </c>
      <c r="J97" s="82">
        <v>5.3679042951389171</v>
      </c>
    </row>
    <row r="98" spans="2:10" ht="15.75" customHeight="1" x14ac:dyDescent="0.2">
      <c r="B98" s="79" t="s">
        <v>75</v>
      </c>
      <c r="C98" s="65">
        <v>48320</v>
      </c>
      <c r="D98" s="65">
        <v>51880</v>
      </c>
      <c r="E98" s="65">
        <v>66882</v>
      </c>
      <c r="F98" s="66">
        <v>0.14908963069893724</v>
      </c>
      <c r="G98" s="66">
        <v>0.13138035141002544</v>
      </c>
      <c r="H98" s="66">
        <v>0.14843440782456749</v>
      </c>
      <c r="I98" s="82">
        <v>7.3675496688741724</v>
      </c>
      <c r="J98" s="82">
        <v>28.916730917501926</v>
      </c>
    </row>
    <row r="99" spans="2:10" ht="15.75" customHeight="1" x14ac:dyDescent="0.2">
      <c r="B99" s="79" t="s">
        <v>104</v>
      </c>
      <c r="C99" s="65">
        <v>2438730</v>
      </c>
      <c r="D99" s="65">
        <v>2069392</v>
      </c>
      <c r="E99" s="65">
        <v>1995254</v>
      </c>
      <c r="F99" s="66">
        <v>7.5246141364739083</v>
      </c>
      <c r="G99" s="66">
        <v>5.2405059399594327</v>
      </c>
      <c r="H99" s="66">
        <v>4.4281622252564157</v>
      </c>
      <c r="I99" s="82">
        <v>-15.144685963595807</v>
      </c>
      <c r="J99" s="82">
        <v>-3.582598173763115</v>
      </c>
    </row>
    <row r="100" spans="2:10" ht="15.75" customHeight="1" x14ac:dyDescent="0.2">
      <c r="B100" s="79" t="s">
        <v>131</v>
      </c>
      <c r="C100" s="65">
        <v>402830</v>
      </c>
      <c r="D100" s="65">
        <v>426916</v>
      </c>
      <c r="E100" s="65">
        <v>455724</v>
      </c>
      <c r="F100" s="66">
        <v>1.2429175483123529</v>
      </c>
      <c r="G100" s="66">
        <v>1.0811174653539402</v>
      </c>
      <c r="H100" s="66">
        <v>1.011409976846434</v>
      </c>
      <c r="I100" s="82">
        <v>5.9791971799518411</v>
      </c>
      <c r="J100" s="82">
        <v>6.7479316774260045</v>
      </c>
    </row>
    <row r="101" spans="2:10" ht="15.75" customHeight="1" x14ac:dyDescent="0.2">
      <c r="B101" s="79" t="s">
        <v>133</v>
      </c>
      <c r="C101" s="65">
        <v>104911</v>
      </c>
      <c r="D101" s="65">
        <v>114926</v>
      </c>
      <c r="E101" s="65">
        <v>121364</v>
      </c>
      <c r="F101" s="66">
        <v>0.32369913589106386</v>
      </c>
      <c r="G101" s="66">
        <v>0.29103736056570129</v>
      </c>
      <c r="H101" s="66">
        <v>0.26934890510482357</v>
      </c>
      <c r="I101" s="82">
        <v>9.5461867678317809</v>
      </c>
      <c r="J101" s="82">
        <v>5.6018655482658408</v>
      </c>
    </row>
    <row r="102" spans="2:10" ht="15.75" customHeight="1" x14ac:dyDescent="0.2">
      <c r="B102" s="79" t="s">
        <v>173</v>
      </c>
      <c r="C102" s="65">
        <v>171538</v>
      </c>
      <c r="D102" s="65">
        <v>194268</v>
      </c>
      <c r="E102" s="65">
        <v>198867</v>
      </c>
      <c r="F102" s="66">
        <v>0.52927435990965022</v>
      </c>
      <c r="G102" s="66">
        <v>0.49196218403474984</v>
      </c>
      <c r="H102" s="66">
        <v>0.44135500404964362</v>
      </c>
      <c r="I102" s="82">
        <v>13.25070829786986</v>
      </c>
      <c r="J102" s="82">
        <v>2.3673481993946508</v>
      </c>
    </row>
    <row r="103" spans="2:10" ht="15.75" customHeight="1" x14ac:dyDescent="0.2">
      <c r="B103" s="79" t="s">
        <v>189</v>
      </c>
      <c r="C103" s="65">
        <v>195745</v>
      </c>
      <c r="D103" s="65">
        <v>241235</v>
      </c>
      <c r="E103" s="65">
        <v>252138</v>
      </c>
      <c r="F103" s="66">
        <v>0.60396419207705865</v>
      </c>
      <c r="G103" s="66">
        <v>0.61090090733225688</v>
      </c>
      <c r="H103" s="66">
        <v>0.55958187135658022</v>
      </c>
      <c r="I103" s="82">
        <v>23.239418631382666</v>
      </c>
      <c r="J103" s="82">
        <v>4.5196592534250835</v>
      </c>
    </row>
    <row r="104" spans="2:10" ht="15.75" customHeight="1" x14ac:dyDescent="0.2">
      <c r="B104" s="79" t="s">
        <v>203</v>
      </c>
      <c r="C104" s="65">
        <v>4715438</v>
      </c>
      <c r="D104" s="65">
        <v>5964613</v>
      </c>
      <c r="E104" s="65">
        <v>7017657</v>
      </c>
      <c r="F104" s="66">
        <v>14.549315190474653</v>
      </c>
      <c r="G104" s="66">
        <v>15.104721510501273</v>
      </c>
      <c r="H104" s="66">
        <v>15.574620392795234</v>
      </c>
      <c r="I104" s="82">
        <v>26.491176429421827</v>
      </c>
      <c r="J104" s="82">
        <v>17.65485874775111</v>
      </c>
    </row>
    <row r="105" spans="2:10" ht="15.75" customHeight="1" x14ac:dyDescent="0.2">
      <c r="B105" s="79" t="s">
        <v>229</v>
      </c>
      <c r="C105" s="65">
        <v>30532</v>
      </c>
      <c r="D105" s="65">
        <v>40879</v>
      </c>
      <c r="E105" s="65">
        <v>44155</v>
      </c>
      <c r="F105" s="66">
        <v>9.4205393305048679E-2</v>
      </c>
      <c r="G105" s="66">
        <v>0.10352153788146549</v>
      </c>
      <c r="H105" s="66">
        <v>9.7995294361618634E-2</v>
      </c>
      <c r="I105" s="82">
        <v>33.889034455653082</v>
      </c>
      <c r="J105" s="82">
        <v>8.0138946647422884</v>
      </c>
    </row>
    <row r="106" spans="2:10" ht="15.75" customHeight="1" x14ac:dyDescent="0.2">
      <c r="B106" s="79" t="s">
        <v>241</v>
      </c>
      <c r="C106" s="65">
        <v>230881</v>
      </c>
      <c r="D106" s="65">
        <v>252911</v>
      </c>
      <c r="E106" s="65">
        <v>297706</v>
      </c>
      <c r="F106" s="66">
        <v>0.71237506261178252</v>
      </c>
      <c r="G106" s="66">
        <v>0.64046908356709609</v>
      </c>
      <c r="H106" s="66">
        <v>0.66071310391167559</v>
      </c>
      <c r="I106" s="82">
        <v>9.5417119641720198</v>
      </c>
      <c r="J106" s="82">
        <v>17.711764217451989</v>
      </c>
    </row>
    <row r="107" spans="2:10" ht="15.75" customHeight="1" thickBot="1" x14ac:dyDescent="0.25">
      <c r="B107" s="79" t="s">
        <v>243</v>
      </c>
      <c r="C107" s="65">
        <v>1284735</v>
      </c>
      <c r="D107" s="65">
        <v>1386934</v>
      </c>
      <c r="E107" s="65">
        <v>1547996</v>
      </c>
      <c r="F107" s="66">
        <v>3.9640038637417043</v>
      </c>
      <c r="G107" s="66">
        <v>3.5122566750676989</v>
      </c>
      <c r="H107" s="66">
        <v>3.4355412453993477</v>
      </c>
      <c r="I107" s="82">
        <v>7.9548700704814612</v>
      </c>
      <c r="J107" s="82">
        <v>11.612809261291453</v>
      </c>
    </row>
    <row r="108" spans="2:10" s="76" customFormat="1" ht="15.75" customHeight="1" thickBot="1" x14ac:dyDescent="0.25">
      <c r="B108" s="80" t="s">
        <v>289</v>
      </c>
      <c r="C108" s="84">
        <v>10618403</v>
      </c>
      <c r="D108" s="84">
        <v>11847714</v>
      </c>
      <c r="E108" s="84">
        <v>13157885</v>
      </c>
      <c r="F108" s="85">
        <v>32.762702439621016</v>
      </c>
      <c r="G108" s="85">
        <v>30.003022912981461</v>
      </c>
      <c r="H108" s="85">
        <v>29.20192081873687</v>
      </c>
      <c r="I108" s="85">
        <v>11.577174081639207</v>
      </c>
      <c r="J108" s="85">
        <v>11.058428655519537</v>
      </c>
    </row>
    <row r="109" spans="2:10" ht="15.75" customHeight="1" x14ac:dyDescent="0.2">
      <c r="B109" s="79" t="s">
        <v>22</v>
      </c>
      <c r="C109" s="65">
        <v>329257</v>
      </c>
      <c r="D109" s="65">
        <v>448327</v>
      </c>
      <c r="E109" s="65">
        <v>578074</v>
      </c>
      <c r="F109" s="66">
        <v>1.0159106898807944</v>
      </c>
      <c r="G109" s="66">
        <v>1.1353384503971178</v>
      </c>
      <c r="H109" s="66">
        <v>1.2829471587090553</v>
      </c>
      <c r="I109" s="82">
        <v>36.163240265203171</v>
      </c>
      <c r="J109" s="82">
        <v>28.940260122633703</v>
      </c>
    </row>
    <row r="110" spans="2:10" ht="15.75" customHeight="1" x14ac:dyDescent="0.2">
      <c r="B110" s="79" t="s">
        <v>31</v>
      </c>
      <c r="C110" s="65">
        <v>77153</v>
      </c>
      <c r="D110" s="65">
        <v>96488</v>
      </c>
      <c r="E110" s="65">
        <v>120837</v>
      </c>
      <c r="F110" s="66">
        <v>0.23805282030867353</v>
      </c>
      <c r="G110" s="66">
        <v>0.24434516859773583</v>
      </c>
      <c r="H110" s="66">
        <v>0.26817930890669034</v>
      </c>
      <c r="I110" s="82">
        <v>25.060593884878099</v>
      </c>
      <c r="J110" s="82">
        <v>25.235262416051736</v>
      </c>
    </row>
    <row r="111" spans="2:10" ht="15.75" customHeight="1" x14ac:dyDescent="0.2">
      <c r="B111" s="79" t="s">
        <v>102</v>
      </c>
      <c r="C111" s="65">
        <v>120622</v>
      </c>
      <c r="D111" s="65">
        <v>159354</v>
      </c>
      <c r="E111" s="65">
        <v>212970</v>
      </c>
      <c r="F111" s="66">
        <v>0.37217486411769884</v>
      </c>
      <c r="G111" s="66">
        <v>0.40354634769840392</v>
      </c>
      <c r="H111" s="66">
        <v>0.47265446359854879</v>
      </c>
      <c r="I111" s="82">
        <v>32.110228648173631</v>
      </c>
      <c r="J111" s="82">
        <v>33.645845099589593</v>
      </c>
    </row>
    <row r="112" spans="2:10" ht="15.75" customHeight="1" x14ac:dyDescent="0.2">
      <c r="B112" s="79" t="s">
        <v>124</v>
      </c>
      <c r="C112" s="65">
        <v>49323</v>
      </c>
      <c r="D112" s="65">
        <v>81931</v>
      </c>
      <c r="E112" s="65">
        <v>103320</v>
      </c>
      <c r="F112" s="66">
        <v>0.15218435130305633</v>
      </c>
      <c r="G112" s="66">
        <v>0.20748117909357738</v>
      </c>
      <c r="H112" s="66">
        <v>0.22930299656760136</v>
      </c>
      <c r="I112" s="82">
        <v>66.111144901972708</v>
      </c>
      <c r="J112" s="82">
        <v>26.106113681024276</v>
      </c>
    </row>
    <row r="113" spans="2:10" ht="15.75" customHeight="1" x14ac:dyDescent="0.2">
      <c r="B113" s="79" t="s">
        <v>127</v>
      </c>
      <c r="C113" s="65">
        <v>81196</v>
      </c>
      <c r="D113" s="65">
        <v>108272</v>
      </c>
      <c r="E113" s="65">
        <v>139164</v>
      </c>
      <c r="F113" s="66">
        <v>0.25052735211570587</v>
      </c>
      <c r="G113" s="66">
        <v>0.27418684286557971</v>
      </c>
      <c r="H113" s="66">
        <v>0.30885329282165769</v>
      </c>
      <c r="I113" s="82">
        <v>33.346470269471403</v>
      </c>
      <c r="J113" s="82">
        <v>28.53184572188562</v>
      </c>
    </row>
    <row r="114" spans="2:10" ht="15.75" customHeight="1" x14ac:dyDescent="0.2">
      <c r="B114" s="79" t="s">
        <v>167</v>
      </c>
      <c r="C114" s="65">
        <v>19632</v>
      </c>
      <c r="D114" s="65">
        <v>36737</v>
      </c>
      <c r="E114" s="65">
        <v>66557</v>
      </c>
      <c r="F114" s="66">
        <v>6.0573833399866224E-2</v>
      </c>
      <c r="G114" s="66">
        <v>9.3032381837897166E-2</v>
      </c>
      <c r="H114" s="66">
        <v>0.14771311984659158</v>
      </c>
      <c r="I114" s="82">
        <v>87.128158109209451</v>
      </c>
      <c r="J114" s="82">
        <v>81.171570895827102</v>
      </c>
    </row>
    <row r="115" spans="2:10" ht="15.75" customHeight="1" thickBot="1" x14ac:dyDescent="0.25">
      <c r="B115" s="79" t="s">
        <v>255</v>
      </c>
      <c r="C115" s="65">
        <v>11362</v>
      </c>
      <c r="D115" s="65">
        <v>16174</v>
      </c>
      <c r="E115" s="65">
        <v>20912</v>
      </c>
      <c r="F115" s="66">
        <v>3.505704437088835E-2</v>
      </c>
      <c r="G115" s="66">
        <v>4.0958862831645168E-2</v>
      </c>
      <c r="H115" s="66">
        <v>4.64109975244065E-2</v>
      </c>
      <c r="I115" s="82">
        <v>42.351698644604824</v>
      </c>
      <c r="J115" s="82">
        <v>29.293928527265983</v>
      </c>
    </row>
    <row r="116" spans="2:10" s="76" customFormat="1" ht="15.75" customHeight="1" thickBot="1" x14ac:dyDescent="0.25">
      <c r="B116" s="80" t="s">
        <v>290</v>
      </c>
      <c r="C116" s="84">
        <v>688545</v>
      </c>
      <c r="D116" s="84">
        <v>947283</v>
      </c>
      <c r="E116" s="84">
        <v>1241834</v>
      </c>
      <c r="F116" s="85">
        <v>2.1244809554966837</v>
      </c>
      <c r="G116" s="85">
        <v>2.3988892333219569</v>
      </c>
      <c r="H116" s="85">
        <v>2.7560613379745513</v>
      </c>
      <c r="I116" s="85">
        <v>37.5775003812387</v>
      </c>
      <c r="J116" s="85">
        <v>31.094298113657693</v>
      </c>
    </row>
    <row r="117" spans="2:10" s="76" customFormat="1" ht="15.75" customHeight="1" thickBot="1" x14ac:dyDescent="0.25">
      <c r="B117" s="80" t="s">
        <v>291</v>
      </c>
      <c r="C117" s="84">
        <v>54296</v>
      </c>
      <c r="D117" s="84">
        <v>77689</v>
      </c>
      <c r="E117" s="84">
        <v>96424</v>
      </c>
      <c r="F117" s="85">
        <v>0.16752836482676939</v>
      </c>
      <c r="G117" s="85">
        <v>0.19673878413056026</v>
      </c>
      <c r="H117" s="85">
        <v>0.21399837534876492</v>
      </c>
      <c r="I117" s="85">
        <v>43.084205097981432</v>
      </c>
      <c r="J117" s="85">
        <v>24.115383130172869</v>
      </c>
    </row>
    <row r="118" spans="2:10" s="76" customFormat="1" ht="15.75" customHeight="1" thickBot="1" x14ac:dyDescent="0.25">
      <c r="B118" s="80" t="s">
        <v>292</v>
      </c>
      <c r="C118" s="84">
        <v>438</v>
      </c>
      <c r="D118" s="84">
        <v>664</v>
      </c>
      <c r="E118" s="84">
        <v>1119</v>
      </c>
      <c r="F118" s="85">
        <v>1.3514333246302673E-3</v>
      </c>
      <c r="G118" s="85">
        <v>1.6815064251398783E-3</v>
      </c>
      <c r="H118" s="85">
        <v>2.4834499918616523E-3</v>
      </c>
      <c r="I118" s="85">
        <v>51.598173515981735</v>
      </c>
      <c r="J118" s="85">
        <v>68.524096385542165</v>
      </c>
    </row>
    <row r="119" spans="2:10" s="77" customFormat="1" ht="13.5" customHeight="1" thickBot="1" x14ac:dyDescent="0.25">
      <c r="B119" s="52" t="s">
        <v>293</v>
      </c>
      <c r="C119" s="89">
        <v>32410034</v>
      </c>
      <c r="D119" s="89">
        <v>39488401</v>
      </c>
      <c r="E119" s="89">
        <v>45058286</v>
      </c>
      <c r="F119" s="90">
        <v>100</v>
      </c>
      <c r="G119" s="90">
        <v>100</v>
      </c>
      <c r="H119" s="90">
        <v>100</v>
      </c>
      <c r="I119" s="90">
        <v>21.840048054253817</v>
      </c>
      <c r="J119" s="90">
        <v>14.105116588539506</v>
      </c>
    </row>
    <row r="120" spans="2:10" x14ac:dyDescent="0.2">
      <c r="C120" s="195"/>
      <c r="D120" s="195"/>
      <c r="E120" s="195"/>
    </row>
  </sheetData>
  <mergeCells count="10">
    <mergeCell ref="B66:B67"/>
    <mergeCell ref="C66:E66"/>
    <mergeCell ref="F66:H66"/>
    <mergeCell ref="I66:J66"/>
    <mergeCell ref="B1:J1"/>
    <mergeCell ref="C2:E2"/>
    <mergeCell ref="F2:H2"/>
    <mergeCell ref="I2:J2"/>
    <mergeCell ref="B2:B3"/>
    <mergeCell ref="B65:J65"/>
  </mergeCells>
  <printOptions horizontalCentered="1"/>
  <pageMargins left="0.78740157480314965" right="0.62992125984251968" top="0.59055118110236227" bottom="0" header="0.23622047244094491" footer="0.11811023622047245"/>
  <pageSetup scale="74" orientation="portrait" r:id="rId1"/>
  <headerFooter alignWithMargins="0"/>
  <rowBreaks count="1" manualBreakCount="1">
    <brk id="64" min="1" max="9"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O119"/>
  <sheetViews>
    <sheetView view="pageBreakPreview" zoomScaleNormal="100" zoomScaleSheetLayoutView="100" workbookViewId="0">
      <selection activeCell="A5" sqref="A5"/>
    </sheetView>
  </sheetViews>
  <sheetFormatPr defaultColWidth="9.140625" defaultRowHeight="12" x14ac:dyDescent="0.2"/>
  <cols>
    <col min="1" max="1" width="9.140625" style="70"/>
    <col min="2" max="2" width="31.140625" style="78" customWidth="1"/>
    <col min="3" max="8" width="9.140625" style="70" customWidth="1"/>
    <col min="9" max="9" width="9" style="70" customWidth="1"/>
    <col min="10" max="10" width="9.42578125" style="70" customWidth="1"/>
    <col min="11" max="14" width="9.140625" style="70" customWidth="1"/>
    <col min="15" max="15" width="10.140625" style="70" customWidth="1"/>
    <col min="16" max="16384" width="9.140625" style="70"/>
  </cols>
  <sheetData>
    <row r="1" spans="2:15" ht="30" customHeight="1" thickBot="1" x14ac:dyDescent="0.25">
      <c r="B1" s="609" t="s">
        <v>678</v>
      </c>
      <c r="C1" s="610"/>
      <c r="D1" s="610"/>
      <c r="E1" s="610"/>
      <c r="F1" s="610"/>
      <c r="G1" s="610"/>
      <c r="H1" s="610"/>
      <c r="I1" s="610"/>
      <c r="J1" s="610"/>
      <c r="K1" s="610"/>
      <c r="L1" s="610"/>
      <c r="M1" s="610"/>
      <c r="N1" s="610"/>
      <c r="O1" s="610"/>
    </row>
    <row r="2" spans="2:15" ht="18" customHeight="1" thickBot="1" x14ac:dyDescent="0.25">
      <c r="B2" s="92" t="s">
        <v>262</v>
      </c>
      <c r="C2" s="595" t="s">
        <v>263</v>
      </c>
      <c r="D2" s="595"/>
      <c r="E2" s="595"/>
      <c r="F2" s="595"/>
      <c r="G2" s="595"/>
      <c r="H2" s="595"/>
      <c r="I2" s="595"/>
      <c r="J2" s="595"/>
      <c r="K2" s="595"/>
      <c r="L2" s="595"/>
      <c r="M2" s="595"/>
      <c r="N2" s="595"/>
      <c r="O2" s="595"/>
    </row>
    <row r="3" spans="2:15" ht="18" customHeight="1" thickBot="1" x14ac:dyDescent="0.25">
      <c r="B3" s="93" t="s">
        <v>265</v>
      </c>
      <c r="C3" s="63" t="s">
        <v>5</v>
      </c>
      <c r="D3" s="63" t="s">
        <v>6</v>
      </c>
      <c r="E3" s="63" t="s">
        <v>7</v>
      </c>
      <c r="F3" s="63" t="s">
        <v>8</v>
      </c>
      <c r="G3" s="63" t="s">
        <v>9</v>
      </c>
      <c r="H3" s="63" t="s">
        <v>10</v>
      </c>
      <c r="I3" s="63" t="s">
        <v>11</v>
      </c>
      <c r="J3" s="63" t="s">
        <v>12</v>
      </c>
      <c r="K3" s="63" t="s">
        <v>13</v>
      </c>
      <c r="L3" s="63" t="s">
        <v>14</v>
      </c>
      <c r="M3" s="63" t="s">
        <v>15</v>
      </c>
      <c r="N3" s="63" t="s">
        <v>16</v>
      </c>
      <c r="O3" s="95" t="s">
        <v>17</v>
      </c>
    </row>
    <row r="4" spans="2:15" ht="18" customHeight="1" x14ac:dyDescent="0.2">
      <c r="B4" s="71" t="s">
        <v>60</v>
      </c>
      <c r="C4" s="65">
        <v>16830</v>
      </c>
      <c r="D4" s="65">
        <v>18446</v>
      </c>
      <c r="E4" s="65">
        <v>28171</v>
      </c>
      <c r="F4" s="65">
        <v>27548</v>
      </c>
      <c r="G4" s="65">
        <v>10984</v>
      </c>
      <c r="H4" s="65">
        <v>21655</v>
      </c>
      <c r="I4" s="65">
        <v>37149</v>
      </c>
      <c r="J4" s="65">
        <v>38557</v>
      </c>
      <c r="K4" s="65">
        <v>32410</v>
      </c>
      <c r="L4" s="65">
        <v>26441</v>
      </c>
      <c r="M4" s="65">
        <v>17893</v>
      </c>
      <c r="N4" s="65">
        <v>19428</v>
      </c>
      <c r="O4" s="96">
        <v>295512</v>
      </c>
    </row>
    <row r="5" spans="2:15" ht="18" customHeight="1" x14ac:dyDescent="0.2">
      <c r="B5" s="71" t="s">
        <v>80</v>
      </c>
      <c r="C5" s="65">
        <v>13818</v>
      </c>
      <c r="D5" s="65">
        <v>12292</v>
      </c>
      <c r="E5" s="65">
        <v>17731</v>
      </c>
      <c r="F5" s="65">
        <v>23183</v>
      </c>
      <c r="G5" s="65">
        <v>6607</v>
      </c>
      <c r="H5" s="65">
        <v>18874</v>
      </c>
      <c r="I5" s="65">
        <v>27906</v>
      </c>
      <c r="J5" s="65">
        <v>33196</v>
      </c>
      <c r="K5" s="65">
        <v>25170</v>
      </c>
      <c r="L5" s="65">
        <v>20678</v>
      </c>
      <c r="M5" s="65">
        <v>18241</v>
      </c>
      <c r="N5" s="65">
        <v>16568</v>
      </c>
      <c r="O5" s="96">
        <v>234264</v>
      </c>
    </row>
    <row r="6" spans="2:15" ht="18" customHeight="1" x14ac:dyDescent="0.2">
      <c r="B6" s="71" t="s">
        <v>100</v>
      </c>
      <c r="C6" s="65">
        <v>2621</v>
      </c>
      <c r="D6" s="65">
        <v>2042</v>
      </c>
      <c r="E6" s="65">
        <v>5033</v>
      </c>
      <c r="F6" s="65">
        <v>5487</v>
      </c>
      <c r="G6" s="65">
        <v>4761</v>
      </c>
      <c r="H6" s="65">
        <v>12866</v>
      </c>
      <c r="I6" s="65">
        <v>7826</v>
      </c>
      <c r="J6" s="65">
        <v>7118</v>
      </c>
      <c r="K6" s="65">
        <v>10703</v>
      </c>
      <c r="L6" s="65">
        <v>7207</v>
      </c>
      <c r="M6" s="65">
        <v>3047</v>
      </c>
      <c r="N6" s="65">
        <v>5941</v>
      </c>
      <c r="O6" s="96">
        <v>74652</v>
      </c>
    </row>
    <row r="7" spans="2:15" ht="18" customHeight="1" x14ac:dyDescent="0.2">
      <c r="B7" s="71" t="s">
        <v>149</v>
      </c>
      <c r="C7" s="65">
        <v>18510</v>
      </c>
      <c r="D7" s="65">
        <v>21775</v>
      </c>
      <c r="E7" s="65">
        <v>19558</v>
      </c>
      <c r="F7" s="65">
        <v>18961</v>
      </c>
      <c r="G7" s="65">
        <v>11797</v>
      </c>
      <c r="H7" s="65">
        <v>22181</v>
      </c>
      <c r="I7" s="65">
        <v>24073</v>
      </c>
      <c r="J7" s="65">
        <v>26293</v>
      </c>
      <c r="K7" s="65">
        <v>30775</v>
      </c>
      <c r="L7" s="65">
        <v>25324</v>
      </c>
      <c r="M7" s="65">
        <v>18065</v>
      </c>
      <c r="N7" s="65">
        <v>21931</v>
      </c>
      <c r="O7" s="96">
        <v>259243</v>
      </c>
    </row>
    <row r="8" spans="2:15" ht="18" customHeight="1" x14ac:dyDescent="0.2">
      <c r="B8" s="71" t="s">
        <v>168</v>
      </c>
      <c r="C8" s="65">
        <v>12566</v>
      </c>
      <c r="D8" s="65">
        <v>11715</v>
      </c>
      <c r="E8" s="65">
        <v>12606</v>
      </c>
      <c r="F8" s="65">
        <v>16344</v>
      </c>
      <c r="G8" s="65">
        <v>8413</v>
      </c>
      <c r="H8" s="65">
        <v>17417</v>
      </c>
      <c r="I8" s="65">
        <v>20076</v>
      </c>
      <c r="J8" s="65">
        <v>19816</v>
      </c>
      <c r="K8" s="65">
        <v>17473</v>
      </c>
      <c r="L8" s="65">
        <v>14967</v>
      </c>
      <c r="M8" s="65">
        <v>12236</v>
      </c>
      <c r="N8" s="65">
        <v>14026</v>
      </c>
      <c r="O8" s="96">
        <v>177655</v>
      </c>
    </row>
    <row r="9" spans="2:15" ht="18" customHeight="1" x14ac:dyDescent="0.2">
      <c r="B9" s="71" t="s">
        <v>222</v>
      </c>
      <c r="C9" s="65">
        <v>922</v>
      </c>
      <c r="D9" s="65">
        <v>1093</v>
      </c>
      <c r="E9" s="65">
        <v>1201</v>
      </c>
      <c r="F9" s="65">
        <v>1369</v>
      </c>
      <c r="G9" s="65">
        <v>780</v>
      </c>
      <c r="H9" s="65">
        <v>1866</v>
      </c>
      <c r="I9" s="65">
        <v>2089</v>
      </c>
      <c r="J9" s="65">
        <v>2032</v>
      </c>
      <c r="K9" s="65">
        <v>1946</v>
      </c>
      <c r="L9" s="65">
        <v>1588</v>
      </c>
      <c r="M9" s="65">
        <v>1513</v>
      </c>
      <c r="N9" s="65">
        <v>1464</v>
      </c>
      <c r="O9" s="96">
        <v>17863</v>
      </c>
    </row>
    <row r="10" spans="2:15" ht="18" customHeight="1" x14ac:dyDescent="0.2">
      <c r="B10" s="71" t="s">
        <v>238</v>
      </c>
      <c r="C10" s="65">
        <v>11585</v>
      </c>
      <c r="D10" s="65">
        <v>10831</v>
      </c>
      <c r="E10" s="65">
        <v>17541</v>
      </c>
      <c r="F10" s="65">
        <v>17024</v>
      </c>
      <c r="G10" s="65">
        <v>6234</v>
      </c>
      <c r="H10" s="65">
        <v>12174</v>
      </c>
      <c r="I10" s="65">
        <v>18432</v>
      </c>
      <c r="J10" s="65">
        <v>17916</v>
      </c>
      <c r="K10" s="65">
        <v>14371</v>
      </c>
      <c r="L10" s="65">
        <v>15291</v>
      </c>
      <c r="M10" s="65">
        <v>13393</v>
      </c>
      <c r="N10" s="65">
        <v>17795</v>
      </c>
      <c r="O10" s="96">
        <v>172587</v>
      </c>
    </row>
    <row r="11" spans="2:15" ht="18" customHeight="1" thickBot="1" x14ac:dyDescent="0.25">
      <c r="B11" s="71" t="s">
        <v>272</v>
      </c>
      <c r="C11" s="65">
        <v>11825</v>
      </c>
      <c r="D11" s="65">
        <v>12374</v>
      </c>
      <c r="E11" s="65">
        <v>14695</v>
      </c>
      <c r="F11" s="65">
        <v>16367</v>
      </c>
      <c r="G11" s="65">
        <v>14621</v>
      </c>
      <c r="H11" s="65">
        <v>16694</v>
      </c>
      <c r="I11" s="65">
        <v>19126</v>
      </c>
      <c r="J11" s="65">
        <v>19609</v>
      </c>
      <c r="K11" s="65">
        <v>22306</v>
      </c>
      <c r="L11" s="65">
        <v>20923</v>
      </c>
      <c r="M11" s="65">
        <v>20202</v>
      </c>
      <c r="N11" s="65">
        <v>18768</v>
      </c>
      <c r="O11" s="96">
        <v>207510</v>
      </c>
    </row>
    <row r="12" spans="2:15" s="91" customFormat="1" ht="18" customHeight="1" thickBot="1" x14ac:dyDescent="0.25">
      <c r="B12" s="80" t="s">
        <v>273</v>
      </c>
      <c r="C12" s="94">
        <v>88677</v>
      </c>
      <c r="D12" s="94">
        <v>90568</v>
      </c>
      <c r="E12" s="94">
        <v>116536</v>
      </c>
      <c r="F12" s="94">
        <v>126283</v>
      </c>
      <c r="G12" s="94">
        <v>64197</v>
      </c>
      <c r="H12" s="94">
        <v>123727</v>
      </c>
      <c r="I12" s="94">
        <v>156677</v>
      </c>
      <c r="J12" s="94">
        <v>164537</v>
      </c>
      <c r="K12" s="94">
        <v>155154</v>
      </c>
      <c r="L12" s="94">
        <v>132419</v>
      </c>
      <c r="M12" s="94">
        <v>104590</v>
      </c>
      <c r="N12" s="94">
        <v>115921</v>
      </c>
      <c r="O12" s="89">
        <v>1439286</v>
      </c>
    </row>
    <row r="13" spans="2:15" ht="18" customHeight="1" x14ac:dyDescent="0.2">
      <c r="B13" s="71" t="s">
        <v>28</v>
      </c>
      <c r="C13" s="65">
        <v>3849</v>
      </c>
      <c r="D13" s="65">
        <v>3701</v>
      </c>
      <c r="E13" s="65">
        <v>4954</v>
      </c>
      <c r="F13" s="65">
        <v>6361</v>
      </c>
      <c r="G13" s="65">
        <v>8872</v>
      </c>
      <c r="H13" s="65">
        <v>6370</v>
      </c>
      <c r="I13" s="65">
        <v>5560</v>
      </c>
      <c r="J13" s="65">
        <v>6505</v>
      </c>
      <c r="K13" s="65">
        <v>8834</v>
      </c>
      <c r="L13" s="65">
        <v>5607</v>
      </c>
      <c r="M13" s="65">
        <v>2659</v>
      </c>
      <c r="N13" s="65">
        <v>1211</v>
      </c>
      <c r="O13" s="96">
        <v>64483</v>
      </c>
    </row>
    <row r="14" spans="2:15" ht="18" customHeight="1" x14ac:dyDescent="0.2">
      <c r="B14" s="71" t="s">
        <v>54</v>
      </c>
      <c r="C14" s="65">
        <v>6216</v>
      </c>
      <c r="D14" s="65">
        <v>5029</v>
      </c>
      <c r="E14" s="65">
        <v>7625</v>
      </c>
      <c r="F14" s="65">
        <v>6750</v>
      </c>
      <c r="G14" s="65">
        <v>9941</v>
      </c>
      <c r="H14" s="65">
        <v>9633</v>
      </c>
      <c r="I14" s="65">
        <v>10543</v>
      </c>
      <c r="J14" s="65">
        <v>9030</v>
      </c>
      <c r="K14" s="65">
        <v>12594</v>
      </c>
      <c r="L14" s="65">
        <v>10917</v>
      </c>
      <c r="M14" s="65">
        <v>6031</v>
      </c>
      <c r="N14" s="65">
        <v>6855</v>
      </c>
      <c r="O14" s="96">
        <v>101164</v>
      </c>
    </row>
    <row r="15" spans="2:15" ht="18" customHeight="1" x14ac:dyDescent="0.2">
      <c r="B15" s="71" t="s">
        <v>135</v>
      </c>
      <c r="C15" s="65">
        <v>2710</v>
      </c>
      <c r="D15" s="65">
        <v>1977</v>
      </c>
      <c r="E15" s="65">
        <v>4169</v>
      </c>
      <c r="F15" s="65">
        <v>6624</v>
      </c>
      <c r="G15" s="65">
        <v>7474</v>
      </c>
      <c r="H15" s="65">
        <v>7983</v>
      </c>
      <c r="I15" s="65">
        <v>5739</v>
      </c>
      <c r="J15" s="65">
        <v>5159</v>
      </c>
      <c r="K15" s="65">
        <v>8850</v>
      </c>
      <c r="L15" s="65">
        <v>8753</v>
      </c>
      <c r="M15" s="65">
        <v>6005</v>
      </c>
      <c r="N15" s="65">
        <v>5531</v>
      </c>
      <c r="O15" s="96">
        <v>70974</v>
      </c>
    </row>
    <row r="16" spans="2:15" ht="18" customHeight="1" x14ac:dyDescent="0.2">
      <c r="B16" s="71" t="s">
        <v>228</v>
      </c>
      <c r="C16" s="65">
        <v>741</v>
      </c>
      <c r="D16" s="65">
        <v>1410</v>
      </c>
      <c r="E16" s="65">
        <v>852</v>
      </c>
      <c r="F16" s="65">
        <v>1258</v>
      </c>
      <c r="G16" s="65">
        <v>2560</v>
      </c>
      <c r="H16" s="65">
        <v>2056</v>
      </c>
      <c r="I16" s="65">
        <v>1931</v>
      </c>
      <c r="J16" s="65">
        <v>1693</v>
      </c>
      <c r="K16" s="65">
        <v>2808</v>
      </c>
      <c r="L16" s="65">
        <v>1760</v>
      </c>
      <c r="M16" s="65">
        <v>972</v>
      </c>
      <c r="N16" s="65">
        <v>468</v>
      </c>
      <c r="O16" s="96">
        <v>18509</v>
      </c>
    </row>
    <row r="17" spans="2:15" ht="18" customHeight="1" x14ac:dyDescent="0.2">
      <c r="B17" s="71" t="s">
        <v>249</v>
      </c>
      <c r="C17" s="65">
        <v>690</v>
      </c>
      <c r="D17" s="65">
        <v>529</v>
      </c>
      <c r="E17" s="65">
        <v>587</v>
      </c>
      <c r="F17" s="65">
        <v>772</v>
      </c>
      <c r="G17" s="65">
        <v>786</v>
      </c>
      <c r="H17" s="65">
        <v>982</v>
      </c>
      <c r="I17" s="65">
        <v>1151</v>
      </c>
      <c r="J17" s="65">
        <v>1329</v>
      </c>
      <c r="K17" s="65">
        <v>1412</v>
      </c>
      <c r="L17" s="65">
        <v>1392</v>
      </c>
      <c r="M17" s="65">
        <v>976</v>
      </c>
      <c r="N17" s="65">
        <v>1132</v>
      </c>
      <c r="O17" s="96">
        <v>11738</v>
      </c>
    </row>
    <row r="18" spans="2:15" ht="18" customHeight="1" thickBot="1" x14ac:dyDescent="0.25">
      <c r="B18" s="71" t="s">
        <v>274</v>
      </c>
      <c r="C18" s="65">
        <v>1188</v>
      </c>
      <c r="D18" s="65">
        <v>1205</v>
      </c>
      <c r="E18" s="65">
        <v>1421</v>
      </c>
      <c r="F18" s="65">
        <v>2314</v>
      </c>
      <c r="G18" s="65">
        <v>3445</v>
      </c>
      <c r="H18" s="65">
        <v>3285</v>
      </c>
      <c r="I18" s="65">
        <v>4038</v>
      </c>
      <c r="J18" s="65">
        <v>3514</v>
      </c>
      <c r="K18" s="65">
        <v>4851</v>
      </c>
      <c r="L18" s="65">
        <v>3242</v>
      </c>
      <c r="M18" s="65">
        <v>1823</v>
      </c>
      <c r="N18" s="65">
        <v>1206</v>
      </c>
      <c r="O18" s="96">
        <v>31532</v>
      </c>
    </row>
    <row r="19" spans="2:15" s="91" customFormat="1" ht="18" customHeight="1" thickBot="1" x14ac:dyDescent="0.25">
      <c r="B19" s="80" t="s">
        <v>275</v>
      </c>
      <c r="C19" s="94">
        <v>15394</v>
      </c>
      <c r="D19" s="94">
        <v>13851</v>
      </c>
      <c r="E19" s="94">
        <v>19608</v>
      </c>
      <c r="F19" s="94">
        <v>24079</v>
      </c>
      <c r="G19" s="94">
        <v>33078</v>
      </c>
      <c r="H19" s="94">
        <v>30309</v>
      </c>
      <c r="I19" s="94">
        <v>28962</v>
      </c>
      <c r="J19" s="94">
        <v>27230</v>
      </c>
      <c r="K19" s="94">
        <v>39349</v>
      </c>
      <c r="L19" s="94">
        <v>31671</v>
      </c>
      <c r="M19" s="94">
        <v>18466</v>
      </c>
      <c r="N19" s="94">
        <v>16403</v>
      </c>
      <c r="O19" s="89">
        <v>298400</v>
      </c>
    </row>
    <row r="20" spans="2:15" s="91" customFormat="1" ht="18" customHeight="1" thickBot="1" x14ac:dyDescent="0.25">
      <c r="B20" s="80" t="s">
        <v>276</v>
      </c>
      <c r="C20" s="94">
        <v>1278</v>
      </c>
      <c r="D20" s="94">
        <v>1394</v>
      </c>
      <c r="E20" s="94">
        <v>1675</v>
      </c>
      <c r="F20" s="94">
        <v>2093</v>
      </c>
      <c r="G20" s="94">
        <v>1865</v>
      </c>
      <c r="H20" s="94">
        <v>2625</v>
      </c>
      <c r="I20" s="94">
        <v>3082</v>
      </c>
      <c r="J20" s="94">
        <v>3225</v>
      </c>
      <c r="K20" s="94">
        <v>2888</v>
      </c>
      <c r="L20" s="94">
        <v>2256</v>
      </c>
      <c r="M20" s="94">
        <v>1934</v>
      </c>
      <c r="N20" s="94">
        <v>2245</v>
      </c>
      <c r="O20" s="89">
        <v>26560</v>
      </c>
    </row>
    <row r="21" spans="2:15" s="91" customFormat="1" ht="18" customHeight="1" thickBot="1" x14ac:dyDescent="0.25">
      <c r="B21" s="80" t="s">
        <v>277</v>
      </c>
      <c r="C21" s="94">
        <v>672</v>
      </c>
      <c r="D21" s="94">
        <v>545</v>
      </c>
      <c r="E21" s="94">
        <v>815</v>
      </c>
      <c r="F21" s="94">
        <v>1254</v>
      </c>
      <c r="G21" s="94">
        <v>1837</v>
      </c>
      <c r="H21" s="94">
        <v>1660</v>
      </c>
      <c r="I21" s="94">
        <v>1682</v>
      </c>
      <c r="J21" s="94">
        <v>1529</v>
      </c>
      <c r="K21" s="94">
        <v>2781</v>
      </c>
      <c r="L21" s="94">
        <v>1959</v>
      </c>
      <c r="M21" s="94">
        <v>1628</v>
      </c>
      <c r="N21" s="94">
        <v>1071</v>
      </c>
      <c r="O21" s="89">
        <v>17433</v>
      </c>
    </row>
    <row r="22" spans="2:15" s="91" customFormat="1" ht="18" customHeight="1" thickBot="1" x14ac:dyDescent="0.25">
      <c r="B22" s="80" t="s">
        <v>278</v>
      </c>
      <c r="C22" s="94">
        <v>17344</v>
      </c>
      <c r="D22" s="94">
        <v>15790</v>
      </c>
      <c r="E22" s="94">
        <v>22098</v>
      </c>
      <c r="F22" s="94">
        <v>27426</v>
      </c>
      <c r="G22" s="94">
        <v>36780</v>
      </c>
      <c r="H22" s="94">
        <v>34594</v>
      </c>
      <c r="I22" s="94">
        <v>33726</v>
      </c>
      <c r="J22" s="94">
        <v>31984</v>
      </c>
      <c r="K22" s="94">
        <v>45018</v>
      </c>
      <c r="L22" s="94">
        <v>35886</v>
      </c>
      <c r="M22" s="94">
        <v>22028</v>
      </c>
      <c r="N22" s="94">
        <v>19719</v>
      </c>
      <c r="O22" s="89">
        <v>342393</v>
      </c>
    </row>
    <row r="23" spans="2:15" ht="18" customHeight="1" x14ac:dyDescent="0.2">
      <c r="B23" s="71" t="s">
        <v>35</v>
      </c>
      <c r="C23" s="65">
        <v>14173</v>
      </c>
      <c r="D23" s="65">
        <v>6619</v>
      </c>
      <c r="E23" s="65">
        <v>5734</v>
      </c>
      <c r="F23" s="65">
        <v>6884</v>
      </c>
      <c r="G23" s="65">
        <v>1117</v>
      </c>
      <c r="H23" s="65">
        <v>6463</v>
      </c>
      <c r="I23" s="65">
        <v>12521</v>
      </c>
      <c r="J23" s="65">
        <v>12931</v>
      </c>
      <c r="K23" s="65">
        <v>4626</v>
      </c>
      <c r="L23" s="65">
        <v>3462</v>
      </c>
      <c r="M23" s="65">
        <v>6303</v>
      </c>
      <c r="N23" s="65">
        <v>9466</v>
      </c>
      <c r="O23" s="96">
        <v>90299</v>
      </c>
    </row>
    <row r="24" spans="2:15" ht="18" customHeight="1" x14ac:dyDescent="0.2">
      <c r="B24" s="71" t="s">
        <v>48</v>
      </c>
      <c r="C24" s="65">
        <v>2494</v>
      </c>
      <c r="D24" s="65">
        <v>1481</v>
      </c>
      <c r="E24" s="65">
        <v>4855</v>
      </c>
      <c r="F24" s="65">
        <v>4466</v>
      </c>
      <c r="G24" s="65">
        <v>388</v>
      </c>
      <c r="H24" s="65">
        <v>2241</v>
      </c>
      <c r="I24" s="65">
        <v>5752</v>
      </c>
      <c r="J24" s="65">
        <v>6419</v>
      </c>
      <c r="K24" s="65">
        <v>1174</v>
      </c>
      <c r="L24" s="65">
        <v>1371</v>
      </c>
      <c r="M24" s="65">
        <v>1775</v>
      </c>
      <c r="N24" s="65">
        <v>5084</v>
      </c>
      <c r="O24" s="96">
        <v>37500</v>
      </c>
    </row>
    <row r="25" spans="2:15" ht="18" customHeight="1" x14ac:dyDescent="0.2">
      <c r="B25" s="71" t="s">
        <v>111</v>
      </c>
      <c r="C25" s="65">
        <v>71111</v>
      </c>
      <c r="D25" s="65">
        <v>91017</v>
      </c>
      <c r="E25" s="65">
        <v>88819</v>
      </c>
      <c r="F25" s="65">
        <v>86179</v>
      </c>
      <c r="G25" s="65">
        <v>67157</v>
      </c>
      <c r="H25" s="65">
        <v>135469</v>
      </c>
      <c r="I25" s="65">
        <v>196119</v>
      </c>
      <c r="J25" s="65">
        <v>211378</v>
      </c>
      <c r="K25" s="65">
        <v>156908</v>
      </c>
      <c r="L25" s="65">
        <v>99446</v>
      </c>
      <c r="M25" s="65">
        <v>78886</v>
      </c>
      <c r="N25" s="65">
        <v>92407</v>
      </c>
      <c r="O25" s="96">
        <v>1374896</v>
      </c>
    </row>
    <row r="26" spans="2:15" ht="18" customHeight="1" x14ac:dyDescent="0.2">
      <c r="B26" s="71" t="s">
        <v>117</v>
      </c>
      <c r="C26" s="65">
        <v>27658</v>
      </c>
      <c r="D26" s="65">
        <v>21124</v>
      </c>
      <c r="E26" s="65">
        <v>25193</v>
      </c>
      <c r="F26" s="65">
        <v>69719</v>
      </c>
      <c r="G26" s="65">
        <v>20987</v>
      </c>
      <c r="H26" s="65">
        <v>50789</v>
      </c>
      <c r="I26" s="65">
        <v>69842</v>
      </c>
      <c r="J26" s="65">
        <v>92960</v>
      </c>
      <c r="K26" s="65">
        <v>58069</v>
      </c>
      <c r="L26" s="65">
        <v>55907</v>
      </c>
      <c r="M26" s="65">
        <v>35430</v>
      </c>
      <c r="N26" s="65">
        <v>41690</v>
      </c>
      <c r="O26" s="96">
        <v>569368</v>
      </c>
    </row>
    <row r="27" spans="2:15" ht="18" customHeight="1" x14ac:dyDescent="0.2">
      <c r="B27" s="71" t="s">
        <v>129</v>
      </c>
      <c r="C27" s="65">
        <v>6173</v>
      </c>
      <c r="D27" s="65">
        <v>5575</v>
      </c>
      <c r="E27" s="65">
        <v>5646</v>
      </c>
      <c r="F27" s="65">
        <v>12766</v>
      </c>
      <c r="G27" s="65">
        <v>1721</v>
      </c>
      <c r="H27" s="65">
        <v>8664</v>
      </c>
      <c r="I27" s="65">
        <v>23196</v>
      </c>
      <c r="J27" s="65">
        <v>16671</v>
      </c>
      <c r="K27" s="65">
        <v>3887</v>
      </c>
      <c r="L27" s="65">
        <v>5189</v>
      </c>
      <c r="M27" s="65">
        <v>4090</v>
      </c>
      <c r="N27" s="65">
        <v>14918</v>
      </c>
      <c r="O27" s="96">
        <v>108496</v>
      </c>
    </row>
    <row r="28" spans="2:15" ht="18" customHeight="1" x14ac:dyDescent="0.2">
      <c r="B28" s="71" t="s">
        <v>140</v>
      </c>
      <c r="C28" s="65">
        <v>30128</v>
      </c>
      <c r="D28" s="65">
        <v>19573</v>
      </c>
      <c r="E28" s="65">
        <v>16820</v>
      </c>
      <c r="F28" s="65">
        <v>24577</v>
      </c>
      <c r="G28" s="65">
        <v>6968</v>
      </c>
      <c r="H28" s="65">
        <v>46191</v>
      </c>
      <c r="I28" s="65">
        <v>77064</v>
      </c>
      <c r="J28" s="65">
        <v>74589</v>
      </c>
      <c r="K28" s="65">
        <v>19261</v>
      </c>
      <c r="L28" s="65">
        <v>18894</v>
      </c>
      <c r="M28" s="65">
        <v>18350</v>
      </c>
      <c r="N28" s="65">
        <v>21776</v>
      </c>
      <c r="O28" s="96">
        <v>374191</v>
      </c>
    </row>
    <row r="29" spans="2:15" ht="18" customHeight="1" x14ac:dyDescent="0.2">
      <c r="B29" s="71" t="s">
        <v>141</v>
      </c>
      <c r="C29" s="65">
        <v>13058</v>
      </c>
      <c r="D29" s="65">
        <v>21954</v>
      </c>
      <c r="E29" s="65">
        <v>15804</v>
      </c>
      <c r="F29" s="65">
        <v>19713</v>
      </c>
      <c r="G29" s="65">
        <v>18957</v>
      </c>
      <c r="H29" s="65">
        <v>22530</v>
      </c>
      <c r="I29" s="65">
        <v>32435</v>
      </c>
      <c r="J29" s="65">
        <v>33647</v>
      </c>
      <c r="K29" s="65">
        <v>21408</v>
      </c>
      <c r="L29" s="65">
        <v>20366</v>
      </c>
      <c r="M29" s="65">
        <v>18944</v>
      </c>
      <c r="N29" s="65">
        <v>17170</v>
      </c>
      <c r="O29" s="96">
        <v>255986</v>
      </c>
    </row>
    <row r="30" spans="2:15" ht="18" customHeight="1" x14ac:dyDescent="0.2">
      <c r="B30" s="71" t="s">
        <v>152</v>
      </c>
      <c r="C30" s="65">
        <v>15574</v>
      </c>
      <c r="D30" s="65">
        <v>18806</v>
      </c>
      <c r="E30" s="65">
        <v>24370</v>
      </c>
      <c r="F30" s="65">
        <v>33504</v>
      </c>
      <c r="G30" s="65">
        <v>15318</v>
      </c>
      <c r="H30" s="65">
        <v>35988</v>
      </c>
      <c r="I30" s="65">
        <v>59204</v>
      </c>
      <c r="J30" s="65">
        <v>72579</v>
      </c>
      <c r="K30" s="65">
        <v>40785</v>
      </c>
      <c r="L30" s="65">
        <v>25030</v>
      </c>
      <c r="M30" s="65">
        <v>18131</v>
      </c>
      <c r="N30" s="65">
        <v>17432</v>
      </c>
      <c r="O30" s="96">
        <v>376721</v>
      </c>
    </row>
    <row r="31" spans="2:15" ht="18" customHeight="1" x14ac:dyDescent="0.2">
      <c r="B31" s="71" t="s">
        <v>225</v>
      </c>
      <c r="C31" s="65">
        <v>24349</v>
      </c>
      <c r="D31" s="65">
        <v>20243</v>
      </c>
      <c r="E31" s="65">
        <v>30674</v>
      </c>
      <c r="F31" s="65">
        <v>44918</v>
      </c>
      <c r="G31" s="65">
        <v>13207</v>
      </c>
      <c r="H31" s="65">
        <v>101601</v>
      </c>
      <c r="I31" s="65">
        <v>135273</v>
      </c>
      <c r="J31" s="65">
        <v>100120</v>
      </c>
      <c r="K31" s="65">
        <v>30742</v>
      </c>
      <c r="L31" s="65">
        <v>18820</v>
      </c>
      <c r="M31" s="65">
        <v>19839</v>
      </c>
      <c r="N31" s="65">
        <v>25030</v>
      </c>
      <c r="O31" s="96">
        <v>564816</v>
      </c>
    </row>
    <row r="32" spans="2:15" ht="18" customHeight="1" x14ac:dyDescent="0.2">
      <c r="B32" s="71" t="s">
        <v>246</v>
      </c>
      <c r="C32" s="65">
        <v>21496</v>
      </c>
      <c r="D32" s="65">
        <v>19094</v>
      </c>
      <c r="E32" s="65">
        <v>22074</v>
      </c>
      <c r="F32" s="65">
        <v>38308</v>
      </c>
      <c r="G32" s="65">
        <v>11867</v>
      </c>
      <c r="H32" s="65">
        <v>65443</v>
      </c>
      <c r="I32" s="65">
        <v>78954</v>
      </c>
      <c r="J32" s="65">
        <v>88434</v>
      </c>
      <c r="K32" s="65">
        <v>47724</v>
      </c>
      <c r="L32" s="65">
        <v>35200</v>
      </c>
      <c r="M32" s="65">
        <v>24473</v>
      </c>
      <c r="N32" s="65">
        <v>21807</v>
      </c>
      <c r="O32" s="96">
        <v>474874</v>
      </c>
    </row>
    <row r="33" spans="2:15" ht="18" customHeight="1" x14ac:dyDescent="0.2">
      <c r="B33" s="71" t="s">
        <v>253</v>
      </c>
      <c r="C33" s="65">
        <v>2667</v>
      </c>
      <c r="D33" s="65">
        <v>2858</v>
      </c>
      <c r="E33" s="65">
        <v>3115</v>
      </c>
      <c r="F33" s="65">
        <v>3053</v>
      </c>
      <c r="G33" s="65">
        <v>1924</v>
      </c>
      <c r="H33" s="65">
        <v>4607</v>
      </c>
      <c r="I33" s="65">
        <v>5091</v>
      </c>
      <c r="J33" s="65">
        <v>4828</v>
      </c>
      <c r="K33" s="65">
        <v>3737</v>
      </c>
      <c r="L33" s="65">
        <v>3293</v>
      </c>
      <c r="M33" s="65">
        <v>3051</v>
      </c>
      <c r="N33" s="65">
        <v>3449</v>
      </c>
      <c r="O33" s="96">
        <v>41673</v>
      </c>
    </row>
    <row r="34" spans="2:15" ht="18" customHeight="1" thickBot="1" x14ac:dyDescent="0.25">
      <c r="B34" s="71" t="s">
        <v>279</v>
      </c>
      <c r="C34" s="65">
        <v>35467</v>
      </c>
      <c r="D34" s="65">
        <v>32666</v>
      </c>
      <c r="E34" s="65">
        <v>36933</v>
      </c>
      <c r="F34" s="65">
        <v>41323</v>
      </c>
      <c r="G34" s="65">
        <v>30516</v>
      </c>
      <c r="H34" s="65">
        <v>86926</v>
      </c>
      <c r="I34" s="65">
        <v>110229</v>
      </c>
      <c r="J34" s="65">
        <v>99511</v>
      </c>
      <c r="K34" s="65">
        <v>99526</v>
      </c>
      <c r="L34" s="65">
        <v>65849</v>
      </c>
      <c r="M34" s="65">
        <v>43443</v>
      </c>
      <c r="N34" s="65">
        <v>50725</v>
      </c>
      <c r="O34" s="96">
        <v>733114</v>
      </c>
    </row>
    <row r="35" spans="2:15" s="91" customFormat="1" ht="18" customHeight="1" thickBot="1" x14ac:dyDescent="0.25">
      <c r="B35" s="80" t="s">
        <v>280</v>
      </c>
      <c r="C35" s="94">
        <v>264348</v>
      </c>
      <c r="D35" s="94">
        <v>261010</v>
      </c>
      <c r="E35" s="94">
        <v>280037</v>
      </c>
      <c r="F35" s="94">
        <v>385410</v>
      </c>
      <c r="G35" s="94">
        <v>190127</v>
      </c>
      <c r="H35" s="94">
        <v>566912</v>
      </c>
      <c r="I35" s="94">
        <v>805680</v>
      </c>
      <c r="J35" s="94">
        <v>814067</v>
      </c>
      <c r="K35" s="94">
        <v>487847</v>
      </c>
      <c r="L35" s="94">
        <v>352827</v>
      </c>
      <c r="M35" s="94">
        <v>272715</v>
      </c>
      <c r="N35" s="94">
        <v>320954</v>
      </c>
      <c r="O35" s="89">
        <v>5001934</v>
      </c>
    </row>
    <row r="36" spans="2:15" ht="18" customHeight="1" x14ac:dyDescent="0.2">
      <c r="B36" s="71" t="s">
        <v>37</v>
      </c>
      <c r="C36" s="65">
        <v>1038</v>
      </c>
      <c r="D36" s="65">
        <v>1228</v>
      </c>
      <c r="E36" s="65">
        <v>1640</v>
      </c>
      <c r="F36" s="65">
        <v>2084</v>
      </c>
      <c r="G36" s="65">
        <v>1363</v>
      </c>
      <c r="H36" s="65">
        <v>2161</v>
      </c>
      <c r="I36" s="65">
        <v>1789</v>
      </c>
      <c r="J36" s="65">
        <v>1843</v>
      </c>
      <c r="K36" s="65">
        <v>2047</v>
      </c>
      <c r="L36" s="65">
        <v>1972</v>
      </c>
      <c r="M36" s="65">
        <v>1673</v>
      </c>
      <c r="N36" s="65">
        <v>1767</v>
      </c>
      <c r="O36" s="96">
        <v>20605</v>
      </c>
    </row>
    <row r="37" spans="2:15" ht="18" customHeight="1" x14ac:dyDescent="0.2">
      <c r="B37" s="71" t="s">
        <v>64</v>
      </c>
      <c r="C37" s="65">
        <v>25033</v>
      </c>
      <c r="D37" s="65">
        <v>31074</v>
      </c>
      <c r="E37" s="65">
        <v>32115</v>
      </c>
      <c r="F37" s="65">
        <v>38139</v>
      </c>
      <c r="G37" s="65">
        <v>41600</v>
      </c>
      <c r="H37" s="65">
        <v>40480</v>
      </c>
      <c r="I37" s="65">
        <v>43390</v>
      </c>
      <c r="J37" s="65">
        <v>40491</v>
      </c>
      <c r="K37" s="65">
        <v>45835</v>
      </c>
      <c r="L37" s="65">
        <v>39375</v>
      </c>
      <c r="M37" s="65">
        <v>26207</v>
      </c>
      <c r="N37" s="65">
        <v>22605</v>
      </c>
      <c r="O37" s="96">
        <v>426344</v>
      </c>
    </row>
    <row r="38" spans="2:15" ht="18" customHeight="1" x14ac:dyDescent="0.2">
      <c r="B38" s="71" t="s">
        <v>73</v>
      </c>
      <c r="C38" s="65">
        <v>15077</v>
      </c>
      <c r="D38" s="65">
        <v>10418</v>
      </c>
      <c r="E38" s="65">
        <v>13259</v>
      </c>
      <c r="F38" s="65">
        <v>17572</v>
      </c>
      <c r="G38" s="65">
        <v>5360</v>
      </c>
      <c r="H38" s="65">
        <v>10351</v>
      </c>
      <c r="I38" s="65">
        <v>5153</v>
      </c>
      <c r="J38" s="65">
        <v>4638</v>
      </c>
      <c r="K38" s="65">
        <v>7551</v>
      </c>
      <c r="L38" s="65">
        <v>10775</v>
      </c>
      <c r="M38" s="65">
        <v>11356</v>
      </c>
      <c r="N38" s="65">
        <v>15639</v>
      </c>
      <c r="O38" s="96">
        <v>127149</v>
      </c>
    </row>
    <row r="39" spans="2:15" ht="18" customHeight="1" x14ac:dyDescent="0.2">
      <c r="B39" s="71" t="s">
        <v>83</v>
      </c>
      <c r="C39" s="65">
        <v>8157</v>
      </c>
      <c r="D39" s="65">
        <v>7354</v>
      </c>
      <c r="E39" s="65">
        <v>10130</v>
      </c>
      <c r="F39" s="65">
        <v>12956</v>
      </c>
      <c r="G39" s="65">
        <v>12147</v>
      </c>
      <c r="H39" s="65">
        <v>13590</v>
      </c>
      <c r="I39" s="65">
        <v>15075</v>
      </c>
      <c r="J39" s="65">
        <v>12436</v>
      </c>
      <c r="K39" s="65">
        <v>11712</v>
      </c>
      <c r="L39" s="65">
        <v>12074</v>
      </c>
      <c r="M39" s="65">
        <v>12421</v>
      </c>
      <c r="N39" s="65">
        <v>11074</v>
      </c>
      <c r="O39" s="96">
        <v>139126</v>
      </c>
    </row>
    <row r="40" spans="2:15" ht="18" customHeight="1" x14ac:dyDescent="0.2">
      <c r="B40" s="71" t="s">
        <v>107</v>
      </c>
      <c r="C40" s="65">
        <v>8526</v>
      </c>
      <c r="D40" s="65">
        <v>10434</v>
      </c>
      <c r="E40" s="65">
        <v>15691</v>
      </c>
      <c r="F40" s="65">
        <v>24790</v>
      </c>
      <c r="G40" s="65">
        <v>27092</v>
      </c>
      <c r="H40" s="65">
        <v>23896</v>
      </c>
      <c r="I40" s="65">
        <v>18925</v>
      </c>
      <c r="J40" s="65">
        <v>17102</v>
      </c>
      <c r="K40" s="65">
        <v>21856</v>
      </c>
      <c r="L40" s="65">
        <v>25272</v>
      </c>
      <c r="M40" s="65">
        <v>17821</v>
      </c>
      <c r="N40" s="65">
        <v>18726</v>
      </c>
      <c r="O40" s="96">
        <v>230131</v>
      </c>
    </row>
    <row r="41" spans="2:15" ht="18" customHeight="1" x14ac:dyDescent="0.2">
      <c r="B41" s="71" t="s">
        <v>114</v>
      </c>
      <c r="C41" s="65">
        <v>96603</v>
      </c>
      <c r="D41" s="65">
        <v>110201</v>
      </c>
      <c r="E41" s="65">
        <v>240299</v>
      </c>
      <c r="F41" s="65">
        <v>111673</v>
      </c>
      <c r="G41" s="65">
        <v>141935</v>
      </c>
      <c r="H41" s="65">
        <v>181435</v>
      </c>
      <c r="I41" s="65">
        <v>218858</v>
      </c>
      <c r="J41" s="65">
        <v>276474</v>
      </c>
      <c r="K41" s="65">
        <v>262550</v>
      </c>
      <c r="L41" s="65">
        <v>185358</v>
      </c>
      <c r="M41" s="65">
        <v>142736</v>
      </c>
      <c r="N41" s="65">
        <v>134768</v>
      </c>
      <c r="O41" s="96">
        <v>2102890</v>
      </c>
    </row>
    <row r="42" spans="2:15" ht="18" customHeight="1" x14ac:dyDescent="0.2">
      <c r="B42" s="71" t="s">
        <v>159</v>
      </c>
      <c r="C42" s="65">
        <v>5850</v>
      </c>
      <c r="D42" s="65">
        <v>9691</v>
      </c>
      <c r="E42" s="65">
        <v>11339</v>
      </c>
      <c r="F42" s="65">
        <v>16888</v>
      </c>
      <c r="G42" s="65">
        <v>7499</v>
      </c>
      <c r="H42" s="65">
        <v>4757</v>
      </c>
      <c r="I42" s="65">
        <v>3020</v>
      </c>
      <c r="J42" s="65">
        <v>4141</v>
      </c>
      <c r="K42" s="65">
        <v>8179</v>
      </c>
      <c r="L42" s="65">
        <v>11328</v>
      </c>
      <c r="M42" s="65">
        <v>13174</v>
      </c>
      <c r="N42" s="65">
        <v>18348</v>
      </c>
      <c r="O42" s="96">
        <v>114214</v>
      </c>
    </row>
    <row r="43" spans="2:15" ht="18" customHeight="1" x14ac:dyDescent="0.2">
      <c r="B43" s="71" t="s">
        <v>190</v>
      </c>
      <c r="C43" s="65">
        <v>7387</v>
      </c>
      <c r="D43" s="65">
        <v>6924</v>
      </c>
      <c r="E43" s="65">
        <v>9599</v>
      </c>
      <c r="F43" s="65">
        <v>11340</v>
      </c>
      <c r="G43" s="65">
        <v>5166</v>
      </c>
      <c r="H43" s="65">
        <v>17595</v>
      </c>
      <c r="I43" s="65">
        <v>16110</v>
      </c>
      <c r="J43" s="65">
        <v>12208</v>
      </c>
      <c r="K43" s="65">
        <v>12701</v>
      </c>
      <c r="L43" s="65">
        <v>11578</v>
      </c>
      <c r="M43" s="65">
        <v>9915</v>
      </c>
      <c r="N43" s="65">
        <v>10213</v>
      </c>
      <c r="O43" s="96">
        <v>130736</v>
      </c>
    </row>
    <row r="44" spans="2:15" ht="18" customHeight="1" x14ac:dyDescent="0.2">
      <c r="B44" s="71" t="s">
        <v>216</v>
      </c>
      <c r="C44" s="65">
        <v>1410</v>
      </c>
      <c r="D44" s="65">
        <v>1563</v>
      </c>
      <c r="E44" s="65">
        <v>2673</v>
      </c>
      <c r="F44" s="65">
        <v>2858</v>
      </c>
      <c r="G44" s="65">
        <v>2432</v>
      </c>
      <c r="H44" s="65">
        <v>3170</v>
      </c>
      <c r="I44" s="65">
        <v>1626</v>
      </c>
      <c r="J44" s="65">
        <v>1789</v>
      </c>
      <c r="K44" s="65">
        <v>2708</v>
      </c>
      <c r="L44" s="65">
        <v>3797</v>
      </c>
      <c r="M44" s="65">
        <v>3791</v>
      </c>
      <c r="N44" s="65">
        <v>7113</v>
      </c>
      <c r="O44" s="96">
        <v>34930</v>
      </c>
    </row>
    <row r="45" spans="2:15" ht="18" customHeight="1" x14ac:dyDescent="0.2">
      <c r="B45" s="71" t="s">
        <v>232</v>
      </c>
      <c r="C45" s="65">
        <v>1843</v>
      </c>
      <c r="D45" s="65">
        <v>2614</v>
      </c>
      <c r="E45" s="65">
        <v>4864</v>
      </c>
      <c r="F45" s="65">
        <v>9924</v>
      </c>
      <c r="G45" s="65">
        <v>7144</v>
      </c>
      <c r="H45" s="65">
        <v>4789</v>
      </c>
      <c r="I45" s="65">
        <v>3222</v>
      </c>
      <c r="J45" s="65">
        <v>3038</v>
      </c>
      <c r="K45" s="65">
        <v>4196</v>
      </c>
      <c r="L45" s="65">
        <v>10105</v>
      </c>
      <c r="M45" s="65">
        <v>4871</v>
      </c>
      <c r="N45" s="65">
        <v>5582</v>
      </c>
      <c r="O45" s="96">
        <v>62192</v>
      </c>
    </row>
    <row r="46" spans="2:15" ht="18" customHeight="1" thickBot="1" x14ac:dyDescent="0.25">
      <c r="B46" s="71" t="s">
        <v>281</v>
      </c>
      <c r="C46" s="65">
        <v>16865</v>
      </c>
      <c r="D46" s="65">
        <v>16907</v>
      </c>
      <c r="E46" s="65">
        <v>21374</v>
      </c>
      <c r="F46" s="65">
        <v>24410</v>
      </c>
      <c r="G46" s="65">
        <v>22257</v>
      </c>
      <c r="H46" s="65">
        <v>23787</v>
      </c>
      <c r="I46" s="65">
        <v>22624</v>
      </c>
      <c r="J46" s="65">
        <v>22599</v>
      </c>
      <c r="K46" s="65">
        <v>27162</v>
      </c>
      <c r="L46" s="65">
        <v>23790</v>
      </c>
      <c r="M46" s="65">
        <v>21674</v>
      </c>
      <c r="N46" s="65">
        <v>18178</v>
      </c>
      <c r="O46" s="96">
        <v>261627</v>
      </c>
    </row>
    <row r="47" spans="2:15" s="91" customFormat="1" ht="18" customHeight="1" thickBot="1" x14ac:dyDescent="0.25">
      <c r="B47" s="80" t="s">
        <v>282</v>
      </c>
      <c r="C47" s="94">
        <v>187789</v>
      </c>
      <c r="D47" s="94">
        <v>208408</v>
      </c>
      <c r="E47" s="94">
        <v>362983</v>
      </c>
      <c r="F47" s="94">
        <v>272634</v>
      </c>
      <c r="G47" s="94">
        <v>273995</v>
      </c>
      <c r="H47" s="94">
        <v>326011</v>
      </c>
      <c r="I47" s="94">
        <v>349792</v>
      </c>
      <c r="J47" s="94">
        <v>396759</v>
      </c>
      <c r="K47" s="94">
        <v>406497</v>
      </c>
      <c r="L47" s="94">
        <v>335424</v>
      </c>
      <c r="M47" s="94">
        <v>265639</v>
      </c>
      <c r="N47" s="94">
        <v>264013</v>
      </c>
      <c r="O47" s="89">
        <v>3649944</v>
      </c>
    </row>
    <row r="48" spans="2:15" s="91" customFormat="1" ht="18" customHeight="1" thickBot="1" x14ac:dyDescent="0.25">
      <c r="B48" s="80" t="s">
        <v>283</v>
      </c>
      <c r="C48" s="94">
        <v>452137</v>
      </c>
      <c r="D48" s="94">
        <v>469418</v>
      </c>
      <c r="E48" s="94">
        <v>643020</v>
      </c>
      <c r="F48" s="94">
        <v>658044</v>
      </c>
      <c r="G48" s="94">
        <v>464122</v>
      </c>
      <c r="H48" s="94">
        <v>892923</v>
      </c>
      <c r="I48" s="94">
        <v>1155472</v>
      </c>
      <c r="J48" s="94">
        <v>1210826</v>
      </c>
      <c r="K48" s="94">
        <v>894344</v>
      </c>
      <c r="L48" s="94">
        <v>688251</v>
      </c>
      <c r="M48" s="94">
        <v>538354</v>
      </c>
      <c r="N48" s="94">
        <v>584967</v>
      </c>
      <c r="O48" s="89">
        <v>8651878</v>
      </c>
    </row>
    <row r="49" spans="2:15" ht="18" customHeight="1" x14ac:dyDescent="0.2">
      <c r="B49" s="71" t="s">
        <v>21</v>
      </c>
      <c r="C49" s="65">
        <v>102120</v>
      </c>
      <c r="D49" s="65">
        <v>133612</v>
      </c>
      <c r="E49" s="65">
        <v>191692</v>
      </c>
      <c r="F49" s="65">
        <v>376059</v>
      </c>
      <c r="G49" s="65">
        <v>410374</v>
      </c>
      <c r="H49" s="65">
        <v>588508</v>
      </c>
      <c r="I49" s="65">
        <v>868307</v>
      </c>
      <c r="J49" s="65">
        <v>713527</v>
      </c>
      <c r="K49" s="65">
        <v>625138</v>
      </c>
      <c r="L49" s="65">
        <v>640157</v>
      </c>
      <c r="M49" s="65">
        <v>186132</v>
      </c>
      <c r="N49" s="65">
        <v>191846</v>
      </c>
      <c r="O49" s="96">
        <v>5027472</v>
      </c>
    </row>
    <row r="50" spans="2:15" ht="18" customHeight="1" x14ac:dyDescent="0.2">
      <c r="B50" s="71" t="s">
        <v>32</v>
      </c>
      <c r="C50" s="65">
        <v>11753</v>
      </c>
      <c r="D50" s="65">
        <v>15930</v>
      </c>
      <c r="E50" s="65">
        <v>15658</v>
      </c>
      <c r="F50" s="65">
        <v>23658</v>
      </c>
      <c r="G50" s="65">
        <v>23428</v>
      </c>
      <c r="H50" s="65">
        <v>39587</v>
      </c>
      <c r="I50" s="65">
        <v>105975</v>
      </c>
      <c r="J50" s="65">
        <v>71302</v>
      </c>
      <c r="K50" s="65">
        <v>32405</v>
      </c>
      <c r="L50" s="65">
        <v>23552</v>
      </c>
      <c r="M50" s="65">
        <v>14873</v>
      </c>
      <c r="N50" s="65">
        <v>23354</v>
      </c>
      <c r="O50" s="96">
        <v>401475</v>
      </c>
    </row>
    <row r="51" spans="2:15" ht="18" customHeight="1" x14ac:dyDescent="0.2">
      <c r="B51" s="71" t="s">
        <v>42</v>
      </c>
      <c r="C51" s="65">
        <v>12708</v>
      </c>
      <c r="D51" s="65">
        <v>13905</v>
      </c>
      <c r="E51" s="65">
        <v>21314</v>
      </c>
      <c r="F51" s="65">
        <v>46508</v>
      </c>
      <c r="G51" s="65">
        <v>39631</v>
      </c>
      <c r="H51" s="65">
        <v>69660</v>
      </c>
      <c r="I51" s="65">
        <v>145778</v>
      </c>
      <c r="J51" s="65">
        <v>79991</v>
      </c>
      <c r="K51" s="65">
        <v>52802</v>
      </c>
      <c r="L51" s="65">
        <v>35885</v>
      </c>
      <c r="M51" s="65">
        <v>20292</v>
      </c>
      <c r="N51" s="65">
        <v>18961</v>
      </c>
      <c r="O51" s="96">
        <v>557435</v>
      </c>
    </row>
    <row r="52" spans="2:15" ht="18" customHeight="1" x14ac:dyDescent="0.2">
      <c r="B52" s="71" t="s">
        <v>63</v>
      </c>
      <c r="C52" s="65">
        <v>2495</v>
      </c>
      <c r="D52" s="65">
        <v>3312</v>
      </c>
      <c r="E52" s="65">
        <v>4614</v>
      </c>
      <c r="F52" s="65">
        <v>5088</v>
      </c>
      <c r="G52" s="65">
        <v>18580</v>
      </c>
      <c r="H52" s="65">
        <v>62946</v>
      </c>
      <c r="I52" s="65">
        <v>69066</v>
      </c>
      <c r="J52" s="65">
        <v>63973</v>
      </c>
      <c r="K52" s="65">
        <v>55419</v>
      </c>
      <c r="L52" s="65">
        <v>18496</v>
      </c>
      <c r="M52" s="65">
        <v>4671</v>
      </c>
      <c r="N52" s="65">
        <v>2699</v>
      </c>
      <c r="O52" s="96">
        <v>311359</v>
      </c>
    </row>
    <row r="53" spans="2:15" ht="18" customHeight="1" x14ac:dyDescent="0.2">
      <c r="B53" s="71" t="s">
        <v>65</v>
      </c>
      <c r="C53" s="65">
        <v>5674</v>
      </c>
      <c r="D53" s="65">
        <v>10639</v>
      </c>
      <c r="E53" s="65">
        <v>11571</v>
      </c>
      <c r="F53" s="65">
        <v>23742</v>
      </c>
      <c r="G53" s="65">
        <v>29369</v>
      </c>
      <c r="H53" s="65">
        <v>42374</v>
      </c>
      <c r="I53" s="65">
        <v>82975</v>
      </c>
      <c r="J53" s="65">
        <v>39515</v>
      </c>
      <c r="K53" s="65">
        <v>40690</v>
      </c>
      <c r="L53" s="65">
        <v>34731</v>
      </c>
      <c r="M53" s="65">
        <v>7859</v>
      </c>
      <c r="N53" s="65">
        <v>6738</v>
      </c>
      <c r="O53" s="96">
        <v>335877</v>
      </c>
    </row>
    <row r="54" spans="2:15" ht="18" customHeight="1" x14ac:dyDescent="0.2">
      <c r="B54" s="71" t="s">
        <v>85</v>
      </c>
      <c r="C54" s="65">
        <v>2409</v>
      </c>
      <c r="D54" s="65">
        <v>3347</v>
      </c>
      <c r="E54" s="65">
        <v>4403</v>
      </c>
      <c r="F54" s="65">
        <v>14461</v>
      </c>
      <c r="G54" s="65">
        <v>18638</v>
      </c>
      <c r="H54" s="65">
        <v>17605</v>
      </c>
      <c r="I54" s="65">
        <v>14720</v>
      </c>
      <c r="J54" s="65">
        <v>13966</v>
      </c>
      <c r="K54" s="65">
        <v>19351</v>
      </c>
      <c r="L54" s="65">
        <v>18061</v>
      </c>
      <c r="M54" s="65">
        <v>4557</v>
      </c>
      <c r="N54" s="65">
        <v>3674</v>
      </c>
      <c r="O54" s="96">
        <v>135192</v>
      </c>
    </row>
    <row r="55" spans="2:15" ht="18" customHeight="1" x14ac:dyDescent="0.2">
      <c r="B55" s="71" t="s">
        <v>86</v>
      </c>
      <c r="C55" s="65">
        <v>28020</v>
      </c>
      <c r="D55" s="65">
        <v>40040</v>
      </c>
      <c r="E55" s="65">
        <v>39680</v>
      </c>
      <c r="F55" s="65">
        <v>73920</v>
      </c>
      <c r="G55" s="65">
        <v>54836</v>
      </c>
      <c r="H55" s="65">
        <v>74836</v>
      </c>
      <c r="I55" s="65">
        <v>197985</v>
      </c>
      <c r="J55" s="65">
        <v>148053</v>
      </c>
      <c r="K55" s="65">
        <v>64874</v>
      </c>
      <c r="L55" s="65">
        <v>71621</v>
      </c>
      <c r="M55" s="65">
        <v>39816</v>
      </c>
      <c r="N55" s="65">
        <v>42276</v>
      </c>
      <c r="O55" s="96">
        <v>875957</v>
      </c>
    </row>
    <row r="56" spans="2:15" ht="18" customHeight="1" x14ac:dyDescent="0.2">
      <c r="B56" s="71" t="s">
        <v>108</v>
      </c>
      <c r="C56" s="65">
        <v>25059</v>
      </c>
      <c r="D56" s="65">
        <v>32786</v>
      </c>
      <c r="E56" s="65">
        <v>36409</v>
      </c>
      <c r="F56" s="65">
        <v>127970</v>
      </c>
      <c r="G56" s="65">
        <v>105574</v>
      </c>
      <c r="H56" s="65">
        <v>95527</v>
      </c>
      <c r="I56" s="65">
        <v>242355</v>
      </c>
      <c r="J56" s="65">
        <v>164449</v>
      </c>
      <c r="K56" s="65">
        <v>109451</v>
      </c>
      <c r="L56" s="65">
        <v>112328</v>
      </c>
      <c r="M56" s="65">
        <v>31855</v>
      </c>
      <c r="N56" s="65">
        <v>33527</v>
      </c>
      <c r="O56" s="96">
        <v>1117290</v>
      </c>
    </row>
    <row r="57" spans="2:15" ht="18" customHeight="1" x14ac:dyDescent="0.2">
      <c r="B57" s="71" t="s">
        <v>113</v>
      </c>
      <c r="C57" s="65">
        <v>34409</v>
      </c>
      <c r="D57" s="65">
        <v>46201</v>
      </c>
      <c r="E57" s="65">
        <v>66837</v>
      </c>
      <c r="F57" s="65">
        <v>186341</v>
      </c>
      <c r="G57" s="65">
        <v>310004</v>
      </c>
      <c r="H57" s="65">
        <v>359462</v>
      </c>
      <c r="I57" s="65">
        <v>425044</v>
      </c>
      <c r="J57" s="65">
        <v>421466</v>
      </c>
      <c r="K57" s="65">
        <v>348386</v>
      </c>
      <c r="L57" s="65">
        <v>244225</v>
      </c>
      <c r="M57" s="65">
        <v>63871</v>
      </c>
      <c r="N57" s="65">
        <v>55818</v>
      </c>
      <c r="O57" s="96">
        <v>2562064</v>
      </c>
    </row>
    <row r="58" spans="2:15" ht="18" customHeight="1" x14ac:dyDescent="0.2">
      <c r="B58" s="71" t="s">
        <v>115</v>
      </c>
      <c r="C58" s="65">
        <v>2075</v>
      </c>
      <c r="D58" s="65">
        <v>2293</v>
      </c>
      <c r="E58" s="65">
        <v>2974</v>
      </c>
      <c r="F58" s="65">
        <v>6810</v>
      </c>
      <c r="G58" s="65">
        <v>11219</v>
      </c>
      <c r="H58" s="65">
        <v>14075</v>
      </c>
      <c r="I58" s="65">
        <v>15307</v>
      </c>
      <c r="J58" s="65">
        <v>13840</v>
      </c>
      <c r="K58" s="65">
        <v>12521</v>
      </c>
      <c r="L58" s="65">
        <v>9904</v>
      </c>
      <c r="M58" s="65">
        <v>3484</v>
      </c>
      <c r="N58" s="65">
        <v>2384</v>
      </c>
      <c r="O58" s="96">
        <v>96886</v>
      </c>
    </row>
    <row r="59" spans="2:15" ht="18" customHeight="1" x14ac:dyDescent="0.2">
      <c r="B59" s="97" t="s">
        <v>116</v>
      </c>
      <c r="C59" s="86">
        <v>11585</v>
      </c>
      <c r="D59" s="86">
        <v>11883</v>
      </c>
      <c r="E59" s="86">
        <v>14772</v>
      </c>
      <c r="F59" s="86">
        <v>24717</v>
      </c>
      <c r="G59" s="86">
        <v>21875</v>
      </c>
      <c r="H59" s="86">
        <v>20360</v>
      </c>
      <c r="I59" s="86">
        <v>26860</v>
      </c>
      <c r="J59" s="86">
        <v>37674</v>
      </c>
      <c r="K59" s="86">
        <v>26907</v>
      </c>
      <c r="L59" s="86">
        <v>24220</v>
      </c>
      <c r="M59" s="86">
        <v>17443</v>
      </c>
      <c r="N59" s="86">
        <v>19046</v>
      </c>
      <c r="O59" s="98">
        <v>257342</v>
      </c>
    </row>
    <row r="60" spans="2:15" s="72" customFormat="1" ht="18" customHeight="1" x14ac:dyDescent="0.2">
      <c r="B60" s="73"/>
      <c r="C60" s="65"/>
      <c r="D60" s="65"/>
      <c r="E60" s="65"/>
      <c r="F60" s="65"/>
      <c r="G60" s="65"/>
      <c r="H60" s="65"/>
      <c r="I60" s="65"/>
      <c r="J60" s="65"/>
      <c r="K60" s="65"/>
      <c r="L60" s="65"/>
      <c r="M60" s="65"/>
      <c r="N60" s="65"/>
      <c r="O60" s="96"/>
    </row>
    <row r="61" spans="2:15" s="72" customFormat="1" ht="18" customHeight="1" x14ac:dyDescent="0.2">
      <c r="B61" s="73"/>
      <c r="C61" s="65"/>
      <c r="D61" s="65"/>
      <c r="E61" s="65"/>
      <c r="F61" s="65"/>
      <c r="G61" s="65"/>
      <c r="H61" s="65"/>
      <c r="I61" s="65"/>
      <c r="J61" s="65"/>
      <c r="K61" s="65"/>
      <c r="L61" s="65"/>
      <c r="M61" s="65"/>
      <c r="N61" s="65"/>
      <c r="O61" s="96"/>
    </row>
    <row r="62" spans="2:15" s="72" customFormat="1" ht="18" customHeight="1" x14ac:dyDescent="0.2">
      <c r="B62" s="73"/>
      <c r="C62" s="65"/>
      <c r="D62" s="65"/>
      <c r="E62" s="65"/>
      <c r="F62" s="65"/>
      <c r="G62" s="65"/>
      <c r="H62" s="65"/>
      <c r="I62" s="65"/>
      <c r="J62" s="65"/>
      <c r="K62" s="65"/>
      <c r="L62" s="65"/>
      <c r="M62" s="65"/>
      <c r="N62" s="65"/>
      <c r="O62" s="96"/>
    </row>
    <row r="63" spans="2:15" s="72" customFormat="1" ht="30" customHeight="1" thickBot="1" x14ac:dyDescent="0.25">
      <c r="B63" s="609" t="s">
        <v>678</v>
      </c>
      <c r="C63" s="610"/>
      <c r="D63" s="610"/>
      <c r="E63" s="610"/>
      <c r="F63" s="610"/>
      <c r="G63" s="610"/>
      <c r="H63" s="610"/>
      <c r="I63" s="610"/>
      <c r="J63" s="610"/>
      <c r="K63" s="610"/>
      <c r="L63" s="610"/>
      <c r="M63" s="610"/>
      <c r="N63" s="610"/>
      <c r="O63" s="610"/>
    </row>
    <row r="64" spans="2:15" s="72" customFormat="1" ht="18" customHeight="1" thickBot="1" x14ac:dyDescent="0.25">
      <c r="B64" s="92" t="s">
        <v>262</v>
      </c>
      <c r="C64" s="595" t="s">
        <v>263</v>
      </c>
      <c r="D64" s="595"/>
      <c r="E64" s="595"/>
      <c r="F64" s="595"/>
      <c r="G64" s="595"/>
      <c r="H64" s="595"/>
      <c r="I64" s="595"/>
      <c r="J64" s="595"/>
      <c r="K64" s="595"/>
      <c r="L64" s="595"/>
      <c r="M64" s="595"/>
      <c r="N64" s="595"/>
      <c r="O64" s="595"/>
    </row>
    <row r="65" spans="2:15" s="72" customFormat="1" ht="18" customHeight="1" thickBot="1" x14ac:dyDescent="0.25">
      <c r="B65" s="93" t="s">
        <v>265</v>
      </c>
      <c r="C65" s="63" t="s">
        <v>5</v>
      </c>
      <c r="D65" s="63" t="s">
        <v>6</v>
      </c>
      <c r="E65" s="63" t="s">
        <v>7</v>
      </c>
      <c r="F65" s="63" t="s">
        <v>8</v>
      </c>
      <c r="G65" s="63" t="s">
        <v>9</v>
      </c>
      <c r="H65" s="63" t="s">
        <v>10</v>
      </c>
      <c r="I65" s="63" t="s">
        <v>11</v>
      </c>
      <c r="J65" s="63" t="s">
        <v>12</v>
      </c>
      <c r="K65" s="63" t="s">
        <v>13</v>
      </c>
      <c r="L65" s="63" t="s">
        <v>14</v>
      </c>
      <c r="M65" s="63" t="s">
        <v>15</v>
      </c>
      <c r="N65" s="63" t="s">
        <v>16</v>
      </c>
      <c r="O65" s="95" t="s">
        <v>17</v>
      </c>
    </row>
    <row r="66" spans="2:15" ht="18" customHeight="1" x14ac:dyDescent="0.2">
      <c r="B66" s="71" t="s">
        <v>118</v>
      </c>
      <c r="C66" s="65">
        <v>10218</v>
      </c>
      <c r="D66" s="65">
        <v>12410</v>
      </c>
      <c r="E66" s="65">
        <v>15996</v>
      </c>
      <c r="F66" s="65">
        <v>29070</v>
      </c>
      <c r="G66" s="65">
        <v>42350</v>
      </c>
      <c r="H66" s="65">
        <v>74719</v>
      </c>
      <c r="I66" s="65">
        <v>83367</v>
      </c>
      <c r="J66" s="65">
        <v>56023</v>
      </c>
      <c r="K66" s="65">
        <v>51709</v>
      </c>
      <c r="L66" s="65">
        <v>41224</v>
      </c>
      <c r="M66" s="65">
        <v>12873</v>
      </c>
      <c r="N66" s="65">
        <v>14326</v>
      </c>
      <c r="O66" s="96">
        <v>444285</v>
      </c>
    </row>
    <row r="67" spans="2:15" ht="18" customHeight="1" x14ac:dyDescent="0.2">
      <c r="B67" s="71" t="s">
        <v>119</v>
      </c>
      <c r="C67" s="65">
        <v>7393</v>
      </c>
      <c r="D67" s="65">
        <v>11085</v>
      </c>
      <c r="E67" s="65">
        <v>13227</v>
      </c>
      <c r="F67" s="65">
        <v>29379</v>
      </c>
      <c r="G67" s="65">
        <v>22732</v>
      </c>
      <c r="H67" s="65">
        <v>26565</v>
      </c>
      <c r="I67" s="65">
        <v>59716</v>
      </c>
      <c r="J67" s="65">
        <v>24359</v>
      </c>
      <c r="K67" s="65">
        <v>43467</v>
      </c>
      <c r="L67" s="65">
        <v>49090</v>
      </c>
      <c r="M67" s="65">
        <v>11498</v>
      </c>
      <c r="N67" s="65">
        <v>12596</v>
      </c>
      <c r="O67" s="96">
        <v>311107</v>
      </c>
    </row>
    <row r="68" spans="2:15" ht="18" customHeight="1" x14ac:dyDescent="0.2">
      <c r="B68" s="71" t="s">
        <v>120</v>
      </c>
      <c r="C68" s="65">
        <v>18172</v>
      </c>
      <c r="D68" s="65">
        <v>18039</v>
      </c>
      <c r="E68" s="65">
        <v>22603</v>
      </c>
      <c r="F68" s="65">
        <v>33366</v>
      </c>
      <c r="G68" s="65">
        <v>26767</v>
      </c>
      <c r="H68" s="65">
        <v>30027</v>
      </c>
      <c r="I68" s="65">
        <v>40920</v>
      </c>
      <c r="J68" s="65">
        <v>65965</v>
      </c>
      <c r="K68" s="65">
        <v>40203</v>
      </c>
      <c r="L68" s="65">
        <v>33786</v>
      </c>
      <c r="M68" s="65">
        <v>23594</v>
      </c>
      <c r="N68" s="65">
        <v>23569</v>
      </c>
      <c r="O68" s="96">
        <v>377011</v>
      </c>
    </row>
    <row r="69" spans="2:15" ht="18" customHeight="1" x14ac:dyDescent="0.2">
      <c r="B69" s="71" t="s">
        <v>121</v>
      </c>
      <c r="C69" s="65">
        <v>88</v>
      </c>
      <c r="D69" s="65">
        <v>124</v>
      </c>
      <c r="E69" s="65">
        <v>357</v>
      </c>
      <c r="F69" s="65">
        <v>649</v>
      </c>
      <c r="G69" s="65">
        <v>328</v>
      </c>
      <c r="H69" s="65">
        <v>472</v>
      </c>
      <c r="I69" s="65">
        <v>508</v>
      </c>
      <c r="J69" s="65">
        <v>299</v>
      </c>
      <c r="K69" s="65">
        <v>432</v>
      </c>
      <c r="L69" s="65">
        <v>370</v>
      </c>
      <c r="M69" s="65">
        <v>212</v>
      </c>
      <c r="N69" s="65">
        <v>127</v>
      </c>
      <c r="O69" s="96">
        <v>3966</v>
      </c>
    </row>
    <row r="70" spans="2:15" ht="18" customHeight="1" x14ac:dyDescent="0.2">
      <c r="B70" s="71" t="s">
        <v>153</v>
      </c>
      <c r="C70" s="65">
        <v>159</v>
      </c>
      <c r="D70" s="65">
        <v>275</v>
      </c>
      <c r="E70" s="65">
        <v>198</v>
      </c>
      <c r="F70" s="65">
        <v>1069</v>
      </c>
      <c r="G70" s="65">
        <v>1495</v>
      </c>
      <c r="H70" s="65">
        <v>766</v>
      </c>
      <c r="I70" s="65">
        <v>1362</v>
      </c>
      <c r="J70" s="65">
        <v>2567</v>
      </c>
      <c r="K70" s="65">
        <v>1394</v>
      </c>
      <c r="L70" s="65">
        <v>1034</v>
      </c>
      <c r="M70" s="65">
        <v>255</v>
      </c>
      <c r="N70" s="65">
        <v>383</v>
      </c>
      <c r="O70" s="96">
        <v>10957</v>
      </c>
    </row>
    <row r="71" spans="2:15" ht="18" customHeight="1" x14ac:dyDescent="0.2">
      <c r="B71" s="71" t="s">
        <v>154</v>
      </c>
      <c r="C71" s="65">
        <v>3261</v>
      </c>
      <c r="D71" s="65">
        <v>3199</v>
      </c>
      <c r="E71" s="65">
        <v>5286</v>
      </c>
      <c r="F71" s="65">
        <v>6762</v>
      </c>
      <c r="G71" s="65">
        <v>7851</v>
      </c>
      <c r="H71" s="65">
        <v>22849</v>
      </c>
      <c r="I71" s="65">
        <v>28730</v>
      </c>
      <c r="J71" s="65">
        <v>28677</v>
      </c>
      <c r="K71" s="65">
        <v>22124</v>
      </c>
      <c r="L71" s="65">
        <v>12941</v>
      </c>
      <c r="M71" s="65">
        <v>4830</v>
      </c>
      <c r="N71" s="65">
        <v>3013</v>
      </c>
      <c r="O71" s="96">
        <v>149523</v>
      </c>
    </row>
    <row r="72" spans="2:15" ht="18" customHeight="1" x14ac:dyDescent="0.2">
      <c r="B72" s="71" t="s">
        <v>187</v>
      </c>
      <c r="C72" s="65">
        <v>4520</v>
      </c>
      <c r="D72" s="65">
        <v>7474</v>
      </c>
      <c r="E72" s="65">
        <v>8482</v>
      </c>
      <c r="F72" s="65">
        <v>14861</v>
      </c>
      <c r="G72" s="65">
        <v>16877</v>
      </c>
      <c r="H72" s="65">
        <v>33120</v>
      </c>
      <c r="I72" s="65">
        <v>49041</v>
      </c>
      <c r="J72" s="65">
        <v>21054</v>
      </c>
      <c r="K72" s="65">
        <v>25154</v>
      </c>
      <c r="L72" s="65">
        <v>17277</v>
      </c>
      <c r="M72" s="65">
        <v>5517</v>
      </c>
      <c r="N72" s="65">
        <v>4953</v>
      </c>
      <c r="O72" s="96">
        <v>208330</v>
      </c>
    </row>
    <row r="73" spans="2:15" ht="18" customHeight="1" x14ac:dyDescent="0.2">
      <c r="B73" s="71" t="s">
        <v>197</v>
      </c>
      <c r="C73" s="65">
        <v>12835</v>
      </c>
      <c r="D73" s="65">
        <v>13234</v>
      </c>
      <c r="E73" s="65">
        <v>13497</v>
      </c>
      <c r="F73" s="65">
        <v>45194</v>
      </c>
      <c r="G73" s="65">
        <v>98513</v>
      </c>
      <c r="H73" s="65">
        <v>139118</v>
      </c>
      <c r="I73" s="65">
        <v>156049</v>
      </c>
      <c r="J73" s="65">
        <v>156945</v>
      </c>
      <c r="K73" s="65">
        <v>141435</v>
      </c>
      <c r="L73" s="65">
        <v>71820</v>
      </c>
      <c r="M73" s="65">
        <v>20589</v>
      </c>
      <c r="N73" s="65">
        <v>11610</v>
      </c>
      <c r="O73" s="96">
        <v>880839</v>
      </c>
    </row>
    <row r="74" spans="2:15" ht="18" customHeight="1" x14ac:dyDescent="0.2">
      <c r="B74" s="71" t="s">
        <v>198</v>
      </c>
      <c r="C74" s="65">
        <v>1938</v>
      </c>
      <c r="D74" s="65">
        <v>2366</v>
      </c>
      <c r="E74" s="65">
        <v>3081</v>
      </c>
      <c r="F74" s="65">
        <v>4847</v>
      </c>
      <c r="G74" s="65">
        <v>4904</v>
      </c>
      <c r="H74" s="65">
        <v>4914</v>
      </c>
      <c r="I74" s="65">
        <v>6438</v>
      </c>
      <c r="J74" s="65">
        <v>8687</v>
      </c>
      <c r="K74" s="65">
        <v>6150</v>
      </c>
      <c r="L74" s="65">
        <v>5138</v>
      </c>
      <c r="M74" s="65">
        <v>3001</v>
      </c>
      <c r="N74" s="65">
        <v>2666</v>
      </c>
      <c r="O74" s="96">
        <v>54130</v>
      </c>
    </row>
    <row r="75" spans="2:15" ht="18" customHeight="1" x14ac:dyDescent="0.2">
      <c r="B75" s="71" t="s">
        <v>217</v>
      </c>
      <c r="C75" s="65">
        <v>1673</v>
      </c>
      <c r="D75" s="65">
        <v>2116</v>
      </c>
      <c r="E75" s="65">
        <v>2183</v>
      </c>
      <c r="F75" s="65">
        <v>3568</v>
      </c>
      <c r="G75" s="65">
        <v>6956</v>
      </c>
      <c r="H75" s="65">
        <v>40102</v>
      </c>
      <c r="I75" s="65">
        <v>57236</v>
      </c>
      <c r="J75" s="65">
        <v>51160</v>
      </c>
      <c r="K75" s="65">
        <v>30387</v>
      </c>
      <c r="L75" s="65">
        <v>6380</v>
      </c>
      <c r="M75" s="65">
        <v>3443</v>
      </c>
      <c r="N75" s="65">
        <v>1904</v>
      </c>
      <c r="O75" s="96">
        <v>207108</v>
      </c>
    </row>
    <row r="76" spans="2:15" ht="18" customHeight="1" thickBot="1" x14ac:dyDescent="0.25">
      <c r="B76" s="71" t="s">
        <v>257</v>
      </c>
      <c r="C76" s="65">
        <v>48039</v>
      </c>
      <c r="D76" s="65">
        <v>46493</v>
      </c>
      <c r="E76" s="65">
        <v>73903</v>
      </c>
      <c r="F76" s="65">
        <v>77097</v>
      </c>
      <c r="G76" s="65">
        <v>68851</v>
      </c>
      <c r="H76" s="65">
        <v>69583</v>
      </c>
      <c r="I76" s="65">
        <v>69370</v>
      </c>
      <c r="J76" s="65">
        <v>89685</v>
      </c>
      <c r="K76" s="65">
        <v>78509</v>
      </c>
      <c r="L76" s="65">
        <v>87932</v>
      </c>
      <c r="M76" s="65">
        <v>64876</v>
      </c>
      <c r="N76" s="65">
        <v>62544</v>
      </c>
      <c r="O76" s="96">
        <v>836882</v>
      </c>
    </row>
    <row r="77" spans="2:15" ht="18" customHeight="1" thickBot="1" x14ac:dyDescent="0.25">
      <c r="B77" s="80" t="s">
        <v>285</v>
      </c>
      <c r="C77" s="94">
        <v>346603</v>
      </c>
      <c r="D77" s="94">
        <v>430763</v>
      </c>
      <c r="E77" s="94">
        <v>568737</v>
      </c>
      <c r="F77" s="94">
        <v>1155136</v>
      </c>
      <c r="G77" s="94">
        <v>1341152</v>
      </c>
      <c r="H77" s="94">
        <v>1827175</v>
      </c>
      <c r="I77" s="94">
        <v>2747109</v>
      </c>
      <c r="J77" s="94">
        <v>2273177</v>
      </c>
      <c r="K77" s="94">
        <v>1828908</v>
      </c>
      <c r="L77" s="94">
        <v>1560172</v>
      </c>
      <c r="M77" s="94">
        <v>545541</v>
      </c>
      <c r="N77" s="94">
        <v>538014</v>
      </c>
      <c r="O77" s="89">
        <v>15162487</v>
      </c>
    </row>
    <row r="78" spans="2:15" ht="18" customHeight="1" x14ac:dyDescent="0.2">
      <c r="B78" s="71" t="s">
        <v>29</v>
      </c>
      <c r="C78" s="65">
        <v>6040</v>
      </c>
      <c r="D78" s="65">
        <v>6915</v>
      </c>
      <c r="E78" s="65">
        <v>10602</v>
      </c>
      <c r="F78" s="65">
        <v>9738</v>
      </c>
      <c r="G78" s="65">
        <v>9361</v>
      </c>
      <c r="H78" s="65">
        <v>12498</v>
      </c>
      <c r="I78" s="65">
        <v>15960</v>
      </c>
      <c r="J78" s="65">
        <v>20487</v>
      </c>
      <c r="K78" s="65">
        <v>14244</v>
      </c>
      <c r="L78" s="65">
        <v>10659</v>
      </c>
      <c r="M78" s="65">
        <v>10714</v>
      </c>
      <c r="N78" s="65">
        <v>7651</v>
      </c>
      <c r="O78" s="96">
        <v>134869</v>
      </c>
    </row>
    <row r="79" spans="2:15" ht="18" customHeight="1" x14ac:dyDescent="0.2">
      <c r="B79" s="71" t="s">
        <v>51</v>
      </c>
      <c r="C79" s="65">
        <v>4486</v>
      </c>
      <c r="D79" s="65">
        <v>5204</v>
      </c>
      <c r="E79" s="65">
        <v>9918</v>
      </c>
      <c r="F79" s="65">
        <v>12113</v>
      </c>
      <c r="G79" s="65">
        <v>7917</v>
      </c>
      <c r="H79" s="65">
        <v>19727</v>
      </c>
      <c r="I79" s="65">
        <v>24184</v>
      </c>
      <c r="J79" s="65">
        <v>18564</v>
      </c>
      <c r="K79" s="65">
        <v>17020</v>
      </c>
      <c r="L79" s="65">
        <v>12213</v>
      </c>
      <c r="M79" s="65">
        <v>7037</v>
      </c>
      <c r="N79" s="65">
        <v>6062</v>
      </c>
      <c r="O79" s="96">
        <v>144445</v>
      </c>
    </row>
    <row r="80" spans="2:15" ht="18" customHeight="1" x14ac:dyDescent="0.2">
      <c r="B80" s="71" t="s">
        <v>56</v>
      </c>
      <c r="C80" s="65">
        <v>133806</v>
      </c>
      <c r="D80" s="65">
        <v>140669</v>
      </c>
      <c r="E80" s="65">
        <v>208237</v>
      </c>
      <c r="F80" s="65">
        <v>256072</v>
      </c>
      <c r="G80" s="65">
        <v>243933</v>
      </c>
      <c r="H80" s="65">
        <v>253563</v>
      </c>
      <c r="I80" s="65">
        <v>208509</v>
      </c>
      <c r="J80" s="65">
        <v>249150</v>
      </c>
      <c r="K80" s="65">
        <v>301955</v>
      </c>
      <c r="L80" s="65">
        <v>258550</v>
      </c>
      <c r="M80" s="65">
        <v>230220</v>
      </c>
      <c r="N80" s="65">
        <v>228800</v>
      </c>
      <c r="O80" s="96">
        <v>2713464</v>
      </c>
    </row>
    <row r="81" spans="2:15" ht="18" customHeight="1" x14ac:dyDescent="0.2">
      <c r="B81" s="71" t="s">
        <v>76</v>
      </c>
      <c r="C81" s="65">
        <v>1063</v>
      </c>
      <c r="D81" s="65">
        <v>1449</v>
      </c>
      <c r="E81" s="65">
        <v>1467</v>
      </c>
      <c r="F81" s="65">
        <v>10758</v>
      </c>
      <c r="G81" s="65">
        <v>11213</v>
      </c>
      <c r="H81" s="65">
        <v>8113</v>
      </c>
      <c r="I81" s="65">
        <v>7723</v>
      </c>
      <c r="J81" s="65">
        <v>8000</v>
      </c>
      <c r="K81" s="65">
        <v>11604</v>
      </c>
      <c r="L81" s="65">
        <v>12912</v>
      </c>
      <c r="M81" s="65">
        <v>1704</v>
      </c>
      <c r="N81" s="65">
        <v>1035</v>
      </c>
      <c r="O81" s="96">
        <v>77041</v>
      </c>
    </row>
    <row r="82" spans="2:15" ht="18" customHeight="1" x14ac:dyDescent="0.2">
      <c r="B82" s="71" t="s">
        <v>101</v>
      </c>
      <c r="C82" s="65">
        <v>603</v>
      </c>
      <c r="D82" s="65">
        <v>648</v>
      </c>
      <c r="E82" s="65">
        <v>781</v>
      </c>
      <c r="F82" s="65">
        <v>1082</v>
      </c>
      <c r="G82" s="65">
        <v>741</v>
      </c>
      <c r="H82" s="65">
        <v>1021</v>
      </c>
      <c r="I82" s="65">
        <v>1474</v>
      </c>
      <c r="J82" s="65">
        <v>2369</v>
      </c>
      <c r="K82" s="65">
        <v>1039</v>
      </c>
      <c r="L82" s="65">
        <v>1132</v>
      </c>
      <c r="M82" s="65">
        <v>753</v>
      </c>
      <c r="N82" s="65">
        <v>712</v>
      </c>
      <c r="O82" s="96">
        <v>12355</v>
      </c>
    </row>
    <row r="83" spans="2:15" ht="18" customHeight="1" x14ac:dyDescent="0.2">
      <c r="B83" s="71" t="s">
        <v>106</v>
      </c>
      <c r="C83" s="65">
        <v>3010</v>
      </c>
      <c r="D83" s="65">
        <v>2982</v>
      </c>
      <c r="E83" s="65">
        <v>4965</v>
      </c>
      <c r="F83" s="65">
        <v>5988</v>
      </c>
      <c r="G83" s="65">
        <v>4450</v>
      </c>
      <c r="H83" s="65">
        <v>4682</v>
      </c>
      <c r="I83" s="65">
        <v>4386</v>
      </c>
      <c r="J83" s="65">
        <v>5200</v>
      </c>
      <c r="K83" s="65">
        <v>5002</v>
      </c>
      <c r="L83" s="65">
        <v>7104</v>
      </c>
      <c r="M83" s="65">
        <v>5059</v>
      </c>
      <c r="N83" s="65">
        <v>3637</v>
      </c>
      <c r="O83" s="96">
        <v>56465</v>
      </c>
    </row>
    <row r="84" spans="2:15" ht="18" customHeight="1" x14ac:dyDescent="0.2">
      <c r="B84" s="71" t="s">
        <v>128</v>
      </c>
      <c r="C84" s="65">
        <v>1679</v>
      </c>
      <c r="D84" s="65">
        <v>1729</v>
      </c>
      <c r="E84" s="65">
        <v>2201</v>
      </c>
      <c r="F84" s="65">
        <v>2955</v>
      </c>
      <c r="G84" s="65">
        <v>2623</v>
      </c>
      <c r="H84" s="65">
        <v>2115</v>
      </c>
      <c r="I84" s="65">
        <v>2303</v>
      </c>
      <c r="J84" s="65">
        <v>2238</v>
      </c>
      <c r="K84" s="65">
        <v>2495</v>
      </c>
      <c r="L84" s="65">
        <v>2791</v>
      </c>
      <c r="M84" s="65">
        <v>2344</v>
      </c>
      <c r="N84" s="65">
        <v>2166</v>
      </c>
      <c r="O84" s="96">
        <v>27639</v>
      </c>
    </row>
    <row r="85" spans="2:15" ht="18" customHeight="1" x14ac:dyDescent="0.2">
      <c r="B85" s="71" t="s">
        <v>138</v>
      </c>
      <c r="C85" s="65">
        <v>6710</v>
      </c>
      <c r="D85" s="65">
        <v>7300</v>
      </c>
      <c r="E85" s="65">
        <v>8767</v>
      </c>
      <c r="F85" s="65">
        <v>10330</v>
      </c>
      <c r="G85" s="65">
        <v>11501</v>
      </c>
      <c r="H85" s="65">
        <v>20501</v>
      </c>
      <c r="I85" s="65">
        <v>18456</v>
      </c>
      <c r="J85" s="65">
        <v>20356</v>
      </c>
      <c r="K85" s="65">
        <v>19165</v>
      </c>
      <c r="L85" s="65">
        <v>13072</v>
      </c>
      <c r="M85" s="65">
        <v>8628</v>
      </c>
      <c r="N85" s="65">
        <v>7262</v>
      </c>
      <c r="O85" s="96">
        <v>152048</v>
      </c>
    </row>
    <row r="86" spans="2:15" ht="18" customHeight="1" x14ac:dyDescent="0.2">
      <c r="B86" s="71" t="s">
        <v>627</v>
      </c>
      <c r="C86" s="65">
        <v>11408</v>
      </c>
      <c r="D86" s="65">
        <v>11342</v>
      </c>
      <c r="E86" s="65">
        <v>17812</v>
      </c>
      <c r="F86" s="65">
        <v>22013</v>
      </c>
      <c r="G86" s="65">
        <v>13658</v>
      </c>
      <c r="H86" s="65">
        <v>21873</v>
      </c>
      <c r="I86" s="65">
        <v>25471</v>
      </c>
      <c r="J86" s="65">
        <v>27207</v>
      </c>
      <c r="K86" s="65">
        <v>24234</v>
      </c>
      <c r="L86" s="65">
        <v>20500</v>
      </c>
      <c r="M86" s="65">
        <v>13041</v>
      </c>
      <c r="N86" s="65">
        <v>14303</v>
      </c>
      <c r="O86" s="96">
        <v>222862</v>
      </c>
    </row>
    <row r="87" spans="2:15" ht="18" customHeight="1" x14ac:dyDescent="0.2">
      <c r="B87" s="71" t="s">
        <v>147</v>
      </c>
      <c r="C87" s="65">
        <v>1278</v>
      </c>
      <c r="D87" s="65">
        <v>1498</v>
      </c>
      <c r="E87" s="65">
        <v>1921</v>
      </c>
      <c r="F87" s="65">
        <v>7003</v>
      </c>
      <c r="G87" s="65">
        <v>13594</v>
      </c>
      <c r="H87" s="65">
        <v>10338</v>
      </c>
      <c r="I87" s="65">
        <v>8466</v>
      </c>
      <c r="J87" s="65">
        <v>10354</v>
      </c>
      <c r="K87" s="65">
        <v>14375</v>
      </c>
      <c r="L87" s="65">
        <v>13622</v>
      </c>
      <c r="M87" s="65">
        <v>2100</v>
      </c>
      <c r="N87" s="65">
        <v>1502</v>
      </c>
      <c r="O87" s="96">
        <v>86051</v>
      </c>
    </row>
    <row r="88" spans="2:15" ht="18" customHeight="1" x14ac:dyDescent="0.2">
      <c r="B88" s="71" t="s">
        <v>151</v>
      </c>
      <c r="C88" s="65">
        <v>2105</v>
      </c>
      <c r="D88" s="65">
        <v>2420</v>
      </c>
      <c r="E88" s="65">
        <v>3593</v>
      </c>
      <c r="F88" s="65">
        <v>32433</v>
      </c>
      <c r="G88" s="65">
        <v>42816</v>
      </c>
      <c r="H88" s="65">
        <v>28864</v>
      </c>
      <c r="I88" s="65">
        <v>19739</v>
      </c>
      <c r="J88" s="65">
        <v>19365</v>
      </c>
      <c r="K88" s="65">
        <v>33592</v>
      </c>
      <c r="L88" s="65">
        <v>39051</v>
      </c>
      <c r="M88" s="65">
        <v>3396</v>
      </c>
      <c r="N88" s="65">
        <v>2330</v>
      </c>
      <c r="O88" s="96">
        <v>229704</v>
      </c>
    </row>
    <row r="89" spans="2:15" ht="18" customHeight="1" x14ac:dyDescent="0.2">
      <c r="B89" s="71" t="s">
        <v>161</v>
      </c>
      <c r="C89" s="65">
        <v>723</v>
      </c>
      <c r="D89" s="65">
        <v>509</v>
      </c>
      <c r="E89" s="65">
        <v>827</v>
      </c>
      <c r="F89" s="65">
        <v>755</v>
      </c>
      <c r="G89" s="65">
        <v>566</v>
      </c>
      <c r="H89" s="65">
        <v>585</v>
      </c>
      <c r="I89" s="65">
        <v>810</v>
      </c>
      <c r="J89" s="65">
        <v>1224</v>
      </c>
      <c r="K89" s="65">
        <v>762</v>
      </c>
      <c r="L89" s="65">
        <v>705</v>
      </c>
      <c r="M89" s="65">
        <v>648</v>
      </c>
      <c r="N89" s="65">
        <v>625</v>
      </c>
      <c r="O89" s="96">
        <v>8739</v>
      </c>
    </row>
    <row r="90" spans="2:15" ht="18" customHeight="1" x14ac:dyDescent="0.2">
      <c r="B90" s="71" t="s">
        <v>201</v>
      </c>
      <c r="C90" s="65">
        <v>20349</v>
      </c>
      <c r="D90" s="65">
        <v>25084</v>
      </c>
      <c r="E90" s="65">
        <v>32106</v>
      </c>
      <c r="F90" s="65">
        <v>53149</v>
      </c>
      <c r="G90" s="65">
        <v>57018</v>
      </c>
      <c r="H90" s="65">
        <v>124988</v>
      </c>
      <c r="I90" s="65">
        <v>109266</v>
      </c>
      <c r="J90" s="65">
        <v>137983</v>
      </c>
      <c r="K90" s="65">
        <v>91133</v>
      </c>
      <c r="L90" s="65">
        <v>46764</v>
      </c>
      <c r="M90" s="65">
        <v>34321</v>
      </c>
      <c r="N90" s="65">
        <v>31159</v>
      </c>
      <c r="O90" s="96">
        <v>763320</v>
      </c>
    </row>
    <row r="91" spans="2:15" ht="18" customHeight="1" x14ac:dyDescent="0.2">
      <c r="B91" s="71" t="s">
        <v>214</v>
      </c>
      <c r="C91" s="65">
        <v>9172</v>
      </c>
      <c r="D91" s="65">
        <v>12628</v>
      </c>
      <c r="E91" s="65">
        <v>15371</v>
      </c>
      <c r="F91" s="65">
        <v>20748</v>
      </c>
      <c r="G91" s="65">
        <v>17310</v>
      </c>
      <c r="H91" s="65">
        <v>35122</v>
      </c>
      <c r="I91" s="65">
        <v>44985</v>
      </c>
      <c r="J91" s="65">
        <v>44239</v>
      </c>
      <c r="K91" s="65">
        <v>31896</v>
      </c>
      <c r="L91" s="65">
        <v>19845</v>
      </c>
      <c r="M91" s="65">
        <v>16365</v>
      </c>
      <c r="N91" s="65">
        <v>14666</v>
      </c>
      <c r="O91" s="96">
        <v>282347</v>
      </c>
    </row>
    <row r="92" spans="2:15" ht="18" customHeight="1" x14ac:dyDescent="0.2">
      <c r="B92" s="71" t="s">
        <v>218</v>
      </c>
      <c r="C92" s="65">
        <v>1846</v>
      </c>
      <c r="D92" s="65">
        <v>3043</v>
      </c>
      <c r="E92" s="65">
        <v>3665</v>
      </c>
      <c r="F92" s="65">
        <v>5734</v>
      </c>
      <c r="G92" s="65">
        <v>3519</v>
      </c>
      <c r="H92" s="65">
        <v>5221</v>
      </c>
      <c r="I92" s="65">
        <v>5878</v>
      </c>
      <c r="J92" s="65">
        <v>4633</v>
      </c>
      <c r="K92" s="65">
        <v>4726</v>
      </c>
      <c r="L92" s="65">
        <v>6376</v>
      </c>
      <c r="M92" s="65">
        <v>3533</v>
      </c>
      <c r="N92" s="65">
        <v>2240</v>
      </c>
      <c r="O92" s="96">
        <v>50414</v>
      </c>
    </row>
    <row r="93" spans="2:15" ht="18" customHeight="1" thickBot="1" x14ac:dyDescent="0.25">
      <c r="B93" s="71" t="s">
        <v>286</v>
      </c>
      <c r="C93" s="65">
        <v>111</v>
      </c>
      <c r="D93" s="65">
        <v>124</v>
      </c>
      <c r="E93" s="65">
        <v>142</v>
      </c>
      <c r="F93" s="65">
        <v>238</v>
      </c>
      <c r="G93" s="65">
        <v>246</v>
      </c>
      <c r="H93" s="65">
        <v>532</v>
      </c>
      <c r="I93" s="65">
        <v>667</v>
      </c>
      <c r="J93" s="65">
        <v>238</v>
      </c>
      <c r="K93" s="65">
        <v>272</v>
      </c>
      <c r="L93" s="65">
        <v>401</v>
      </c>
      <c r="M93" s="65">
        <v>100</v>
      </c>
      <c r="N93" s="65">
        <v>146</v>
      </c>
      <c r="O93" s="96">
        <v>3217</v>
      </c>
    </row>
    <row r="94" spans="2:15" ht="18" customHeight="1" thickBot="1" x14ac:dyDescent="0.25">
      <c r="B94" s="80" t="s">
        <v>287</v>
      </c>
      <c r="C94" s="94">
        <v>204389</v>
      </c>
      <c r="D94" s="94">
        <v>223544</v>
      </c>
      <c r="E94" s="94">
        <v>322375</v>
      </c>
      <c r="F94" s="94">
        <v>451109</v>
      </c>
      <c r="G94" s="94">
        <v>440466</v>
      </c>
      <c r="H94" s="94">
        <v>549743</v>
      </c>
      <c r="I94" s="94">
        <v>498277</v>
      </c>
      <c r="J94" s="94">
        <v>571607</v>
      </c>
      <c r="K94" s="94">
        <v>573514</v>
      </c>
      <c r="L94" s="94">
        <v>465697</v>
      </c>
      <c r="M94" s="94">
        <v>339963</v>
      </c>
      <c r="N94" s="94">
        <v>324296</v>
      </c>
      <c r="O94" s="89">
        <v>4964980</v>
      </c>
    </row>
    <row r="95" spans="2:15" ht="18" customHeight="1" thickBot="1" x14ac:dyDescent="0.25">
      <c r="B95" s="80" t="s">
        <v>288</v>
      </c>
      <c r="C95" s="94">
        <v>550992</v>
      </c>
      <c r="D95" s="94">
        <v>654307</v>
      </c>
      <c r="E95" s="94">
        <v>891112</v>
      </c>
      <c r="F95" s="94">
        <v>1606245</v>
      </c>
      <c r="G95" s="94">
        <v>1781618</v>
      </c>
      <c r="H95" s="94">
        <v>2376918</v>
      </c>
      <c r="I95" s="94">
        <v>3245386</v>
      </c>
      <c r="J95" s="94">
        <v>2844784</v>
      </c>
      <c r="K95" s="94">
        <v>2402422</v>
      </c>
      <c r="L95" s="94">
        <v>2025869</v>
      </c>
      <c r="M95" s="94">
        <v>885504</v>
      </c>
      <c r="N95" s="94">
        <v>862310</v>
      </c>
      <c r="O95" s="89">
        <v>20127467</v>
      </c>
    </row>
    <row r="96" spans="2:15" ht="18" customHeight="1" x14ac:dyDescent="0.2">
      <c r="B96" s="71" t="s">
        <v>33</v>
      </c>
      <c r="C96" s="65">
        <v>46895</v>
      </c>
      <c r="D96" s="65">
        <v>50561</v>
      </c>
      <c r="E96" s="65">
        <v>60991</v>
      </c>
      <c r="F96" s="65">
        <v>54932</v>
      </c>
      <c r="G96" s="65">
        <v>58133</v>
      </c>
      <c r="H96" s="65">
        <v>80027</v>
      </c>
      <c r="I96" s="65">
        <v>128330</v>
      </c>
      <c r="J96" s="65">
        <v>150800</v>
      </c>
      <c r="K96" s="65">
        <v>87895</v>
      </c>
      <c r="L96" s="65">
        <v>61543</v>
      </c>
      <c r="M96" s="65">
        <v>61950</v>
      </c>
      <c r="N96" s="65">
        <v>59666</v>
      </c>
      <c r="O96" s="96">
        <v>901723</v>
      </c>
    </row>
    <row r="97" spans="2:15" ht="18" customHeight="1" x14ac:dyDescent="0.2">
      <c r="B97" s="71" t="s">
        <v>46</v>
      </c>
      <c r="C97" s="65">
        <v>3399</v>
      </c>
      <c r="D97" s="65">
        <v>3957</v>
      </c>
      <c r="E97" s="65">
        <v>4458</v>
      </c>
      <c r="F97" s="65">
        <v>7957</v>
      </c>
      <c r="G97" s="65">
        <v>33688</v>
      </c>
      <c r="H97" s="65">
        <v>43460</v>
      </c>
      <c r="I97" s="65">
        <v>48378</v>
      </c>
      <c r="J97" s="65">
        <v>46514</v>
      </c>
      <c r="K97" s="65">
        <v>39689</v>
      </c>
      <c r="L97" s="65">
        <v>17649</v>
      </c>
      <c r="M97" s="65">
        <v>5446</v>
      </c>
      <c r="N97" s="65">
        <v>3824</v>
      </c>
      <c r="O97" s="96">
        <v>258419</v>
      </c>
    </row>
    <row r="98" spans="2:15" ht="18" customHeight="1" x14ac:dyDescent="0.2">
      <c r="B98" s="71" t="s">
        <v>75</v>
      </c>
      <c r="C98" s="65">
        <v>2283</v>
      </c>
      <c r="D98" s="65">
        <v>3007</v>
      </c>
      <c r="E98" s="65">
        <v>3991</v>
      </c>
      <c r="F98" s="65">
        <v>3734</v>
      </c>
      <c r="G98" s="65">
        <v>5078</v>
      </c>
      <c r="H98" s="65">
        <v>5067</v>
      </c>
      <c r="I98" s="65">
        <v>8510</v>
      </c>
      <c r="J98" s="65">
        <v>9170</v>
      </c>
      <c r="K98" s="65">
        <v>7273</v>
      </c>
      <c r="L98" s="65">
        <v>6900</v>
      </c>
      <c r="M98" s="65">
        <v>6572</v>
      </c>
      <c r="N98" s="65">
        <v>5297</v>
      </c>
      <c r="O98" s="96">
        <v>66882</v>
      </c>
    </row>
    <row r="99" spans="2:15" ht="18" customHeight="1" x14ac:dyDescent="0.2">
      <c r="B99" s="71" t="s">
        <v>104</v>
      </c>
      <c r="C99" s="65">
        <v>112376</v>
      </c>
      <c r="D99" s="65">
        <v>120364</v>
      </c>
      <c r="E99" s="65">
        <v>138371</v>
      </c>
      <c r="F99" s="65">
        <v>140836</v>
      </c>
      <c r="G99" s="65">
        <v>185118</v>
      </c>
      <c r="H99" s="65">
        <v>160823</v>
      </c>
      <c r="I99" s="65">
        <v>209026</v>
      </c>
      <c r="J99" s="65">
        <v>206465</v>
      </c>
      <c r="K99" s="65">
        <v>223732</v>
      </c>
      <c r="L99" s="65">
        <v>170491</v>
      </c>
      <c r="M99" s="65">
        <v>163632</v>
      </c>
      <c r="N99" s="65">
        <v>164020</v>
      </c>
      <c r="O99" s="96">
        <v>1995254</v>
      </c>
    </row>
    <row r="100" spans="2:15" ht="18" customHeight="1" x14ac:dyDescent="0.2">
      <c r="B100" s="71" t="s">
        <v>131</v>
      </c>
      <c r="C100" s="65">
        <v>14299</v>
      </c>
      <c r="D100" s="65">
        <v>15525</v>
      </c>
      <c r="E100" s="65">
        <v>18554</v>
      </c>
      <c r="F100" s="65">
        <v>20100</v>
      </c>
      <c r="G100" s="65">
        <v>38665</v>
      </c>
      <c r="H100" s="65">
        <v>77617</v>
      </c>
      <c r="I100" s="65">
        <v>87522</v>
      </c>
      <c r="J100" s="65">
        <v>78665</v>
      </c>
      <c r="K100" s="65">
        <v>45359</v>
      </c>
      <c r="L100" s="65">
        <v>25063</v>
      </c>
      <c r="M100" s="65">
        <v>17193</v>
      </c>
      <c r="N100" s="65">
        <v>17162</v>
      </c>
      <c r="O100" s="96">
        <v>455724</v>
      </c>
    </row>
    <row r="101" spans="2:15" ht="18" customHeight="1" x14ac:dyDescent="0.2">
      <c r="B101" s="71" t="s">
        <v>133</v>
      </c>
      <c r="C101" s="65">
        <v>9114</v>
      </c>
      <c r="D101" s="65">
        <v>8798</v>
      </c>
      <c r="E101" s="65">
        <v>8839</v>
      </c>
      <c r="F101" s="65">
        <v>12121</v>
      </c>
      <c r="G101" s="65">
        <v>12181</v>
      </c>
      <c r="H101" s="65">
        <v>13053</v>
      </c>
      <c r="I101" s="65">
        <v>9651</v>
      </c>
      <c r="J101" s="65">
        <v>8888</v>
      </c>
      <c r="K101" s="65">
        <v>11193</v>
      </c>
      <c r="L101" s="65">
        <v>9699</v>
      </c>
      <c r="M101" s="65">
        <v>9302</v>
      </c>
      <c r="N101" s="65">
        <v>8525</v>
      </c>
      <c r="O101" s="96">
        <v>121364</v>
      </c>
    </row>
    <row r="102" spans="2:15" ht="18" customHeight="1" x14ac:dyDescent="0.2">
      <c r="B102" s="71" t="s">
        <v>173</v>
      </c>
      <c r="C102" s="65">
        <v>7621</v>
      </c>
      <c r="D102" s="65">
        <v>7724</v>
      </c>
      <c r="E102" s="65">
        <v>8014</v>
      </c>
      <c r="F102" s="65">
        <v>8699</v>
      </c>
      <c r="G102" s="65">
        <v>20152</v>
      </c>
      <c r="H102" s="65">
        <v>33478</v>
      </c>
      <c r="I102" s="65">
        <v>29634</v>
      </c>
      <c r="J102" s="65">
        <v>30607</v>
      </c>
      <c r="K102" s="65">
        <v>25263</v>
      </c>
      <c r="L102" s="65">
        <v>11953</v>
      </c>
      <c r="M102" s="65">
        <v>8140</v>
      </c>
      <c r="N102" s="65">
        <v>7582</v>
      </c>
      <c r="O102" s="96">
        <v>198867</v>
      </c>
    </row>
    <row r="103" spans="2:15" ht="18" customHeight="1" x14ac:dyDescent="0.2">
      <c r="B103" s="71" t="s">
        <v>189</v>
      </c>
      <c r="C103" s="65">
        <v>15103</v>
      </c>
      <c r="D103" s="65">
        <v>16674</v>
      </c>
      <c r="E103" s="65">
        <v>16995</v>
      </c>
      <c r="F103" s="65">
        <v>18020</v>
      </c>
      <c r="G103" s="65">
        <v>19942</v>
      </c>
      <c r="H103" s="65">
        <v>24479</v>
      </c>
      <c r="I103" s="65">
        <v>28483</v>
      </c>
      <c r="J103" s="65">
        <v>30485</v>
      </c>
      <c r="K103" s="65">
        <v>23456</v>
      </c>
      <c r="L103" s="65">
        <v>20783</v>
      </c>
      <c r="M103" s="65">
        <v>20582</v>
      </c>
      <c r="N103" s="65">
        <v>17136</v>
      </c>
      <c r="O103" s="96">
        <v>252138</v>
      </c>
    </row>
    <row r="104" spans="2:15" ht="18" customHeight="1" x14ac:dyDescent="0.2">
      <c r="B104" s="71" t="s">
        <v>203</v>
      </c>
      <c r="C104" s="65">
        <v>91720</v>
      </c>
      <c r="D104" s="65">
        <v>87741</v>
      </c>
      <c r="E104" s="65">
        <v>139253</v>
      </c>
      <c r="F104" s="65">
        <v>391579</v>
      </c>
      <c r="G104" s="65">
        <v>963359</v>
      </c>
      <c r="H104" s="65">
        <v>1035745</v>
      </c>
      <c r="I104" s="65">
        <v>1043040</v>
      </c>
      <c r="J104" s="65">
        <v>1078904</v>
      </c>
      <c r="K104" s="65">
        <v>1071433</v>
      </c>
      <c r="L104" s="65">
        <v>791679</v>
      </c>
      <c r="M104" s="65">
        <v>192683</v>
      </c>
      <c r="N104" s="65">
        <v>130521</v>
      </c>
      <c r="O104" s="96">
        <v>7017657</v>
      </c>
    </row>
    <row r="105" spans="2:15" ht="18" customHeight="1" x14ac:dyDescent="0.2">
      <c r="B105" s="71" t="s">
        <v>229</v>
      </c>
      <c r="C105" s="65">
        <v>2968</v>
      </c>
      <c r="D105" s="65">
        <v>3775</v>
      </c>
      <c r="E105" s="65">
        <v>4021</v>
      </c>
      <c r="F105" s="65">
        <v>3245</v>
      </c>
      <c r="G105" s="65">
        <v>2860</v>
      </c>
      <c r="H105" s="65">
        <v>3991</v>
      </c>
      <c r="I105" s="65">
        <v>4508</v>
      </c>
      <c r="J105" s="65">
        <v>4192</v>
      </c>
      <c r="K105" s="65">
        <v>4767</v>
      </c>
      <c r="L105" s="65">
        <v>3642</v>
      </c>
      <c r="M105" s="65">
        <v>3132</v>
      </c>
      <c r="N105" s="65">
        <v>3054</v>
      </c>
      <c r="O105" s="96">
        <v>44155</v>
      </c>
    </row>
    <row r="106" spans="2:15" ht="18" customHeight="1" x14ac:dyDescent="0.2">
      <c r="B106" s="71" t="s">
        <v>241</v>
      </c>
      <c r="C106" s="65">
        <v>21167</v>
      </c>
      <c r="D106" s="65">
        <v>21271</v>
      </c>
      <c r="E106" s="65">
        <v>22672</v>
      </c>
      <c r="F106" s="65">
        <v>22096</v>
      </c>
      <c r="G106" s="65">
        <v>24174</v>
      </c>
      <c r="H106" s="65">
        <v>25639</v>
      </c>
      <c r="I106" s="65">
        <v>33546</v>
      </c>
      <c r="J106" s="65">
        <v>33212</v>
      </c>
      <c r="K106" s="65">
        <v>26669</v>
      </c>
      <c r="L106" s="65">
        <v>25554</v>
      </c>
      <c r="M106" s="65">
        <v>21605</v>
      </c>
      <c r="N106" s="65">
        <v>20101</v>
      </c>
      <c r="O106" s="96">
        <v>297706</v>
      </c>
    </row>
    <row r="107" spans="2:15" ht="18" customHeight="1" thickBot="1" x14ac:dyDescent="0.25">
      <c r="B107" s="71" t="s">
        <v>243</v>
      </c>
      <c r="C107" s="65">
        <v>37485</v>
      </c>
      <c r="D107" s="65">
        <v>38277</v>
      </c>
      <c r="E107" s="65">
        <v>47410</v>
      </c>
      <c r="F107" s="65">
        <v>88632</v>
      </c>
      <c r="G107" s="65">
        <v>202069</v>
      </c>
      <c r="H107" s="65">
        <v>236505</v>
      </c>
      <c r="I107" s="65">
        <v>228482</v>
      </c>
      <c r="J107" s="65">
        <v>227596</v>
      </c>
      <c r="K107" s="65">
        <v>218451</v>
      </c>
      <c r="L107" s="65">
        <v>137362</v>
      </c>
      <c r="M107" s="65">
        <v>44925</v>
      </c>
      <c r="N107" s="65">
        <v>40802</v>
      </c>
      <c r="O107" s="96">
        <v>1547996</v>
      </c>
    </row>
    <row r="108" spans="2:15" ht="18" customHeight="1" thickBot="1" x14ac:dyDescent="0.25">
      <c r="B108" s="80" t="s">
        <v>289</v>
      </c>
      <c r="C108" s="94">
        <v>364430</v>
      </c>
      <c r="D108" s="94">
        <v>377674</v>
      </c>
      <c r="E108" s="94">
        <v>473569</v>
      </c>
      <c r="F108" s="94">
        <v>771951</v>
      </c>
      <c r="G108" s="94">
        <v>1565419</v>
      </c>
      <c r="H108" s="94">
        <v>1739884</v>
      </c>
      <c r="I108" s="94">
        <v>1859110</v>
      </c>
      <c r="J108" s="94">
        <v>1905498</v>
      </c>
      <c r="K108" s="94">
        <v>1785180</v>
      </c>
      <c r="L108" s="94">
        <v>1282318</v>
      </c>
      <c r="M108" s="94">
        <v>555162</v>
      </c>
      <c r="N108" s="94">
        <v>477690</v>
      </c>
      <c r="O108" s="89">
        <v>13157885</v>
      </c>
    </row>
    <row r="109" spans="2:15" ht="18" customHeight="1" x14ac:dyDescent="0.2">
      <c r="B109" s="71" t="s">
        <v>22</v>
      </c>
      <c r="C109" s="65">
        <v>25987</v>
      </c>
      <c r="D109" s="65">
        <v>23222</v>
      </c>
      <c r="E109" s="65">
        <v>38671</v>
      </c>
      <c r="F109" s="65">
        <v>43172</v>
      </c>
      <c r="G109" s="65">
        <v>47702</v>
      </c>
      <c r="H109" s="65">
        <v>74841</v>
      </c>
      <c r="I109" s="65">
        <v>77867</v>
      </c>
      <c r="J109" s="65">
        <v>65723</v>
      </c>
      <c r="K109" s="65">
        <v>58160</v>
      </c>
      <c r="L109" s="65">
        <v>52116</v>
      </c>
      <c r="M109" s="65">
        <v>32794</v>
      </c>
      <c r="N109" s="65">
        <v>37819</v>
      </c>
      <c r="O109" s="96">
        <v>578074</v>
      </c>
    </row>
    <row r="110" spans="2:15" ht="18" customHeight="1" x14ac:dyDescent="0.2">
      <c r="B110" s="71" t="s">
        <v>31</v>
      </c>
      <c r="C110" s="65">
        <v>4570</v>
      </c>
      <c r="D110" s="65">
        <v>3168</v>
      </c>
      <c r="E110" s="65">
        <v>4782</v>
      </c>
      <c r="F110" s="65">
        <v>8676</v>
      </c>
      <c r="G110" s="65">
        <v>10738</v>
      </c>
      <c r="H110" s="65">
        <v>15437</v>
      </c>
      <c r="I110" s="65">
        <v>18410</v>
      </c>
      <c r="J110" s="65">
        <v>16095</v>
      </c>
      <c r="K110" s="65">
        <v>16763</v>
      </c>
      <c r="L110" s="65">
        <v>10677</v>
      </c>
      <c r="M110" s="65">
        <v>5721</v>
      </c>
      <c r="N110" s="65">
        <v>5800</v>
      </c>
      <c r="O110" s="96">
        <v>120837</v>
      </c>
    </row>
    <row r="111" spans="2:15" ht="18" customHeight="1" x14ac:dyDescent="0.2">
      <c r="B111" s="71" t="s">
        <v>102</v>
      </c>
      <c r="C111" s="65">
        <v>16661</v>
      </c>
      <c r="D111" s="65">
        <v>15147</v>
      </c>
      <c r="E111" s="65">
        <v>16326</v>
      </c>
      <c r="F111" s="65">
        <v>16641</v>
      </c>
      <c r="G111" s="65">
        <v>19091</v>
      </c>
      <c r="H111" s="65">
        <v>17996</v>
      </c>
      <c r="I111" s="65">
        <v>20158</v>
      </c>
      <c r="J111" s="65">
        <v>17818</v>
      </c>
      <c r="K111" s="65">
        <v>20076</v>
      </c>
      <c r="L111" s="65">
        <v>21997</v>
      </c>
      <c r="M111" s="65">
        <v>16026</v>
      </c>
      <c r="N111" s="65">
        <v>15033</v>
      </c>
      <c r="O111" s="96">
        <v>212970</v>
      </c>
    </row>
    <row r="112" spans="2:15" ht="18" customHeight="1" x14ac:dyDescent="0.2">
      <c r="B112" s="71" t="s">
        <v>124</v>
      </c>
      <c r="C112" s="65">
        <v>5876</v>
      </c>
      <c r="D112" s="65">
        <v>7391</v>
      </c>
      <c r="E112" s="65">
        <v>7752</v>
      </c>
      <c r="F112" s="65">
        <v>9374</v>
      </c>
      <c r="G112" s="65">
        <v>8849</v>
      </c>
      <c r="H112" s="65">
        <v>9075</v>
      </c>
      <c r="I112" s="65">
        <v>8229</v>
      </c>
      <c r="J112" s="65">
        <v>10428</v>
      </c>
      <c r="K112" s="65">
        <v>10915</v>
      </c>
      <c r="L112" s="65">
        <v>9605</v>
      </c>
      <c r="M112" s="65">
        <v>8539</v>
      </c>
      <c r="N112" s="65">
        <v>7287</v>
      </c>
      <c r="O112" s="96">
        <v>103320</v>
      </c>
    </row>
    <row r="113" spans="2:15" ht="18" customHeight="1" x14ac:dyDescent="0.2">
      <c r="B113" s="71" t="s">
        <v>127</v>
      </c>
      <c r="C113" s="65">
        <v>6162</v>
      </c>
      <c r="D113" s="65">
        <v>6348</v>
      </c>
      <c r="E113" s="65">
        <v>8747</v>
      </c>
      <c r="F113" s="65">
        <v>10628</v>
      </c>
      <c r="G113" s="65">
        <v>10862</v>
      </c>
      <c r="H113" s="65">
        <v>16065</v>
      </c>
      <c r="I113" s="65">
        <v>19286</v>
      </c>
      <c r="J113" s="65">
        <v>17875</v>
      </c>
      <c r="K113" s="65">
        <v>14335</v>
      </c>
      <c r="L113" s="65">
        <v>12580</v>
      </c>
      <c r="M113" s="65">
        <v>8557</v>
      </c>
      <c r="N113" s="65">
        <v>7719</v>
      </c>
      <c r="O113" s="96">
        <v>139164</v>
      </c>
    </row>
    <row r="114" spans="2:15" ht="18" customHeight="1" x14ac:dyDescent="0.2">
      <c r="B114" s="71" t="s">
        <v>167</v>
      </c>
      <c r="C114" s="65">
        <v>1588</v>
      </c>
      <c r="D114" s="65">
        <v>1810</v>
      </c>
      <c r="E114" s="65">
        <v>3795</v>
      </c>
      <c r="F114" s="65">
        <v>5191</v>
      </c>
      <c r="G114" s="65">
        <v>6022</v>
      </c>
      <c r="H114" s="65">
        <v>5519</v>
      </c>
      <c r="I114" s="65">
        <v>6006</v>
      </c>
      <c r="J114" s="65">
        <v>4619</v>
      </c>
      <c r="K114" s="65">
        <v>10408</v>
      </c>
      <c r="L114" s="65">
        <v>9191</v>
      </c>
      <c r="M114" s="65">
        <v>7373</v>
      </c>
      <c r="N114" s="65">
        <v>5035</v>
      </c>
      <c r="O114" s="96">
        <v>66557</v>
      </c>
    </row>
    <row r="115" spans="2:15" ht="18" customHeight="1" thickBot="1" x14ac:dyDescent="0.25">
      <c r="B115" s="71" t="s">
        <v>255</v>
      </c>
      <c r="C115" s="65">
        <v>694</v>
      </c>
      <c r="D115" s="65">
        <v>539</v>
      </c>
      <c r="E115" s="65">
        <v>749</v>
      </c>
      <c r="F115" s="65">
        <v>1885</v>
      </c>
      <c r="G115" s="65">
        <v>1862</v>
      </c>
      <c r="H115" s="65">
        <v>2711</v>
      </c>
      <c r="I115" s="65">
        <v>3082</v>
      </c>
      <c r="J115" s="65">
        <v>2635</v>
      </c>
      <c r="K115" s="65">
        <v>2985</v>
      </c>
      <c r="L115" s="65">
        <v>1966</v>
      </c>
      <c r="M115" s="65">
        <v>855</v>
      </c>
      <c r="N115" s="65">
        <v>949</v>
      </c>
      <c r="O115" s="96">
        <v>20912</v>
      </c>
    </row>
    <row r="116" spans="2:15" ht="18" customHeight="1" thickBot="1" x14ac:dyDescent="0.25">
      <c r="B116" s="32" t="s">
        <v>290</v>
      </c>
      <c r="C116" s="94">
        <v>61538</v>
      </c>
      <c r="D116" s="94">
        <v>57625</v>
      </c>
      <c r="E116" s="94">
        <v>80822</v>
      </c>
      <c r="F116" s="94">
        <v>95567</v>
      </c>
      <c r="G116" s="94">
        <v>105126</v>
      </c>
      <c r="H116" s="94">
        <v>141644</v>
      </c>
      <c r="I116" s="94">
        <v>153038</v>
      </c>
      <c r="J116" s="94">
        <v>135193</v>
      </c>
      <c r="K116" s="94">
        <v>133642</v>
      </c>
      <c r="L116" s="94">
        <v>118132</v>
      </c>
      <c r="M116" s="94">
        <v>79865</v>
      </c>
      <c r="N116" s="94">
        <v>79642</v>
      </c>
      <c r="O116" s="67">
        <v>1241834</v>
      </c>
    </row>
    <row r="117" spans="2:15" ht="18" customHeight="1" thickBot="1" x14ac:dyDescent="0.25">
      <c r="B117" s="32" t="s">
        <v>291</v>
      </c>
      <c r="C117" s="94">
        <v>4315</v>
      </c>
      <c r="D117" s="94">
        <v>4783</v>
      </c>
      <c r="E117" s="94">
        <v>5135</v>
      </c>
      <c r="F117" s="94">
        <v>7619</v>
      </c>
      <c r="G117" s="94">
        <v>4900</v>
      </c>
      <c r="H117" s="94">
        <v>9180</v>
      </c>
      <c r="I117" s="94">
        <v>13850</v>
      </c>
      <c r="J117" s="94">
        <v>14464</v>
      </c>
      <c r="K117" s="94">
        <v>10970</v>
      </c>
      <c r="L117" s="94">
        <v>8589</v>
      </c>
      <c r="M117" s="94">
        <v>5040</v>
      </c>
      <c r="N117" s="94">
        <v>7579</v>
      </c>
      <c r="O117" s="67">
        <v>96424</v>
      </c>
    </row>
    <row r="118" spans="2:15" ht="18" customHeight="1" thickBot="1" x14ac:dyDescent="0.25">
      <c r="B118" s="32" t="s">
        <v>292</v>
      </c>
      <c r="C118" s="94">
        <v>63</v>
      </c>
      <c r="D118" s="94">
        <v>73</v>
      </c>
      <c r="E118" s="94">
        <v>66</v>
      </c>
      <c r="F118" s="94">
        <v>41</v>
      </c>
      <c r="G118" s="94">
        <v>92</v>
      </c>
      <c r="H118" s="94">
        <v>114</v>
      </c>
      <c r="I118" s="94">
        <v>121</v>
      </c>
      <c r="J118" s="94">
        <v>222</v>
      </c>
      <c r="K118" s="94">
        <v>88</v>
      </c>
      <c r="L118" s="94">
        <v>110</v>
      </c>
      <c r="M118" s="94">
        <v>79</v>
      </c>
      <c r="N118" s="94">
        <v>50</v>
      </c>
      <c r="O118" s="67">
        <v>1119</v>
      </c>
    </row>
    <row r="119" spans="2:15" ht="18" customHeight="1" thickBot="1" x14ac:dyDescent="0.25">
      <c r="B119" s="52" t="s">
        <v>293</v>
      </c>
      <c r="C119" s="67">
        <v>1539496</v>
      </c>
      <c r="D119" s="67">
        <v>1670238</v>
      </c>
      <c r="E119" s="67">
        <v>2232358</v>
      </c>
      <c r="F119" s="67">
        <v>3293176</v>
      </c>
      <c r="G119" s="67">
        <v>4022254</v>
      </c>
      <c r="H119" s="67">
        <v>5318984</v>
      </c>
      <c r="I119" s="67">
        <v>6617380</v>
      </c>
      <c r="J119" s="67">
        <v>6307508</v>
      </c>
      <c r="K119" s="67">
        <v>5426818</v>
      </c>
      <c r="L119" s="67">
        <v>4291574</v>
      </c>
      <c r="M119" s="67">
        <v>2190622</v>
      </c>
      <c r="N119" s="67">
        <v>2147878</v>
      </c>
      <c r="O119" s="89">
        <v>45058286</v>
      </c>
    </row>
  </sheetData>
  <mergeCells count="4">
    <mergeCell ref="B1:O1"/>
    <mergeCell ref="C2:O2"/>
    <mergeCell ref="B63:O63"/>
    <mergeCell ref="C64:O64"/>
  </mergeCells>
  <printOptions horizontalCentered="1"/>
  <pageMargins left="0.55118110236220474" right="0.55118110236220474" top="0.98425196850393704" bottom="0.51181102362204722" header="0.51181102362204722" footer="0.51181102362204722"/>
  <pageSetup scale="62" orientation="portrait" r:id="rId1"/>
  <headerFooter alignWithMargins="0"/>
  <rowBreaks count="1" manualBreakCount="1">
    <brk id="62" min="1" max="14"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GK114"/>
  <sheetViews>
    <sheetView view="pageBreakPreview" zoomScale="70" zoomScaleNormal="100" zoomScaleSheetLayoutView="70" workbookViewId="0">
      <selection activeCell="A4" sqref="A4"/>
    </sheetView>
  </sheetViews>
  <sheetFormatPr defaultColWidth="9.140625" defaultRowHeight="12" x14ac:dyDescent="0.2"/>
  <cols>
    <col min="1" max="1" width="9.140625" style="258"/>
    <col min="2" max="2" width="23.7109375" style="78" customWidth="1"/>
    <col min="3" max="3" width="9.140625" style="258" customWidth="1"/>
    <col min="4" max="5" width="6.140625" style="258" customWidth="1"/>
    <col min="6" max="6" width="5.85546875" style="258" customWidth="1"/>
    <col min="7" max="7" width="7.85546875" style="258" customWidth="1"/>
    <col min="8" max="8" width="9.85546875" style="258" customWidth="1"/>
    <col min="9" max="9" width="8" style="258" customWidth="1"/>
    <col min="10" max="10" width="6.28515625" style="258" customWidth="1"/>
    <col min="11" max="11" width="7.5703125" style="258" customWidth="1"/>
    <col min="12" max="12" width="7.85546875" style="258" customWidth="1"/>
    <col min="13" max="13" width="9.5703125" style="258" customWidth="1"/>
    <col min="14" max="14" width="6.5703125" style="258" customWidth="1"/>
    <col min="15" max="15" width="7" style="258" customWidth="1"/>
    <col min="16" max="16" width="9.42578125" style="258" customWidth="1"/>
    <col min="17" max="17" width="8" style="258" customWidth="1"/>
    <col min="18" max="18" width="7.5703125" style="258" customWidth="1"/>
    <col min="19" max="19" width="6.28515625" style="258" customWidth="1"/>
    <col min="20" max="20" width="6.42578125" style="258" customWidth="1"/>
    <col min="21" max="21" width="9.5703125" style="258" customWidth="1"/>
    <col min="22" max="22" width="7.28515625" style="258" customWidth="1"/>
    <col min="23" max="23" width="7.42578125" style="258" customWidth="1"/>
    <col min="24" max="24" width="7.5703125" style="258" customWidth="1"/>
    <col min="25" max="25" width="8.85546875" style="258" customWidth="1"/>
    <col min="26" max="26" width="8.7109375" style="258" customWidth="1"/>
    <col min="27" max="27" width="5.140625" style="258" customWidth="1"/>
    <col min="28" max="28" width="8.7109375" style="258" customWidth="1"/>
    <col min="29" max="29" width="8.140625" style="258" customWidth="1"/>
    <col min="30" max="30" width="5.85546875" style="258" customWidth="1"/>
    <col min="31" max="32" width="7.5703125" style="258" customWidth="1"/>
    <col min="33" max="33" width="6.5703125" style="258" customWidth="1"/>
    <col min="34" max="34" width="6.140625" style="258" customWidth="1"/>
    <col min="35" max="35" width="6.5703125" style="258" customWidth="1"/>
    <col min="36" max="36" width="8.5703125" style="258" customWidth="1"/>
    <col min="37" max="37" width="7.85546875" style="258" customWidth="1"/>
    <col min="38" max="38" width="8.28515625" style="258" customWidth="1"/>
    <col min="39" max="39" width="7.42578125" style="258" customWidth="1"/>
    <col min="40" max="40" width="8.28515625" style="258" customWidth="1"/>
    <col min="41" max="41" width="8.42578125" style="258" customWidth="1"/>
    <col min="42" max="42" width="7.5703125" style="258" customWidth="1"/>
    <col min="43" max="43" width="6.85546875" style="258" customWidth="1"/>
    <col min="44" max="44" width="7.5703125" style="258" customWidth="1"/>
    <col min="45" max="45" width="9.7109375" style="258" customWidth="1"/>
    <col min="46" max="46" width="8.7109375" style="258" customWidth="1"/>
    <col min="47" max="47" width="5.7109375" style="258" customWidth="1"/>
    <col min="48" max="48" width="9.42578125" style="258" customWidth="1"/>
    <col min="49" max="49" width="8.7109375" style="258" customWidth="1"/>
    <col min="50" max="50" width="9" style="258" customWidth="1"/>
    <col min="51" max="51" width="9.42578125" style="258" customWidth="1"/>
    <col min="52" max="52" width="10.7109375" style="258" customWidth="1"/>
    <col min="53" max="54" width="10" style="258" customWidth="1"/>
    <col min="55" max="55" width="9" style="258" customWidth="1"/>
    <col min="56" max="57" width="8.5703125" style="258" customWidth="1"/>
    <col min="58" max="58" width="8.85546875" style="258" customWidth="1"/>
    <col min="59" max="59" width="9.28515625" style="258" customWidth="1"/>
    <col min="60" max="60" width="9.42578125" style="258" customWidth="1"/>
    <col min="61" max="62" width="9.28515625" style="258" customWidth="1"/>
    <col min="63" max="63" width="10.140625" style="258" customWidth="1"/>
    <col min="64" max="65" width="8.5703125" style="258" customWidth="1"/>
    <col min="66" max="66" width="9" style="258" customWidth="1"/>
    <col min="67" max="67" width="8.85546875" style="258" customWidth="1"/>
    <col min="68" max="69" width="8" style="258" customWidth="1"/>
    <col min="70" max="70" width="7.5703125" style="258" customWidth="1"/>
    <col min="71" max="71" width="9.5703125" style="258" customWidth="1"/>
    <col min="72" max="72" width="9.85546875" style="258" customWidth="1"/>
    <col min="73" max="73" width="8.140625" style="258" customWidth="1"/>
    <col min="74" max="74" width="6.42578125" style="258" customWidth="1"/>
    <col min="75" max="75" width="8.42578125" style="258" customWidth="1"/>
    <col min="76" max="76" width="8.7109375" style="258" customWidth="1"/>
    <col min="77" max="77" width="7.28515625" style="258" customWidth="1"/>
    <col min="78" max="78" width="6.42578125" style="258" customWidth="1"/>
    <col min="79" max="79" width="8.42578125" style="258" customWidth="1"/>
    <col min="80" max="80" width="8" style="258" customWidth="1"/>
    <col min="81" max="81" width="9" style="258" customWidth="1"/>
    <col min="82" max="82" width="6.140625" style="258" customWidth="1"/>
    <col min="83" max="83" width="8.140625" style="258" customWidth="1"/>
    <col min="84" max="84" width="7.5703125" style="258" customWidth="1"/>
    <col min="85" max="85" width="7.28515625" style="258" customWidth="1"/>
    <col min="86" max="86" width="9.28515625" style="258" customWidth="1"/>
    <col min="87" max="88" width="7.85546875" style="258" customWidth="1"/>
    <col min="89" max="89" width="8.85546875" style="258" customWidth="1"/>
    <col min="90" max="90" width="7.7109375" style="258" customWidth="1"/>
    <col min="91" max="91" width="9.28515625" style="258" customWidth="1"/>
    <col min="92" max="92" width="8.85546875" style="258" customWidth="1"/>
    <col min="93" max="93" width="10" style="258" customWidth="1"/>
    <col min="94" max="94" width="10.140625" style="258" customWidth="1"/>
    <col min="95" max="95" width="6.85546875" style="258" customWidth="1"/>
    <col min="96" max="96" width="8.28515625" style="258" customWidth="1"/>
    <col min="97" max="97" width="10.42578125" style="258" customWidth="1"/>
    <col min="98" max="98" width="6.5703125" style="258" customWidth="1"/>
    <col min="99" max="99" width="7.28515625" style="258" customWidth="1"/>
    <col min="100" max="100" width="9.85546875" style="258" customWidth="1"/>
    <col min="101" max="101" width="8.85546875" style="258" customWidth="1"/>
    <col min="102" max="103" width="6.42578125" style="258" customWidth="1"/>
    <col min="104" max="104" width="6.85546875" style="258" customWidth="1"/>
    <col min="105" max="105" width="9.42578125" style="258" customWidth="1"/>
    <col min="106" max="106" width="5.85546875" style="258" customWidth="1"/>
    <col min="107" max="107" width="5.28515625" style="258" customWidth="1"/>
    <col min="108" max="108" width="8.7109375" style="258" customWidth="1"/>
    <col min="109" max="109" width="15.85546875" style="258" customWidth="1"/>
    <col min="110" max="110" width="10" style="258" customWidth="1"/>
    <col min="111" max="111" width="6" style="258" customWidth="1"/>
    <col min="112" max="112" width="9.140625" style="258" customWidth="1"/>
    <col min="113" max="113" width="7.42578125" style="258" customWidth="1"/>
    <col min="114" max="114" width="9.85546875" style="258" customWidth="1"/>
    <col min="115" max="115" width="10" style="258" customWidth="1"/>
    <col min="116" max="116" width="8" style="258" customWidth="1"/>
    <col min="117" max="117" width="9.42578125" style="258" customWidth="1"/>
    <col min="118" max="118" width="8.7109375" style="258" customWidth="1"/>
    <col min="119" max="119" width="7.7109375" style="258" customWidth="1"/>
    <col min="120" max="120" width="7.85546875" style="258" customWidth="1"/>
    <col min="121" max="121" width="7.28515625" style="258" customWidth="1"/>
    <col min="122" max="122" width="8.140625" style="258" customWidth="1"/>
    <col min="123" max="123" width="8.7109375" style="258" customWidth="1"/>
    <col min="124" max="124" width="9" style="258" customWidth="1"/>
    <col min="125" max="125" width="7.5703125" style="258" customWidth="1"/>
    <col min="126" max="126" width="7.28515625" style="258" customWidth="1"/>
    <col min="127" max="127" width="8.5703125" style="258" customWidth="1"/>
    <col min="128" max="128" width="10" style="258" customWidth="1"/>
    <col min="129" max="129" width="8.140625" style="258" customWidth="1"/>
    <col min="130" max="130" width="6.7109375" style="258" customWidth="1"/>
    <col min="131" max="131" width="8" style="258" customWidth="1"/>
    <col min="132" max="132" width="8.5703125" style="258" customWidth="1"/>
    <col min="133" max="133" width="9.85546875" style="258" customWidth="1"/>
    <col min="134" max="134" width="8.5703125" style="258" customWidth="1"/>
    <col min="135" max="135" width="7.5703125" style="258" customWidth="1"/>
    <col min="136" max="136" width="9.140625" style="258" customWidth="1"/>
    <col min="137" max="137" width="9" style="258" customWidth="1"/>
    <col min="138" max="138" width="8.42578125" style="258" customWidth="1"/>
    <col min="139" max="139" width="8.85546875" style="258" customWidth="1"/>
    <col min="140" max="140" width="8.42578125" style="258" customWidth="1"/>
    <col min="141" max="141" width="6.85546875" style="258" customWidth="1"/>
    <col min="142" max="142" width="8.140625" style="258" customWidth="1"/>
    <col min="143" max="143" width="8.85546875" style="258" customWidth="1"/>
    <col min="144" max="144" width="7.5703125" style="258" customWidth="1"/>
    <col min="145" max="145" width="9.7109375" style="258" customWidth="1"/>
    <col min="146" max="147" width="8.42578125" style="258" customWidth="1"/>
    <col min="148" max="148" width="7.140625" style="258" customWidth="1"/>
    <col min="149" max="149" width="7" style="258" customWidth="1"/>
    <col min="150" max="150" width="8.140625" style="258" customWidth="1"/>
    <col min="151" max="151" width="8.85546875" style="258" customWidth="1"/>
    <col min="152" max="152" width="7" style="258" customWidth="1"/>
    <col min="153" max="153" width="10.42578125" style="258" customWidth="1"/>
    <col min="154" max="154" width="6.140625" style="258" customWidth="1"/>
    <col min="155" max="155" width="7.85546875" style="258" customWidth="1"/>
    <col min="156" max="156" width="5.85546875" style="258" customWidth="1"/>
    <col min="157" max="157" width="7.28515625" style="258" customWidth="1"/>
    <col min="158" max="158" width="6.85546875" style="258" customWidth="1"/>
    <col min="159" max="159" width="8.85546875" style="258" customWidth="1"/>
    <col min="160" max="160" width="7.42578125" style="258" customWidth="1"/>
    <col min="161" max="161" width="7.5703125" style="258" customWidth="1"/>
    <col min="162" max="162" width="8.28515625" style="258" customWidth="1"/>
    <col min="163" max="163" width="6.85546875" style="258" customWidth="1"/>
    <col min="164" max="164" width="7.42578125" style="258" customWidth="1"/>
    <col min="165" max="166" width="7.85546875" style="258" customWidth="1"/>
    <col min="167" max="167" width="8.42578125" style="258" customWidth="1"/>
    <col min="168" max="168" width="7.5703125" style="258" customWidth="1"/>
    <col min="169" max="169" width="7.85546875" style="258" customWidth="1"/>
    <col min="170" max="170" width="6.7109375" style="258" customWidth="1"/>
    <col min="171" max="171" width="7.85546875" style="258" customWidth="1"/>
    <col min="172" max="172" width="7.5703125" style="258" customWidth="1"/>
    <col min="173" max="173" width="7.85546875" style="258" customWidth="1"/>
    <col min="174" max="174" width="8.140625" style="258" customWidth="1"/>
    <col min="175" max="175" width="8.28515625" style="258" customWidth="1"/>
    <col min="176" max="176" width="9.140625" style="258" customWidth="1"/>
    <col min="177" max="177" width="7.85546875" style="258" customWidth="1"/>
    <col min="178" max="178" width="8.5703125" style="258" customWidth="1"/>
    <col min="179" max="179" width="9.140625" style="258" customWidth="1"/>
    <col min="180" max="180" width="9.85546875" style="258" customWidth="1"/>
    <col min="181" max="181" width="9.28515625" style="258" customWidth="1"/>
    <col min="182" max="186" width="9.28515625" style="370" customWidth="1"/>
    <col min="187" max="187" width="9.7109375" style="370" customWidth="1"/>
    <col min="188" max="188" width="10" style="370" customWidth="1"/>
    <col min="189" max="190" width="9.28515625" style="370" customWidth="1"/>
    <col min="191" max="191" width="12.28515625" style="370" customWidth="1"/>
    <col min="192" max="193" width="9.28515625" style="370" customWidth="1"/>
    <col min="194" max="16384" width="9.140625" style="258"/>
  </cols>
  <sheetData>
    <row r="1" spans="2:193" ht="45" customHeight="1" thickBot="1" x14ac:dyDescent="0.25">
      <c r="B1" s="617" t="s">
        <v>679</v>
      </c>
      <c r="C1" s="617"/>
      <c r="D1" s="617"/>
      <c r="E1" s="617"/>
      <c r="F1" s="617"/>
      <c r="G1" s="617"/>
      <c r="H1" s="617"/>
      <c r="I1" s="617"/>
      <c r="J1" s="617"/>
      <c r="K1" s="617"/>
      <c r="L1" s="617"/>
      <c r="M1" s="617"/>
      <c r="N1" s="617"/>
      <c r="O1" s="617"/>
      <c r="P1" s="617"/>
      <c r="Q1" s="617"/>
      <c r="R1" s="617"/>
      <c r="S1" s="617"/>
      <c r="T1" s="617"/>
      <c r="U1" s="617"/>
      <c r="V1" s="616" t="s">
        <v>679</v>
      </c>
      <c r="W1" s="616"/>
      <c r="X1" s="616"/>
      <c r="Y1" s="616"/>
      <c r="Z1" s="616"/>
      <c r="AA1" s="616"/>
      <c r="AB1" s="616"/>
      <c r="AC1" s="616"/>
      <c r="AD1" s="616"/>
      <c r="AE1" s="616"/>
      <c r="AF1" s="616"/>
      <c r="AG1" s="616"/>
      <c r="AH1" s="616"/>
      <c r="AI1" s="616"/>
      <c r="AJ1" s="616"/>
      <c r="AK1" s="616"/>
      <c r="AL1" s="616"/>
      <c r="AM1" s="616"/>
      <c r="AN1" s="616"/>
      <c r="AO1" s="616"/>
      <c r="AP1" s="616"/>
      <c r="AQ1" s="617" t="s">
        <v>679</v>
      </c>
      <c r="AR1" s="617"/>
      <c r="AS1" s="617"/>
      <c r="AT1" s="617"/>
      <c r="AU1" s="617"/>
      <c r="AV1" s="617"/>
      <c r="AW1" s="617"/>
      <c r="AX1" s="617"/>
      <c r="AY1" s="617"/>
      <c r="AZ1" s="617"/>
      <c r="BA1" s="617"/>
      <c r="BB1" s="617"/>
      <c r="BC1" s="617"/>
      <c r="BD1" s="617"/>
      <c r="BE1" s="617"/>
      <c r="BF1" s="617"/>
      <c r="BG1" s="617"/>
      <c r="BH1" s="617"/>
      <c r="BI1" s="617"/>
      <c r="BJ1" s="617"/>
      <c r="BK1" s="616" t="s">
        <v>679</v>
      </c>
      <c r="BL1" s="616"/>
      <c r="BM1" s="616"/>
      <c r="BN1" s="616"/>
      <c r="BO1" s="616"/>
      <c r="BP1" s="616"/>
      <c r="BQ1" s="616"/>
      <c r="BR1" s="616"/>
      <c r="BS1" s="616"/>
      <c r="BT1" s="616"/>
      <c r="BU1" s="616"/>
      <c r="BV1" s="616"/>
      <c r="BW1" s="616"/>
      <c r="BX1" s="616"/>
      <c r="BY1" s="616"/>
      <c r="BZ1" s="616"/>
      <c r="CA1" s="616"/>
      <c r="CB1" s="616"/>
      <c r="CC1" s="616"/>
      <c r="CD1" s="616"/>
      <c r="CE1" s="616"/>
      <c r="CF1" s="616"/>
      <c r="CG1" s="616" t="s">
        <v>679</v>
      </c>
      <c r="CH1" s="616"/>
      <c r="CI1" s="616"/>
      <c r="CJ1" s="616"/>
      <c r="CK1" s="616"/>
      <c r="CL1" s="616"/>
      <c r="CM1" s="616"/>
      <c r="CN1" s="616"/>
      <c r="CO1" s="616"/>
      <c r="CP1" s="616"/>
      <c r="CQ1" s="616"/>
      <c r="CR1" s="616"/>
      <c r="CS1" s="616"/>
      <c r="CT1" s="616"/>
      <c r="CU1" s="616"/>
      <c r="CV1" s="616"/>
      <c r="CW1" s="616"/>
      <c r="CX1" s="616"/>
      <c r="CY1" s="616"/>
      <c r="CZ1" s="616"/>
      <c r="DA1" s="616"/>
      <c r="DB1" s="616"/>
      <c r="DC1" s="616"/>
      <c r="DD1" s="616"/>
      <c r="DE1" s="616" t="s">
        <v>679</v>
      </c>
      <c r="DF1" s="616"/>
      <c r="DG1" s="616"/>
      <c r="DH1" s="616"/>
      <c r="DI1" s="616"/>
      <c r="DJ1" s="616"/>
      <c r="DK1" s="616"/>
      <c r="DL1" s="616"/>
      <c r="DM1" s="616"/>
      <c r="DN1" s="616"/>
      <c r="DO1" s="616"/>
      <c r="DP1" s="616"/>
      <c r="DQ1" s="616"/>
      <c r="DR1" s="616"/>
      <c r="DS1" s="616"/>
      <c r="DT1" s="616"/>
      <c r="DU1" s="616"/>
      <c r="DV1" s="616"/>
      <c r="DW1" s="616"/>
      <c r="DX1" s="616"/>
      <c r="DY1" s="616"/>
      <c r="DZ1" s="616" t="s">
        <v>679</v>
      </c>
      <c r="EA1" s="616"/>
      <c r="EB1" s="616"/>
      <c r="EC1" s="616"/>
      <c r="ED1" s="616"/>
      <c r="EE1" s="616"/>
      <c r="EF1" s="616"/>
      <c r="EG1" s="616"/>
      <c r="EH1" s="616"/>
      <c r="EI1" s="616"/>
      <c r="EJ1" s="616"/>
      <c r="EK1" s="616"/>
      <c r="EL1" s="616"/>
      <c r="EM1" s="616"/>
      <c r="EN1" s="616"/>
      <c r="EO1" s="616"/>
      <c r="EP1" s="616"/>
      <c r="EQ1" s="616"/>
      <c r="ER1" s="616"/>
      <c r="ES1" s="616"/>
      <c r="ET1" s="616"/>
      <c r="EU1" s="616"/>
      <c r="EV1" s="616"/>
      <c r="EW1" s="616"/>
      <c r="EX1" s="616" t="s">
        <v>679</v>
      </c>
      <c r="EY1" s="616"/>
      <c r="EZ1" s="616"/>
      <c r="FA1" s="616"/>
      <c r="FB1" s="616"/>
      <c r="FC1" s="616"/>
      <c r="FD1" s="616"/>
      <c r="FE1" s="616"/>
      <c r="FF1" s="616"/>
      <c r="FG1" s="616"/>
      <c r="FH1" s="616"/>
      <c r="FI1" s="616"/>
      <c r="FJ1" s="616"/>
      <c r="FK1" s="616"/>
      <c r="FL1" s="616"/>
      <c r="FM1" s="616"/>
      <c r="FN1" s="616"/>
      <c r="FO1" s="616"/>
      <c r="FP1" s="616"/>
      <c r="FQ1" s="616"/>
      <c r="FR1" s="616"/>
      <c r="FS1" s="616"/>
      <c r="FT1" s="616"/>
      <c r="FU1" s="616" t="s">
        <v>679</v>
      </c>
      <c r="FV1" s="616"/>
      <c r="FW1" s="616"/>
      <c r="FX1" s="616"/>
      <c r="FY1" s="616"/>
      <c r="FZ1" s="616"/>
      <c r="GA1" s="616"/>
      <c r="GB1" s="616"/>
      <c r="GC1" s="616"/>
      <c r="GD1" s="616"/>
      <c r="GE1" s="616"/>
      <c r="GF1" s="616"/>
      <c r="GG1" s="616"/>
      <c r="GH1" s="616"/>
      <c r="GI1" s="616"/>
      <c r="GJ1" s="616"/>
      <c r="GK1" s="381"/>
    </row>
    <row r="2" spans="2:193" s="76" customFormat="1" ht="24.75" thickBot="1" x14ac:dyDescent="0.25">
      <c r="B2" s="618" t="s">
        <v>265</v>
      </c>
      <c r="C2" s="613" t="s">
        <v>475</v>
      </c>
      <c r="D2" s="614"/>
      <c r="E2" s="614"/>
      <c r="F2" s="614"/>
      <c r="G2" s="615"/>
      <c r="H2" s="372" t="s">
        <v>476</v>
      </c>
      <c r="I2" s="613" t="s">
        <v>477</v>
      </c>
      <c r="J2" s="614"/>
      <c r="K2" s="615"/>
      <c r="L2" s="372" t="s">
        <v>478</v>
      </c>
      <c r="M2" s="372" t="s">
        <v>479</v>
      </c>
      <c r="N2" s="613" t="s">
        <v>480</v>
      </c>
      <c r="O2" s="614"/>
      <c r="P2" s="614"/>
      <c r="Q2" s="614"/>
      <c r="R2" s="614"/>
      <c r="S2" s="614"/>
      <c r="T2" s="614"/>
      <c r="U2" s="615"/>
      <c r="V2" s="613" t="s">
        <v>481</v>
      </c>
      <c r="W2" s="614"/>
      <c r="X2" s="615"/>
      <c r="Y2" s="613" t="s">
        <v>482</v>
      </c>
      <c r="Z2" s="614"/>
      <c r="AA2" s="614"/>
      <c r="AB2" s="615"/>
      <c r="AC2" s="613" t="s">
        <v>483</v>
      </c>
      <c r="AD2" s="614"/>
      <c r="AE2" s="614"/>
      <c r="AF2" s="615"/>
      <c r="AG2" s="613" t="s">
        <v>484</v>
      </c>
      <c r="AH2" s="614"/>
      <c r="AI2" s="614"/>
      <c r="AJ2" s="614"/>
      <c r="AK2" s="615"/>
      <c r="AL2" s="372" t="s">
        <v>485</v>
      </c>
      <c r="AM2" s="372" t="s">
        <v>486</v>
      </c>
      <c r="AN2" s="613" t="s">
        <v>487</v>
      </c>
      <c r="AO2" s="614"/>
      <c r="AP2" s="615"/>
      <c r="AQ2" s="613" t="s">
        <v>488</v>
      </c>
      <c r="AR2" s="614"/>
      <c r="AS2" s="614"/>
      <c r="AT2" s="614"/>
      <c r="AU2" s="614"/>
      <c r="AV2" s="614"/>
      <c r="AW2" s="614"/>
      <c r="AX2" s="615"/>
      <c r="AY2" s="372" t="s">
        <v>489</v>
      </c>
      <c r="AZ2" s="372" t="s">
        <v>490</v>
      </c>
      <c r="BA2" s="613" t="s">
        <v>491</v>
      </c>
      <c r="BB2" s="614"/>
      <c r="BC2" s="614"/>
      <c r="BD2" s="614"/>
      <c r="BE2" s="614"/>
      <c r="BF2" s="615"/>
      <c r="BG2" s="372" t="s">
        <v>492</v>
      </c>
      <c r="BH2" s="372" t="s">
        <v>493</v>
      </c>
      <c r="BI2" s="372" t="s">
        <v>494</v>
      </c>
      <c r="BJ2" s="372" t="s">
        <v>495</v>
      </c>
      <c r="BK2" s="613" t="s">
        <v>496</v>
      </c>
      <c r="BL2" s="614"/>
      <c r="BM2" s="615"/>
      <c r="BN2" s="372" t="s">
        <v>497</v>
      </c>
      <c r="BO2" s="613" t="s">
        <v>498</v>
      </c>
      <c r="BP2" s="614"/>
      <c r="BQ2" s="615"/>
      <c r="BR2" s="613" t="s">
        <v>499</v>
      </c>
      <c r="BS2" s="614"/>
      <c r="BT2" s="614"/>
      <c r="BU2" s="614"/>
      <c r="BV2" s="614"/>
      <c r="BW2" s="614"/>
      <c r="BX2" s="614"/>
      <c r="BY2" s="614"/>
      <c r="BZ2" s="614"/>
      <c r="CA2" s="614"/>
      <c r="CB2" s="614"/>
      <c r="CC2" s="614"/>
      <c r="CD2" s="614"/>
      <c r="CE2" s="614"/>
      <c r="CF2" s="615"/>
      <c r="CG2" s="613" t="s">
        <v>500</v>
      </c>
      <c r="CH2" s="614"/>
      <c r="CI2" s="615"/>
      <c r="CJ2" s="372" t="s">
        <v>501</v>
      </c>
      <c r="CK2" s="613" t="s">
        <v>502</v>
      </c>
      <c r="CL2" s="614"/>
      <c r="CM2" s="614"/>
      <c r="CN2" s="614"/>
      <c r="CO2" s="614"/>
      <c r="CP2" s="614"/>
      <c r="CQ2" s="614"/>
      <c r="CR2" s="614"/>
      <c r="CS2" s="614"/>
      <c r="CT2" s="614"/>
      <c r="CU2" s="614"/>
      <c r="CV2" s="615"/>
      <c r="CW2" s="613" t="s">
        <v>503</v>
      </c>
      <c r="CX2" s="614"/>
      <c r="CY2" s="614"/>
      <c r="CZ2" s="614"/>
      <c r="DA2" s="614"/>
      <c r="DB2" s="614"/>
      <c r="DC2" s="614"/>
      <c r="DD2" s="615"/>
      <c r="DE2" s="371" t="s">
        <v>504</v>
      </c>
      <c r="DF2" s="613" t="s">
        <v>505</v>
      </c>
      <c r="DG2" s="614"/>
      <c r="DH2" s="615"/>
      <c r="DI2" s="613" t="s">
        <v>506</v>
      </c>
      <c r="DJ2" s="614"/>
      <c r="DK2" s="615"/>
      <c r="DL2" s="372" t="s">
        <v>507</v>
      </c>
      <c r="DM2" s="613" t="s">
        <v>509</v>
      </c>
      <c r="DN2" s="614"/>
      <c r="DO2" s="615"/>
      <c r="DP2" s="613" t="s">
        <v>510</v>
      </c>
      <c r="DQ2" s="614"/>
      <c r="DR2" s="615"/>
      <c r="DS2" s="372" t="s">
        <v>511</v>
      </c>
      <c r="DT2" s="372" t="s">
        <v>512</v>
      </c>
      <c r="DU2" s="613" t="s">
        <v>508</v>
      </c>
      <c r="DV2" s="614"/>
      <c r="DW2" s="615"/>
      <c r="DX2" s="372" t="s">
        <v>513</v>
      </c>
      <c r="DY2" s="372" t="s">
        <v>514</v>
      </c>
      <c r="DZ2" s="613" t="s">
        <v>515</v>
      </c>
      <c r="EA2" s="614"/>
      <c r="EB2" s="614"/>
      <c r="EC2" s="614"/>
      <c r="ED2" s="614"/>
      <c r="EE2" s="614"/>
      <c r="EF2" s="614"/>
      <c r="EG2" s="615"/>
      <c r="EH2" s="613" t="s">
        <v>516</v>
      </c>
      <c r="EI2" s="614"/>
      <c r="EJ2" s="614"/>
      <c r="EK2" s="614"/>
      <c r="EL2" s="614"/>
      <c r="EM2" s="614"/>
      <c r="EN2" s="614"/>
      <c r="EO2" s="614"/>
      <c r="EP2" s="614"/>
      <c r="EQ2" s="614"/>
      <c r="ER2" s="614"/>
      <c r="ES2" s="614"/>
      <c r="ET2" s="614"/>
      <c r="EU2" s="615"/>
      <c r="EV2" s="372" t="s">
        <v>517</v>
      </c>
      <c r="EW2" s="372" t="s">
        <v>518</v>
      </c>
      <c r="EX2" s="613" t="s">
        <v>519</v>
      </c>
      <c r="EY2" s="614"/>
      <c r="EZ2" s="614"/>
      <c r="FA2" s="615"/>
      <c r="FB2" s="372" t="s">
        <v>520</v>
      </c>
      <c r="FC2" s="372" t="s">
        <v>521</v>
      </c>
      <c r="FD2" s="613" t="s">
        <v>522</v>
      </c>
      <c r="FE2" s="614"/>
      <c r="FF2" s="614"/>
      <c r="FG2" s="614"/>
      <c r="FH2" s="615"/>
      <c r="FI2" s="613" t="s">
        <v>525</v>
      </c>
      <c r="FJ2" s="614"/>
      <c r="FK2" s="615"/>
      <c r="FL2" s="613" t="s">
        <v>523</v>
      </c>
      <c r="FM2" s="614"/>
      <c r="FN2" s="615"/>
      <c r="FO2" s="372" t="s">
        <v>524</v>
      </c>
      <c r="FP2" s="372" t="s">
        <v>526</v>
      </c>
      <c r="FQ2" s="613" t="s">
        <v>527</v>
      </c>
      <c r="FR2" s="614"/>
      <c r="FS2" s="614"/>
      <c r="FT2" s="615"/>
      <c r="FU2" s="613" t="s">
        <v>528</v>
      </c>
      <c r="FV2" s="614"/>
      <c r="FW2" s="615"/>
      <c r="FX2" s="372" t="s">
        <v>529</v>
      </c>
      <c r="FY2" s="613" t="s">
        <v>530</v>
      </c>
      <c r="FZ2" s="614"/>
      <c r="GA2" s="614"/>
      <c r="GB2" s="615"/>
      <c r="GC2" s="372" t="s">
        <v>531</v>
      </c>
      <c r="GD2" s="613" t="s">
        <v>532</v>
      </c>
      <c r="GE2" s="614"/>
      <c r="GF2" s="614"/>
      <c r="GG2" s="614"/>
      <c r="GH2" s="615"/>
      <c r="GI2" s="611" t="s">
        <v>616</v>
      </c>
      <c r="GJ2" s="611" t="s">
        <v>473</v>
      </c>
      <c r="GK2" s="381"/>
    </row>
    <row r="3" spans="2:193" s="76" customFormat="1" ht="58.5" customHeight="1" thickBot="1" x14ac:dyDescent="0.25">
      <c r="B3" s="619"/>
      <c r="C3" s="360" t="s">
        <v>360</v>
      </c>
      <c r="D3" s="262" t="s">
        <v>594</v>
      </c>
      <c r="E3" s="262" t="s">
        <v>362</v>
      </c>
      <c r="F3" s="262" t="s">
        <v>361</v>
      </c>
      <c r="G3" s="373" t="s">
        <v>447</v>
      </c>
      <c r="H3" s="361" t="s">
        <v>683</v>
      </c>
      <c r="I3" s="373" t="s">
        <v>595</v>
      </c>
      <c r="J3" s="262" t="s">
        <v>634</v>
      </c>
      <c r="K3" s="373" t="s">
        <v>452</v>
      </c>
      <c r="L3" s="361" t="s">
        <v>363</v>
      </c>
      <c r="M3" s="361" t="s">
        <v>364</v>
      </c>
      <c r="N3" s="373" t="s">
        <v>365</v>
      </c>
      <c r="O3" s="262" t="s">
        <v>635</v>
      </c>
      <c r="P3" s="262" t="s">
        <v>636</v>
      </c>
      <c r="Q3" s="262" t="s">
        <v>596</v>
      </c>
      <c r="R3" s="262" t="s">
        <v>366</v>
      </c>
      <c r="S3" s="262" t="s">
        <v>367</v>
      </c>
      <c r="T3" s="262" t="s">
        <v>368</v>
      </c>
      <c r="U3" s="373" t="s">
        <v>448</v>
      </c>
      <c r="V3" s="360" t="s">
        <v>441</v>
      </c>
      <c r="W3" s="262" t="s">
        <v>442</v>
      </c>
      <c r="X3" s="374" t="s">
        <v>449</v>
      </c>
      <c r="Y3" s="373" t="s">
        <v>371</v>
      </c>
      <c r="Z3" s="262" t="s">
        <v>370</v>
      </c>
      <c r="AA3" s="262" t="s">
        <v>369</v>
      </c>
      <c r="AB3" s="373" t="s">
        <v>450</v>
      </c>
      <c r="AC3" s="360" t="s">
        <v>372</v>
      </c>
      <c r="AD3" s="262" t="s">
        <v>373</v>
      </c>
      <c r="AE3" s="262" t="s">
        <v>637</v>
      </c>
      <c r="AF3" s="374" t="s">
        <v>451</v>
      </c>
      <c r="AG3" s="259" t="s">
        <v>376</v>
      </c>
      <c r="AH3" s="262" t="s">
        <v>374</v>
      </c>
      <c r="AI3" s="262" t="s">
        <v>597</v>
      </c>
      <c r="AJ3" s="262" t="s">
        <v>375</v>
      </c>
      <c r="AK3" s="261" t="s">
        <v>453</v>
      </c>
      <c r="AL3" s="361" t="s">
        <v>677</v>
      </c>
      <c r="AM3" s="361" t="s">
        <v>638</v>
      </c>
      <c r="AN3" s="373" t="s">
        <v>378</v>
      </c>
      <c r="AO3" s="262" t="s">
        <v>377</v>
      </c>
      <c r="AP3" s="373" t="s">
        <v>454</v>
      </c>
      <c r="AQ3" s="360" t="s">
        <v>379</v>
      </c>
      <c r="AR3" s="262" t="s">
        <v>382</v>
      </c>
      <c r="AS3" s="262" t="s">
        <v>598</v>
      </c>
      <c r="AT3" s="262" t="s">
        <v>380</v>
      </c>
      <c r="AU3" s="262" t="s">
        <v>381</v>
      </c>
      <c r="AV3" s="262" t="s">
        <v>639</v>
      </c>
      <c r="AW3" s="262" t="s">
        <v>558</v>
      </c>
      <c r="AX3" s="374" t="s">
        <v>470</v>
      </c>
      <c r="AY3" s="373" t="s">
        <v>383</v>
      </c>
      <c r="AZ3" s="361" t="s">
        <v>640</v>
      </c>
      <c r="BA3" s="373" t="s">
        <v>384</v>
      </c>
      <c r="BB3" s="375" t="s">
        <v>385</v>
      </c>
      <c r="BC3" s="260" t="s">
        <v>386</v>
      </c>
      <c r="BD3" s="260" t="s">
        <v>388</v>
      </c>
      <c r="BE3" s="376" t="s">
        <v>387</v>
      </c>
      <c r="BF3" s="373" t="s">
        <v>455</v>
      </c>
      <c r="BG3" s="361" t="s">
        <v>641</v>
      </c>
      <c r="BH3" s="361" t="s">
        <v>642</v>
      </c>
      <c r="BI3" s="361" t="s">
        <v>643</v>
      </c>
      <c r="BJ3" s="361" t="s">
        <v>644</v>
      </c>
      <c r="BK3" s="373" t="s">
        <v>645</v>
      </c>
      <c r="BL3" s="262" t="s">
        <v>389</v>
      </c>
      <c r="BM3" s="373" t="s">
        <v>456</v>
      </c>
      <c r="BN3" s="361" t="s">
        <v>646</v>
      </c>
      <c r="BO3" s="373" t="s">
        <v>390</v>
      </c>
      <c r="BP3" s="262" t="s">
        <v>391</v>
      </c>
      <c r="BQ3" s="373" t="s">
        <v>457</v>
      </c>
      <c r="BR3" s="360" t="s">
        <v>647</v>
      </c>
      <c r="BS3" s="262" t="s">
        <v>394</v>
      </c>
      <c r="BT3" s="262" t="s">
        <v>604</v>
      </c>
      <c r="BU3" s="262" t="s">
        <v>607</v>
      </c>
      <c r="BV3" s="262" t="s">
        <v>600</v>
      </c>
      <c r="BW3" s="262" t="s">
        <v>392</v>
      </c>
      <c r="BX3" s="262" t="s">
        <v>599</v>
      </c>
      <c r="BY3" s="262" t="s">
        <v>601</v>
      </c>
      <c r="BZ3" s="262" t="s">
        <v>602</v>
      </c>
      <c r="CA3" s="262" t="s">
        <v>603</v>
      </c>
      <c r="CB3" s="262" t="s">
        <v>648</v>
      </c>
      <c r="CC3" s="262" t="s">
        <v>393</v>
      </c>
      <c r="CD3" s="262" t="s">
        <v>606</v>
      </c>
      <c r="CE3" s="262" t="s">
        <v>605</v>
      </c>
      <c r="CF3" s="374" t="s">
        <v>458</v>
      </c>
      <c r="CG3" s="373" t="s">
        <v>443</v>
      </c>
      <c r="CH3" s="262" t="s">
        <v>684</v>
      </c>
      <c r="CI3" s="373" t="s">
        <v>680</v>
      </c>
      <c r="CJ3" s="361" t="s">
        <v>395</v>
      </c>
      <c r="CK3" s="373" t="s">
        <v>400</v>
      </c>
      <c r="CL3" s="262" t="s">
        <v>403</v>
      </c>
      <c r="CM3" s="262" t="s">
        <v>717</v>
      </c>
      <c r="CN3" s="262" t="s">
        <v>402</v>
      </c>
      <c r="CO3" s="262" t="s">
        <v>619</v>
      </c>
      <c r="CP3" s="262" t="s">
        <v>405</v>
      </c>
      <c r="CQ3" s="262" t="s">
        <v>535</v>
      </c>
      <c r="CR3" s="262" t="s">
        <v>609</v>
      </c>
      <c r="CS3" s="262" t="s">
        <v>399</v>
      </c>
      <c r="CT3" s="262" t="s">
        <v>401</v>
      </c>
      <c r="CU3" s="262" t="s">
        <v>404</v>
      </c>
      <c r="CV3" s="373" t="s">
        <v>471</v>
      </c>
      <c r="CW3" s="360" t="s">
        <v>408</v>
      </c>
      <c r="CX3" s="262" t="s">
        <v>407</v>
      </c>
      <c r="CY3" s="262" t="s">
        <v>406</v>
      </c>
      <c r="CZ3" s="262" t="s">
        <v>653</v>
      </c>
      <c r="DA3" s="262" t="s">
        <v>409</v>
      </c>
      <c r="DB3" s="262" t="s">
        <v>410</v>
      </c>
      <c r="DC3" s="262" t="s">
        <v>411</v>
      </c>
      <c r="DD3" s="374" t="s">
        <v>472</v>
      </c>
      <c r="DE3" s="373" t="s">
        <v>657</v>
      </c>
      <c r="DF3" s="360" t="s">
        <v>412</v>
      </c>
      <c r="DG3" s="262" t="s">
        <v>654</v>
      </c>
      <c r="DH3" s="374" t="s">
        <v>681</v>
      </c>
      <c r="DI3" s="373" t="s">
        <v>413</v>
      </c>
      <c r="DJ3" s="262" t="s">
        <v>655</v>
      </c>
      <c r="DK3" s="373" t="s">
        <v>459</v>
      </c>
      <c r="DL3" s="361" t="s">
        <v>414</v>
      </c>
      <c r="DM3" s="373" t="s">
        <v>445</v>
      </c>
      <c r="DN3" s="262" t="s">
        <v>613</v>
      </c>
      <c r="DO3" s="373" t="s">
        <v>614</v>
      </c>
      <c r="DP3" s="360" t="s">
        <v>417</v>
      </c>
      <c r="DQ3" s="262" t="s">
        <v>416</v>
      </c>
      <c r="DR3" s="374" t="s">
        <v>460</v>
      </c>
      <c r="DS3" s="373" t="s">
        <v>656</v>
      </c>
      <c r="DT3" s="361" t="s">
        <v>418</v>
      </c>
      <c r="DU3" s="373" t="s">
        <v>415</v>
      </c>
      <c r="DV3" s="262" t="s">
        <v>610</v>
      </c>
      <c r="DW3" s="373" t="s">
        <v>615</v>
      </c>
      <c r="DX3" s="361" t="s">
        <v>419</v>
      </c>
      <c r="DY3" s="361" t="s">
        <v>658</v>
      </c>
      <c r="DZ3" s="373" t="s">
        <v>649</v>
      </c>
      <c r="EA3" s="262" t="s">
        <v>396</v>
      </c>
      <c r="EB3" s="262" t="s">
        <v>397</v>
      </c>
      <c r="EC3" s="262" t="s">
        <v>398</v>
      </c>
      <c r="ED3" s="262" t="s">
        <v>650</v>
      </c>
      <c r="EE3" s="262" t="s">
        <v>608</v>
      </c>
      <c r="EF3" s="262" t="s">
        <v>651</v>
      </c>
      <c r="EG3" s="373" t="s">
        <v>461</v>
      </c>
      <c r="EH3" s="360" t="s">
        <v>420</v>
      </c>
      <c r="EI3" s="262" t="s">
        <v>422</v>
      </c>
      <c r="EJ3" s="262" t="s">
        <v>424</v>
      </c>
      <c r="EK3" s="262" t="s">
        <v>427</v>
      </c>
      <c r="EL3" s="262" t="s">
        <v>426</v>
      </c>
      <c r="EM3" s="262" t="s">
        <v>423</v>
      </c>
      <c r="EN3" s="262" t="s">
        <v>421</v>
      </c>
      <c r="EO3" s="262" t="s">
        <v>428</v>
      </c>
      <c r="EP3" s="262" t="s">
        <v>611</v>
      </c>
      <c r="EQ3" s="262" t="s">
        <v>429</v>
      </c>
      <c r="ER3" s="262" t="s">
        <v>660</v>
      </c>
      <c r="ES3" s="262" t="s">
        <v>425</v>
      </c>
      <c r="ET3" s="262" t="s">
        <v>659</v>
      </c>
      <c r="EU3" s="374" t="s">
        <v>462</v>
      </c>
      <c r="EV3" s="373" t="s">
        <v>661</v>
      </c>
      <c r="EW3" s="361" t="s">
        <v>430</v>
      </c>
      <c r="EX3" s="373" t="s">
        <v>431</v>
      </c>
      <c r="EY3" s="262" t="s">
        <v>662</v>
      </c>
      <c r="EZ3" s="262" t="s">
        <v>432</v>
      </c>
      <c r="FA3" s="373" t="s">
        <v>463</v>
      </c>
      <c r="FB3" s="361" t="s">
        <v>663</v>
      </c>
      <c r="FC3" s="373" t="s">
        <v>617</v>
      </c>
      <c r="FD3" s="360" t="s">
        <v>664</v>
      </c>
      <c r="FE3" s="262" t="s">
        <v>665</v>
      </c>
      <c r="FF3" s="262" t="s">
        <v>434</v>
      </c>
      <c r="FG3" s="262" t="s">
        <v>362</v>
      </c>
      <c r="FH3" s="374" t="s">
        <v>464</v>
      </c>
      <c r="FI3" s="373" t="s">
        <v>436</v>
      </c>
      <c r="FJ3" s="262" t="s">
        <v>673</v>
      </c>
      <c r="FK3" s="373" t="s">
        <v>682</v>
      </c>
      <c r="FL3" s="360" t="s">
        <v>666</v>
      </c>
      <c r="FM3" s="262" t="s">
        <v>667</v>
      </c>
      <c r="FN3" s="374" t="s">
        <v>465</v>
      </c>
      <c r="FO3" s="373" t="s">
        <v>668</v>
      </c>
      <c r="FP3" s="361" t="s">
        <v>440</v>
      </c>
      <c r="FQ3" s="373" t="s">
        <v>435</v>
      </c>
      <c r="FR3" s="262" t="s">
        <v>670</v>
      </c>
      <c r="FS3" s="262" t="s">
        <v>669</v>
      </c>
      <c r="FT3" s="373" t="s">
        <v>466</v>
      </c>
      <c r="FU3" s="360" t="s">
        <v>672</v>
      </c>
      <c r="FV3" s="262" t="s">
        <v>671</v>
      </c>
      <c r="FW3" s="374" t="s">
        <v>467</v>
      </c>
      <c r="FX3" s="373" t="s">
        <v>674</v>
      </c>
      <c r="FY3" s="360" t="s">
        <v>675</v>
      </c>
      <c r="FZ3" s="262" t="s">
        <v>438</v>
      </c>
      <c r="GA3" s="262" t="s">
        <v>437</v>
      </c>
      <c r="GB3" s="374" t="s">
        <v>468</v>
      </c>
      <c r="GC3" s="373" t="s">
        <v>444</v>
      </c>
      <c r="GD3" s="360" t="s">
        <v>536</v>
      </c>
      <c r="GE3" s="262" t="s">
        <v>612</v>
      </c>
      <c r="GF3" s="262" t="s">
        <v>676</v>
      </c>
      <c r="GG3" s="262" t="s">
        <v>439</v>
      </c>
      <c r="GH3" s="374" t="s">
        <v>469</v>
      </c>
      <c r="GI3" s="612"/>
      <c r="GJ3" s="612"/>
      <c r="GK3" s="381"/>
    </row>
    <row r="4" spans="2:193" ht="12" customHeight="1" x14ac:dyDescent="0.2">
      <c r="B4" s="359" t="s">
        <v>60</v>
      </c>
      <c r="C4" s="364">
        <v>27</v>
      </c>
      <c r="D4" s="365" t="s">
        <v>585</v>
      </c>
      <c r="E4" s="365" t="s">
        <v>585</v>
      </c>
      <c r="F4" s="365" t="s">
        <v>585</v>
      </c>
      <c r="G4" s="366">
        <v>27</v>
      </c>
      <c r="H4" s="193" t="s">
        <v>585</v>
      </c>
      <c r="I4" s="206" t="s">
        <v>585</v>
      </c>
      <c r="J4" s="204" t="s">
        <v>585</v>
      </c>
      <c r="K4" s="206" t="s">
        <v>585</v>
      </c>
      <c r="L4" s="367" t="s">
        <v>585</v>
      </c>
      <c r="M4" s="367">
        <v>120</v>
      </c>
      <c r="N4" s="206">
        <v>1</v>
      </c>
      <c r="O4" s="204" t="s">
        <v>585</v>
      </c>
      <c r="P4" s="204">
        <v>16631</v>
      </c>
      <c r="Q4" s="204">
        <v>16</v>
      </c>
      <c r="R4" s="204">
        <v>1</v>
      </c>
      <c r="S4" s="204" t="s">
        <v>585</v>
      </c>
      <c r="T4" s="204" t="s">
        <v>585</v>
      </c>
      <c r="U4" s="206">
        <v>16649</v>
      </c>
      <c r="V4" s="203">
        <v>1</v>
      </c>
      <c r="W4" s="204" t="s">
        <v>585</v>
      </c>
      <c r="X4" s="202">
        <v>1</v>
      </c>
      <c r="Y4" s="206">
        <v>17</v>
      </c>
      <c r="Z4" s="204" t="s">
        <v>585</v>
      </c>
      <c r="AA4" s="204" t="s">
        <v>585</v>
      </c>
      <c r="AB4" s="206">
        <v>17</v>
      </c>
      <c r="AC4" s="203">
        <v>13</v>
      </c>
      <c r="AD4" s="204" t="s">
        <v>585</v>
      </c>
      <c r="AE4" s="204" t="s">
        <v>585</v>
      </c>
      <c r="AF4" s="202">
        <v>13</v>
      </c>
      <c r="AG4" s="206" t="s">
        <v>585</v>
      </c>
      <c r="AH4" s="204" t="s">
        <v>585</v>
      </c>
      <c r="AI4" s="204" t="s">
        <v>585</v>
      </c>
      <c r="AJ4" s="204" t="s">
        <v>585</v>
      </c>
      <c r="AK4" s="206" t="s">
        <v>585</v>
      </c>
      <c r="AL4" s="193" t="s">
        <v>585</v>
      </c>
      <c r="AM4" s="193" t="s">
        <v>585</v>
      </c>
      <c r="AN4" s="206">
        <v>36</v>
      </c>
      <c r="AO4" s="204" t="s">
        <v>585</v>
      </c>
      <c r="AP4" s="206">
        <v>36</v>
      </c>
      <c r="AQ4" s="203" t="s">
        <v>585</v>
      </c>
      <c r="AR4" s="204" t="s">
        <v>585</v>
      </c>
      <c r="AS4" s="204" t="s">
        <v>585</v>
      </c>
      <c r="AT4" s="204" t="s">
        <v>585</v>
      </c>
      <c r="AU4" s="204" t="s">
        <v>585</v>
      </c>
      <c r="AV4" s="204" t="s">
        <v>585</v>
      </c>
      <c r="AW4" s="204" t="s">
        <v>585</v>
      </c>
      <c r="AX4" s="202" t="s">
        <v>585</v>
      </c>
      <c r="AY4" s="206" t="s">
        <v>585</v>
      </c>
      <c r="AZ4" s="193" t="s">
        <v>585</v>
      </c>
      <c r="BA4" s="206">
        <v>9</v>
      </c>
      <c r="BB4" s="377">
        <v>39</v>
      </c>
      <c r="BC4" s="206">
        <v>100</v>
      </c>
      <c r="BD4" s="206">
        <v>10</v>
      </c>
      <c r="BE4" s="378" t="s">
        <v>585</v>
      </c>
      <c r="BF4" s="206">
        <v>158</v>
      </c>
      <c r="BG4" s="193" t="s">
        <v>585</v>
      </c>
      <c r="BH4" s="193" t="s">
        <v>585</v>
      </c>
      <c r="BI4" s="193" t="s">
        <v>585</v>
      </c>
      <c r="BJ4" s="193">
        <v>1</v>
      </c>
      <c r="BK4" s="206">
        <v>2</v>
      </c>
      <c r="BL4" s="204" t="s">
        <v>585</v>
      </c>
      <c r="BM4" s="206">
        <v>2</v>
      </c>
      <c r="BN4" s="193" t="s">
        <v>585</v>
      </c>
      <c r="BO4" s="206" t="s">
        <v>585</v>
      </c>
      <c r="BP4" s="204" t="s">
        <v>585</v>
      </c>
      <c r="BQ4" s="206" t="s">
        <v>585</v>
      </c>
      <c r="BR4" s="203">
        <v>3</v>
      </c>
      <c r="BS4" s="204" t="s">
        <v>585</v>
      </c>
      <c r="BT4" s="204" t="s">
        <v>585</v>
      </c>
      <c r="BU4" s="204" t="s">
        <v>585</v>
      </c>
      <c r="BV4" s="204" t="s">
        <v>585</v>
      </c>
      <c r="BW4" s="204" t="s">
        <v>585</v>
      </c>
      <c r="BX4" s="204" t="s">
        <v>585</v>
      </c>
      <c r="BY4" s="204" t="s">
        <v>585</v>
      </c>
      <c r="BZ4" s="204" t="s">
        <v>585</v>
      </c>
      <c r="CA4" s="204" t="s">
        <v>585</v>
      </c>
      <c r="CB4" s="204" t="s">
        <v>585</v>
      </c>
      <c r="CC4" s="204" t="s">
        <v>585</v>
      </c>
      <c r="CD4" s="204" t="s">
        <v>585</v>
      </c>
      <c r="CE4" s="204" t="s">
        <v>585</v>
      </c>
      <c r="CF4" s="202">
        <v>3</v>
      </c>
      <c r="CG4" s="206">
        <v>2</v>
      </c>
      <c r="CH4" s="204" t="s">
        <v>585</v>
      </c>
      <c r="CI4" s="206">
        <v>2</v>
      </c>
      <c r="CJ4" s="193" t="s">
        <v>585</v>
      </c>
      <c r="CK4" s="206">
        <v>66111</v>
      </c>
      <c r="CL4" s="204">
        <v>26</v>
      </c>
      <c r="CM4" s="204">
        <v>204613</v>
      </c>
      <c r="CN4" s="204">
        <v>4654</v>
      </c>
      <c r="CO4" s="204" t="s">
        <v>585</v>
      </c>
      <c r="CP4" s="204" t="s">
        <v>585</v>
      </c>
      <c r="CQ4" s="204" t="s">
        <v>585</v>
      </c>
      <c r="CR4" s="204" t="s">
        <v>585</v>
      </c>
      <c r="CS4" s="204" t="s">
        <v>585</v>
      </c>
      <c r="CT4" s="204" t="s">
        <v>585</v>
      </c>
      <c r="CU4" s="204" t="s">
        <v>585</v>
      </c>
      <c r="CV4" s="206">
        <v>275404</v>
      </c>
      <c r="CW4" s="203">
        <v>446</v>
      </c>
      <c r="CX4" s="204">
        <v>91</v>
      </c>
      <c r="CY4" s="204">
        <v>3</v>
      </c>
      <c r="CZ4" s="204">
        <v>9</v>
      </c>
      <c r="DA4" s="204">
        <v>1</v>
      </c>
      <c r="DB4" s="204" t="s">
        <v>585</v>
      </c>
      <c r="DC4" s="204" t="s">
        <v>585</v>
      </c>
      <c r="DD4" s="202">
        <v>550</v>
      </c>
      <c r="DE4" s="206" t="s">
        <v>585</v>
      </c>
      <c r="DF4" s="203" t="s">
        <v>585</v>
      </c>
      <c r="DG4" s="204" t="s">
        <v>585</v>
      </c>
      <c r="DH4" s="202" t="s">
        <v>585</v>
      </c>
      <c r="DI4" s="206" t="s">
        <v>585</v>
      </c>
      <c r="DJ4" s="204" t="s">
        <v>585</v>
      </c>
      <c r="DK4" s="206" t="s">
        <v>585</v>
      </c>
      <c r="DL4" s="193">
        <v>3</v>
      </c>
      <c r="DM4" s="206" t="s">
        <v>585</v>
      </c>
      <c r="DN4" s="204" t="s">
        <v>585</v>
      </c>
      <c r="DO4" s="206" t="s">
        <v>585</v>
      </c>
      <c r="DP4" s="203">
        <v>178</v>
      </c>
      <c r="DQ4" s="204" t="s">
        <v>585</v>
      </c>
      <c r="DR4" s="202">
        <v>178</v>
      </c>
      <c r="DS4" s="206" t="s">
        <v>585</v>
      </c>
      <c r="DT4" s="193" t="s">
        <v>585</v>
      </c>
      <c r="DU4" s="206">
        <v>10</v>
      </c>
      <c r="DV4" s="204" t="s">
        <v>585</v>
      </c>
      <c r="DW4" s="206">
        <v>10</v>
      </c>
      <c r="DX4" s="193" t="s">
        <v>585</v>
      </c>
      <c r="DY4" s="193" t="s">
        <v>585</v>
      </c>
      <c r="DZ4" s="206" t="s">
        <v>585</v>
      </c>
      <c r="EA4" s="204" t="s">
        <v>585</v>
      </c>
      <c r="EB4" s="204">
        <v>3</v>
      </c>
      <c r="EC4" s="204" t="s">
        <v>585</v>
      </c>
      <c r="ED4" s="204" t="s">
        <v>585</v>
      </c>
      <c r="EE4" s="204" t="s">
        <v>585</v>
      </c>
      <c r="EF4" s="204" t="s">
        <v>585</v>
      </c>
      <c r="EG4" s="206">
        <v>3</v>
      </c>
      <c r="EH4" s="203">
        <v>23</v>
      </c>
      <c r="EI4" s="204">
        <v>326</v>
      </c>
      <c r="EJ4" s="204">
        <v>1</v>
      </c>
      <c r="EK4" s="204" t="s">
        <v>585</v>
      </c>
      <c r="EL4" s="204">
        <v>24</v>
      </c>
      <c r="EM4" s="204">
        <v>230</v>
      </c>
      <c r="EN4" s="204">
        <v>1</v>
      </c>
      <c r="EO4" s="204" t="s">
        <v>585</v>
      </c>
      <c r="EP4" s="204">
        <v>15</v>
      </c>
      <c r="EQ4" s="204" t="s">
        <v>585</v>
      </c>
      <c r="ER4" s="204" t="s">
        <v>585</v>
      </c>
      <c r="ES4" s="204" t="s">
        <v>585</v>
      </c>
      <c r="ET4" s="204" t="s">
        <v>585</v>
      </c>
      <c r="EU4" s="202">
        <v>620</v>
      </c>
      <c r="EV4" s="206" t="s">
        <v>585</v>
      </c>
      <c r="EW4" s="193" t="s">
        <v>585</v>
      </c>
      <c r="EX4" s="206">
        <v>114</v>
      </c>
      <c r="EY4" s="204" t="s">
        <v>585</v>
      </c>
      <c r="EZ4" s="204" t="s">
        <v>585</v>
      </c>
      <c r="FA4" s="206">
        <v>114</v>
      </c>
      <c r="FB4" s="193" t="s">
        <v>585</v>
      </c>
      <c r="FC4" s="206" t="s">
        <v>585</v>
      </c>
      <c r="FD4" s="203" t="s">
        <v>585</v>
      </c>
      <c r="FE4" s="204" t="s">
        <v>585</v>
      </c>
      <c r="FF4" s="204" t="s">
        <v>585</v>
      </c>
      <c r="FG4" s="204" t="s">
        <v>585</v>
      </c>
      <c r="FH4" s="202" t="s">
        <v>585</v>
      </c>
      <c r="FI4" s="206" t="s">
        <v>585</v>
      </c>
      <c r="FJ4" s="204" t="s">
        <v>585</v>
      </c>
      <c r="FK4" s="206" t="s">
        <v>585</v>
      </c>
      <c r="FL4" s="203" t="s">
        <v>585</v>
      </c>
      <c r="FM4" s="204" t="s">
        <v>585</v>
      </c>
      <c r="FN4" s="202" t="s">
        <v>585</v>
      </c>
      <c r="FO4" s="206" t="s">
        <v>585</v>
      </c>
      <c r="FP4" s="193">
        <v>4</v>
      </c>
      <c r="FQ4" s="206">
        <v>1</v>
      </c>
      <c r="FR4" s="204">
        <v>1580</v>
      </c>
      <c r="FS4" s="204" t="s">
        <v>585</v>
      </c>
      <c r="FT4" s="206">
        <v>1581</v>
      </c>
      <c r="FU4" s="203">
        <v>14</v>
      </c>
      <c r="FV4" s="204" t="s">
        <v>585</v>
      </c>
      <c r="FW4" s="202">
        <v>14</v>
      </c>
      <c r="FX4" s="206" t="s">
        <v>585</v>
      </c>
      <c r="FY4" s="203">
        <v>2</v>
      </c>
      <c r="FZ4" s="204" t="s">
        <v>585</v>
      </c>
      <c r="GA4" s="204" t="s">
        <v>585</v>
      </c>
      <c r="GB4" s="202">
        <v>2</v>
      </c>
      <c r="GC4" s="206" t="s">
        <v>585</v>
      </c>
      <c r="GD4" s="203" t="s">
        <v>585</v>
      </c>
      <c r="GE4" s="204" t="s">
        <v>585</v>
      </c>
      <c r="GF4" s="204" t="s">
        <v>585</v>
      </c>
      <c r="GG4" s="204" t="s">
        <v>585</v>
      </c>
      <c r="GH4" s="202" t="s">
        <v>585</v>
      </c>
      <c r="GI4" s="193">
        <v>295512</v>
      </c>
      <c r="GJ4" s="368">
        <f>295512/45058286</f>
        <v>6.5584385522343214E-3</v>
      </c>
      <c r="GK4" s="382"/>
    </row>
    <row r="5" spans="2:193" ht="12" customHeight="1" x14ac:dyDescent="0.2">
      <c r="B5" s="359" t="s">
        <v>80</v>
      </c>
      <c r="C5" s="203">
        <v>89</v>
      </c>
      <c r="D5" s="204" t="s">
        <v>585</v>
      </c>
      <c r="E5" s="204" t="s">
        <v>585</v>
      </c>
      <c r="F5" s="204" t="s">
        <v>585</v>
      </c>
      <c r="G5" s="202">
        <v>89</v>
      </c>
      <c r="H5" s="193" t="s">
        <v>585</v>
      </c>
      <c r="I5" s="206">
        <v>4</v>
      </c>
      <c r="J5" s="204" t="s">
        <v>585</v>
      </c>
      <c r="K5" s="206">
        <v>4</v>
      </c>
      <c r="L5" s="193" t="s">
        <v>585</v>
      </c>
      <c r="M5" s="193">
        <v>358</v>
      </c>
      <c r="N5" s="206">
        <v>3</v>
      </c>
      <c r="O5" s="204" t="s">
        <v>585</v>
      </c>
      <c r="P5" s="204">
        <v>13038</v>
      </c>
      <c r="Q5" s="204">
        <v>159</v>
      </c>
      <c r="R5" s="204">
        <v>14</v>
      </c>
      <c r="S5" s="204" t="s">
        <v>585</v>
      </c>
      <c r="T5" s="204" t="s">
        <v>585</v>
      </c>
      <c r="U5" s="206">
        <v>13214</v>
      </c>
      <c r="V5" s="203">
        <v>3</v>
      </c>
      <c r="W5" s="204">
        <v>1</v>
      </c>
      <c r="X5" s="202">
        <v>4</v>
      </c>
      <c r="Y5" s="206">
        <v>80</v>
      </c>
      <c r="Z5" s="204">
        <v>1</v>
      </c>
      <c r="AA5" s="204" t="s">
        <v>585</v>
      </c>
      <c r="AB5" s="206">
        <v>81</v>
      </c>
      <c r="AC5" s="203">
        <v>211</v>
      </c>
      <c r="AD5" s="204" t="s">
        <v>585</v>
      </c>
      <c r="AE5" s="204" t="s">
        <v>585</v>
      </c>
      <c r="AF5" s="202">
        <v>211</v>
      </c>
      <c r="AG5" s="206">
        <v>14</v>
      </c>
      <c r="AH5" s="204">
        <v>2</v>
      </c>
      <c r="AI5" s="204" t="s">
        <v>585</v>
      </c>
      <c r="AJ5" s="204" t="s">
        <v>585</v>
      </c>
      <c r="AK5" s="206">
        <v>16</v>
      </c>
      <c r="AL5" s="193" t="s">
        <v>585</v>
      </c>
      <c r="AM5" s="193" t="s">
        <v>585</v>
      </c>
      <c r="AN5" s="206" t="s">
        <v>585</v>
      </c>
      <c r="AO5" s="204">
        <v>2</v>
      </c>
      <c r="AP5" s="206">
        <v>2</v>
      </c>
      <c r="AQ5" s="203">
        <v>1</v>
      </c>
      <c r="AR5" s="204" t="s">
        <v>585</v>
      </c>
      <c r="AS5" s="204" t="s">
        <v>585</v>
      </c>
      <c r="AT5" s="204" t="s">
        <v>585</v>
      </c>
      <c r="AU5" s="204" t="s">
        <v>585</v>
      </c>
      <c r="AV5" s="204" t="s">
        <v>585</v>
      </c>
      <c r="AW5" s="204" t="s">
        <v>585</v>
      </c>
      <c r="AX5" s="202">
        <v>1</v>
      </c>
      <c r="AY5" s="206" t="s">
        <v>585</v>
      </c>
      <c r="AZ5" s="193">
        <v>2</v>
      </c>
      <c r="BA5" s="206">
        <v>32</v>
      </c>
      <c r="BB5" s="377">
        <v>179</v>
      </c>
      <c r="BC5" s="206">
        <v>403</v>
      </c>
      <c r="BD5" s="206">
        <v>21</v>
      </c>
      <c r="BE5" s="378">
        <v>21</v>
      </c>
      <c r="BF5" s="206">
        <v>656</v>
      </c>
      <c r="BG5" s="193" t="s">
        <v>585</v>
      </c>
      <c r="BH5" s="193" t="s">
        <v>585</v>
      </c>
      <c r="BI5" s="193" t="s">
        <v>585</v>
      </c>
      <c r="BJ5" s="193">
        <v>31</v>
      </c>
      <c r="BK5" s="206">
        <v>16</v>
      </c>
      <c r="BL5" s="204" t="s">
        <v>585</v>
      </c>
      <c r="BM5" s="206">
        <v>16</v>
      </c>
      <c r="BN5" s="193" t="s">
        <v>585</v>
      </c>
      <c r="BO5" s="206">
        <v>1</v>
      </c>
      <c r="BP5" s="204" t="s">
        <v>585</v>
      </c>
      <c r="BQ5" s="206">
        <v>1</v>
      </c>
      <c r="BR5" s="203">
        <v>51</v>
      </c>
      <c r="BS5" s="204" t="s">
        <v>585</v>
      </c>
      <c r="BT5" s="204" t="s">
        <v>585</v>
      </c>
      <c r="BU5" s="204" t="s">
        <v>585</v>
      </c>
      <c r="BV5" s="204" t="s">
        <v>585</v>
      </c>
      <c r="BW5" s="204" t="s">
        <v>585</v>
      </c>
      <c r="BX5" s="204" t="s">
        <v>585</v>
      </c>
      <c r="BY5" s="204" t="s">
        <v>585</v>
      </c>
      <c r="BZ5" s="204" t="s">
        <v>585</v>
      </c>
      <c r="CA5" s="204" t="s">
        <v>585</v>
      </c>
      <c r="CB5" s="204" t="s">
        <v>585</v>
      </c>
      <c r="CC5" s="204" t="s">
        <v>585</v>
      </c>
      <c r="CD5" s="204" t="s">
        <v>585</v>
      </c>
      <c r="CE5" s="204" t="s">
        <v>585</v>
      </c>
      <c r="CF5" s="202">
        <v>51</v>
      </c>
      <c r="CG5" s="206">
        <v>1</v>
      </c>
      <c r="CH5" s="204" t="s">
        <v>585</v>
      </c>
      <c r="CI5" s="206">
        <v>1</v>
      </c>
      <c r="CJ5" s="193">
        <v>1</v>
      </c>
      <c r="CK5" s="206">
        <v>34275</v>
      </c>
      <c r="CL5" s="204" t="s">
        <v>585</v>
      </c>
      <c r="CM5" s="204">
        <v>97358</v>
      </c>
      <c r="CN5" s="204">
        <v>84200</v>
      </c>
      <c r="CO5" s="204">
        <v>1</v>
      </c>
      <c r="CP5" s="204" t="s">
        <v>585</v>
      </c>
      <c r="CQ5" s="204">
        <v>30</v>
      </c>
      <c r="CR5" s="204" t="s">
        <v>585</v>
      </c>
      <c r="CS5" s="204" t="s">
        <v>585</v>
      </c>
      <c r="CT5" s="204" t="s">
        <v>585</v>
      </c>
      <c r="CU5" s="204" t="s">
        <v>585</v>
      </c>
      <c r="CV5" s="206">
        <v>215864</v>
      </c>
      <c r="CW5" s="203">
        <v>1154</v>
      </c>
      <c r="CX5" s="204">
        <v>1</v>
      </c>
      <c r="CY5" s="204">
        <v>119</v>
      </c>
      <c r="CZ5" s="204" t="s">
        <v>585</v>
      </c>
      <c r="DA5" s="204">
        <v>1</v>
      </c>
      <c r="DB5" s="204" t="s">
        <v>585</v>
      </c>
      <c r="DC5" s="204" t="s">
        <v>585</v>
      </c>
      <c r="DD5" s="202">
        <v>1275</v>
      </c>
      <c r="DE5" s="206" t="s">
        <v>585</v>
      </c>
      <c r="DF5" s="203" t="s">
        <v>585</v>
      </c>
      <c r="DG5" s="204" t="s">
        <v>585</v>
      </c>
      <c r="DH5" s="202" t="s">
        <v>585</v>
      </c>
      <c r="DI5" s="206" t="s">
        <v>585</v>
      </c>
      <c r="DJ5" s="204" t="s">
        <v>585</v>
      </c>
      <c r="DK5" s="206" t="s">
        <v>585</v>
      </c>
      <c r="DL5" s="193">
        <v>44</v>
      </c>
      <c r="DM5" s="206" t="s">
        <v>585</v>
      </c>
      <c r="DN5" s="204" t="s">
        <v>585</v>
      </c>
      <c r="DO5" s="206" t="s">
        <v>585</v>
      </c>
      <c r="DP5" s="203">
        <v>2</v>
      </c>
      <c r="DQ5" s="204" t="s">
        <v>585</v>
      </c>
      <c r="DR5" s="202">
        <v>2</v>
      </c>
      <c r="DS5" s="206">
        <v>6</v>
      </c>
      <c r="DT5" s="193" t="s">
        <v>585</v>
      </c>
      <c r="DU5" s="206">
        <v>50</v>
      </c>
      <c r="DV5" s="204" t="s">
        <v>585</v>
      </c>
      <c r="DW5" s="206">
        <v>50</v>
      </c>
      <c r="DX5" s="193" t="s">
        <v>585</v>
      </c>
      <c r="DY5" s="193" t="s">
        <v>585</v>
      </c>
      <c r="DZ5" s="206">
        <v>2</v>
      </c>
      <c r="EA5" s="204">
        <v>8</v>
      </c>
      <c r="EB5" s="204">
        <v>53</v>
      </c>
      <c r="EC5" s="204" t="s">
        <v>585</v>
      </c>
      <c r="ED5" s="204" t="s">
        <v>585</v>
      </c>
      <c r="EE5" s="204" t="s">
        <v>585</v>
      </c>
      <c r="EF5" s="204" t="s">
        <v>585</v>
      </c>
      <c r="EG5" s="206">
        <v>63</v>
      </c>
      <c r="EH5" s="203">
        <v>289</v>
      </c>
      <c r="EI5" s="204">
        <v>330</v>
      </c>
      <c r="EJ5" s="204" t="s">
        <v>585</v>
      </c>
      <c r="EK5" s="204">
        <v>56</v>
      </c>
      <c r="EL5" s="204">
        <v>109</v>
      </c>
      <c r="EM5" s="204">
        <v>974</v>
      </c>
      <c r="EN5" s="204">
        <v>72</v>
      </c>
      <c r="EO5" s="204">
        <v>5</v>
      </c>
      <c r="EP5" s="204">
        <v>152</v>
      </c>
      <c r="EQ5" s="204">
        <v>9</v>
      </c>
      <c r="ER5" s="204" t="s">
        <v>585</v>
      </c>
      <c r="ES5" s="204" t="s">
        <v>585</v>
      </c>
      <c r="ET5" s="204" t="s">
        <v>585</v>
      </c>
      <c r="EU5" s="202">
        <v>1996</v>
      </c>
      <c r="EV5" s="206" t="s">
        <v>585</v>
      </c>
      <c r="EW5" s="193" t="s">
        <v>585</v>
      </c>
      <c r="EX5" s="206" t="s">
        <v>585</v>
      </c>
      <c r="EY5" s="204">
        <v>1</v>
      </c>
      <c r="EZ5" s="204" t="s">
        <v>585</v>
      </c>
      <c r="FA5" s="206">
        <v>1</v>
      </c>
      <c r="FB5" s="193" t="s">
        <v>585</v>
      </c>
      <c r="FC5" s="206" t="s">
        <v>585</v>
      </c>
      <c r="FD5" s="203">
        <v>9</v>
      </c>
      <c r="FE5" s="204">
        <v>3</v>
      </c>
      <c r="FF5" s="204">
        <v>1</v>
      </c>
      <c r="FG5" s="204" t="s">
        <v>585</v>
      </c>
      <c r="FH5" s="202">
        <v>13</v>
      </c>
      <c r="FI5" s="206" t="s">
        <v>585</v>
      </c>
      <c r="FJ5" s="204" t="s">
        <v>585</v>
      </c>
      <c r="FK5" s="206" t="s">
        <v>585</v>
      </c>
      <c r="FL5" s="203" t="s">
        <v>585</v>
      </c>
      <c r="FM5" s="204" t="s">
        <v>585</v>
      </c>
      <c r="FN5" s="202" t="s">
        <v>585</v>
      </c>
      <c r="FO5" s="206" t="s">
        <v>585</v>
      </c>
      <c r="FP5" s="193">
        <v>83</v>
      </c>
      <c r="FQ5" s="206">
        <v>2</v>
      </c>
      <c r="FR5" s="204" t="s">
        <v>585</v>
      </c>
      <c r="FS5" s="204" t="s">
        <v>585</v>
      </c>
      <c r="FT5" s="206">
        <v>2</v>
      </c>
      <c r="FU5" s="203">
        <v>123</v>
      </c>
      <c r="FV5" s="204" t="s">
        <v>585</v>
      </c>
      <c r="FW5" s="202">
        <v>123</v>
      </c>
      <c r="FX5" s="206" t="s">
        <v>585</v>
      </c>
      <c r="FY5" s="203" t="s">
        <v>585</v>
      </c>
      <c r="FZ5" s="204">
        <v>3</v>
      </c>
      <c r="GA5" s="204" t="s">
        <v>585</v>
      </c>
      <c r="GB5" s="202">
        <v>3</v>
      </c>
      <c r="GC5" s="206" t="s">
        <v>585</v>
      </c>
      <c r="GD5" s="203" t="s">
        <v>585</v>
      </c>
      <c r="GE5" s="204" t="s">
        <v>585</v>
      </c>
      <c r="GF5" s="204" t="s">
        <v>585</v>
      </c>
      <c r="GG5" s="204" t="s">
        <v>585</v>
      </c>
      <c r="GH5" s="202" t="s">
        <v>585</v>
      </c>
      <c r="GI5" s="193">
        <v>234264</v>
      </c>
      <c r="GJ5" s="368">
        <f>234264/45058286</f>
        <v>5.1991325191552999E-3</v>
      </c>
      <c r="GK5" s="382"/>
    </row>
    <row r="6" spans="2:193" ht="12" customHeight="1" x14ac:dyDescent="0.2">
      <c r="B6" s="359" t="s">
        <v>100</v>
      </c>
      <c r="C6" s="203">
        <v>50</v>
      </c>
      <c r="D6" s="204" t="s">
        <v>585</v>
      </c>
      <c r="E6" s="204" t="s">
        <v>585</v>
      </c>
      <c r="F6" s="204" t="s">
        <v>585</v>
      </c>
      <c r="G6" s="202">
        <v>50</v>
      </c>
      <c r="H6" s="193" t="s">
        <v>585</v>
      </c>
      <c r="I6" s="206">
        <v>4</v>
      </c>
      <c r="J6" s="204" t="s">
        <v>585</v>
      </c>
      <c r="K6" s="206">
        <v>4</v>
      </c>
      <c r="L6" s="193" t="s">
        <v>585</v>
      </c>
      <c r="M6" s="193">
        <v>265</v>
      </c>
      <c r="N6" s="206">
        <v>8</v>
      </c>
      <c r="O6" s="204">
        <v>19</v>
      </c>
      <c r="P6" s="204">
        <v>11366</v>
      </c>
      <c r="Q6" s="204">
        <v>1</v>
      </c>
      <c r="R6" s="204">
        <v>65</v>
      </c>
      <c r="S6" s="204">
        <v>5</v>
      </c>
      <c r="T6" s="204" t="s">
        <v>585</v>
      </c>
      <c r="U6" s="206">
        <v>11464</v>
      </c>
      <c r="V6" s="203">
        <v>13</v>
      </c>
      <c r="W6" s="204">
        <v>1</v>
      </c>
      <c r="X6" s="202">
        <v>14</v>
      </c>
      <c r="Y6" s="206">
        <v>108</v>
      </c>
      <c r="Z6" s="204">
        <v>1</v>
      </c>
      <c r="AA6" s="204" t="s">
        <v>585</v>
      </c>
      <c r="AB6" s="206">
        <v>109</v>
      </c>
      <c r="AC6" s="203">
        <v>480</v>
      </c>
      <c r="AD6" s="204">
        <v>5</v>
      </c>
      <c r="AE6" s="204">
        <v>4</v>
      </c>
      <c r="AF6" s="202">
        <v>489</v>
      </c>
      <c r="AG6" s="206">
        <v>50</v>
      </c>
      <c r="AH6" s="204" t="s">
        <v>585</v>
      </c>
      <c r="AI6" s="204" t="s">
        <v>585</v>
      </c>
      <c r="AJ6" s="204" t="s">
        <v>585</v>
      </c>
      <c r="AK6" s="206">
        <v>50</v>
      </c>
      <c r="AL6" s="193" t="s">
        <v>585</v>
      </c>
      <c r="AM6" s="193" t="s">
        <v>585</v>
      </c>
      <c r="AN6" s="206" t="s">
        <v>585</v>
      </c>
      <c r="AO6" s="204" t="s">
        <v>585</v>
      </c>
      <c r="AP6" s="206" t="s">
        <v>585</v>
      </c>
      <c r="AQ6" s="203">
        <v>7</v>
      </c>
      <c r="AR6" s="204">
        <v>3</v>
      </c>
      <c r="AS6" s="204">
        <v>14</v>
      </c>
      <c r="AT6" s="204" t="s">
        <v>585</v>
      </c>
      <c r="AU6" s="204" t="s">
        <v>585</v>
      </c>
      <c r="AV6" s="204" t="s">
        <v>585</v>
      </c>
      <c r="AW6" s="204" t="s">
        <v>585</v>
      </c>
      <c r="AX6" s="202">
        <v>24</v>
      </c>
      <c r="AY6" s="206" t="s">
        <v>585</v>
      </c>
      <c r="AZ6" s="193" t="s">
        <v>585</v>
      </c>
      <c r="BA6" s="206">
        <v>2</v>
      </c>
      <c r="BB6" s="377">
        <v>45</v>
      </c>
      <c r="BC6" s="206">
        <v>26</v>
      </c>
      <c r="BD6" s="206">
        <v>19</v>
      </c>
      <c r="BE6" s="378">
        <v>1</v>
      </c>
      <c r="BF6" s="206">
        <v>93</v>
      </c>
      <c r="BG6" s="193" t="s">
        <v>585</v>
      </c>
      <c r="BH6" s="193" t="s">
        <v>585</v>
      </c>
      <c r="BI6" s="193" t="s">
        <v>585</v>
      </c>
      <c r="BJ6" s="193" t="s">
        <v>585</v>
      </c>
      <c r="BK6" s="206">
        <v>1</v>
      </c>
      <c r="BL6" s="204" t="s">
        <v>585</v>
      </c>
      <c r="BM6" s="206">
        <v>1</v>
      </c>
      <c r="BN6" s="193" t="s">
        <v>585</v>
      </c>
      <c r="BO6" s="206" t="s">
        <v>585</v>
      </c>
      <c r="BP6" s="204" t="s">
        <v>585</v>
      </c>
      <c r="BQ6" s="206" t="s">
        <v>585</v>
      </c>
      <c r="BR6" s="203">
        <v>9</v>
      </c>
      <c r="BS6" s="204">
        <v>4</v>
      </c>
      <c r="BT6" s="204" t="s">
        <v>585</v>
      </c>
      <c r="BU6" s="204" t="s">
        <v>585</v>
      </c>
      <c r="BV6" s="204" t="s">
        <v>585</v>
      </c>
      <c r="BW6" s="204" t="s">
        <v>585</v>
      </c>
      <c r="BX6" s="204" t="s">
        <v>585</v>
      </c>
      <c r="BY6" s="204" t="s">
        <v>585</v>
      </c>
      <c r="BZ6" s="204" t="s">
        <v>585</v>
      </c>
      <c r="CA6" s="204" t="s">
        <v>585</v>
      </c>
      <c r="CB6" s="204" t="s">
        <v>585</v>
      </c>
      <c r="CC6" s="204" t="s">
        <v>585</v>
      </c>
      <c r="CD6" s="204" t="s">
        <v>585</v>
      </c>
      <c r="CE6" s="204" t="s">
        <v>585</v>
      </c>
      <c r="CF6" s="202">
        <v>13</v>
      </c>
      <c r="CG6" s="206" t="s">
        <v>585</v>
      </c>
      <c r="CH6" s="204" t="s">
        <v>585</v>
      </c>
      <c r="CI6" s="206" t="s">
        <v>585</v>
      </c>
      <c r="CJ6" s="193" t="s">
        <v>585</v>
      </c>
      <c r="CK6" s="206">
        <v>8667</v>
      </c>
      <c r="CL6" s="204">
        <v>16</v>
      </c>
      <c r="CM6" s="204">
        <v>37905</v>
      </c>
      <c r="CN6" s="204">
        <v>12890</v>
      </c>
      <c r="CO6" s="204">
        <v>23</v>
      </c>
      <c r="CP6" s="204" t="s">
        <v>585</v>
      </c>
      <c r="CQ6" s="204">
        <v>15</v>
      </c>
      <c r="CR6" s="204">
        <v>3</v>
      </c>
      <c r="CS6" s="204">
        <v>8</v>
      </c>
      <c r="CT6" s="204" t="s">
        <v>585</v>
      </c>
      <c r="CU6" s="204" t="s">
        <v>585</v>
      </c>
      <c r="CV6" s="206">
        <v>59527</v>
      </c>
      <c r="CW6" s="203">
        <v>308</v>
      </c>
      <c r="CX6" s="204">
        <v>11</v>
      </c>
      <c r="CY6" s="204">
        <v>17</v>
      </c>
      <c r="CZ6" s="204">
        <v>3</v>
      </c>
      <c r="DA6" s="204" t="s">
        <v>585</v>
      </c>
      <c r="DB6" s="204" t="s">
        <v>585</v>
      </c>
      <c r="DC6" s="204" t="s">
        <v>585</v>
      </c>
      <c r="DD6" s="202">
        <v>339</v>
      </c>
      <c r="DE6" s="206" t="s">
        <v>585</v>
      </c>
      <c r="DF6" s="203" t="s">
        <v>585</v>
      </c>
      <c r="DG6" s="204" t="s">
        <v>585</v>
      </c>
      <c r="DH6" s="202" t="s">
        <v>585</v>
      </c>
      <c r="DI6" s="206" t="s">
        <v>585</v>
      </c>
      <c r="DJ6" s="204" t="s">
        <v>585</v>
      </c>
      <c r="DK6" s="206" t="s">
        <v>585</v>
      </c>
      <c r="DL6" s="193">
        <v>1</v>
      </c>
      <c r="DM6" s="206" t="s">
        <v>585</v>
      </c>
      <c r="DN6" s="204" t="s">
        <v>585</v>
      </c>
      <c r="DO6" s="206" t="s">
        <v>585</v>
      </c>
      <c r="DP6" s="203">
        <v>26</v>
      </c>
      <c r="DQ6" s="204" t="s">
        <v>585</v>
      </c>
      <c r="DR6" s="202">
        <v>26</v>
      </c>
      <c r="DS6" s="206" t="s">
        <v>585</v>
      </c>
      <c r="DT6" s="193" t="s">
        <v>585</v>
      </c>
      <c r="DU6" s="206">
        <v>21</v>
      </c>
      <c r="DV6" s="204" t="s">
        <v>585</v>
      </c>
      <c r="DW6" s="206">
        <v>21</v>
      </c>
      <c r="DX6" s="193" t="s">
        <v>585</v>
      </c>
      <c r="DY6" s="193" t="s">
        <v>585</v>
      </c>
      <c r="DZ6" s="206">
        <v>87</v>
      </c>
      <c r="EA6" s="204" t="s">
        <v>585</v>
      </c>
      <c r="EB6" s="204">
        <v>2</v>
      </c>
      <c r="EC6" s="204" t="s">
        <v>585</v>
      </c>
      <c r="ED6" s="204" t="s">
        <v>585</v>
      </c>
      <c r="EE6" s="204" t="s">
        <v>585</v>
      </c>
      <c r="EF6" s="204" t="s">
        <v>585</v>
      </c>
      <c r="EG6" s="206">
        <v>89</v>
      </c>
      <c r="EH6" s="203">
        <v>200</v>
      </c>
      <c r="EI6" s="204">
        <v>563</v>
      </c>
      <c r="EJ6" s="204">
        <v>57</v>
      </c>
      <c r="EK6" s="204">
        <v>112</v>
      </c>
      <c r="EL6" s="204">
        <v>190</v>
      </c>
      <c r="EM6" s="204">
        <v>449</v>
      </c>
      <c r="EN6" s="204">
        <v>35</v>
      </c>
      <c r="EO6" s="204">
        <v>165</v>
      </c>
      <c r="EP6" s="204">
        <v>97</v>
      </c>
      <c r="EQ6" s="204">
        <v>38</v>
      </c>
      <c r="ER6" s="204">
        <v>106</v>
      </c>
      <c r="ES6" s="204">
        <v>3</v>
      </c>
      <c r="ET6" s="204" t="s">
        <v>585</v>
      </c>
      <c r="EU6" s="202">
        <v>2015</v>
      </c>
      <c r="EV6" s="206" t="s">
        <v>585</v>
      </c>
      <c r="EW6" s="193" t="s">
        <v>585</v>
      </c>
      <c r="EX6" s="206" t="s">
        <v>585</v>
      </c>
      <c r="EY6" s="204" t="s">
        <v>585</v>
      </c>
      <c r="EZ6" s="204" t="s">
        <v>585</v>
      </c>
      <c r="FA6" s="206" t="s">
        <v>585</v>
      </c>
      <c r="FB6" s="193" t="s">
        <v>585</v>
      </c>
      <c r="FC6" s="206" t="s">
        <v>585</v>
      </c>
      <c r="FD6" s="203">
        <v>6</v>
      </c>
      <c r="FE6" s="204" t="s">
        <v>585</v>
      </c>
      <c r="FF6" s="204" t="s">
        <v>585</v>
      </c>
      <c r="FG6" s="204" t="s">
        <v>585</v>
      </c>
      <c r="FH6" s="202">
        <v>6</v>
      </c>
      <c r="FI6" s="206" t="s">
        <v>585</v>
      </c>
      <c r="FJ6" s="204" t="s">
        <v>585</v>
      </c>
      <c r="FK6" s="206" t="s">
        <v>585</v>
      </c>
      <c r="FL6" s="203">
        <v>3</v>
      </c>
      <c r="FM6" s="204" t="s">
        <v>585</v>
      </c>
      <c r="FN6" s="202">
        <v>3</v>
      </c>
      <c r="FO6" s="206" t="s">
        <v>585</v>
      </c>
      <c r="FP6" s="193">
        <v>1</v>
      </c>
      <c r="FQ6" s="206">
        <v>1</v>
      </c>
      <c r="FR6" s="204">
        <v>1</v>
      </c>
      <c r="FS6" s="204">
        <v>1</v>
      </c>
      <c r="FT6" s="206">
        <v>3</v>
      </c>
      <c r="FU6" s="203">
        <v>26</v>
      </c>
      <c r="FV6" s="204">
        <v>11</v>
      </c>
      <c r="FW6" s="202">
        <v>37</v>
      </c>
      <c r="FX6" s="206" t="s">
        <v>585</v>
      </c>
      <c r="FY6" s="203">
        <v>2</v>
      </c>
      <c r="FZ6" s="204" t="s">
        <v>585</v>
      </c>
      <c r="GA6" s="204" t="s">
        <v>585</v>
      </c>
      <c r="GB6" s="202">
        <v>2</v>
      </c>
      <c r="GC6" s="206">
        <v>6</v>
      </c>
      <c r="GD6" s="203" t="s">
        <v>585</v>
      </c>
      <c r="GE6" s="204" t="s">
        <v>585</v>
      </c>
      <c r="GF6" s="204" t="s">
        <v>585</v>
      </c>
      <c r="GG6" s="204" t="s">
        <v>585</v>
      </c>
      <c r="GH6" s="202" t="s">
        <v>585</v>
      </c>
      <c r="GI6" s="193">
        <v>74652</v>
      </c>
      <c r="GJ6" s="368">
        <f>74652/45058286</f>
        <v>1.6567873886725296E-3</v>
      </c>
      <c r="GK6" s="382"/>
    </row>
    <row r="7" spans="2:193" ht="12" customHeight="1" x14ac:dyDescent="0.2">
      <c r="B7" s="359" t="s">
        <v>149</v>
      </c>
      <c r="C7" s="203">
        <v>26</v>
      </c>
      <c r="D7" s="204" t="s">
        <v>585</v>
      </c>
      <c r="E7" s="204" t="s">
        <v>585</v>
      </c>
      <c r="F7" s="204" t="s">
        <v>585</v>
      </c>
      <c r="G7" s="202">
        <v>26</v>
      </c>
      <c r="H7" s="193" t="s">
        <v>585</v>
      </c>
      <c r="I7" s="206" t="s">
        <v>585</v>
      </c>
      <c r="J7" s="204" t="s">
        <v>585</v>
      </c>
      <c r="K7" s="206" t="s">
        <v>585</v>
      </c>
      <c r="L7" s="193" t="s">
        <v>585</v>
      </c>
      <c r="M7" s="193">
        <v>1230</v>
      </c>
      <c r="N7" s="206" t="s">
        <v>585</v>
      </c>
      <c r="O7" s="204" t="s">
        <v>585</v>
      </c>
      <c r="P7" s="204">
        <v>2907</v>
      </c>
      <c r="Q7" s="204">
        <v>5</v>
      </c>
      <c r="R7" s="204" t="s">
        <v>585</v>
      </c>
      <c r="S7" s="204" t="s">
        <v>585</v>
      </c>
      <c r="T7" s="204" t="s">
        <v>585</v>
      </c>
      <c r="U7" s="206">
        <v>2912</v>
      </c>
      <c r="V7" s="203" t="s">
        <v>585</v>
      </c>
      <c r="W7" s="204" t="s">
        <v>585</v>
      </c>
      <c r="X7" s="202" t="s">
        <v>585</v>
      </c>
      <c r="Y7" s="206">
        <v>5</v>
      </c>
      <c r="Z7" s="204" t="s">
        <v>585</v>
      </c>
      <c r="AA7" s="204" t="s">
        <v>585</v>
      </c>
      <c r="AB7" s="206">
        <v>5</v>
      </c>
      <c r="AC7" s="203">
        <v>1</v>
      </c>
      <c r="AD7" s="204" t="s">
        <v>585</v>
      </c>
      <c r="AE7" s="204" t="s">
        <v>585</v>
      </c>
      <c r="AF7" s="202">
        <v>1</v>
      </c>
      <c r="AG7" s="206">
        <v>1</v>
      </c>
      <c r="AH7" s="204" t="s">
        <v>585</v>
      </c>
      <c r="AI7" s="204" t="s">
        <v>585</v>
      </c>
      <c r="AJ7" s="204" t="s">
        <v>585</v>
      </c>
      <c r="AK7" s="206">
        <v>1</v>
      </c>
      <c r="AL7" s="193" t="s">
        <v>585</v>
      </c>
      <c r="AM7" s="193" t="s">
        <v>585</v>
      </c>
      <c r="AN7" s="206" t="s">
        <v>585</v>
      </c>
      <c r="AO7" s="204" t="s">
        <v>585</v>
      </c>
      <c r="AP7" s="206" t="s">
        <v>585</v>
      </c>
      <c r="AQ7" s="203" t="s">
        <v>585</v>
      </c>
      <c r="AR7" s="204" t="s">
        <v>585</v>
      </c>
      <c r="AS7" s="204" t="s">
        <v>585</v>
      </c>
      <c r="AT7" s="204" t="s">
        <v>585</v>
      </c>
      <c r="AU7" s="204" t="s">
        <v>585</v>
      </c>
      <c r="AV7" s="204" t="s">
        <v>585</v>
      </c>
      <c r="AW7" s="204" t="s">
        <v>585</v>
      </c>
      <c r="AX7" s="202" t="s">
        <v>585</v>
      </c>
      <c r="AY7" s="206" t="s">
        <v>585</v>
      </c>
      <c r="AZ7" s="193" t="s">
        <v>585</v>
      </c>
      <c r="BA7" s="206">
        <v>6</v>
      </c>
      <c r="BB7" s="377">
        <v>74</v>
      </c>
      <c r="BC7" s="206">
        <v>92</v>
      </c>
      <c r="BD7" s="206">
        <v>28</v>
      </c>
      <c r="BE7" s="378" t="s">
        <v>585</v>
      </c>
      <c r="BF7" s="206">
        <v>200</v>
      </c>
      <c r="BG7" s="193" t="s">
        <v>585</v>
      </c>
      <c r="BH7" s="193" t="s">
        <v>585</v>
      </c>
      <c r="BI7" s="193" t="s">
        <v>585</v>
      </c>
      <c r="BJ7" s="193" t="s">
        <v>585</v>
      </c>
      <c r="BK7" s="206">
        <v>5</v>
      </c>
      <c r="BL7" s="204" t="s">
        <v>585</v>
      </c>
      <c r="BM7" s="206">
        <v>5</v>
      </c>
      <c r="BN7" s="193" t="s">
        <v>585</v>
      </c>
      <c r="BO7" s="206" t="s">
        <v>585</v>
      </c>
      <c r="BP7" s="204" t="s">
        <v>585</v>
      </c>
      <c r="BQ7" s="206" t="s">
        <v>585</v>
      </c>
      <c r="BR7" s="203">
        <v>6</v>
      </c>
      <c r="BS7" s="204" t="s">
        <v>585</v>
      </c>
      <c r="BT7" s="204" t="s">
        <v>585</v>
      </c>
      <c r="BU7" s="204">
        <v>1</v>
      </c>
      <c r="BV7" s="204" t="s">
        <v>585</v>
      </c>
      <c r="BW7" s="204" t="s">
        <v>585</v>
      </c>
      <c r="BX7" s="204" t="s">
        <v>585</v>
      </c>
      <c r="BY7" s="204" t="s">
        <v>585</v>
      </c>
      <c r="BZ7" s="204" t="s">
        <v>585</v>
      </c>
      <c r="CA7" s="204" t="s">
        <v>585</v>
      </c>
      <c r="CB7" s="204" t="s">
        <v>585</v>
      </c>
      <c r="CC7" s="204" t="s">
        <v>585</v>
      </c>
      <c r="CD7" s="204" t="s">
        <v>585</v>
      </c>
      <c r="CE7" s="204" t="s">
        <v>585</v>
      </c>
      <c r="CF7" s="202">
        <v>7</v>
      </c>
      <c r="CG7" s="206" t="s">
        <v>585</v>
      </c>
      <c r="CH7" s="204" t="s">
        <v>585</v>
      </c>
      <c r="CI7" s="206" t="s">
        <v>585</v>
      </c>
      <c r="CJ7" s="193" t="s">
        <v>585</v>
      </c>
      <c r="CK7" s="206">
        <v>64045</v>
      </c>
      <c r="CL7" s="204" t="s">
        <v>585</v>
      </c>
      <c r="CM7" s="204">
        <v>185304</v>
      </c>
      <c r="CN7" s="204">
        <v>5022</v>
      </c>
      <c r="CO7" s="204" t="s">
        <v>585</v>
      </c>
      <c r="CP7" s="204">
        <v>5</v>
      </c>
      <c r="CQ7" s="204">
        <v>91</v>
      </c>
      <c r="CR7" s="204" t="s">
        <v>585</v>
      </c>
      <c r="CS7" s="204" t="s">
        <v>585</v>
      </c>
      <c r="CT7" s="204" t="s">
        <v>585</v>
      </c>
      <c r="CU7" s="204" t="s">
        <v>585</v>
      </c>
      <c r="CV7" s="206">
        <v>254467</v>
      </c>
      <c r="CW7" s="203">
        <v>201</v>
      </c>
      <c r="CX7" s="204">
        <v>1</v>
      </c>
      <c r="CY7" s="204">
        <v>9</v>
      </c>
      <c r="CZ7" s="204" t="s">
        <v>585</v>
      </c>
      <c r="DA7" s="204" t="s">
        <v>585</v>
      </c>
      <c r="DB7" s="204" t="s">
        <v>585</v>
      </c>
      <c r="DC7" s="204" t="s">
        <v>585</v>
      </c>
      <c r="DD7" s="202">
        <v>211</v>
      </c>
      <c r="DE7" s="206" t="s">
        <v>585</v>
      </c>
      <c r="DF7" s="203" t="s">
        <v>585</v>
      </c>
      <c r="DG7" s="204" t="s">
        <v>585</v>
      </c>
      <c r="DH7" s="202" t="s">
        <v>585</v>
      </c>
      <c r="DI7" s="206" t="s">
        <v>585</v>
      </c>
      <c r="DJ7" s="204" t="s">
        <v>585</v>
      </c>
      <c r="DK7" s="206" t="s">
        <v>585</v>
      </c>
      <c r="DL7" s="193">
        <v>2</v>
      </c>
      <c r="DM7" s="206" t="s">
        <v>585</v>
      </c>
      <c r="DN7" s="204" t="s">
        <v>585</v>
      </c>
      <c r="DO7" s="206" t="s">
        <v>585</v>
      </c>
      <c r="DP7" s="203">
        <v>2</v>
      </c>
      <c r="DQ7" s="204" t="s">
        <v>585</v>
      </c>
      <c r="DR7" s="202">
        <v>2</v>
      </c>
      <c r="DS7" s="206" t="s">
        <v>585</v>
      </c>
      <c r="DT7" s="193" t="s">
        <v>585</v>
      </c>
      <c r="DU7" s="206">
        <v>28</v>
      </c>
      <c r="DV7" s="204" t="s">
        <v>585</v>
      </c>
      <c r="DW7" s="206">
        <v>28</v>
      </c>
      <c r="DX7" s="193" t="s">
        <v>585</v>
      </c>
      <c r="DY7" s="193" t="s">
        <v>585</v>
      </c>
      <c r="DZ7" s="206">
        <v>3</v>
      </c>
      <c r="EA7" s="204" t="s">
        <v>585</v>
      </c>
      <c r="EB7" s="204">
        <v>1</v>
      </c>
      <c r="EC7" s="204" t="s">
        <v>585</v>
      </c>
      <c r="ED7" s="204" t="s">
        <v>585</v>
      </c>
      <c r="EE7" s="204" t="s">
        <v>585</v>
      </c>
      <c r="EF7" s="204" t="s">
        <v>585</v>
      </c>
      <c r="EG7" s="206">
        <v>4</v>
      </c>
      <c r="EH7" s="203">
        <v>2</v>
      </c>
      <c r="EI7" s="204">
        <v>59</v>
      </c>
      <c r="EJ7" s="204" t="s">
        <v>585</v>
      </c>
      <c r="EK7" s="204">
        <v>7</v>
      </c>
      <c r="EL7" s="204">
        <v>4</v>
      </c>
      <c r="EM7" s="204">
        <v>40</v>
      </c>
      <c r="EN7" s="204" t="s">
        <v>585</v>
      </c>
      <c r="EO7" s="204" t="s">
        <v>585</v>
      </c>
      <c r="EP7" s="204" t="s">
        <v>585</v>
      </c>
      <c r="EQ7" s="204" t="s">
        <v>585</v>
      </c>
      <c r="ER7" s="204" t="s">
        <v>585</v>
      </c>
      <c r="ES7" s="204" t="s">
        <v>585</v>
      </c>
      <c r="ET7" s="204" t="s">
        <v>585</v>
      </c>
      <c r="EU7" s="202">
        <v>112</v>
      </c>
      <c r="EV7" s="206" t="s">
        <v>585</v>
      </c>
      <c r="EW7" s="193">
        <v>4</v>
      </c>
      <c r="EX7" s="206" t="s">
        <v>585</v>
      </c>
      <c r="EY7" s="204" t="s">
        <v>585</v>
      </c>
      <c r="EZ7" s="204" t="s">
        <v>585</v>
      </c>
      <c r="FA7" s="206" t="s">
        <v>585</v>
      </c>
      <c r="FB7" s="193" t="s">
        <v>585</v>
      </c>
      <c r="FC7" s="206">
        <v>3</v>
      </c>
      <c r="FD7" s="203" t="s">
        <v>585</v>
      </c>
      <c r="FE7" s="204" t="s">
        <v>585</v>
      </c>
      <c r="FF7" s="204" t="s">
        <v>585</v>
      </c>
      <c r="FG7" s="204" t="s">
        <v>585</v>
      </c>
      <c r="FH7" s="202" t="s">
        <v>585</v>
      </c>
      <c r="FI7" s="206" t="s">
        <v>585</v>
      </c>
      <c r="FJ7" s="204" t="s">
        <v>585</v>
      </c>
      <c r="FK7" s="206" t="s">
        <v>585</v>
      </c>
      <c r="FL7" s="203" t="s">
        <v>585</v>
      </c>
      <c r="FM7" s="204" t="s">
        <v>585</v>
      </c>
      <c r="FN7" s="202" t="s">
        <v>585</v>
      </c>
      <c r="FO7" s="206" t="s">
        <v>585</v>
      </c>
      <c r="FP7" s="193">
        <v>6</v>
      </c>
      <c r="FQ7" s="206">
        <v>3</v>
      </c>
      <c r="FR7" s="204" t="s">
        <v>585</v>
      </c>
      <c r="FS7" s="204" t="s">
        <v>585</v>
      </c>
      <c r="FT7" s="206">
        <v>3</v>
      </c>
      <c r="FU7" s="203">
        <v>12</v>
      </c>
      <c r="FV7" s="204" t="s">
        <v>585</v>
      </c>
      <c r="FW7" s="202">
        <v>12</v>
      </c>
      <c r="FX7" s="206" t="s">
        <v>585</v>
      </c>
      <c r="FY7" s="203" t="s">
        <v>585</v>
      </c>
      <c r="FZ7" s="204" t="s">
        <v>585</v>
      </c>
      <c r="GA7" s="204" t="s">
        <v>585</v>
      </c>
      <c r="GB7" s="202" t="s">
        <v>585</v>
      </c>
      <c r="GC7" s="206">
        <v>2</v>
      </c>
      <c r="GD7" s="203" t="s">
        <v>585</v>
      </c>
      <c r="GE7" s="204" t="s">
        <v>585</v>
      </c>
      <c r="GF7" s="204" t="s">
        <v>585</v>
      </c>
      <c r="GG7" s="204" t="s">
        <v>585</v>
      </c>
      <c r="GH7" s="202" t="s">
        <v>585</v>
      </c>
      <c r="GI7" s="193">
        <v>259243</v>
      </c>
      <c r="GJ7" s="368">
        <f>259243/45058286</f>
        <v>5.7535033622894581E-3</v>
      </c>
      <c r="GK7" s="382"/>
    </row>
    <row r="8" spans="2:193" ht="12" customHeight="1" x14ac:dyDescent="0.2">
      <c r="B8" s="359" t="s">
        <v>168</v>
      </c>
      <c r="C8" s="203">
        <v>120</v>
      </c>
      <c r="D8" s="204">
        <v>2</v>
      </c>
      <c r="E8" s="204">
        <v>33</v>
      </c>
      <c r="F8" s="204" t="s">
        <v>585</v>
      </c>
      <c r="G8" s="202">
        <v>155</v>
      </c>
      <c r="H8" s="193" t="s">
        <v>585</v>
      </c>
      <c r="I8" s="206">
        <v>5</v>
      </c>
      <c r="J8" s="204" t="s">
        <v>585</v>
      </c>
      <c r="K8" s="206">
        <v>5</v>
      </c>
      <c r="L8" s="193" t="s">
        <v>585</v>
      </c>
      <c r="M8" s="193">
        <v>676</v>
      </c>
      <c r="N8" s="206">
        <v>112</v>
      </c>
      <c r="O8" s="204">
        <v>709</v>
      </c>
      <c r="P8" s="204">
        <v>3335</v>
      </c>
      <c r="Q8" s="204">
        <v>13</v>
      </c>
      <c r="R8" s="204">
        <v>12</v>
      </c>
      <c r="S8" s="204" t="s">
        <v>585</v>
      </c>
      <c r="T8" s="204" t="s">
        <v>585</v>
      </c>
      <c r="U8" s="206">
        <v>4181</v>
      </c>
      <c r="V8" s="203">
        <v>1</v>
      </c>
      <c r="W8" s="204" t="s">
        <v>585</v>
      </c>
      <c r="X8" s="202">
        <v>1</v>
      </c>
      <c r="Y8" s="206">
        <v>175</v>
      </c>
      <c r="Z8" s="204">
        <v>5</v>
      </c>
      <c r="AA8" s="204">
        <v>2</v>
      </c>
      <c r="AB8" s="206">
        <v>182</v>
      </c>
      <c r="AC8" s="203">
        <v>64</v>
      </c>
      <c r="AD8" s="204">
        <v>1</v>
      </c>
      <c r="AE8" s="204">
        <v>1</v>
      </c>
      <c r="AF8" s="202">
        <v>66</v>
      </c>
      <c r="AG8" s="206">
        <v>30</v>
      </c>
      <c r="AH8" s="204" t="s">
        <v>585</v>
      </c>
      <c r="AI8" s="204">
        <v>14</v>
      </c>
      <c r="AJ8" s="204">
        <v>47</v>
      </c>
      <c r="AK8" s="206">
        <v>91</v>
      </c>
      <c r="AL8" s="193">
        <v>62</v>
      </c>
      <c r="AM8" s="193" t="s">
        <v>585</v>
      </c>
      <c r="AN8" s="206">
        <v>175</v>
      </c>
      <c r="AO8" s="204">
        <v>4</v>
      </c>
      <c r="AP8" s="206">
        <v>179</v>
      </c>
      <c r="AQ8" s="203">
        <v>2</v>
      </c>
      <c r="AR8" s="204" t="s">
        <v>585</v>
      </c>
      <c r="AS8" s="204" t="s">
        <v>585</v>
      </c>
      <c r="AT8" s="204">
        <v>1</v>
      </c>
      <c r="AU8" s="204">
        <v>1</v>
      </c>
      <c r="AV8" s="204" t="s">
        <v>585</v>
      </c>
      <c r="AW8" s="204" t="s">
        <v>585</v>
      </c>
      <c r="AX8" s="202">
        <v>4</v>
      </c>
      <c r="AY8" s="206">
        <v>1</v>
      </c>
      <c r="AZ8" s="193">
        <v>4</v>
      </c>
      <c r="BA8" s="206">
        <v>4</v>
      </c>
      <c r="BB8" s="377">
        <v>34</v>
      </c>
      <c r="BC8" s="206">
        <v>91</v>
      </c>
      <c r="BD8" s="206">
        <v>5</v>
      </c>
      <c r="BE8" s="378">
        <v>4</v>
      </c>
      <c r="BF8" s="206">
        <v>138</v>
      </c>
      <c r="BG8" s="193" t="s">
        <v>585</v>
      </c>
      <c r="BH8" s="193" t="s">
        <v>585</v>
      </c>
      <c r="BI8" s="193" t="s">
        <v>585</v>
      </c>
      <c r="BJ8" s="193" t="s">
        <v>585</v>
      </c>
      <c r="BK8" s="206">
        <v>16</v>
      </c>
      <c r="BL8" s="204" t="s">
        <v>585</v>
      </c>
      <c r="BM8" s="206">
        <v>16</v>
      </c>
      <c r="BN8" s="193">
        <v>20</v>
      </c>
      <c r="BO8" s="206">
        <v>2</v>
      </c>
      <c r="BP8" s="204" t="s">
        <v>585</v>
      </c>
      <c r="BQ8" s="206">
        <v>2</v>
      </c>
      <c r="BR8" s="203">
        <v>60</v>
      </c>
      <c r="BS8" s="204">
        <v>693</v>
      </c>
      <c r="BT8" s="204">
        <v>243</v>
      </c>
      <c r="BU8" s="204">
        <v>156</v>
      </c>
      <c r="BV8" s="204">
        <v>1</v>
      </c>
      <c r="BW8" s="204">
        <v>1</v>
      </c>
      <c r="BX8" s="204">
        <v>1</v>
      </c>
      <c r="BY8" s="204">
        <v>24</v>
      </c>
      <c r="BZ8" s="204">
        <v>46</v>
      </c>
      <c r="CA8" s="204">
        <v>175</v>
      </c>
      <c r="CB8" s="204" t="s">
        <v>585</v>
      </c>
      <c r="CC8" s="204" t="s">
        <v>585</v>
      </c>
      <c r="CD8" s="204" t="s">
        <v>585</v>
      </c>
      <c r="CE8" s="204" t="s">
        <v>585</v>
      </c>
      <c r="CF8" s="202">
        <v>1400</v>
      </c>
      <c r="CG8" s="206">
        <v>1</v>
      </c>
      <c r="CH8" s="204" t="s">
        <v>585</v>
      </c>
      <c r="CI8" s="206">
        <v>1</v>
      </c>
      <c r="CJ8" s="193" t="s">
        <v>585</v>
      </c>
      <c r="CK8" s="206">
        <v>28371</v>
      </c>
      <c r="CL8" s="204">
        <v>38</v>
      </c>
      <c r="CM8" s="204">
        <v>79558</v>
      </c>
      <c r="CN8" s="204">
        <v>55086</v>
      </c>
      <c r="CO8" s="204">
        <v>1</v>
      </c>
      <c r="CP8" s="204" t="s">
        <v>585</v>
      </c>
      <c r="CQ8" s="204">
        <v>230</v>
      </c>
      <c r="CR8" s="204" t="s">
        <v>585</v>
      </c>
      <c r="CS8" s="204">
        <v>70</v>
      </c>
      <c r="CT8" s="204">
        <v>2</v>
      </c>
      <c r="CU8" s="204">
        <v>2</v>
      </c>
      <c r="CV8" s="206">
        <v>163358</v>
      </c>
      <c r="CW8" s="203">
        <v>251</v>
      </c>
      <c r="CX8" s="204">
        <v>268</v>
      </c>
      <c r="CY8" s="204">
        <v>10</v>
      </c>
      <c r="CZ8" s="204">
        <v>163</v>
      </c>
      <c r="DA8" s="204" t="s">
        <v>585</v>
      </c>
      <c r="DB8" s="204">
        <v>110</v>
      </c>
      <c r="DC8" s="204" t="s">
        <v>585</v>
      </c>
      <c r="DD8" s="202">
        <v>802</v>
      </c>
      <c r="DE8" s="206" t="s">
        <v>585</v>
      </c>
      <c r="DF8" s="203">
        <v>1</v>
      </c>
      <c r="DG8" s="204" t="s">
        <v>585</v>
      </c>
      <c r="DH8" s="202">
        <v>1</v>
      </c>
      <c r="DI8" s="206">
        <v>22</v>
      </c>
      <c r="DJ8" s="204" t="s">
        <v>585</v>
      </c>
      <c r="DK8" s="206">
        <v>22</v>
      </c>
      <c r="DL8" s="193">
        <v>7</v>
      </c>
      <c r="DM8" s="206" t="s">
        <v>585</v>
      </c>
      <c r="DN8" s="204" t="s">
        <v>585</v>
      </c>
      <c r="DO8" s="206" t="s">
        <v>585</v>
      </c>
      <c r="DP8" s="203">
        <v>165</v>
      </c>
      <c r="DQ8" s="204" t="s">
        <v>585</v>
      </c>
      <c r="DR8" s="202">
        <v>165</v>
      </c>
      <c r="DS8" s="206">
        <v>2</v>
      </c>
      <c r="DT8" s="193" t="s">
        <v>585</v>
      </c>
      <c r="DU8" s="206">
        <v>15</v>
      </c>
      <c r="DV8" s="204" t="s">
        <v>585</v>
      </c>
      <c r="DW8" s="206">
        <v>15</v>
      </c>
      <c r="DX8" s="193" t="s">
        <v>585</v>
      </c>
      <c r="DY8" s="193" t="s">
        <v>585</v>
      </c>
      <c r="DZ8" s="206">
        <v>3042</v>
      </c>
      <c r="EA8" s="204">
        <v>5</v>
      </c>
      <c r="EB8" s="204">
        <v>262</v>
      </c>
      <c r="EC8" s="204">
        <v>163</v>
      </c>
      <c r="ED8" s="204" t="s">
        <v>585</v>
      </c>
      <c r="EE8" s="204" t="s">
        <v>585</v>
      </c>
      <c r="EF8" s="204" t="s">
        <v>585</v>
      </c>
      <c r="EG8" s="206">
        <v>3472</v>
      </c>
      <c r="EH8" s="203">
        <v>19</v>
      </c>
      <c r="EI8" s="204">
        <v>497</v>
      </c>
      <c r="EJ8" s="204">
        <v>3</v>
      </c>
      <c r="EK8" s="204">
        <v>15</v>
      </c>
      <c r="EL8" s="204">
        <v>362</v>
      </c>
      <c r="EM8" s="204">
        <v>222</v>
      </c>
      <c r="EN8" s="204">
        <v>5</v>
      </c>
      <c r="EO8" s="204">
        <v>23</v>
      </c>
      <c r="EP8" s="204">
        <v>137</v>
      </c>
      <c r="EQ8" s="204">
        <v>11</v>
      </c>
      <c r="ER8" s="204" t="s">
        <v>585</v>
      </c>
      <c r="ES8" s="204" t="s">
        <v>585</v>
      </c>
      <c r="ET8" s="204">
        <v>1</v>
      </c>
      <c r="EU8" s="202">
        <v>1295</v>
      </c>
      <c r="EV8" s="206" t="s">
        <v>585</v>
      </c>
      <c r="EW8" s="193" t="s">
        <v>585</v>
      </c>
      <c r="EX8" s="206">
        <v>28</v>
      </c>
      <c r="EY8" s="204">
        <v>1</v>
      </c>
      <c r="EZ8" s="204">
        <v>15</v>
      </c>
      <c r="FA8" s="206">
        <v>44</v>
      </c>
      <c r="FB8" s="193" t="s">
        <v>585</v>
      </c>
      <c r="FC8" s="206">
        <v>15</v>
      </c>
      <c r="FD8" s="203">
        <v>297</v>
      </c>
      <c r="FE8" s="204">
        <v>2</v>
      </c>
      <c r="FF8" s="204">
        <v>84</v>
      </c>
      <c r="FG8" s="204">
        <v>7</v>
      </c>
      <c r="FH8" s="202">
        <v>390</v>
      </c>
      <c r="FI8" s="206" t="s">
        <v>585</v>
      </c>
      <c r="FJ8" s="204" t="s">
        <v>585</v>
      </c>
      <c r="FK8" s="206" t="s">
        <v>585</v>
      </c>
      <c r="FL8" s="203" t="s">
        <v>585</v>
      </c>
      <c r="FM8" s="204" t="s">
        <v>585</v>
      </c>
      <c r="FN8" s="202" t="s">
        <v>585</v>
      </c>
      <c r="FO8" s="206" t="s">
        <v>585</v>
      </c>
      <c r="FP8" s="193">
        <v>37</v>
      </c>
      <c r="FQ8" s="206">
        <v>3</v>
      </c>
      <c r="FR8" s="204">
        <v>326</v>
      </c>
      <c r="FS8" s="204">
        <v>15</v>
      </c>
      <c r="FT8" s="206">
        <v>344</v>
      </c>
      <c r="FU8" s="203">
        <v>291</v>
      </c>
      <c r="FV8" s="204">
        <v>6</v>
      </c>
      <c r="FW8" s="202">
        <v>297</v>
      </c>
      <c r="FX8" s="206" t="s">
        <v>585</v>
      </c>
      <c r="FY8" s="203" t="s">
        <v>585</v>
      </c>
      <c r="FZ8" s="204">
        <v>1</v>
      </c>
      <c r="GA8" s="204" t="s">
        <v>585</v>
      </c>
      <c r="GB8" s="202">
        <v>1</v>
      </c>
      <c r="GC8" s="206">
        <v>156</v>
      </c>
      <c r="GD8" s="203">
        <v>2</v>
      </c>
      <c r="GE8" s="204">
        <v>15</v>
      </c>
      <c r="GF8" s="204">
        <v>31</v>
      </c>
      <c r="GG8" s="204" t="s">
        <v>585</v>
      </c>
      <c r="GH8" s="202">
        <v>48</v>
      </c>
      <c r="GI8" s="193">
        <v>177655</v>
      </c>
      <c r="GJ8" s="368">
        <f>177655/45058286</f>
        <v>3.942782022378747E-3</v>
      </c>
      <c r="GK8" s="382"/>
    </row>
    <row r="9" spans="2:193" ht="12" customHeight="1" x14ac:dyDescent="0.2">
      <c r="B9" s="359" t="s">
        <v>222</v>
      </c>
      <c r="C9" s="203">
        <v>46</v>
      </c>
      <c r="D9" s="204" t="s">
        <v>585</v>
      </c>
      <c r="E9" s="204" t="s">
        <v>585</v>
      </c>
      <c r="F9" s="204" t="s">
        <v>585</v>
      </c>
      <c r="G9" s="202">
        <v>46</v>
      </c>
      <c r="H9" s="193" t="s">
        <v>585</v>
      </c>
      <c r="I9" s="206" t="s">
        <v>585</v>
      </c>
      <c r="J9" s="204" t="s">
        <v>585</v>
      </c>
      <c r="K9" s="206" t="s">
        <v>585</v>
      </c>
      <c r="L9" s="193" t="s">
        <v>585</v>
      </c>
      <c r="M9" s="193">
        <v>175</v>
      </c>
      <c r="N9" s="206" t="s">
        <v>585</v>
      </c>
      <c r="O9" s="204" t="s">
        <v>585</v>
      </c>
      <c r="P9" s="204">
        <v>165</v>
      </c>
      <c r="Q9" s="204" t="s">
        <v>585</v>
      </c>
      <c r="R9" s="204" t="s">
        <v>585</v>
      </c>
      <c r="S9" s="204" t="s">
        <v>585</v>
      </c>
      <c r="T9" s="204" t="s">
        <v>585</v>
      </c>
      <c r="U9" s="206">
        <v>165</v>
      </c>
      <c r="V9" s="203" t="s">
        <v>585</v>
      </c>
      <c r="W9" s="204" t="s">
        <v>585</v>
      </c>
      <c r="X9" s="202" t="s">
        <v>585</v>
      </c>
      <c r="Y9" s="206">
        <v>8</v>
      </c>
      <c r="Z9" s="204" t="s">
        <v>585</v>
      </c>
      <c r="AA9" s="204" t="s">
        <v>585</v>
      </c>
      <c r="AB9" s="206">
        <v>8</v>
      </c>
      <c r="AC9" s="203" t="s">
        <v>585</v>
      </c>
      <c r="AD9" s="204" t="s">
        <v>585</v>
      </c>
      <c r="AE9" s="204" t="s">
        <v>585</v>
      </c>
      <c r="AF9" s="202" t="s">
        <v>585</v>
      </c>
      <c r="AG9" s="206" t="s">
        <v>585</v>
      </c>
      <c r="AH9" s="204" t="s">
        <v>585</v>
      </c>
      <c r="AI9" s="204" t="s">
        <v>585</v>
      </c>
      <c r="AJ9" s="204" t="s">
        <v>585</v>
      </c>
      <c r="AK9" s="206" t="s">
        <v>585</v>
      </c>
      <c r="AL9" s="193" t="s">
        <v>585</v>
      </c>
      <c r="AM9" s="193" t="s">
        <v>585</v>
      </c>
      <c r="AN9" s="206" t="s">
        <v>585</v>
      </c>
      <c r="AO9" s="204" t="s">
        <v>585</v>
      </c>
      <c r="AP9" s="206" t="s">
        <v>585</v>
      </c>
      <c r="AQ9" s="203" t="s">
        <v>585</v>
      </c>
      <c r="AR9" s="204" t="s">
        <v>585</v>
      </c>
      <c r="AS9" s="204" t="s">
        <v>585</v>
      </c>
      <c r="AT9" s="204" t="s">
        <v>585</v>
      </c>
      <c r="AU9" s="204" t="s">
        <v>585</v>
      </c>
      <c r="AV9" s="204" t="s">
        <v>585</v>
      </c>
      <c r="AW9" s="204" t="s">
        <v>585</v>
      </c>
      <c r="AX9" s="202" t="s">
        <v>585</v>
      </c>
      <c r="AY9" s="206" t="s">
        <v>585</v>
      </c>
      <c r="AZ9" s="193" t="s">
        <v>585</v>
      </c>
      <c r="BA9" s="206">
        <v>1</v>
      </c>
      <c r="BB9" s="377" t="s">
        <v>585</v>
      </c>
      <c r="BC9" s="206">
        <v>13</v>
      </c>
      <c r="BD9" s="206" t="s">
        <v>585</v>
      </c>
      <c r="BE9" s="378" t="s">
        <v>585</v>
      </c>
      <c r="BF9" s="206">
        <v>14</v>
      </c>
      <c r="BG9" s="193" t="s">
        <v>585</v>
      </c>
      <c r="BH9" s="193" t="s">
        <v>585</v>
      </c>
      <c r="BI9" s="193" t="s">
        <v>585</v>
      </c>
      <c r="BJ9" s="193" t="s">
        <v>585</v>
      </c>
      <c r="BK9" s="206">
        <v>3</v>
      </c>
      <c r="BL9" s="204">
        <v>1</v>
      </c>
      <c r="BM9" s="206">
        <v>4</v>
      </c>
      <c r="BN9" s="193" t="s">
        <v>585</v>
      </c>
      <c r="BO9" s="206" t="s">
        <v>585</v>
      </c>
      <c r="BP9" s="204" t="s">
        <v>585</v>
      </c>
      <c r="BQ9" s="206" t="s">
        <v>585</v>
      </c>
      <c r="BR9" s="203">
        <v>15</v>
      </c>
      <c r="BS9" s="204">
        <v>1</v>
      </c>
      <c r="BT9" s="204" t="s">
        <v>585</v>
      </c>
      <c r="BU9" s="204" t="s">
        <v>585</v>
      </c>
      <c r="BV9" s="204" t="s">
        <v>585</v>
      </c>
      <c r="BW9" s="204">
        <v>8</v>
      </c>
      <c r="BX9" s="204" t="s">
        <v>585</v>
      </c>
      <c r="BY9" s="204">
        <v>1</v>
      </c>
      <c r="BZ9" s="204" t="s">
        <v>585</v>
      </c>
      <c r="CA9" s="204">
        <v>3</v>
      </c>
      <c r="CB9" s="204" t="s">
        <v>585</v>
      </c>
      <c r="CC9" s="204" t="s">
        <v>585</v>
      </c>
      <c r="CD9" s="204" t="s">
        <v>585</v>
      </c>
      <c r="CE9" s="204" t="s">
        <v>585</v>
      </c>
      <c r="CF9" s="202">
        <v>28</v>
      </c>
      <c r="CG9" s="206" t="s">
        <v>585</v>
      </c>
      <c r="CH9" s="204" t="s">
        <v>585</v>
      </c>
      <c r="CI9" s="206" t="s">
        <v>585</v>
      </c>
      <c r="CJ9" s="193" t="s">
        <v>585</v>
      </c>
      <c r="CK9" s="206">
        <v>2878</v>
      </c>
      <c r="CL9" s="204" t="s">
        <v>585</v>
      </c>
      <c r="CM9" s="204">
        <v>11506</v>
      </c>
      <c r="CN9" s="204">
        <v>2916</v>
      </c>
      <c r="CO9" s="204" t="s">
        <v>585</v>
      </c>
      <c r="CP9" s="204" t="s">
        <v>585</v>
      </c>
      <c r="CQ9" s="204" t="s">
        <v>585</v>
      </c>
      <c r="CR9" s="204" t="s">
        <v>585</v>
      </c>
      <c r="CS9" s="204" t="s">
        <v>585</v>
      </c>
      <c r="CT9" s="204" t="s">
        <v>585</v>
      </c>
      <c r="CU9" s="204" t="s">
        <v>585</v>
      </c>
      <c r="CV9" s="206">
        <v>17300</v>
      </c>
      <c r="CW9" s="203">
        <v>22</v>
      </c>
      <c r="CX9" s="204">
        <v>2</v>
      </c>
      <c r="CY9" s="204">
        <v>4</v>
      </c>
      <c r="CZ9" s="204" t="s">
        <v>585</v>
      </c>
      <c r="DA9" s="204" t="s">
        <v>585</v>
      </c>
      <c r="DB9" s="204" t="s">
        <v>585</v>
      </c>
      <c r="DC9" s="204" t="s">
        <v>585</v>
      </c>
      <c r="DD9" s="202">
        <v>28</v>
      </c>
      <c r="DE9" s="206" t="s">
        <v>585</v>
      </c>
      <c r="DF9" s="203" t="s">
        <v>585</v>
      </c>
      <c r="DG9" s="204" t="s">
        <v>585</v>
      </c>
      <c r="DH9" s="202" t="s">
        <v>585</v>
      </c>
      <c r="DI9" s="206" t="s">
        <v>585</v>
      </c>
      <c r="DJ9" s="204" t="s">
        <v>585</v>
      </c>
      <c r="DK9" s="206" t="s">
        <v>585</v>
      </c>
      <c r="DL9" s="193" t="s">
        <v>585</v>
      </c>
      <c r="DM9" s="206" t="s">
        <v>585</v>
      </c>
      <c r="DN9" s="204" t="s">
        <v>585</v>
      </c>
      <c r="DO9" s="206" t="s">
        <v>585</v>
      </c>
      <c r="DP9" s="203">
        <v>1</v>
      </c>
      <c r="DQ9" s="204" t="s">
        <v>585</v>
      </c>
      <c r="DR9" s="202">
        <v>1</v>
      </c>
      <c r="DS9" s="206">
        <v>3</v>
      </c>
      <c r="DT9" s="193" t="s">
        <v>585</v>
      </c>
      <c r="DU9" s="206" t="s">
        <v>585</v>
      </c>
      <c r="DV9" s="204" t="s">
        <v>585</v>
      </c>
      <c r="DW9" s="206" t="s">
        <v>585</v>
      </c>
      <c r="DX9" s="193" t="s">
        <v>585</v>
      </c>
      <c r="DY9" s="193" t="s">
        <v>585</v>
      </c>
      <c r="DZ9" s="206">
        <v>14</v>
      </c>
      <c r="EA9" s="204">
        <v>1</v>
      </c>
      <c r="EB9" s="204" t="s">
        <v>585</v>
      </c>
      <c r="EC9" s="204" t="s">
        <v>585</v>
      </c>
      <c r="ED9" s="204" t="s">
        <v>585</v>
      </c>
      <c r="EE9" s="204" t="s">
        <v>585</v>
      </c>
      <c r="EF9" s="204" t="s">
        <v>585</v>
      </c>
      <c r="EG9" s="206">
        <v>15</v>
      </c>
      <c r="EH9" s="203" t="s">
        <v>585</v>
      </c>
      <c r="EI9" s="204">
        <v>2</v>
      </c>
      <c r="EJ9" s="204" t="s">
        <v>585</v>
      </c>
      <c r="EK9" s="204" t="s">
        <v>585</v>
      </c>
      <c r="EL9" s="204" t="s">
        <v>585</v>
      </c>
      <c r="EM9" s="204">
        <v>15</v>
      </c>
      <c r="EN9" s="204" t="s">
        <v>585</v>
      </c>
      <c r="EO9" s="204" t="s">
        <v>585</v>
      </c>
      <c r="EP9" s="204">
        <v>1</v>
      </c>
      <c r="EQ9" s="204" t="s">
        <v>585</v>
      </c>
      <c r="ER9" s="204" t="s">
        <v>585</v>
      </c>
      <c r="ES9" s="204" t="s">
        <v>585</v>
      </c>
      <c r="ET9" s="204" t="s">
        <v>585</v>
      </c>
      <c r="EU9" s="202">
        <v>18</v>
      </c>
      <c r="EV9" s="206" t="s">
        <v>585</v>
      </c>
      <c r="EW9" s="193" t="s">
        <v>585</v>
      </c>
      <c r="EX9" s="206" t="s">
        <v>585</v>
      </c>
      <c r="EY9" s="204" t="s">
        <v>585</v>
      </c>
      <c r="EZ9" s="204" t="s">
        <v>585</v>
      </c>
      <c r="FA9" s="206" t="s">
        <v>585</v>
      </c>
      <c r="FB9" s="193" t="s">
        <v>585</v>
      </c>
      <c r="FC9" s="206" t="s">
        <v>585</v>
      </c>
      <c r="FD9" s="203" t="s">
        <v>585</v>
      </c>
      <c r="FE9" s="204" t="s">
        <v>585</v>
      </c>
      <c r="FF9" s="204" t="s">
        <v>585</v>
      </c>
      <c r="FG9" s="204" t="s">
        <v>585</v>
      </c>
      <c r="FH9" s="202" t="s">
        <v>585</v>
      </c>
      <c r="FI9" s="206" t="s">
        <v>585</v>
      </c>
      <c r="FJ9" s="204" t="s">
        <v>585</v>
      </c>
      <c r="FK9" s="206" t="s">
        <v>585</v>
      </c>
      <c r="FL9" s="203" t="s">
        <v>585</v>
      </c>
      <c r="FM9" s="204" t="s">
        <v>585</v>
      </c>
      <c r="FN9" s="202" t="s">
        <v>585</v>
      </c>
      <c r="FO9" s="206" t="s">
        <v>585</v>
      </c>
      <c r="FP9" s="193">
        <v>20</v>
      </c>
      <c r="FQ9" s="206" t="s">
        <v>585</v>
      </c>
      <c r="FR9" s="204">
        <v>2</v>
      </c>
      <c r="FS9" s="204" t="s">
        <v>585</v>
      </c>
      <c r="FT9" s="206">
        <v>2</v>
      </c>
      <c r="FU9" s="203">
        <v>36</v>
      </c>
      <c r="FV9" s="204" t="s">
        <v>585</v>
      </c>
      <c r="FW9" s="202">
        <v>36</v>
      </c>
      <c r="FX9" s="206" t="s">
        <v>585</v>
      </c>
      <c r="FY9" s="203" t="s">
        <v>585</v>
      </c>
      <c r="FZ9" s="204" t="s">
        <v>585</v>
      </c>
      <c r="GA9" s="204" t="s">
        <v>585</v>
      </c>
      <c r="GB9" s="202" t="s">
        <v>585</v>
      </c>
      <c r="GC9" s="206" t="s">
        <v>585</v>
      </c>
      <c r="GD9" s="203" t="s">
        <v>585</v>
      </c>
      <c r="GE9" s="204" t="s">
        <v>585</v>
      </c>
      <c r="GF9" s="204" t="s">
        <v>585</v>
      </c>
      <c r="GG9" s="204" t="s">
        <v>585</v>
      </c>
      <c r="GH9" s="202" t="s">
        <v>585</v>
      </c>
      <c r="GI9" s="193">
        <v>17863</v>
      </c>
      <c r="GJ9" s="368">
        <f>17863/45058286</f>
        <v>3.9644206617180246E-4</v>
      </c>
      <c r="GK9" s="382"/>
    </row>
    <row r="10" spans="2:193" ht="12" customHeight="1" x14ac:dyDescent="0.2">
      <c r="B10" s="359" t="s">
        <v>238</v>
      </c>
      <c r="C10" s="203">
        <v>56</v>
      </c>
      <c r="D10" s="204" t="s">
        <v>585</v>
      </c>
      <c r="E10" s="204" t="s">
        <v>585</v>
      </c>
      <c r="F10" s="204" t="s">
        <v>585</v>
      </c>
      <c r="G10" s="202">
        <v>56</v>
      </c>
      <c r="H10" s="193" t="s">
        <v>585</v>
      </c>
      <c r="I10" s="206">
        <v>9</v>
      </c>
      <c r="J10" s="204" t="s">
        <v>585</v>
      </c>
      <c r="K10" s="206">
        <v>9</v>
      </c>
      <c r="L10" s="193" t="s">
        <v>585</v>
      </c>
      <c r="M10" s="193">
        <v>159</v>
      </c>
      <c r="N10" s="206">
        <v>2</v>
      </c>
      <c r="O10" s="204" t="s">
        <v>585</v>
      </c>
      <c r="P10" s="204">
        <v>3530</v>
      </c>
      <c r="Q10" s="204">
        <v>27</v>
      </c>
      <c r="R10" s="204">
        <v>5</v>
      </c>
      <c r="S10" s="204" t="s">
        <v>585</v>
      </c>
      <c r="T10" s="204" t="s">
        <v>585</v>
      </c>
      <c r="U10" s="206">
        <v>3564</v>
      </c>
      <c r="V10" s="203">
        <v>4</v>
      </c>
      <c r="W10" s="204" t="s">
        <v>585</v>
      </c>
      <c r="X10" s="202">
        <v>4</v>
      </c>
      <c r="Y10" s="206">
        <v>57</v>
      </c>
      <c r="Z10" s="204" t="s">
        <v>585</v>
      </c>
      <c r="AA10" s="204" t="s">
        <v>585</v>
      </c>
      <c r="AB10" s="206">
        <v>57</v>
      </c>
      <c r="AC10" s="203">
        <v>27</v>
      </c>
      <c r="AD10" s="204" t="s">
        <v>585</v>
      </c>
      <c r="AE10" s="204" t="s">
        <v>585</v>
      </c>
      <c r="AF10" s="202">
        <v>27</v>
      </c>
      <c r="AG10" s="206">
        <v>1</v>
      </c>
      <c r="AH10" s="204" t="s">
        <v>585</v>
      </c>
      <c r="AI10" s="204" t="s">
        <v>585</v>
      </c>
      <c r="AJ10" s="204" t="s">
        <v>585</v>
      </c>
      <c r="AK10" s="206">
        <v>1</v>
      </c>
      <c r="AL10" s="193" t="s">
        <v>585</v>
      </c>
      <c r="AM10" s="193" t="s">
        <v>585</v>
      </c>
      <c r="AN10" s="206" t="s">
        <v>585</v>
      </c>
      <c r="AO10" s="204" t="s">
        <v>585</v>
      </c>
      <c r="AP10" s="206" t="s">
        <v>585</v>
      </c>
      <c r="AQ10" s="203">
        <v>2</v>
      </c>
      <c r="AR10" s="204" t="s">
        <v>585</v>
      </c>
      <c r="AS10" s="204" t="s">
        <v>585</v>
      </c>
      <c r="AT10" s="204" t="s">
        <v>585</v>
      </c>
      <c r="AU10" s="204" t="s">
        <v>585</v>
      </c>
      <c r="AV10" s="204" t="s">
        <v>585</v>
      </c>
      <c r="AW10" s="204" t="s">
        <v>585</v>
      </c>
      <c r="AX10" s="202">
        <v>2</v>
      </c>
      <c r="AY10" s="206" t="s">
        <v>585</v>
      </c>
      <c r="AZ10" s="193">
        <v>1</v>
      </c>
      <c r="BA10" s="206">
        <v>19</v>
      </c>
      <c r="BB10" s="377">
        <v>66</v>
      </c>
      <c r="BC10" s="206">
        <v>161</v>
      </c>
      <c r="BD10" s="206">
        <v>17</v>
      </c>
      <c r="BE10" s="378">
        <v>3</v>
      </c>
      <c r="BF10" s="206">
        <v>266</v>
      </c>
      <c r="BG10" s="193" t="s">
        <v>585</v>
      </c>
      <c r="BH10" s="193" t="s">
        <v>585</v>
      </c>
      <c r="BI10" s="193" t="s">
        <v>585</v>
      </c>
      <c r="BJ10" s="193">
        <v>4</v>
      </c>
      <c r="BK10" s="206">
        <v>5</v>
      </c>
      <c r="BL10" s="204" t="s">
        <v>585</v>
      </c>
      <c r="BM10" s="206">
        <v>5</v>
      </c>
      <c r="BN10" s="193" t="s">
        <v>585</v>
      </c>
      <c r="BO10" s="206">
        <v>2</v>
      </c>
      <c r="BP10" s="204" t="s">
        <v>585</v>
      </c>
      <c r="BQ10" s="206">
        <v>2</v>
      </c>
      <c r="BR10" s="203">
        <v>9</v>
      </c>
      <c r="BS10" s="204">
        <v>1</v>
      </c>
      <c r="BT10" s="204" t="s">
        <v>585</v>
      </c>
      <c r="BU10" s="204">
        <v>1</v>
      </c>
      <c r="BV10" s="204" t="s">
        <v>585</v>
      </c>
      <c r="BW10" s="204" t="s">
        <v>585</v>
      </c>
      <c r="BX10" s="204" t="s">
        <v>585</v>
      </c>
      <c r="BY10" s="204" t="s">
        <v>585</v>
      </c>
      <c r="BZ10" s="204" t="s">
        <v>585</v>
      </c>
      <c r="CA10" s="204" t="s">
        <v>585</v>
      </c>
      <c r="CB10" s="204" t="s">
        <v>585</v>
      </c>
      <c r="CC10" s="204" t="s">
        <v>585</v>
      </c>
      <c r="CD10" s="204" t="s">
        <v>585</v>
      </c>
      <c r="CE10" s="204" t="s">
        <v>585</v>
      </c>
      <c r="CF10" s="202">
        <v>11</v>
      </c>
      <c r="CG10" s="206">
        <v>1</v>
      </c>
      <c r="CH10" s="204" t="s">
        <v>585</v>
      </c>
      <c r="CI10" s="206">
        <v>1</v>
      </c>
      <c r="CJ10" s="193">
        <v>1</v>
      </c>
      <c r="CK10" s="206">
        <v>40243</v>
      </c>
      <c r="CL10" s="204" t="s">
        <v>585</v>
      </c>
      <c r="CM10" s="204">
        <v>117151</v>
      </c>
      <c r="CN10" s="204">
        <v>9662</v>
      </c>
      <c r="CO10" s="204">
        <v>2</v>
      </c>
      <c r="CP10" s="204" t="s">
        <v>585</v>
      </c>
      <c r="CQ10" s="204">
        <v>16</v>
      </c>
      <c r="CR10" s="204" t="s">
        <v>585</v>
      </c>
      <c r="CS10" s="204">
        <v>3</v>
      </c>
      <c r="CT10" s="204" t="s">
        <v>585</v>
      </c>
      <c r="CU10" s="204" t="s">
        <v>585</v>
      </c>
      <c r="CV10" s="206">
        <v>167077</v>
      </c>
      <c r="CW10" s="203">
        <v>319</v>
      </c>
      <c r="CX10" s="204">
        <v>14</v>
      </c>
      <c r="CY10" s="204">
        <v>18</v>
      </c>
      <c r="CZ10" s="204" t="s">
        <v>585</v>
      </c>
      <c r="DA10" s="204" t="s">
        <v>585</v>
      </c>
      <c r="DB10" s="204" t="s">
        <v>585</v>
      </c>
      <c r="DC10" s="204">
        <v>1</v>
      </c>
      <c r="DD10" s="202">
        <v>352</v>
      </c>
      <c r="DE10" s="206" t="s">
        <v>585</v>
      </c>
      <c r="DF10" s="203" t="s">
        <v>585</v>
      </c>
      <c r="DG10" s="204" t="s">
        <v>585</v>
      </c>
      <c r="DH10" s="202" t="s">
        <v>585</v>
      </c>
      <c r="DI10" s="206" t="s">
        <v>585</v>
      </c>
      <c r="DJ10" s="204" t="s">
        <v>585</v>
      </c>
      <c r="DK10" s="206" t="s">
        <v>585</v>
      </c>
      <c r="DL10" s="193">
        <v>19</v>
      </c>
      <c r="DM10" s="206" t="s">
        <v>585</v>
      </c>
      <c r="DN10" s="204" t="s">
        <v>585</v>
      </c>
      <c r="DO10" s="206" t="s">
        <v>585</v>
      </c>
      <c r="DP10" s="203">
        <v>88</v>
      </c>
      <c r="DQ10" s="204" t="s">
        <v>585</v>
      </c>
      <c r="DR10" s="202">
        <v>88</v>
      </c>
      <c r="DS10" s="206" t="s">
        <v>585</v>
      </c>
      <c r="DT10" s="193" t="s">
        <v>585</v>
      </c>
      <c r="DU10" s="206">
        <v>44</v>
      </c>
      <c r="DV10" s="204" t="s">
        <v>585</v>
      </c>
      <c r="DW10" s="206">
        <v>44</v>
      </c>
      <c r="DX10" s="193" t="s">
        <v>585</v>
      </c>
      <c r="DY10" s="193" t="s">
        <v>585</v>
      </c>
      <c r="DZ10" s="206">
        <v>2</v>
      </c>
      <c r="EA10" s="204" t="s">
        <v>585</v>
      </c>
      <c r="EB10" s="204">
        <v>11</v>
      </c>
      <c r="EC10" s="204" t="s">
        <v>585</v>
      </c>
      <c r="ED10" s="204" t="s">
        <v>585</v>
      </c>
      <c r="EE10" s="204" t="s">
        <v>585</v>
      </c>
      <c r="EF10" s="204" t="s">
        <v>585</v>
      </c>
      <c r="EG10" s="206">
        <v>13</v>
      </c>
      <c r="EH10" s="203">
        <v>75</v>
      </c>
      <c r="EI10" s="204">
        <v>113</v>
      </c>
      <c r="EJ10" s="204" t="s">
        <v>585</v>
      </c>
      <c r="EK10" s="204">
        <v>9</v>
      </c>
      <c r="EL10" s="204">
        <v>190</v>
      </c>
      <c r="EM10" s="204">
        <v>216</v>
      </c>
      <c r="EN10" s="204">
        <v>12</v>
      </c>
      <c r="EO10" s="204" t="s">
        <v>585</v>
      </c>
      <c r="EP10" s="204">
        <v>64</v>
      </c>
      <c r="EQ10" s="204">
        <v>1</v>
      </c>
      <c r="ER10" s="204">
        <v>1</v>
      </c>
      <c r="ES10" s="204" t="s">
        <v>585</v>
      </c>
      <c r="ET10" s="204" t="s">
        <v>585</v>
      </c>
      <c r="EU10" s="202">
        <v>681</v>
      </c>
      <c r="EV10" s="206" t="s">
        <v>585</v>
      </c>
      <c r="EW10" s="193" t="s">
        <v>585</v>
      </c>
      <c r="EX10" s="206" t="s">
        <v>585</v>
      </c>
      <c r="EY10" s="204" t="s">
        <v>585</v>
      </c>
      <c r="EZ10" s="204" t="s">
        <v>585</v>
      </c>
      <c r="FA10" s="206" t="s">
        <v>585</v>
      </c>
      <c r="FB10" s="193" t="s">
        <v>585</v>
      </c>
      <c r="FC10" s="206" t="s">
        <v>585</v>
      </c>
      <c r="FD10" s="203" t="s">
        <v>585</v>
      </c>
      <c r="FE10" s="204">
        <v>2</v>
      </c>
      <c r="FF10" s="204" t="s">
        <v>585</v>
      </c>
      <c r="FG10" s="204" t="s">
        <v>585</v>
      </c>
      <c r="FH10" s="202">
        <v>2</v>
      </c>
      <c r="FI10" s="206" t="s">
        <v>585</v>
      </c>
      <c r="FJ10" s="204" t="s">
        <v>585</v>
      </c>
      <c r="FK10" s="206" t="s">
        <v>585</v>
      </c>
      <c r="FL10" s="203" t="s">
        <v>585</v>
      </c>
      <c r="FM10" s="204" t="s">
        <v>585</v>
      </c>
      <c r="FN10" s="202" t="s">
        <v>585</v>
      </c>
      <c r="FO10" s="206" t="s">
        <v>585</v>
      </c>
      <c r="FP10" s="193">
        <v>18</v>
      </c>
      <c r="FQ10" s="206" t="s">
        <v>585</v>
      </c>
      <c r="FR10" s="204" t="s">
        <v>585</v>
      </c>
      <c r="FS10" s="204" t="s">
        <v>585</v>
      </c>
      <c r="FT10" s="206" t="s">
        <v>585</v>
      </c>
      <c r="FU10" s="203">
        <v>36</v>
      </c>
      <c r="FV10" s="204" t="s">
        <v>585</v>
      </c>
      <c r="FW10" s="202">
        <v>36</v>
      </c>
      <c r="FX10" s="206" t="s">
        <v>585</v>
      </c>
      <c r="FY10" s="203" t="s">
        <v>585</v>
      </c>
      <c r="FZ10" s="204">
        <v>4</v>
      </c>
      <c r="GA10" s="204" t="s">
        <v>585</v>
      </c>
      <c r="GB10" s="202">
        <v>4</v>
      </c>
      <c r="GC10" s="206">
        <v>83</v>
      </c>
      <c r="GD10" s="203" t="s">
        <v>585</v>
      </c>
      <c r="GE10" s="204" t="s">
        <v>585</v>
      </c>
      <c r="GF10" s="204" t="s">
        <v>585</v>
      </c>
      <c r="GG10" s="204" t="s">
        <v>585</v>
      </c>
      <c r="GH10" s="202" t="s">
        <v>585</v>
      </c>
      <c r="GI10" s="193">
        <v>172587</v>
      </c>
      <c r="GJ10" s="368">
        <f>172587/45058286</f>
        <v>3.8303054847669969E-3</v>
      </c>
      <c r="GK10" s="382"/>
    </row>
    <row r="11" spans="2:193" ht="12.75" customHeight="1" thickBot="1" x14ac:dyDescent="0.25">
      <c r="B11" s="359" t="s">
        <v>537</v>
      </c>
      <c r="C11" s="203">
        <v>117</v>
      </c>
      <c r="D11" s="204" t="s">
        <v>585</v>
      </c>
      <c r="E11" s="204">
        <v>1</v>
      </c>
      <c r="F11" s="204">
        <v>7</v>
      </c>
      <c r="G11" s="202">
        <v>125</v>
      </c>
      <c r="H11" s="193" t="s">
        <v>585</v>
      </c>
      <c r="I11" s="206">
        <v>1</v>
      </c>
      <c r="J11" s="204" t="s">
        <v>585</v>
      </c>
      <c r="K11" s="206">
        <v>1</v>
      </c>
      <c r="L11" s="193" t="s">
        <v>585</v>
      </c>
      <c r="M11" s="193">
        <v>2371</v>
      </c>
      <c r="N11" s="206">
        <v>34</v>
      </c>
      <c r="O11" s="204">
        <v>12</v>
      </c>
      <c r="P11" s="204">
        <v>2790</v>
      </c>
      <c r="Q11" s="204">
        <v>38</v>
      </c>
      <c r="R11" s="204">
        <v>7</v>
      </c>
      <c r="S11" s="204" t="s">
        <v>585</v>
      </c>
      <c r="T11" s="204" t="s">
        <v>585</v>
      </c>
      <c r="U11" s="206">
        <v>2881</v>
      </c>
      <c r="V11" s="203">
        <v>5</v>
      </c>
      <c r="W11" s="204" t="s">
        <v>585</v>
      </c>
      <c r="X11" s="202">
        <v>5</v>
      </c>
      <c r="Y11" s="206">
        <v>73</v>
      </c>
      <c r="Z11" s="204" t="s">
        <v>585</v>
      </c>
      <c r="AA11" s="204" t="s">
        <v>585</v>
      </c>
      <c r="AB11" s="206">
        <v>73</v>
      </c>
      <c r="AC11" s="203">
        <v>249</v>
      </c>
      <c r="AD11" s="204" t="s">
        <v>585</v>
      </c>
      <c r="AE11" s="204" t="s">
        <v>585</v>
      </c>
      <c r="AF11" s="202">
        <v>249</v>
      </c>
      <c r="AG11" s="206">
        <v>6</v>
      </c>
      <c r="AH11" s="204" t="s">
        <v>585</v>
      </c>
      <c r="AI11" s="204" t="s">
        <v>585</v>
      </c>
      <c r="AJ11" s="204">
        <v>4</v>
      </c>
      <c r="AK11" s="206">
        <v>10</v>
      </c>
      <c r="AL11" s="193">
        <v>1</v>
      </c>
      <c r="AM11" s="193" t="s">
        <v>585</v>
      </c>
      <c r="AN11" s="206">
        <v>35</v>
      </c>
      <c r="AO11" s="204">
        <v>2</v>
      </c>
      <c r="AP11" s="206">
        <v>37</v>
      </c>
      <c r="AQ11" s="203">
        <v>1</v>
      </c>
      <c r="AR11" s="204" t="s">
        <v>585</v>
      </c>
      <c r="AS11" s="204" t="s">
        <v>585</v>
      </c>
      <c r="AT11" s="204" t="s">
        <v>585</v>
      </c>
      <c r="AU11" s="204" t="s">
        <v>585</v>
      </c>
      <c r="AV11" s="204" t="s">
        <v>585</v>
      </c>
      <c r="AW11" s="204" t="s">
        <v>585</v>
      </c>
      <c r="AX11" s="202">
        <v>1</v>
      </c>
      <c r="AY11" s="206" t="s">
        <v>585</v>
      </c>
      <c r="AZ11" s="193">
        <v>3</v>
      </c>
      <c r="BA11" s="206">
        <v>12</v>
      </c>
      <c r="BB11" s="377">
        <v>68</v>
      </c>
      <c r="BC11" s="206">
        <v>78</v>
      </c>
      <c r="BD11" s="206">
        <v>9</v>
      </c>
      <c r="BE11" s="378" t="s">
        <v>585</v>
      </c>
      <c r="BF11" s="206">
        <v>167</v>
      </c>
      <c r="BG11" s="193">
        <v>1</v>
      </c>
      <c r="BH11" s="193" t="s">
        <v>585</v>
      </c>
      <c r="BI11" s="193">
        <v>3</v>
      </c>
      <c r="BJ11" s="193" t="s">
        <v>585</v>
      </c>
      <c r="BK11" s="206">
        <v>31</v>
      </c>
      <c r="BL11" s="204" t="s">
        <v>585</v>
      </c>
      <c r="BM11" s="206">
        <v>31</v>
      </c>
      <c r="BN11" s="193" t="s">
        <v>585</v>
      </c>
      <c r="BO11" s="206" t="s">
        <v>585</v>
      </c>
      <c r="BP11" s="204" t="s">
        <v>585</v>
      </c>
      <c r="BQ11" s="206" t="s">
        <v>585</v>
      </c>
      <c r="BR11" s="203">
        <v>17</v>
      </c>
      <c r="BS11" s="204">
        <v>131</v>
      </c>
      <c r="BT11" s="204">
        <v>93</v>
      </c>
      <c r="BU11" s="204">
        <v>18</v>
      </c>
      <c r="BV11" s="204" t="s">
        <v>585</v>
      </c>
      <c r="BW11" s="204">
        <v>15</v>
      </c>
      <c r="BX11" s="204" t="s">
        <v>585</v>
      </c>
      <c r="BY11" s="204">
        <v>1</v>
      </c>
      <c r="BZ11" s="204">
        <v>2</v>
      </c>
      <c r="CA11" s="204">
        <v>47</v>
      </c>
      <c r="CB11" s="204" t="s">
        <v>585</v>
      </c>
      <c r="CC11" s="204" t="s">
        <v>585</v>
      </c>
      <c r="CD11" s="204" t="s">
        <v>585</v>
      </c>
      <c r="CE11" s="204" t="s">
        <v>585</v>
      </c>
      <c r="CF11" s="202">
        <v>324</v>
      </c>
      <c r="CG11" s="206">
        <v>88</v>
      </c>
      <c r="CH11" s="204" t="s">
        <v>585</v>
      </c>
      <c r="CI11" s="206">
        <v>88</v>
      </c>
      <c r="CJ11" s="193">
        <v>1256</v>
      </c>
      <c r="CK11" s="206">
        <v>36019</v>
      </c>
      <c r="CL11" s="204" t="s">
        <v>585</v>
      </c>
      <c r="CM11" s="204">
        <v>139926</v>
      </c>
      <c r="CN11" s="204">
        <v>18897</v>
      </c>
      <c r="CO11" s="204">
        <v>6</v>
      </c>
      <c r="CP11" s="204" t="s">
        <v>585</v>
      </c>
      <c r="CQ11" s="204">
        <v>31</v>
      </c>
      <c r="CR11" s="204" t="s">
        <v>585</v>
      </c>
      <c r="CS11" s="204">
        <v>16</v>
      </c>
      <c r="CT11" s="204">
        <v>3</v>
      </c>
      <c r="CU11" s="204" t="s">
        <v>585</v>
      </c>
      <c r="CV11" s="206">
        <v>194898</v>
      </c>
      <c r="CW11" s="203">
        <v>520</v>
      </c>
      <c r="CX11" s="204">
        <v>707</v>
      </c>
      <c r="CY11" s="204">
        <v>313</v>
      </c>
      <c r="CZ11" s="204">
        <v>48</v>
      </c>
      <c r="DA11" s="204">
        <v>1</v>
      </c>
      <c r="DB11" s="204">
        <v>6</v>
      </c>
      <c r="DC11" s="204" t="s">
        <v>585</v>
      </c>
      <c r="DD11" s="202">
        <v>1595</v>
      </c>
      <c r="DE11" s="206" t="s">
        <v>585</v>
      </c>
      <c r="DF11" s="203" t="s">
        <v>585</v>
      </c>
      <c r="DG11" s="204" t="s">
        <v>585</v>
      </c>
      <c r="DH11" s="202" t="s">
        <v>585</v>
      </c>
      <c r="DI11" s="206" t="s">
        <v>585</v>
      </c>
      <c r="DJ11" s="204" t="s">
        <v>585</v>
      </c>
      <c r="DK11" s="206" t="s">
        <v>585</v>
      </c>
      <c r="DL11" s="193">
        <v>157</v>
      </c>
      <c r="DM11" s="206">
        <v>4</v>
      </c>
      <c r="DN11" s="204" t="s">
        <v>585</v>
      </c>
      <c r="DO11" s="206">
        <v>4</v>
      </c>
      <c r="DP11" s="203">
        <v>133</v>
      </c>
      <c r="DQ11" s="204" t="s">
        <v>585</v>
      </c>
      <c r="DR11" s="202">
        <v>133</v>
      </c>
      <c r="DS11" s="206">
        <v>3</v>
      </c>
      <c r="DT11" s="193">
        <v>1</v>
      </c>
      <c r="DU11" s="206">
        <v>31</v>
      </c>
      <c r="DV11" s="204" t="s">
        <v>585</v>
      </c>
      <c r="DW11" s="206">
        <v>31</v>
      </c>
      <c r="DX11" s="193">
        <v>4</v>
      </c>
      <c r="DY11" s="193" t="s">
        <v>585</v>
      </c>
      <c r="DZ11" s="206">
        <v>292</v>
      </c>
      <c r="EA11" s="204">
        <v>4</v>
      </c>
      <c r="EB11" s="204">
        <v>57</v>
      </c>
      <c r="EC11" s="204">
        <v>6</v>
      </c>
      <c r="ED11" s="204">
        <v>1</v>
      </c>
      <c r="EE11" s="204" t="s">
        <v>585</v>
      </c>
      <c r="EF11" s="204" t="s">
        <v>585</v>
      </c>
      <c r="EG11" s="206">
        <v>360</v>
      </c>
      <c r="EH11" s="203">
        <v>126</v>
      </c>
      <c r="EI11" s="204">
        <v>367</v>
      </c>
      <c r="EJ11" s="204">
        <v>6</v>
      </c>
      <c r="EK11" s="204">
        <v>5</v>
      </c>
      <c r="EL11" s="204">
        <v>687</v>
      </c>
      <c r="EM11" s="204">
        <v>365</v>
      </c>
      <c r="EN11" s="204">
        <v>87</v>
      </c>
      <c r="EO11" s="204">
        <v>11</v>
      </c>
      <c r="EP11" s="204">
        <v>470</v>
      </c>
      <c r="EQ11" s="204" t="s">
        <v>585</v>
      </c>
      <c r="ER11" s="204">
        <v>3</v>
      </c>
      <c r="ES11" s="204" t="s">
        <v>585</v>
      </c>
      <c r="ET11" s="204" t="s">
        <v>585</v>
      </c>
      <c r="EU11" s="202">
        <v>2127</v>
      </c>
      <c r="EV11" s="206" t="s">
        <v>585</v>
      </c>
      <c r="EW11" s="193" t="s">
        <v>585</v>
      </c>
      <c r="EX11" s="206">
        <v>13</v>
      </c>
      <c r="EY11" s="204" t="s">
        <v>585</v>
      </c>
      <c r="EZ11" s="204" t="s">
        <v>585</v>
      </c>
      <c r="FA11" s="206">
        <v>13</v>
      </c>
      <c r="FB11" s="193" t="s">
        <v>585</v>
      </c>
      <c r="FC11" s="206">
        <v>8</v>
      </c>
      <c r="FD11" s="203">
        <v>97</v>
      </c>
      <c r="FE11" s="204">
        <v>1</v>
      </c>
      <c r="FF11" s="204">
        <v>91</v>
      </c>
      <c r="FG11" s="204">
        <v>4</v>
      </c>
      <c r="FH11" s="202">
        <v>193</v>
      </c>
      <c r="FI11" s="206" t="s">
        <v>585</v>
      </c>
      <c r="FJ11" s="204" t="s">
        <v>585</v>
      </c>
      <c r="FK11" s="206" t="s">
        <v>585</v>
      </c>
      <c r="FL11" s="203" t="s">
        <v>585</v>
      </c>
      <c r="FM11" s="204" t="s">
        <v>585</v>
      </c>
      <c r="FN11" s="202" t="s">
        <v>585</v>
      </c>
      <c r="FO11" s="206" t="s">
        <v>585</v>
      </c>
      <c r="FP11" s="193">
        <v>12</v>
      </c>
      <c r="FQ11" s="206">
        <v>6</v>
      </c>
      <c r="FR11" s="204">
        <v>110</v>
      </c>
      <c r="FS11" s="204">
        <v>5</v>
      </c>
      <c r="FT11" s="206">
        <v>121</v>
      </c>
      <c r="FU11" s="203">
        <v>158</v>
      </c>
      <c r="FV11" s="204">
        <v>14</v>
      </c>
      <c r="FW11" s="202">
        <v>172</v>
      </c>
      <c r="FX11" s="206" t="s">
        <v>585</v>
      </c>
      <c r="FY11" s="203" t="s">
        <v>585</v>
      </c>
      <c r="FZ11" s="204" t="s">
        <v>585</v>
      </c>
      <c r="GA11" s="204">
        <v>1</v>
      </c>
      <c r="GB11" s="202">
        <v>1</v>
      </c>
      <c r="GC11" s="206">
        <v>45</v>
      </c>
      <c r="GD11" s="203">
        <v>1</v>
      </c>
      <c r="GE11" s="204">
        <v>2</v>
      </c>
      <c r="GF11" s="204">
        <v>2</v>
      </c>
      <c r="GG11" s="204" t="s">
        <v>585</v>
      </c>
      <c r="GH11" s="202">
        <v>5</v>
      </c>
      <c r="GI11" s="193">
        <v>207510</v>
      </c>
      <c r="GJ11" s="368">
        <f>207510/45058286</f>
        <v>4.6053682556855356E-3</v>
      </c>
      <c r="GK11" s="382"/>
    </row>
    <row r="12" spans="2:193" s="76" customFormat="1" ht="12.75" customHeight="1" thickBot="1" x14ac:dyDescent="0.25">
      <c r="B12" s="363" t="s">
        <v>538</v>
      </c>
      <c r="C12" s="266">
        <v>531</v>
      </c>
      <c r="D12" s="264">
        <v>2</v>
      </c>
      <c r="E12" s="264">
        <v>34</v>
      </c>
      <c r="F12" s="264">
        <v>7</v>
      </c>
      <c r="G12" s="267">
        <v>574</v>
      </c>
      <c r="H12" s="265" t="s">
        <v>585</v>
      </c>
      <c r="I12" s="263">
        <v>23</v>
      </c>
      <c r="J12" s="264" t="s">
        <v>585</v>
      </c>
      <c r="K12" s="263">
        <v>23</v>
      </c>
      <c r="L12" s="265" t="s">
        <v>585</v>
      </c>
      <c r="M12" s="265">
        <v>5354</v>
      </c>
      <c r="N12" s="263">
        <v>160</v>
      </c>
      <c r="O12" s="264">
        <v>740</v>
      </c>
      <c r="P12" s="264">
        <v>53762</v>
      </c>
      <c r="Q12" s="264">
        <v>259</v>
      </c>
      <c r="R12" s="264">
        <v>104</v>
      </c>
      <c r="S12" s="264">
        <v>5</v>
      </c>
      <c r="T12" s="264" t="s">
        <v>585</v>
      </c>
      <c r="U12" s="263">
        <v>55030</v>
      </c>
      <c r="V12" s="266">
        <v>27</v>
      </c>
      <c r="W12" s="264">
        <v>2</v>
      </c>
      <c r="X12" s="267">
        <v>29</v>
      </c>
      <c r="Y12" s="263">
        <v>523</v>
      </c>
      <c r="Z12" s="264">
        <v>7</v>
      </c>
      <c r="AA12" s="264">
        <v>2</v>
      </c>
      <c r="AB12" s="263">
        <v>532</v>
      </c>
      <c r="AC12" s="266">
        <v>1045</v>
      </c>
      <c r="AD12" s="264">
        <v>6</v>
      </c>
      <c r="AE12" s="264">
        <v>5</v>
      </c>
      <c r="AF12" s="267">
        <v>1056</v>
      </c>
      <c r="AG12" s="263">
        <v>102</v>
      </c>
      <c r="AH12" s="264">
        <v>2</v>
      </c>
      <c r="AI12" s="264">
        <v>14</v>
      </c>
      <c r="AJ12" s="264">
        <v>51</v>
      </c>
      <c r="AK12" s="263">
        <v>169</v>
      </c>
      <c r="AL12" s="265">
        <v>63</v>
      </c>
      <c r="AM12" s="265" t="s">
        <v>585</v>
      </c>
      <c r="AN12" s="263">
        <v>246</v>
      </c>
      <c r="AO12" s="264">
        <v>8</v>
      </c>
      <c r="AP12" s="263">
        <v>254</v>
      </c>
      <c r="AQ12" s="266">
        <v>13</v>
      </c>
      <c r="AR12" s="264">
        <v>3</v>
      </c>
      <c r="AS12" s="264">
        <v>14</v>
      </c>
      <c r="AT12" s="264">
        <v>1</v>
      </c>
      <c r="AU12" s="264">
        <v>1</v>
      </c>
      <c r="AV12" s="264" t="s">
        <v>585</v>
      </c>
      <c r="AW12" s="264" t="s">
        <v>585</v>
      </c>
      <c r="AX12" s="267">
        <v>32</v>
      </c>
      <c r="AY12" s="263">
        <v>1</v>
      </c>
      <c r="AZ12" s="265">
        <v>10</v>
      </c>
      <c r="BA12" s="263">
        <v>85</v>
      </c>
      <c r="BB12" s="379">
        <v>505</v>
      </c>
      <c r="BC12" s="263">
        <v>964</v>
      </c>
      <c r="BD12" s="263">
        <v>109</v>
      </c>
      <c r="BE12" s="380">
        <v>29</v>
      </c>
      <c r="BF12" s="263">
        <v>1692</v>
      </c>
      <c r="BG12" s="265">
        <v>1</v>
      </c>
      <c r="BH12" s="265" t="s">
        <v>585</v>
      </c>
      <c r="BI12" s="265">
        <v>3</v>
      </c>
      <c r="BJ12" s="265">
        <v>36</v>
      </c>
      <c r="BK12" s="263">
        <v>79</v>
      </c>
      <c r="BL12" s="264">
        <v>1</v>
      </c>
      <c r="BM12" s="263">
        <v>80</v>
      </c>
      <c r="BN12" s="265">
        <v>20</v>
      </c>
      <c r="BO12" s="263">
        <v>5</v>
      </c>
      <c r="BP12" s="264" t="s">
        <v>585</v>
      </c>
      <c r="BQ12" s="263">
        <v>5</v>
      </c>
      <c r="BR12" s="266">
        <v>170</v>
      </c>
      <c r="BS12" s="264">
        <v>830</v>
      </c>
      <c r="BT12" s="264">
        <v>336</v>
      </c>
      <c r="BU12" s="264">
        <v>176</v>
      </c>
      <c r="BV12" s="264">
        <v>1</v>
      </c>
      <c r="BW12" s="264">
        <v>24</v>
      </c>
      <c r="BX12" s="264">
        <v>1</v>
      </c>
      <c r="BY12" s="264">
        <v>26</v>
      </c>
      <c r="BZ12" s="264">
        <v>48</v>
      </c>
      <c r="CA12" s="264">
        <v>225</v>
      </c>
      <c r="CB12" s="264" t="s">
        <v>585</v>
      </c>
      <c r="CC12" s="264" t="s">
        <v>585</v>
      </c>
      <c r="CD12" s="264" t="s">
        <v>585</v>
      </c>
      <c r="CE12" s="264" t="s">
        <v>585</v>
      </c>
      <c r="CF12" s="267">
        <v>1837</v>
      </c>
      <c r="CG12" s="263">
        <v>93</v>
      </c>
      <c r="CH12" s="264" t="s">
        <v>585</v>
      </c>
      <c r="CI12" s="263">
        <v>93</v>
      </c>
      <c r="CJ12" s="265">
        <v>1258</v>
      </c>
      <c r="CK12" s="263">
        <v>280609</v>
      </c>
      <c r="CL12" s="264">
        <v>80</v>
      </c>
      <c r="CM12" s="264">
        <v>873321</v>
      </c>
      <c r="CN12" s="264">
        <v>193327</v>
      </c>
      <c r="CO12" s="264">
        <v>33</v>
      </c>
      <c r="CP12" s="264">
        <v>5</v>
      </c>
      <c r="CQ12" s="264">
        <v>413</v>
      </c>
      <c r="CR12" s="264">
        <v>3</v>
      </c>
      <c r="CS12" s="264">
        <v>97</v>
      </c>
      <c r="CT12" s="264">
        <v>5</v>
      </c>
      <c r="CU12" s="264">
        <v>2</v>
      </c>
      <c r="CV12" s="263">
        <v>1347895</v>
      </c>
      <c r="CW12" s="266">
        <v>3221</v>
      </c>
      <c r="CX12" s="264">
        <v>1095</v>
      </c>
      <c r="CY12" s="264">
        <v>493</v>
      </c>
      <c r="CZ12" s="264">
        <v>223</v>
      </c>
      <c r="DA12" s="264">
        <v>3</v>
      </c>
      <c r="DB12" s="264">
        <v>116</v>
      </c>
      <c r="DC12" s="264">
        <v>1</v>
      </c>
      <c r="DD12" s="267">
        <v>5152</v>
      </c>
      <c r="DE12" s="263" t="s">
        <v>585</v>
      </c>
      <c r="DF12" s="266">
        <v>1</v>
      </c>
      <c r="DG12" s="264" t="s">
        <v>585</v>
      </c>
      <c r="DH12" s="267">
        <v>1</v>
      </c>
      <c r="DI12" s="263">
        <v>22</v>
      </c>
      <c r="DJ12" s="264" t="s">
        <v>585</v>
      </c>
      <c r="DK12" s="263">
        <v>22</v>
      </c>
      <c r="DL12" s="265">
        <v>233</v>
      </c>
      <c r="DM12" s="263">
        <v>4</v>
      </c>
      <c r="DN12" s="264" t="s">
        <v>585</v>
      </c>
      <c r="DO12" s="263">
        <v>4</v>
      </c>
      <c r="DP12" s="266">
        <v>595</v>
      </c>
      <c r="DQ12" s="264" t="s">
        <v>585</v>
      </c>
      <c r="DR12" s="267">
        <v>595</v>
      </c>
      <c r="DS12" s="263">
        <v>14</v>
      </c>
      <c r="DT12" s="265">
        <v>1</v>
      </c>
      <c r="DU12" s="263">
        <v>199</v>
      </c>
      <c r="DV12" s="264" t="s">
        <v>585</v>
      </c>
      <c r="DW12" s="263">
        <v>199</v>
      </c>
      <c r="DX12" s="265">
        <v>4</v>
      </c>
      <c r="DY12" s="265" t="s">
        <v>585</v>
      </c>
      <c r="DZ12" s="263">
        <v>3442</v>
      </c>
      <c r="EA12" s="264">
        <v>18</v>
      </c>
      <c r="EB12" s="264">
        <v>389</v>
      </c>
      <c r="EC12" s="264">
        <v>169</v>
      </c>
      <c r="ED12" s="264">
        <v>1</v>
      </c>
      <c r="EE12" s="264" t="s">
        <v>585</v>
      </c>
      <c r="EF12" s="264" t="s">
        <v>585</v>
      </c>
      <c r="EG12" s="263">
        <v>4019</v>
      </c>
      <c r="EH12" s="266">
        <v>734</v>
      </c>
      <c r="EI12" s="264">
        <v>2257</v>
      </c>
      <c r="EJ12" s="264">
        <v>67</v>
      </c>
      <c r="EK12" s="264">
        <v>204</v>
      </c>
      <c r="EL12" s="264">
        <v>1566</v>
      </c>
      <c r="EM12" s="264">
        <v>2511</v>
      </c>
      <c r="EN12" s="264">
        <v>212</v>
      </c>
      <c r="EO12" s="264">
        <v>204</v>
      </c>
      <c r="EP12" s="264">
        <v>936</v>
      </c>
      <c r="EQ12" s="264">
        <v>59</v>
      </c>
      <c r="ER12" s="264">
        <v>110</v>
      </c>
      <c r="ES12" s="264">
        <v>3</v>
      </c>
      <c r="ET12" s="264">
        <v>1</v>
      </c>
      <c r="EU12" s="267">
        <v>8864</v>
      </c>
      <c r="EV12" s="263" t="s">
        <v>585</v>
      </c>
      <c r="EW12" s="265">
        <v>4</v>
      </c>
      <c r="EX12" s="263">
        <v>155</v>
      </c>
      <c r="EY12" s="264">
        <v>2</v>
      </c>
      <c r="EZ12" s="264">
        <v>15</v>
      </c>
      <c r="FA12" s="263">
        <v>172</v>
      </c>
      <c r="FB12" s="265" t="s">
        <v>585</v>
      </c>
      <c r="FC12" s="263">
        <v>26</v>
      </c>
      <c r="FD12" s="266">
        <v>409</v>
      </c>
      <c r="FE12" s="264">
        <v>8</v>
      </c>
      <c r="FF12" s="264">
        <v>176</v>
      </c>
      <c r="FG12" s="264">
        <v>11</v>
      </c>
      <c r="FH12" s="267">
        <v>604</v>
      </c>
      <c r="FI12" s="263" t="s">
        <v>585</v>
      </c>
      <c r="FJ12" s="264" t="s">
        <v>585</v>
      </c>
      <c r="FK12" s="263" t="s">
        <v>585</v>
      </c>
      <c r="FL12" s="266">
        <v>3</v>
      </c>
      <c r="FM12" s="264" t="s">
        <v>585</v>
      </c>
      <c r="FN12" s="267">
        <v>3</v>
      </c>
      <c r="FO12" s="263" t="s">
        <v>585</v>
      </c>
      <c r="FP12" s="265">
        <v>181</v>
      </c>
      <c r="FQ12" s="263">
        <v>16</v>
      </c>
      <c r="FR12" s="264">
        <v>2019</v>
      </c>
      <c r="FS12" s="264">
        <v>21</v>
      </c>
      <c r="FT12" s="263">
        <v>2056</v>
      </c>
      <c r="FU12" s="266">
        <v>696</v>
      </c>
      <c r="FV12" s="264">
        <v>31</v>
      </c>
      <c r="FW12" s="267">
        <v>727</v>
      </c>
      <c r="FX12" s="263" t="s">
        <v>585</v>
      </c>
      <c r="FY12" s="266">
        <v>4</v>
      </c>
      <c r="FZ12" s="264">
        <v>8</v>
      </c>
      <c r="GA12" s="264">
        <v>1</v>
      </c>
      <c r="GB12" s="267">
        <v>13</v>
      </c>
      <c r="GC12" s="263">
        <v>292</v>
      </c>
      <c r="GD12" s="266">
        <v>3</v>
      </c>
      <c r="GE12" s="264">
        <v>17</v>
      </c>
      <c r="GF12" s="264">
        <v>33</v>
      </c>
      <c r="GG12" s="264" t="s">
        <v>585</v>
      </c>
      <c r="GH12" s="267">
        <v>53</v>
      </c>
      <c r="GI12" s="265">
        <v>1439286</v>
      </c>
      <c r="GJ12" s="369">
        <f>1439286/45058286</f>
        <v>3.1942759651354694E-2</v>
      </c>
      <c r="GK12" s="383"/>
    </row>
    <row r="13" spans="2:193" ht="12" customHeight="1" x14ac:dyDescent="0.2">
      <c r="B13" s="359" t="s">
        <v>28</v>
      </c>
      <c r="C13" s="203">
        <v>11</v>
      </c>
      <c r="D13" s="204" t="s">
        <v>585</v>
      </c>
      <c r="E13" s="204" t="s">
        <v>585</v>
      </c>
      <c r="F13" s="204" t="s">
        <v>585</v>
      </c>
      <c r="G13" s="202">
        <v>11</v>
      </c>
      <c r="H13" s="193" t="s">
        <v>585</v>
      </c>
      <c r="I13" s="206">
        <v>8</v>
      </c>
      <c r="J13" s="204" t="s">
        <v>585</v>
      </c>
      <c r="K13" s="206">
        <v>8</v>
      </c>
      <c r="L13" s="193" t="s">
        <v>585</v>
      </c>
      <c r="M13" s="193">
        <v>109</v>
      </c>
      <c r="N13" s="206">
        <v>2</v>
      </c>
      <c r="O13" s="204">
        <v>1</v>
      </c>
      <c r="P13" s="204">
        <v>414</v>
      </c>
      <c r="Q13" s="204">
        <v>4</v>
      </c>
      <c r="R13" s="204">
        <v>33</v>
      </c>
      <c r="S13" s="204" t="s">
        <v>585</v>
      </c>
      <c r="T13" s="204">
        <v>1</v>
      </c>
      <c r="U13" s="206">
        <v>455</v>
      </c>
      <c r="V13" s="203">
        <v>1</v>
      </c>
      <c r="W13" s="204">
        <v>13</v>
      </c>
      <c r="X13" s="202">
        <v>14</v>
      </c>
      <c r="Y13" s="206">
        <v>39</v>
      </c>
      <c r="Z13" s="204">
        <v>1</v>
      </c>
      <c r="AA13" s="204" t="s">
        <v>585</v>
      </c>
      <c r="AB13" s="206">
        <v>40</v>
      </c>
      <c r="AC13" s="203">
        <v>2623</v>
      </c>
      <c r="AD13" s="204" t="s">
        <v>585</v>
      </c>
      <c r="AE13" s="204" t="s">
        <v>585</v>
      </c>
      <c r="AF13" s="202">
        <v>2623</v>
      </c>
      <c r="AG13" s="206">
        <v>18</v>
      </c>
      <c r="AH13" s="204" t="s">
        <v>585</v>
      </c>
      <c r="AI13" s="204" t="s">
        <v>585</v>
      </c>
      <c r="AJ13" s="204" t="s">
        <v>585</v>
      </c>
      <c r="AK13" s="206">
        <v>18</v>
      </c>
      <c r="AL13" s="193" t="s">
        <v>585</v>
      </c>
      <c r="AM13" s="193" t="s">
        <v>585</v>
      </c>
      <c r="AN13" s="206" t="s">
        <v>585</v>
      </c>
      <c r="AO13" s="204" t="s">
        <v>585</v>
      </c>
      <c r="AP13" s="206" t="s">
        <v>585</v>
      </c>
      <c r="AQ13" s="203">
        <v>26</v>
      </c>
      <c r="AR13" s="204" t="s">
        <v>585</v>
      </c>
      <c r="AS13" s="204" t="s">
        <v>585</v>
      </c>
      <c r="AT13" s="204" t="s">
        <v>585</v>
      </c>
      <c r="AU13" s="204" t="s">
        <v>585</v>
      </c>
      <c r="AV13" s="204" t="s">
        <v>585</v>
      </c>
      <c r="AW13" s="204" t="s">
        <v>585</v>
      </c>
      <c r="AX13" s="202">
        <v>26</v>
      </c>
      <c r="AY13" s="206" t="s">
        <v>585</v>
      </c>
      <c r="AZ13" s="193" t="s">
        <v>585</v>
      </c>
      <c r="BA13" s="206">
        <v>10</v>
      </c>
      <c r="BB13" s="377">
        <v>127</v>
      </c>
      <c r="BC13" s="206">
        <v>135</v>
      </c>
      <c r="BD13" s="206">
        <v>149</v>
      </c>
      <c r="BE13" s="378">
        <v>4</v>
      </c>
      <c r="BF13" s="206">
        <v>425</v>
      </c>
      <c r="BG13" s="193" t="s">
        <v>585</v>
      </c>
      <c r="BH13" s="193" t="s">
        <v>585</v>
      </c>
      <c r="BI13" s="193" t="s">
        <v>585</v>
      </c>
      <c r="BJ13" s="193" t="s">
        <v>585</v>
      </c>
      <c r="BK13" s="206">
        <v>2</v>
      </c>
      <c r="BL13" s="204" t="s">
        <v>585</v>
      </c>
      <c r="BM13" s="206">
        <v>2</v>
      </c>
      <c r="BN13" s="193" t="s">
        <v>585</v>
      </c>
      <c r="BO13" s="206" t="s">
        <v>585</v>
      </c>
      <c r="BP13" s="204" t="s">
        <v>585</v>
      </c>
      <c r="BQ13" s="206" t="s">
        <v>585</v>
      </c>
      <c r="BR13" s="203" t="s">
        <v>585</v>
      </c>
      <c r="BS13" s="204">
        <v>16</v>
      </c>
      <c r="BT13" s="204">
        <v>4</v>
      </c>
      <c r="BU13" s="204">
        <v>1</v>
      </c>
      <c r="BV13" s="204" t="s">
        <v>585</v>
      </c>
      <c r="BW13" s="204" t="s">
        <v>585</v>
      </c>
      <c r="BX13" s="204" t="s">
        <v>585</v>
      </c>
      <c r="BY13" s="204" t="s">
        <v>585</v>
      </c>
      <c r="BZ13" s="204" t="s">
        <v>585</v>
      </c>
      <c r="CA13" s="204" t="s">
        <v>585</v>
      </c>
      <c r="CB13" s="204" t="s">
        <v>585</v>
      </c>
      <c r="CC13" s="204" t="s">
        <v>585</v>
      </c>
      <c r="CD13" s="204" t="s">
        <v>585</v>
      </c>
      <c r="CE13" s="204" t="s">
        <v>585</v>
      </c>
      <c r="CF13" s="202">
        <v>21</v>
      </c>
      <c r="CG13" s="206" t="s">
        <v>585</v>
      </c>
      <c r="CH13" s="204" t="s">
        <v>585</v>
      </c>
      <c r="CI13" s="206" t="s">
        <v>585</v>
      </c>
      <c r="CJ13" s="193" t="s">
        <v>585</v>
      </c>
      <c r="CK13" s="206">
        <v>12041</v>
      </c>
      <c r="CL13" s="204" t="s">
        <v>585</v>
      </c>
      <c r="CM13" s="204">
        <v>39292</v>
      </c>
      <c r="CN13" s="204">
        <v>6466</v>
      </c>
      <c r="CO13" s="204">
        <v>43</v>
      </c>
      <c r="CP13" s="204" t="s">
        <v>585</v>
      </c>
      <c r="CQ13" s="204">
        <v>2</v>
      </c>
      <c r="CR13" s="204" t="s">
        <v>585</v>
      </c>
      <c r="CS13" s="204">
        <v>1</v>
      </c>
      <c r="CT13" s="204" t="s">
        <v>585</v>
      </c>
      <c r="CU13" s="204" t="s">
        <v>585</v>
      </c>
      <c r="CV13" s="206">
        <v>57845</v>
      </c>
      <c r="CW13" s="203">
        <v>162</v>
      </c>
      <c r="CX13" s="204">
        <v>2</v>
      </c>
      <c r="CY13" s="204">
        <v>1280</v>
      </c>
      <c r="CZ13" s="204" t="s">
        <v>585</v>
      </c>
      <c r="DA13" s="204">
        <v>4</v>
      </c>
      <c r="DB13" s="204" t="s">
        <v>585</v>
      </c>
      <c r="DC13" s="204" t="s">
        <v>585</v>
      </c>
      <c r="DD13" s="202">
        <v>1448</v>
      </c>
      <c r="DE13" s="206" t="s">
        <v>585</v>
      </c>
      <c r="DF13" s="203" t="s">
        <v>585</v>
      </c>
      <c r="DG13" s="204" t="s">
        <v>585</v>
      </c>
      <c r="DH13" s="202" t="s">
        <v>585</v>
      </c>
      <c r="DI13" s="206" t="s">
        <v>585</v>
      </c>
      <c r="DJ13" s="204" t="s">
        <v>585</v>
      </c>
      <c r="DK13" s="206" t="s">
        <v>585</v>
      </c>
      <c r="DL13" s="193">
        <v>5</v>
      </c>
      <c r="DM13" s="206" t="s">
        <v>585</v>
      </c>
      <c r="DN13" s="204" t="s">
        <v>585</v>
      </c>
      <c r="DO13" s="206" t="s">
        <v>585</v>
      </c>
      <c r="DP13" s="203" t="s">
        <v>585</v>
      </c>
      <c r="DQ13" s="204" t="s">
        <v>585</v>
      </c>
      <c r="DR13" s="202" t="s">
        <v>585</v>
      </c>
      <c r="DS13" s="206">
        <v>2</v>
      </c>
      <c r="DT13" s="193" t="s">
        <v>585</v>
      </c>
      <c r="DU13" s="206">
        <v>77</v>
      </c>
      <c r="DV13" s="204" t="s">
        <v>585</v>
      </c>
      <c r="DW13" s="206">
        <v>77</v>
      </c>
      <c r="DX13" s="193" t="s">
        <v>585</v>
      </c>
      <c r="DY13" s="193" t="s">
        <v>585</v>
      </c>
      <c r="DZ13" s="206" t="s">
        <v>585</v>
      </c>
      <c r="EA13" s="204">
        <v>2</v>
      </c>
      <c r="EB13" s="204" t="s">
        <v>585</v>
      </c>
      <c r="EC13" s="204" t="s">
        <v>585</v>
      </c>
      <c r="ED13" s="204" t="s">
        <v>585</v>
      </c>
      <c r="EE13" s="204" t="s">
        <v>585</v>
      </c>
      <c r="EF13" s="204" t="s">
        <v>585</v>
      </c>
      <c r="EG13" s="206">
        <v>2</v>
      </c>
      <c r="EH13" s="203">
        <v>102</v>
      </c>
      <c r="EI13" s="204">
        <v>72</v>
      </c>
      <c r="EJ13" s="204">
        <v>4</v>
      </c>
      <c r="EK13" s="204">
        <v>65</v>
      </c>
      <c r="EL13" s="204">
        <v>921</v>
      </c>
      <c r="EM13" s="204">
        <v>78</v>
      </c>
      <c r="EN13" s="204">
        <v>10</v>
      </c>
      <c r="EO13" s="204">
        <v>9</v>
      </c>
      <c r="EP13" s="204">
        <v>59</v>
      </c>
      <c r="EQ13" s="204">
        <v>19</v>
      </c>
      <c r="ER13" s="204">
        <v>1</v>
      </c>
      <c r="ES13" s="204" t="s">
        <v>585</v>
      </c>
      <c r="ET13" s="204" t="s">
        <v>585</v>
      </c>
      <c r="EU13" s="202">
        <v>1340</v>
      </c>
      <c r="EV13" s="206" t="s">
        <v>585</v>
      </c>
      <c r="EW13" s="193" t="s">
        <v>585</v>
      </c>
      <c r="EX13" s="206" t="s">
        <v>585</v>
      </c>
      <c r="EY13" s="204" t="s">
        <v>585</v>
      </c>
      <c r="EZ13" s="204" t="s">
        <v>585</v>
      </c>
      <c r="FA13" s="206" t="s">
        <v>585</v>
      </c>
      <c r="FB13" s="193" t="s">
        <v>585</v>
      </c>
      <c r="FC13" s="206" t="s">
        <v>585</v>
      </c>
      <c r="FD13" s="203" t="s">
        <v>585</v>
      </c>
      <c r="FE13" s="204" t="s">
        <v>585</v>
      </c>
      <c r="FF13" s="204" t="s">
        <v>585</v>
      </c>
      <c r="FG13" s="204" t="s">
        <v>585</v>
      </c>
      <c r="FH13" s="202" t="s">
        <v>585</v>
      </c>
      <c r="FI13" s="206">
        <v>1</v>
      </c>
      <c r="FJ13" s="204" t="s">
        <v>585</v>
      </c>
      <c r="FK13" s="206">
        <v>1</v>
      </c>
      <c r="FL13" s="203" t="s">
        <v>585</v>
      </c>
      <c r="FM13" s="204" t="s">
        <v>585</v>
      </c>
      <c r="FN13" s="202" t="s">
        <v>585</v>
      </c>
      <c r="FO13" s="206" t="s">
        <v>585</v>
      </c>
      <c r="FP13" s="193">
        <v>2</v>
      </c>
      <c r="FQ13" s="206">
        <v>1</v>
      </c>
      <c r="FR13" s="204" t="s">
        <v>585</v>
      </c>
      <c r="FS13" s="204" t="s">
        <v>585</v>
      </c>
      <c r="FT13" s="206">
        <v>1</v>
      </c>
      <c r="FU13" s="203">
        <v>6</v>
      </c>
      <c r="FV13" s="204" t="s">
        <v>585</v>
      </c>
      <c r="FW13" s="202">
        <v>6</v>
      </c>
      <c r="FX13" s="206" t="s">
        <v>585</v>
      </c>
      <c r="FY13" s="203" t="s">
        <v>585</v>
      </c>
      <c r="FZ13" s="204">
        <v>1</v>
      </c>
      <c r="GA13" s="204" t="s">
        <v>585</v>
      </c>
      <c r="GB13" s="202">
        <v>1</v>
      </c>
      <c r="GC13" s="206">
        <v>1</v>
      </c>
      <c r="GD13" s="203" t="s">
        <v>585</v>
      </c>
      <c r="GE13" s="204" t="s">
        <v>585</v>
      </c>
      <c r="GF13" s="204" t="s">
        <v>585</v>
      </c>
      <c r="GG13" s="204" t="s">
        <v>585</v>
      </c>
      <c r="GH13" s="202" t="s">
        <v>585</v>
      </c>
      <c r="GI13" s="193">
        <v>64483</v>
      </c>
      <c r="GJ13" s="368">
        <f>64483/45058286</f>
        <v>1.4311019287329306E-3</v>
      </c>
      <c r="GK13" s="382"/>
    </row>
    <row r="14" spans="2:193" ht="12" customHeight="1" x14ac:dyDescent="0.2">
      <c r="B14" s="359" t="s">
        <v>54</v>
      </c>
      <c r="C14" s="203">
        <v>100</v>
      </c>
      <c r="D14" s="204" t="s">
        <v>585</v>
      </c>
      <c r="E14" s="204" t="s">
        <v>585</v>
      </c>
      <c r="F14" s="204" t="s">
        <v>585</v>
      </c>
      <c r="G14" s="202">
        <v>100</v>
      </c>
      <c r="H14" s="193" t="s">
        <v>585</v>
      </c>
      <c r="I14" s="206">
        <v>3</v>
      </c>
      <c r="J14" s="204" t="s">
        <v>585</v>
      </c>
      <c r="K14" s="206">
        <v>3</v>
      </c>
      <c r="L14" s="193" t="s">
        <v>585</v>
      </c>
      <c r="M14" s="193">
        <v>237</v>
      </c>
      <c r="N14" s="206">
        <v>33</v>
      </c>
      <c r="O14" s="204">
        <v>4</v>
      </c>
      <c r="P14" s="204">
        <v>2199</v>
      </c>
      <c r="Q14" s="204">
        <v>26</v>
      </c>
      <c r="R14" s="204">
        <v>30</v>
      </c>
      <c r="S14" s="204" t="s">
        <v>585</v>
      </c>
      <c r="T14" s="204" t="s">
        <v>585</v>
      </c>
      <c r="U14" s="206">
        <v>2292</v>
      </c>
      <c r="V14" s="203">
        <v>14</v>
      </c>
      <c r="W14" s="204" t="s">
        <v>585</v>
      </c>
      <c r="X14" s="202">
        <v>14</v>
      </c>
      <c r="Y14" s="206">
        <v>74</v>
      </c>
      <c r="Z14" s="204">
        <v>2</v>
      </c>
      <c r="AA14" s="204" t="s">
        <v>585</v>
      </c>
      <c r="AB14" s="206">
        <v>76</v>
      </c>
      <c r="AC14" s="203">
        <v>4052</v>
      </c>
      <c r="AD14" s="204">
        <v>5</v>
      </c>
      <c r="AE14" s="204" t="s">
        <v>585</v>
      </c>
      <c r="AF14" s="202">
        <v>4057</v>
      </c>
      <c r="AG14" s="206">
        <v>50</v>
      </c>
      <c r="AH14" s="204" t="s">
        <v>585</v>
      </c>
      <c r="AI14" s="204" t="s">
        <v>585</v>
      </c>
      <c r="AJ14" s="204" t="s">
        <v>585</v>
      </c>
      <c r="AK14" s="206">
        <v>50</v>
      </c>
      <c r="AL14" s="193" t="s">
        <v>585</v>
      </c>
      <c r="AM14" s="193" t="s">
        <v>585</v>
      </c>
      <c r="AN14" s="206" t="s">
        <v>585</v>
      </c>
      <c r="AO14" s="204">
        <v>2</v>
      </c>
      <c r="AP14" s="206">
        <v>2</v>
      </c>
      <c r="AQ14" s="203">
        <v>42</v>
      </c>
      <c r="AR14" s="204" t="s">
        <v>585</v>
      </c>
      <c r="AS14" s="204" t="s">
        <v>585</v>
      </c>
      <c r="AT14" s="204" t="s">
        <v>585</v>
      </c>
      <c r="AU14" s="204" t="s">
        <v>585</v>
      </c>
      <c r="AV14" s="204" t="s">
        <v>585</v>
      </c>
      <c r="AW14" s="204" t="s">
        <v>585</v>
      </c>
      <c r="AX14" s="202">
        <v>42</v>
      </c>
      <c r="AY14" s="206" t="s">
        <v>585</v>
      </c>
      <c r="AZ14" s="193">
        <v>1</v>
      </c>
      <c r="BA14" s="206">
        <v>22</v>
      </c>
      <c r="BB14" s="377">
        <v>269</v>
      </c>
      <c r="BC14" s="206">
        <v>317</v>
      </c>
      <c r="BD14" s="206">
        <v>111</v>
      </c>
      <c r="BE14" s="378">
        <v>34</v>
      </c>
      <c r="BF14" s="206">
        <v>753</v>
      </c>
      <c r="BG14" s="193">
        <v>4</v>
      </c>
      <c r="BH14" s="193" t="s">
        <v>585</v>
      </c>
      <c r="BI14" s="193" t="s">
        <v>585</v>
      </c>
      <c r="BJ14" s="193">
        <v>3</v>
      </c>
      <c r="BK14" s="206">
        <v>4</v>
      </c>
      <c r="BL14" s="204" t="s">
        <v>585</v>
      </c>
      <c r="BM14" s="206">
        <v>4</v>
      </c>
      <c r="BN14" s="193" t="s">
        <v>585</v>
      </c>
      <c r="BO14" s="206">
        <v>1</v>
      </c>
      <c r="BP14" s="204" t="s">
        <v>585</v>
      </c>
      <c r="BQ14" s="206">
        <v>1</v>
      </c>
      <c r="BR14" s="203">
        <v>8</v>
      </c>
      <c r="BS14" s="204">
        <v>176</v>
      </c>
      <c r="BT14" s="204" t="s">
        <v>585</v>
      </c>
      <c r="BU14" s="204" t="s">
        <v>585</v>
      </c>
      <c r="BV14" s="204" t="s">
        <v>585</v>
      </c>
      <c r="BW14" s="204" t="s">
        <v>585</v>
      </c>
      <c r="BX14" s="204" t="s">
        <v>585</v>
      </c>
      <c r="BY14" s="204" t="s">
        <v>585</v>
      </c>
      <c r="BZ14" s="204" t="s">
        <v>585</v>
      </c>
      <c r="CA14" s="204">
        <v>1</v>
      </c>
      <c r="CB14" s="204" t="s">
        <v>585</v>
      </c>
      <c r="CC14" s="204" t="s">
        <v>585</v>
      </c>
      <c r="CD14" s="204" t="s">
        <v>585</v>
      </c>
      <c r="CE14" s="204" t="s">
        <v>585</v>
      </c>
      <c r="CF14" s="202">
        <v>185</v>
      </c>
      <c r="CG14" s="206" t="s">
        <v>585</v>
      </c>
      <c r="CH14" s="204" t="s">
        <v>585</v>
      </c>
      <c r="CI14" s="206" t="s">
        <v>585</v>
      </c>
      <c r="CJ14" s="193" t="s">
        <v>585</v>
      </c>
      <c r="CK14" s="206">
        <v>17363</v>
      </c>
      <c r="CL14" s="204">
        <v>2</v>
      </c>
      <c r="CM14" s="204">
        <v>59634</v>
      </c>
      <c r="CN14" s="204">
        <v>9476</v>
      </c>
      <c r="CO14" s="204">
        <v>138</v>
      </c>
      <c r="CP14" s="204">
        <v>2</v>
      </c>
      <c r="CQ14" s="204">
        <v>27</v>
      </c>
      <c r="CR14" s="204" t="s">
        <v>585</v>
      </c>
      <c r="CS14" s="204">
        <v>10</v>
      </c>
      <c r="CT14" s="204" t="s">
        <v>585</v>
      </c>
      <c r="CU14" s="204" t="s">
        <v>585</v>
      </c>
      <c r="CV14" s="206">
        <v>86652</v>
      </c>
      <c r="CW14" s="203">
        <v>650</v>
      </c>
      <c r="CX14" s="204" t="s">
        <v>585</v>
      </c>
      <c r="CY14" s="204">
        <v>2318</v>
      </c>
      <c r="CZ14" s="204" t="s">
        <v>585</v>
      </c>
      <c r="DA14" s="204">
        <v>1</v>
      </c>
      <c r="DB14" s="204" t="s">
        <v>585</v>
      </c>
      <c r="DC14" s="204" t="s">
        <v>585</v>
      </c>
      <c r="DD14" s="202">
        <v>2969</v>
      </c>
      <c r="DE14" s="206" t="s">
        <v>585</v>
      </c>
      <c r="DF14" s="203" t="s">
        <v>585</v>
      </c>
      <c r="DG14" s="204" t="s">
        <v>585</v>
      </c>
      <c r="DH14" s="202" t="s">
        <v>585</v>
      </c>
      <c r="DI14" s="206" t="s">
        <v>585</v>
      </c>
      <c r="DJ14" s="204" t="s">
        <v>585</v>
      </c>
      <c r="DK14" s="206" t="s">
        <v>585</v>
      </c>
      <c r="DL14" s="193">
        <v>36</v>
      </c>
      <c r="DM14" s="206" t="s">
        <v>585</v>
      </c>
      <c r="DN14" s="204" t="s">
        <v>585</v>
      </c>
      <c r="DO14" s="206" t="s">
        <v>585</v>
      </c>
      <c r="DP14" s="203">
        <v>14</v>
      </c>
      <c r="DQ14" s="204" t="s">
        <v>585</v>
      </c>
      <c r="DR14" s="202">
        <v>14</v>
      </c>
      <c r="DS14" s="206" t="s">
        <v>585</v>
      </c>
      <c r="DT14" s="193" t="s">
        <v>585</v>
      </c>
      <c r="DU14" s="206">
        <v>93</v>
      </c>
      <c r="DV14" s="204" t="s">
        <v>585</v>
      </c>
      <c r="DW14" s="206">
        <v>93</v>
      </c>
      <c r="DX14" s="193" t="s">
        <v>585</v>
      </c>
      <c r="DY14" s="193" t="s">
        <v>585</v>
      </c>
      <c r="DZ14" s="206">
        <v>13</v>
      </c>
      <c r="EA14" s="204">
        <v>2</v>
      </c>
      <c r="EB14" s="204">
        <v>6</v>
      </c>
      <c r="EC14" s="204">
        <v>2</v>
      </c>
      <c r="ED14" s="204" t="s">
        <v>585</v>
      </c>
      <c r="EE14" s="204" t="s">
        <v>585</v>
      </c>
      <c r="EF14" s="204" t="s">
        <v>585</v>
      </c>
      <c r="EG14" s="206">
        <v>23</v>
      </c>
      <c r="EH14" s="203">
        <v>429</v>
      </c>
      <c r="EI14" s="204">
        <v>449</v>
      </c>
      <c r="EJ14" s="204">
        <v>3</v>
      </c>
      <c r="EK14" s="204">
        <v>70</v>
      </c>
      <c r="EL14" s="204">
        <v>1856</v>
      </c>
      <c r="EM14" s="204">
        <v>336</v>
      </c>
      <c r="EN14" s="204">
        <v>18</v>
      </c>
      <c r="EO14" s="204">
        <v>34</v>
      </c>
      <c r="EP14" s="204">
        <v>239</v>
      </c>
      <c r="EQ14" s="204">
        <v>19</v>
      </c>
      <c r="ER14" s="204">
        <v>6</v>
      </c>
      <c r="ES14" s="204" t="s">
        <v>585</v>
      </c>
      <c r="ET14" s="204" t="s">
        <v>585</v>
      </c>
      <c r="EU14" s="202">
        <v>3459</v>
      </c>
      <c r="EV14" s="206" t="s">
        <v>585</v>
      </c>
      <c r="EW14" s="193">
        <v>8</v>
      </c>
      <c r="EX14" s="206" t="s">
        <v>585</v>
      </c>
      <c r="EY14" s="204">
        <v>2</v>
      </c>
      <c r="EZ14" s="204" t="s">
        <v>585</v>
      </c>
      <c r="FA14" s="206">
        <v>2</v>
      </c>
      <c r="FB14" s="193" t="s">
        <v>585</v>
      </c>
      <c r="FC14" s="206" t="s">
        <v>585</v>
      </c>
      <c r="FD14" s="203">
        <v>15</v>
      </c>
      <c r="FE14" s="204" t="s">
        <v>585</v>
      </c>
      <c r="FF14" s="204" t="s">
        <v>585</v>
      </c>
      <c r="FG14" s="204" t="s">
        <v>585</v>
      </c>
      <c r="FH14" s="202">
        <v>15</v>
      </c>
      <c r="FI14" s="206" t="s">
        <v>585</v>
      </c>
      <c r="FJ14" s="204" t="s">
        <v>585</v>
      </c>
      <c r="FK14" s="206" t="s">
        <v>585</v>
      </c>
      <c r="FL14" s="203" t="s">
        <v>585</v>
      </c>
      <c r="FM14" s="204" t="s">
        <v>585</v>
      </c>
      <c r="FN14" s="202" t="s">
        <v>585</v>
      </c>
      <c r="FO14" s="206" t="s">
        <v>585</v>
      </c>
      <c r="FP14" s="193">
        <v>33</v>
      </c>
      <c r="FQ14" s="206">
        <v>15</v>
      </c>
      <c r="FR14" s="204">
        <v>2</v>
      </c>
      <c r="FS14" s="204" t="s">
        <v>585</v>
      </c>
      <c r="FT14" s="206">
        <v>17</v>
      </c>
      <c r="FU14" s="203">
        <v>18</v>
      </c>
      <c r="FV14" s="204">
        <v>1</v>
      </c>
      <c r="FW14" s="202">
        <v>19</v>
      </c>
      <c r="FX14" s="206" t="s">
        <v>585</v>
      </c>
      <c r="FY14" s="203" t="s">
        <v>585</v>
      </c>
      <c r="FZ14" s="204" t="s">
        <v>585</v>
      </c>
      <c r="GA14" s="204" t="s">
        <v>585</v>
      </c>
      <c r="GB14" s="202" t="s">
        <v>585</v>
      </c>
      <c r="GC14" s="206" t="s">
        <v>585</v>
      </c>
      <c r="GD14" s="203" t="s">
        <v>585</v>
      </c>
      <c r="GE14" s="204" t="s">
        <v>585</v>
      </c>
      <c r="GF14" s="204" t="s">
        <v>585</v>
      </c>
      <c r="GG14" s="204" t="s">
        <v>585</v>
      </c>
      <c r="GH14" s="202" t="s">
        <v>585</v>
      </c>
      <c r="GI14" s="193">
        <v>101164</v>
      </c>
      <c r="GJ14" s="368">
        <f>101164/45058286</f>
        <v>2.2451808308909041E-3</v>
      </c>
      <c r="GK14" s="382"/>
    </row>
    <row r="15" spans="2:193" ht="12" customHeight="1" x14ac:dyDescent="0.2">
      <c r="B15" s="359" t="s">
        <v>135</v>
      </c>
      <c r="C15" s="203">
        <v>5</v>
      </c>
      <c r="D15" s="204" t="s">
        <v>585</v>
      </c>
      <c r="E15" s="204" t="s">
        <v>585</v>
      </c>
      <c r="F15" s="204" t="s">
        <v>585</v>
      </c>
      <c r="G15" s="202">
        <v>5</v>
      </c>
      <c r="H15" s="193" t="s">
        <v>585</v>
      </c>
      <c r="I15" s="206" t="s">
        <v>585</v>
      </c>
      <c r="J15" s="204" t="s">
        <v>585</v>
      </c>
      <c r="K15" s="206" t="s">
        <v>585</v>
      </c>
      <c r="L15" s="193" t="s">
        <v>585</v>
      </c>
      <c r="M15" s="193">
        <v>113</v>
      </c>
      <c r="N15" s="206" t="s">
        <v>585</v>
      </c>
      <c r="O15" s="204" t="s">
        <v>585</v>
      </c>
      <c r="P15" s="204">
        <v>1191</v>
      </c>
      <c r="Q15" s="204">
        <v>16</v>
      </c>
      <c r="R15" s="204">
        <v>17</v>
      </c>
      <c r="S15" s="204" t="s">
        <v>585</v>
      </c>
      <c r="T15" s="204" t="s">
        <v>585</v>
      </c>
      <c r="U15" s="206">
        <v>1224</v>
      </c>
      <c r="V15" s="203">
        <v>6</v>
      </c>
      <c r="W15" s="204">
        <v>3</v>
      </c>
      <c r="X15" s="202">
        <v>9</v>
      </c>
      <c r="Y15" s="206">
        <v>50</v>
      </c>
      <c r="Z15" s="204" t="s">
        <v>585</v>
      </c>
      <c r="AA15" s="204" t="s">
        <v>585</v>
      </c>
      <c r="AB15" s="206">
        <v>50</v>
      </c>
      <c r="AC15" s="203">
        <v>2074</v>
      </c>
      <c r="AD15" s="204">
        <v>2</v>
      </c>
      <c r="AE15" s="204" t="s">
        <v>585</v>
      </c>
      <c r="AF15" s="202">
        <v>2076</v>
      </c>
      <c r="AG15" s="206">
        <v>26</v>
      </c>
      <c r="AH15" s="204" t="s">
        <v>585</v>
      </c>
      <c r="AI15" s="204" t="s">
        <v>585</v>
      </c>
      <c r="AJ15" s="204" t="s">
        <v>585</v>
      </c>
      <c r="AK15" s="206">
        <v>26</v>
      </c>
      <c r="AL15" s="193" t="s">
        <v>585</v>
      </c>
      <c r="AM15" s="193" t="s">
        <v>585</v>
      </c>
      <c r="AN15" s="206" t="s">
        <v>585</v>
      </c>
      <c r="AO15" s="204" t="s">
        <v>585</v>
      </c>
      <c r="AP15" s="206" t="s">
        <v>585</v>
      </c>
      <c r="AQ15" s="203">
        <v>21</v>
      </c>
      <c r="AR15" s="204" t="s">
        <v>585</v>
      </c>
      <c r="AS15" s="204" t="s">
        <v>585</v>
      </c>
      <c r="AT15" s="204" t="s">
        <v>585</v>
      </c>
      <c r="AU15" s="204" t="s">
        <v>585</v>
      </c>
      <c r="AV15" s="204" t="s">
        <v>585</v>
      </c>
      <c r="AW15" s="204" t="s">
        <v>585</v>
      </c>
      <c r="AX15" s="202">
        <v>21</v>
      </c>
      <c r="AY15" s="206" t="s">
        <v>585</v>
      </c>
      <c r="AZ15" s="193" t="s">
        <v>585</v>
      </c>
      <c r="BA15" s="206">
        <v>10</v>
      </c>
      <c r="BB15" s="377">
        <v>94</v>
      </c>
      <c r="BC15" s="206">
        <v>200</v>
      </c>
      <c r="BD15" s="206">
        <v>88</v>
      </c>
      <c r="BE15" s="378">
        <v>9</v>
      </c>
      <c r="BF15" s="206">
        <v>401</v>
      </c>
      <c r="BG15" s="193" t="s">
        <v>585</v>
      </c>
      <c r="BH15" s="193" t="s">
        <v>585</v>
      </c>
      <c r="BI15" s="193" t="s">
        <v>585</v>
      </c>
      <c r="BJ15" s="193" t="s">
        <v>585</v>
      </c>
      <c r="BK15" s="206">
        <v>1</v>
      </c>
      <c r="BL15" s="204" t="s">
        <v>585</v>
      </c>
      <c r="BM15" s="206">
        <v>1</v>
      </c>
      <c r="BN15" s="193" t="s">
        <v>585</v>
      </c>
      <c r="BO15" s="206" t="s">
        <v>585</v>
      </c>
      <c r="BP15" s="204" t="s">
        <v>585</v>
      </c>
      <c r="BQ15" s="206" t="s">
        <v>585</v>
      </c>
      <c r="BR15" s="203" t="s">
        <v>585</v>
      </c>
      <c r="BS15" s="204">
        <v>2</v>
      </c>
      <c r="BT15" s="204" t="s">
        <v>585</v>
      </c>
      <c r="BU15" s="204" t="s">
        <v>585</v>
      </c>
      <c r="BV15" s="204" t="s">
        <v>585</v>
      </c>
      <c r="BW15" s="204" t="s">
        <v>585</v>
      </c>
      <c r="BX15" s="204" t="s">
        <v>585</v>
      </c>
      <c r="BY15" s="204" t="s">
        <v>585</v>
      </c>
      <c r="BZ15" s="204" t="s">
        <v>585</v>
      </c>
      <c r="CA15" s="204" t="s">
        <v>585</v>
      </c>
      <c r="CB15" s="204" t="s">
        <v>585</v>
      </c>
      <c r="CC15" s="204" t="s">
        <v>585</v>
      </c>
      <c r="CD15" s="204" t="s">
        <v>585</v>
      </c>
      <c r="CE15" s="204" t="s">
        <v>585</v>
      </c>
      <c r="CF15" s="202">
        <v>2</v>
      </c>
      <c r="CG15" s="206" t="s">
        <v>585</v>
      </c>
      <c r="CH15" s="204" t="s">
        <v>585</v>
      </c>
      <c r="CI15" s="206" t="s">
        <v>585</v>
      </c>
      <c r="CJ15" s="193" t="s">
        <v>585</v>
      </c>
      <c r="CK15" s="206">
        <v>7293</v>
      </c>
      <c r="CL15" s="204" t="s">
        <v>585</v>
      </c>
      <c r="CM15" s="204">
        <v>45063</v>
      </c>
      <c r="CN15" s="204">
        <v>7087</v>
      </c>
      <c r="CO15" s="204">
        <v>30</v>
      </c>
      <c r="CP15" s="204" t="s">
        <v>585</v>
      </c>
      <c r="CQ15" s="204" t="s">
        <v>585</v>
      </c>
      <c r="CR15" s="204" t="s">
        <v>585</v>
      </c>
      <c r="CS15" s="204" t="s">
        <v>585</v>
      </c>
      <c r="CT15" s="204" t="s">
        <v>585</v>
      </c>
      <c r="CU15" s="204" t="s">
        <v>585</v>
      </c>
      <c r="CV15" s="206">
        <v>59473</v>
      </c>
      <c r="CW15" s="203">
        <v>268</v>
      </c>
      <c r="CX15" s="204" t="s">
        <v>585</v>
      </c>
      <c r="CY15" s="204">
        <v>6107</v>
      </c>
      <c r="CZ15" s="204" t="s">
        <v>585</v>
      </c>
      <c r="DA15" s="204" t="s">
        <v>585</v>
      </c>
      <c r="DB15" s="204">
        <v>1</v>
      </c>
      <c r="DC15" s="204" t="s">
        <v>585</v>
      </c>
      <c r="DD15" s="202">
        <v>6376</v>
      </c>
      <c r="DE15" s="206" t="s">
        <v>585</v>
      </c>
      <c r="DF15" s="203" t="s">
        <v>585</v>
      </c>
      <c r="DG15" s="204" t="s">
        <v>585</v>
      </c>
      <c r="DH15" s="202" t="s">
        <v>585</v>
      </c>
      <c r="DI15" s="206" t="s">
        <v>585</v>
      </c>
      <c r="DJ15" s="204" t="s">
        <v>585</v>
      </c>
      <c r="DK15" s="206" t="s">
        <v>585</v>
      </c>
      <c r="DL15" s="193">
        <v>16</v>
      </c>
      <c r="DM15" s="206" t="s">
        <v>585</v>
      </c>
      <c r="DN15" s="204" t="s">
        <v>585</v>
      </c>
      <c r="DO15" s="206" t="s">
        <v>585</v>
      </c>
      <c r="DP15" s="203">
        <v>1</v>
      </c>
      <c r="DQ15" s="204" t="s">
        <v>585</v>
      </c>
      <c r="DR15" s="202">
        <v>1</v>
      </c>
      <c r="DS15" s="206" t="s">
        <v>585</v>
      </c>
      <c r="DT15" s="193" t="s">
        <v>585</v>
      </c>
      <c r="DU15" s="206">
        <v>38</v>
      </c>
      <c r="DV15" s="204" t="s">
        <v>585</v>
      </c>
      <c r="DW15" s="206">
        <v>38</v>
      </c>
      <c r="DX15" s="193" t="s">
        <v>585</v>
      </c>
      <c r="DY15" s="193" t="s">
        <v>585</v>
      </c>
      <c r="DZ15" s="206">
        <v>6</v>
      </c>
      <c r="EA15" s="204">
        <v>1</v>
      </c>
      <c r="EB15" s="204">
        <v>3</v>
      </c>
      <c r="EC15" s="204" t="s">
        <v>585</v>
      </c>
      <c r="ED15" s="204" t="s">
        <v>585</v>
      </c>
      <c r="EE15" s="204" t="s">
        <v>585</v>
      </c>
      <c r="EF15" s="204" t="s">
        <v>585</v>
      </c>
      <c r="EG15" s="206">
        <v>10</v>
      </c>
      <c r="EH15" s="203">
        <v>102</v>
      </c>
      <c r="EI15" s="204">
        <v>109</v>
      </c>
      <c r="EJ15" s="204">
        <v>2</v>
      </c>
      <c r="EK15" s="204">
        <v>10</v>
      </c>
      <c r="EL15" s="204">
        <v>708</v>
      </c>
      <c r="EM15" s="204">
        <v>92</v>
      </c>
      <c r="EN15" s="204">
        <v>63</v>
      </c>
      <c r="EO15" s="204" t="s">
        <v>585</v>
      </c>
      <c r="EP15" s="204">
        <v>27</v>
      </c>
      <c r="EQ15" s="204">
        <v>2</v>
      </c>
      <c r="ER15" s="204">
        <v>2</v>
      </c>
      <c r="ES15" s="204" t="s">
        <v>585</v>
      </c>
      <c r="ET15" s="204" t="s">
        <v>585</v>
      </c>
      <c r="EU15" s="202">
        <v>1117</v>
      </c>
      <c r="EV15" s="206" t="s">
        <v>585</v>
      </c>
      <c r="EW15" s="193" t="s">
        <v>585</v>
      </c>
      <c r="EX15" s="206" t="s">
        <v>585</v>
      </c>
      <c r="EY15" s="204" t="s">
        <v>585</v>
      </c>
      <c r="EZ15" s="204" t="s">
        <v>585</v>
      </c>
      <c r="FA15" s="206" t="s">
        <v>585</v>
      </c>
      <c r="FB15" s="193" t="s">
        <v>585</v>
      </c>
      <c r="FC15" s="206" t="s">
        <v>585</v>
      </c>
      <c r="FD15" s="203" t="s">
        <v>585</v>
      </c>
      <c r="FE15" s="204" t="s">
        <v>585</v>
      </c>
      <c r="FF15" s="204" t="s">
        <v>585</v>
      </c>
      <c r="FG15" s="204" t="s">
        <v>585</v>
      </c>
      <c r="FH15" s="202" t="s">
        <v>585</v>
      </c>
      <c r="FI15" s="206" t="s">
        <v>585</v>
      </c>
      <c r="FJ15" s="204" t="s">
        <v>585</v>
      </c>
      <c r="FK15" s="206" t="s">
        <v>585</v>
      </c>
      <c r="FL15" s="203" t="s">
        <v>585</v>
      </c>
      <c r="FM15" s="204" t="s">
        <v>585</v>
      </c>
      <c r="FN15" s="202" t="s">
        <v>585</v>
      </c>
      <c r="FO15" s="206" t="s">
        <v>585</v>
      </c>
      <c r="FP15" s="193">
        <v>2</v>
      </c>
      <c r="FQ15" s="206">
        <v>1</v>
      </c>
      <c r="FR15" s="204" t="s">
        <v>585</v>
      </c>
      <c r="FS15" s="204" t="s">
        <v>585</v>
      </c>
      <c r="FT15" s="206">
        <v>1</v>
      </c>
      <c r="FU15" s="203">
        <v>12</v>
      </c>
      <c r="FV15" s="204" t="s">
        <v>585</v>
      </c>
      <c r="FW15" s="202">
        <v>12</v>
      </c>
      <c r="FX15" s="206" t="s">
        <v>585</v>
      </c>
      <c r="FY15" s="203" t="s">
        <v>585</v>
      </c>
      <c r="FZ15" s="204" t="s">
        <v>585</v>
      </c>
      <c r="GA15" s="204" t="s">
        <v>585</v>
      </c>
      <c r="GB15" s="202" t="s">
        <v>585</v>
      </c>
      <c r="GC15" s="206" t="s">
        <v>585</v>
      </c>
      <c r="GD15" s="203" t="s">
        <v>585</v>
      </c>
      <c r="GE15" s="204" t="s">
        <v>585</v>
      </c>
      <c r="GF15" s="204" t="s">
        <v>585</v>
      </c>
      <c r="GG15" s="204" t="s">
        <v>585</v>
      </c>
      <c r="GH15" s="202" t="s">
        <v>585</v>
      </c>
      <c r="GI15" s="193">
        <v>70974</v>
      </c>
      <c r="GJ15" s="368">
        <f>70974/45058286</f>
        <v>1.5751597830419026E-3</v>
      </c>
      <c r="GK15" s="382"/>
    </row>
    <row r="16" spans="2:193" ht="12" customHeight="1" x14ac:dyDescent="0.2">
      <c r="B16" s="359" t="s">
        <v>228</v>
      </c>
      <c r="C16" s="203">
        <v>13</v>
      </c>
      <c r="D16" s="204" t="s">
        <v>585</v>
      </c>
      <c r="E16" s="204" t="s">
        <v>585</v>
      </c>
      <c r="F16" s="204" t="s">
        <v>585</v>
      </c>
      <c r="G16" s="202">
        <v>13</v>
      </c>
      <c r="H16" s="193" t="s">
        <v>585</v>
      </c>
      <c r="I16" s="206" t="s">
        <v>585</v>
      </c>
      <c r="J16" s="204" t="s">
        <v>585</v>
      </c>
      <c r="K16" s="206" t="s">
        <v>585</v>
      </c>
      <c r="L16" s="193" t="s">
        <v>585</v>
      </c>
      <c r="M16" s="193">
        <v>85</v>
      </c>
      <c r="N16" s="206" t="s">
        <v>585</v>
      </c>
      <c r="O16" s="204" t="s">
        <v>585</v>
      </c>
      <c r="P16" s="204">
        <v>393</v>
      </c>
      <c r="Q16" s="204">
        <v>17</v>
      </c>
      <c r="R16" s="204">
        <v>15</v>
      </c>
      <c r="S16" s="204" t="s">
        <v>585</v>
      </c>
      <c r="T16" s="204" t="s">
        <v>585</v>
      </c>
      <c r="U16" s="206">
        <v>425</v>
      </c>
      <c r="V16" s="203">
        <v>1</v>
      </c>
      <c r="W16" s="204" t="s">
        <v>585</v>
      </c>
      <c r="X16" s="202">
        <v>1</v>
      </c>
      <c r="Y16" s="206">
        <v>27</v>
      </c>
      <c r="Z16" s="204" t="s">
        <v>585</v>
      </c>
      <c r="AA16" s="204" t="s">
        <v>585</v>
      </c>
      <c r="AB16" s="206">
        <v>27</v>
      </c>
      <c r="AC16" s="203">
        <v>1010</v>
      </c>
      <c r="AD16" s="204" t="s">
        <v>585</v>
      </c>
      <c r="AE16" s="204" t="s">
        <v>585</v>
      </c>
      <c r="AF16" s="202">
        <v>1010</v>
      </c>
      <c r="AG16" s="206">
        <v>7</v>
      </c>
      <c r="AH16" s="204" t="s">
        <v>585</v>
      </c>
      <c r="AI16" s="204" t="s">
        <v>585</v>
      </c>
      <c r="AJ16" s="204" t="s">
        <v>585</v>
      </c>
      <c r="AK16" s="206">
        <v>7</v>
      </c>
      <c r="AL16" s="193" t="s">
        <v>585</v>
      </c>
      <c r="AM16" s="193" t="s">
        <v>585</v>
      </c>
      <c r="AN16" s="206" t="s">
        <v>585</v>
      </c>
      <c r="AO16" s="204" t="s">
        <v>585</v>
      </c>
      <c r="AP16" s="206" t="s">
        <v>585</v>
      </c>
      <c r="AQ16" s="203">
        <v>32</v>
      </c>
      <c r="AR16" s="204" t="s">
        <v>585</v>
      </c>
      <c r="AS16" s="204" t="s">
        <v>585</v>
      </c>
      <c r="AT16" s="204" t="s">
        <v>585</v>
      </c>
      <c r="AU16" s="204" t="s">
        <v>585</v>
      </c>
      <c r="AV16" s="204" t="s">
        <v>585</v>
      </c>
      <c r="AW16" s="204" t="s">
        <v>585</v>
      </c>
      <c r="AX16" s="202">
        <v>32</v>
      </c>
      <c r="AY16" s="206" t="s">
        <v>585</v>
      </c>
      <c r="AZ16" s="193" t="s">
        <v>585</v>
      </c>
      <c r="BA16" s="206">
        <v>3</v>
      </c>
      <c r="BB16" s="377">
        <v>60</v>
      </c>
      <c r="BC16" s="206">
        <v>102</v>
      </c>
      <c r="BD16" s="206">
        <v>94</v>
      </c>
      <c r="BE16" s="378">
        <v>1</v>
      </c>
      <c r="BF16" s="206">
        <v>260</v>
      </c>
      <c r="BG16" s="193" t="s">
        <v>585</v>
      </c>
      <c r="BH16" s="193" t="s">
        <v>585</v>
      </c>
      <c r="BI16" s="193" t="s">
        <v>585</v>
      </c>
      <c r="BJ16" s="193" t="s">
        <v>585</v>
      </c>
      <c r="BK16" s="206" t="s">
        <v>585</v>
      </c>
      <c r="BL16" s="204" t="s">
        <v>585</v>
      </c>
      <c r="BM16" s="206" t="s">
        <v>585</v>
      </c>
      <c r="BN16" s="193" t="s">
        <v>585</v>
      </c>
      <c r="BO16" s="206" t="s">
        <v>585</v>
      </c>
      <c r="BP16" s="204" t="s">
        <v>585</v>
      </c>
      <c r="BQ16" s="206" t="s">
        <v>585</v>
      </c>
      <c r="BR16" s="203" t="s">
        <v>585</v>
      </c>
      <c r="BS16" s="204" t="s">
        <v>585</v>
      </c>
      <c r="BT16" s="204" t="s">
        <v>585</v>
      </c>
      <c r="BU16" s="204" t="s">
        <v>585</v>
      </c>
      <c r="BV16" s="204" t="s">
        <v>585</v>
      </c>
      <c r="BW16" s="204" t="s">
        <v>585</v>
      </c>
      <c r="BX16" s="204" t="s">
        <v>585</v>
      </c>
      <c r="BY16" s="204" t="s">
        <v>585</v>
      </c>
      <c r="BZ16" s="204" t="s">
        <v>585</v>
      </c>
      <c r="CA16" s="204" t="s">
        <v>585</v>
      </c>
      <c r="CB16" s="204" t="s">
        <v>585</v>
      </c>
      <c r="CC16" s="204" t="s">
        <v>585</v>
      </c>
      <c r="CD16" s="204" t="s">
        <v>585</v>
      </c>
      <c r="CE16" s="204" t="s">
        <v>585</v>
      </c>
      <c r="CF16" s="202" t="s">
        <v>585</v>
      </c>
      <c r="CG16" s="206" t="s">
        <v>585</v>
      </c>
      <c r="CH16" s="204" t="s">
        <v>585</v>
      </c>
      <c r="CI16" s="206" t="s">
        <v>585</v>
      </c>
      <c r="CJ16" s="193" t="s">
        <v>585</v>
      </c>
      <c r="CK16" s="206">
        <v>2239</v>
      </c>
      <c r="CL16" s="204" t="s">
        <v>585</v>
      </c>
      <c r="CM16" s="204">
        <v>9574</v>
      </c>
      <c r="CN16" s="204">
        <v>3827</v>
      </c>
      <c r="CO16" s="204">
        <v>52</v>
      </c>
      <c r="CP16" s="204" t="s">
        <v>585</v>
      </c>
      <c r="CQ16" s="204">
        <v>3</v>
      </c>
      <c r="CR16" s="204" t="s">
        <v>585</v>
      </c>
      <c r="CS16" s="204">
        <v>1</v>
      </c>
      <c r="CT16" s="204" t="s">
        <v>585</v>
      </c>
      <c r="CU16" s="204" t="s">
        <v>585</v>
      </c>
      <c r="CV16" s="206">
        <v>15696</v>
      </c>
      <c r="CW16" s="203">
        <v>109</v>
      </c>
      <c r="CX16" s="204" t="s">
        <v>585</v>
      </c>
      <c r="CY16" s="204">
        <v>114</v>
      </c>
      <c r="CZ16" s="204">
        <v>2</v>
      </c>
      <c r="DA16" s="204">
        <v>1</v>
      </c>
      <c r="DB16" s="204" t="s">
        <v>585</v>
      </c>
      <c r="DC16" s="204" t="s">
        <v>585</v>
      </c>
      <c r="DD16" s="202">
        <v>226</v>
      </c>
      <c r="DE16" s="206" t="s">
        <v>585</v>
      </c>
      <c r="DF16" s="203" t="s">
        <v>585</v>
      </c>
      <c r="DG16" s="204" t="s">
        <v>585</v>
      </c>
      <c r="DH16" s="202" t="s">
        <v>585</v>
      </c>
      <c r="DI16" s="206" t="s">
        <v>585</v>
      </c>
      <c r="DJ16" s="204" t="s">
        <v>585</v>
      </c>
      <c r="DK16" s="206" t="s">
        <v>585</v>
      </c>
      <c r="DL16" s="193">
        <v>8</v>
      </c>
      <c r="DM16" s="206" t="s">
        <v>585</v>
      </c>
      <c r="DN16" s="204" t="s">
        <v>585</v>
      </c>
      <c r="DO16" s="206" t="s">
        <v>585</v>
      </c>
      <c r="DP16" s="203" t="s">
        <v>585</v>
      </c>
      <c r="DQ16" s="204" t="s">
        <v>585</v>
      </c>
      <c r="DR16" s="202" t="s">
        <v>585</v>
      </c>
      <c r="DS16" s="206" t="s">
        <v>585</v>
      </c>
      <c r="DT16" s="193" t="s">
        <v>585</v>
      </c>
      <c r="DU16" s="206">
        <v>25</v>
      </c>
      <c r="DV16" s="204" t="s">
        <v>585</v>
      </c>
      <c r="DW16" s="206">
        <v>25</v>
      </c>
      <c r="DX16" s="193" t="s">
        <v>585</v>
      </c>
      <c r="DY16" s="193" t="s">
        <v>585</v>
      </c>
      <c r="DZ16" s="206" t="s">
        <v>585</v>
      </c>
      <c r="EA16" s="204">
        <v>1</v>
      </c>
      <c r="EB16" s="204" t="s">
        <v>585</v>
      </c>
      <c r="EC16" s="204" t="s">
        <v>585</v>
      </c>
      <c r="ED16" s="204" t="s">
        <v>585</v>
      </c>
      <c r="EE16" s="204" t="s">
        <v>585</v>
      </c>
      <c r="EF16" s="204" t="s">
        <v>585</v>
      </c>
      <c r="EG16" s="206">
        <v>1</v>
      </c>
      <c r="EH16" s="203">
        <v>65</v>
      </c>
      <c r="EI16" s="204">
        <v>33</v>
      </c>
      <c r="EJ16" s="204">
        <v>6</v>
      </c>
      <c r="EK16" s="204">
        <v>14</v>
      </c>
      <c r="EL16" s="204">
        <v>438</v>
      </c>
      <c r="EM16" s="204">
        <v>45</v>
      </c>
      <c r="EN16" s="204">
        <v>3</v>
      </c>
      <c r="EO16" s="204">
        <v>6</v>
      </c>
      <c r="EP16" s="204">
        <v>13</v>
      </c>
      <c r="EQ16" s="204">
        <v>50</v>
      </c>
      <c r="ER16" s="204" t="s">
        <v>585</v>
      </c>
      <c r="ES16" s="204">
        <v>8</v>
      </c>
      <c r="ET16" s="204" t="s">
        <v>585</v>
      </c>
      <c r="EU16" s="202">
        <v>681</v>
      </c>
      <c r="EV16" s="206" t="s">
        <v>585</v>
      </c>
      <c r="EW16" s="193" t="s">
        <v>585</v>
      </c>
      <c r="EX16" s="206" t="s">
        <v>585</v>
      </c>
      <c r="EY16" s="204" t="s">
        <v>585</v>
      </c>
      <c r="EZ16" s="204" t="s">
        <v>585</v>
      </c>
      <c r="FA16" s="206" t="s">
        <v>585</v>
      </c>
      <c r="FB16" s="193" t="s">
        <v>585</v>
      </c>
      <c r="FC16" s="206" t="s">
        <v>585</v>
      </c>
      <c r="FD16" s="203" t="s">
        <v>585</v>
      </c>
      <c r="FE16" s="204" t="s">
        <v>585</v>
      </c>
      <c r="FF16" s="204" t="s">
        <v>585</v>
      </c>
      <c r="FG16" s="204" t="s">
        <v>585</v>
      </c>
      <c r="FH16" s="202" t="s">
        <v>585</v>
      </c>
      <c r="FI16" s="206" t="s">
        <v>585</v>
      </c>
      <c r="FJ16" s="204" t="s">
        <v>585</v>
      </c>
      <c r="FK16" s="206" t="s">
        <v>585</v>
      </c>
      <c r="FL16" s="203" t="s">
        <v>585</v>
      </c>
      <c r="FM16" s="204" t="s">
        <v>585</v>
      </c>
      <c r="FN16" s="202" t="s">
        <v>585</v>
      </c>
      <c r="FO16" s="206" t="s">
        <v>585</v>
      </c>
      <c r="FP16" s="193" t="s">
        <v>585</v>
      </c>
      <c r="FQ16" s="206">
        <v>1</v>
      </c>
      <c r="FR16" s="204">
        <v>4</v>
      </c>
      <c r="FS16" s="204" t="s">
        <v>585</v>
      </c>
      <c r="FT16" s="206">
        <v>5</v>
      </c>
      <c r="FU16" s="203">
        <v>2</v>
      </c>
      <c r="FV16" s="204" t="s">
        <v>585</v>
      </c>
      <c r="FW16" s="202">
        <v>2</v>
      </c>
      <c r="FX16" s="206" t="s">
        <v>585</v>
      </c>
      <c r="FY16" s="203" t="s">
        <v>585</v>
      </c>
      <c r="FZ16" s="204">
        <v>1</v>
      </c>
      <c r="GA16" s="204" t="s">
        <v>585</v>
      </c>
      <c r="GB16" s="202">
        <v>1</v>
      </c>
      <c r="GC16" s="206">
        <v>4</v>
      </c>
      <c r="GD16" s="203" t="s">
        <v>585</v>
      </c>
      <c r="GE16" s="204" t="s">
        <v>585</v>
      </c>
      <c r="GF16" s="204" t="s">
        <v>585</v>
      </c>
      <c r="GG16" s="204" t="s">
        <v>585</v>
      </c>
      <c r="GH16" s="202" t="s">
        <v>585</v>
      </c>
      <c r="GI16" s="193">
        <v>18509</v>
      </c>
      <c r="GJ16" s="368">
        <f>18509/45058286</f>
        <v>4.1077905182633891E-4</v>
      </c>
      <c r="GK16" s="382"/>
    </row>
    <row r="17" spans="2:193" ht="12" customHeight="1" x14ac:dyDescent="0.2">
      <c r="B17" s="359" t="s">
        <v>249</v>
      </c>
      <c r="C17" s="203">
        <v>21</v>
      </c>
      <c r="D17" s="204" t="s">
        <v>585</v>
      </c>
      <c r="E17" s="204" t="s">
        <v>585</v>
      </c>
      <c r="F17" s="204" t="s">
        <v>585</v>
      </c>
      <c r="G17" s="202">
        <v>21</v>
      </c>
      <c r="H17" s="193" t="s">
        <v>585</v>
      </c>
      <c r="I17" s="206">
        <v>4</v>
      </c>
      <c r="J17" s="204" t="s">
        <v>585</v>
      </c>
      <c r="K17" s="206">
        <v>4</v>
      </c>
      <c r="L17" s="193" t="s">
        <v>585</v>
      </c>
      <c r="M17" s="193">
        <v>41</v>
      </c>
      <c r="N17" s="206">
        <v>8</v>
      </c>
      <c r="O17" s="204" t="s">
        <v>585</v>
      </c>
      <c r="P17" s="204">
        <v>295</v>
      </c>
      <c r="Q17" s="204">
        <v>5</v>
      </c>
      <c r="R17" s="204">
        <v>3</v>
      </c>
      <c r="S17" s="204" t="s">
        <v>585</v>
      </c>
      <c r="T17" s="204" t="s">
        <v>585</v>
      </c>
      <c r="U17" s="206">
        <v>311</v>
      </c>
      <c r="V17" s="203" t="s">
        <v>585</v>
      </c>
      <c r="W17" s="204" t="s">
        <v>585</v>
      </c>
      <c r="X17" s="202" t="s">
        <v>585</v>
      </c>
      <c r="Y17" s="206">
        <v>6</v>
      </c>
      <c r="Z17" s="204" t="s">
        <v>585</v>
      </c>
      <c r="AA17" s="204" t="s">
        <v>585</v>
      </c>
      <c r="AB17" s="206">
        <v>6</v>
      </c>
      <c r="AC17" s="203">
        <v>79</v>
      </c>
      <c r="AD17" s="204" t="s">
        <v>585</v>
      </c>
      <c r="AE17" s="204" t="s">
        <v>585</v>
      </c>
      <c r="AF17" s="202">
        <v>79</v>
      </c>
      <c r="AG17" s="206">
        <v>5</v>
      </c>
      <c r="AH17" s="204" t="s">
        <v>585</v>
      </c>
      <c r="AI17" s="204" t="s">
        <v>585</v>
      </c>
      <c r="AJ17" s="204" t="s">
        <v>585</v>
      </c>
      <c r="AK17" s="206">
        <v>5</v>
      </c>
      <c r="AL17" s="193" t="s">
        <v>585</v>
      </c>
      <c r="AM17" s="193" t="s">
        <v>585</v>
      </c>
      <c r="AN17" s="206" t="s">
        <v>585</v>
      </c>
      <c r="AO17" s="204" t="s">
        <v>585</v>
      </c>
      <c r="AP17" s="206" t="s">
        <v>585</v>
      </c>
      <c r="AQ17" s="203" t="s">
        <v>585</v>
      </c>
      <c r="AR17" s="204" t="s">
        <v>585</v>
      </c>
      <c r="AS17" s="204" t="s">
        <v>585</v>
      </c>
      <c r="AT17" s="204" t="s">
        <v>585</v>
      </c>
      <c r="AU17" s="204" t="s">
        <v>585</v>
      </c>
      <c r="AV17" s="204" t="s">
        <v>585</v>
      </c>
      <c r="AW17" s="204" t="s">
        <v>585</v>
      </c>
      <c r="AX17" s="202" t="s">
        <v>585</v>
      </c>
      <c r="AY17" s="206" t="s">
        <v>585</v>
      </c>
      <c r="AZ17" s="193" t="s">
        <v>585</v>
      </c>
      <c r="BA17" s="206">
        <v>3</v>
      </c>
      <c r="BB17" s="377">
        <v>23</v>
      </c>
      <c r="BC17" s="206">
        <v>34</v>
      </c>
      <c r="BD17" s="206">
        <v>6</v>
      </c>
      <c r="BE17" s="378">
        <v>2</v>
      </c>
      <c r="BF17" s="206">
        <v>68</v>
      </c>
      <c r="BG17" s="193">
        <v>1</v>
      </c>
      <c r="BH17" s="193" t="s">
        <v>585</v>
      </c>
      <c r="BI17" s="193" t="s">
        <v>585</v>
      </c>
      <c r="BJ17" s="193" t="s">
        <v>585</v>
      </c>
      <c r="BK17" s="206">
        <v>2</v>
      </c>
      <c r="BL17" s="204" t="s">
        <v>585</v>
      </c>
      <c r="BM17" s="206">
        <v>2</v>
      </c>
      <c r="BN17" s="193" t="s">
        <v>585</v>
      </c>
      <c r="BO17" s="206" t="s">
        <v>585</v>
      </c>
      <c r="BP17" s="204" t="s">
        <v>585</v>
      </c>
      <c r="BQ17" s="206" t="s">
        <v>585</v>
      </c>
      <c r="BR17" s="203">
        <v>1</v>
      </c>
      <c r="BS17" s="204">
        <v>3</v>
      </c>
      <c r="BT17" s="204">
        <v>2</v>
      </c>
      <c r="BU17" s="204" t="s">
        <v>585</v>
      </c>
      <c r="BV17" s="204" t="s">
        <v>585</v>
      </c>
      <c r="BW17" s="204" t="s">
        <v>585</v>
      </c>
      <c r="BX17" s="204" t="s">
        <v>585</v>
      </c>
      <c r="BY17" s="204" t="s">
        <v>585</v>
      </c>
      <c r="BZ17" s="204" t="s">
        <v>585</v>
      </c>
      <c r="CA17" s="204" t="s">
        <v>585</v>
      </c>
      <c r="CB17" s="204" t="s">
        <v>585</v>
      </c>
      <c r="CC17" s="204" t="s">
        <v>585</v>
      </c>
      <c r="CD17" s="204" t="s">
        <v>585</v>
      </c>
      <c r="CE17" s="204" t="s">
        <v>585</v>
      </c>
      <c r="CF17" s="202">
        <v>6</v>
      </c>
      <c r="CG17" s="206" t="s">
        <v>585</v>
      </c>
      <c r="CH17" s="204" t="s">
        <v>585</v>
      </c>
      <c r="CI17" s="206" t="s">
        <v>585</v>
      </c>
      <c r="CJ17" s="193" t="s">
        <v>585</v>
      </c>
      <c r="CK17" s="206">
        <v>1665</v>
      </c>
      <c r="CL17" s="204" t="s">
        <v>585</v>
      </c>
      <c r="CM17" s="204">
        <v>7804</v>
      </c>
      <c r="CN17" s="204">
        <v>1208</v>
      </c>
      <c r="CO17" s="204">
        <v>1</v>
      </c>
      <c r="CP17" s="204" t="s">
        <v>585</v>
      </c>
      <c r="CQ17" s="204">
        <v>14</v>
      </c>
      <c r="CR17" s="204" t="s">
        <v>585</v>
      </c>
      <c r="CS17" s="204">
        <v>1</v>
      </c>
      <c r="CT17" s="204" t="s">
        <v>585</v>
      </c>
      <c r="CU17" s="204" t="s">
        <v>585</v>
      </c>
      <c r="CV17" s="206">
        <v>10693</v>
      </c>
      <c r="CW17" s="203">
        <v>80</v>
      </c>
      <c r="CX17" s="204">
        <v>12</v>
      </c>
      <c r="CY17" s="204">
        <v>21</v>
      </c>
      <c r="CZ17" s="204" t="s">
        <v>585</v>
      </c>
      <c r="DA17" s="204" t="s">
        <v>585</v>
      </c>
      <c r="DB17" s="204" t="s">
        <v>585</v>
      </c>
      <c r="DC17" s="204" t="s">
        <v>585</v>
      </c>
      <c r="DD17" s="202">
        <v>113</v>
      </c>
      <c r="DE17" s="206" t="s">
        <v>585</v>
      </c>
      <c r="DF17" s="203" t="s">
        <v>585</v>
      </c>
      <c r="DG17" s="204" t="s">
        <v>585</v>
      </c>
      <c r="DH17" s="202" t="s">
        <v>585</v>
      </c>
      <c r="DI17" s="206" t="s">
        <v>585</v>
      </c>
      <c r="DJ17" s="204" t="s">
        <v>585</v>
      </c>
      <c r="DK17" s="206" t="s">
        <v>585</v>
      </c>
      <c r="DL17" s="193">
        <v>2</v>
      </c>
      <c r="DM17" s="206" t="s">
        <v>585</v>
      </c>
      <c r="DN17" s="204" t="s">
        <v>585</v>
      </c>
      <c r="DO17" s="206" t="s">
        <v>585</v>
      </c>
      <c r="DP17" s="203">
        <v>42</v>
      </c>
      <c r="DQ17" s="204" t="s">
        <v>585</v>
      </c>
      <c r="DR17" s="202">
        <v>42</v>
      </c>
      <c r="DS17" s="206" t="s">
        <v>585</v>
      </c>
      <c r="DT17" s="193" t="s">
        <v>585</v>
      </c>
      <c r="DU17" s="206">
        <v>13</v>
      </c>
      <c r="DV17" s="204" t="s">
        <v>585</v>
      </c>
      <c r="DW17" s="206">
        <v>13</v>
      </c>
      <c r="DX17" s="193" t="s">
        <v>585</v>
      </c>
      <c r="DY17" s="193" t="s">
        <v>585</v>
      </c>
      <c r="DZ17" s="206">
        <v>1</v>
      </c>
      <c r="EA17" s="204" t="s">
        <v>585</v>
      </c>
      <c r="EB17" s="204">
        <v>1</v>
      </c>
      <c r="EC17" s="204">
        <v>57</v>
      </c>
      <c r="ED17" s="204" t="s">
        <v>585</v>
      </c>
      <c r="EE17" s="204" t="s">
        <v>585</v>
      </c>
      <c r="EF17" s="204" t="s">
        <v>585</v>
      </c>
      <c r="EG17" s="206">
        <v>59</v>
      </c>
      <c r="EH17" s="203">
        <v>23</v>
      </c>
      <c r="EI17" s="204">
        <v>103</v>
      </c>
      <c r="EJ17" s="204">
        <v>0</v>
      </c>
      <c r="EK17" s="204">
        <v>3</v>
      </c>
      <c r="EL17" s="204">
        <v>68</v>
      </c>
      <c r="EM17" s="204">
        <v>37</v>
      </c>
      <c r="EN17" s="204">
        <v>4</v>
      </c>
      <c r="EO17" s="204">
        <v>5</v>
      </c>
      <c r="EP17" s="204">
        <v>10</v>
      </c>
      <c r="EQ17" s="204" t="s">
        <v>585</v>
      </c>
      <c r="ER17" s="204">
        <v>1</v>
      </c>
      <c r="ES17" s="204" t="s">
        <v>585</v>
      </c>
      <c r="ET17" s="204" t="s">
        <v>585</v>
      </c>
      <c r="EU17" s="202">
        <v>254</v>
      </c>
      <c r="EV17" s="206" t="s">
        <v>585</v>
      </c>
      <c r="EW17" s="193">
        <v>15</v>
      </c>
      <c r="EX17" s="206" t="s">
        <v>585</v>
      </c>
      <c r="EY17" s="204" t="s">
        <v>585</v>
      </c>
      <c r="EZ17" s="204" t="s">
        <v>585</v>
      </c>
      <c r="FA17" s="206" t="s">
        <v>585</v>
      </c>
      <c r="FB17" s="193" t="s">
        <v>585</v>
      </c>
      <c r="FC17" s="206" t="s">
        <v>585</v>
      </c>
      <c r="FD17" s="203" t="s">
        <v>585</v>
      </c>
      <c r="FE17" s="204" t="s">
        <v>585</v>
      </c>
      <c r="FF17" s="204" t="s">
        <v>585</v>
      </c>
      <c r="FG17" s="204" t="s">
        <v>585</v>
      </c>
      <c r="FH17" s="202" t="s">
        <v>585</v>
      </c>
      <c r="FI17" s="206">
        <v>1</v>
      </c>
      <c r="FJ17" s="204" t="s">
        <v>585</v>
      </c>
      <c r="FK17" s="206">
        <v>1</v>
      </c>
      <c r="FL17" s="203" t="s">
        <v>585</v>
      </c>
      <c r="FM17" s="204" t="s">
        <v>585</v>
      </c>
      <c r="FN17" s="202" t="s">
        <v>585</v>
      </c>
      <c r="FO17" s="206" t="s">
        <v>585</v>
      </c>
      <c r="FP17" s="193">
        <v>1</v>
      </c>
      <c r="FQ17" s="206" t="s">
        <v>585</v>
      </c>
      <c r="FR17" s="204" t="s">
        <v>585</v>
      </c>
      <c r="FS17" s="204" t="s">
        <v>585</v>
      </c>
      <c r="FT17" s="206" t="s">
        <v>585</v>
      </c>
      <c r="FU17" s="203" t="s">
        <v>585</v>
      </c>
      <c r="FV17" s="204">
        <v>1</v>
      </c>
      <c r="FW17" s="202">
        <v>1</v>
      </c>
      <c r="FX17" s="206" t="s">
        <v>585</v>
      </c>
      <c r="FY17" s="203" t="s">
        <v>585</v>
      </c>
      <c r="FZ17" s="204" t="s">
        <v>585</v>
      </c>
      <c r="GA17" s="204" t="s">
        <v>585</v>
      </c>
      <c r="GB17" s="202" t="s">
        <v>585</v>
      </c>
      <c r="GC17" s="206" t="s">
        <v>585</v>
      </c>
      <c r="GD17" s="203" t="s">
        <v>585</v>
      </c>
      <c r="GE17" s="204" t="s">
        <v>585</v>
      </c>
      <c r="GF17" s="204" t="s">
        <v>585</v>
      </c>
      <c r="GG17" s="204" t="s">
        <v>585</v>
      </c>
      <c r="GH17" s="202" t="s">
        <v>585</v>
      </c>
      <c r="GI17" s="193">
        <v>11738</v>
      </c>
      <c r="GJ17" s="368">
        <f>11738/45058286</f>
        <v>2.6050702416865123E-4</v>
      </c>
      <c r="GK17" s="382"/>
    </row>
    <row r="18" spans="2:193" ht="12.75" customHeight="1" thickBot="1" x14ac:dyDescent="0.25">
      <c r="B18" s="359" t="s">
        <v>539</v>
      </c>
      <c r="C18" s="203">
        <v>8</v>
      </c>
      <c r="D18" s="204" t="s">
        <v>585</v>
      </c>
      <c r="E18" s="204" t="s">
        <v>585</v>
      </c>
      <c r="F18" s="204">
        <v>23</v>
      </c>
      <c r="G18" s="202">
        <v>31</v>
      </c>
      <c r="H18" s="193" t="s">
        <v>585</v>
      </c>
      <c r="I18" s="206">
        <v>3</v>
      </c>
      <c r="J18" s="204" t="s">
        <v>585</v>
      </c>
      <c r="K18" s="206">
        <v>3</v>
      </c>
      <c r="L18" s="193">
        <v>1</v>
      </c>
      <c r="M18" s="193">
        <v>134</v>
      </c>
      <c r="N18" s="206">
        <v>2</v>
      </c>
      <c r="O18" s="204">
        <v>53</v>
      </c>
      <c r="P18" s="204">
        <v>1053</v>
      </c>
      <c r="Q18" s="204">
        <v>37</v>
      </c>
      <c r="R18" s="204">
        <v>8</v>
      </c>
      <c r="S18" s="204" t="s">
        <v>585</v>
      </c>
      <c r="T18" s="204" t="s">
        <v>585</v>
      </c>
      <c r="U18" s="206">
        <v>1153</v>
      </c>
      <c r="V18" s="203">
        <v>1</v>
      </c>
      <c r="W18" s="204">
        <v>2</v>
      </c>
      <c r="X18" s="202">
        <v>3</v>
      </c>
      <c r="Y18" s="206">
        <v>42</v>
      </c>
      <c r="Z18" s="204" t="s">
        <v>585</v>
      </c>
      <c r="AA18" s="204" t="s">
        <v>585</v>
      </c>
      <c r="AB18" s="206">
        <v>42</v>
      </c>
      <c r="AC18" s="203">
        <v>1197</v>
      </c>
      <c r="AD18" s="204" t="s">
        <v>585</v>
      </c>
      <c r="AE18" s="204" t="s">
        <v>585</v>
      </c>
      <c r="AF18" s="202">
        <v>1197</v>
      </c>
      <c r="AG18" s="206">
        <v>9</v>
      </c>
      <c r="AH18" s="204" t="s">
        <v>585</v>
      </c>
      <c r="AI18" s="204" t="s">
        <v>585</v>
      </c>
      <c r="AJ18" s="204" t="s">
        <v>585</v>
      </c>
      <c r="AK18" s="206">
        <v>9</v>
      </c>
      <c r="AL18" s="193">
        <v>12</v>
      </c>
      <c r="AM18" s="193" t="s">
        <v>585</v>
      </c>
      <c r="AN18" s="206">
        <v>1</v>
      </c>
      <c r="AO18" s="204" t="s">
        <v>585</v>
      </c>
      <c r="AP18" s="206">
        <v>1</v>
      </c>
      <c r="AQ18" s="203">
        <v>9</v>
      </c>
      <c r="AR18" s="204" t="s">
        <v>585</v>
      </c>
      <c r="AS18" s="204" t="s">
        <v>585</v>
      </c>
      <c r="AT18" s="204" t="s">
        <v>585</v>
      </c>
      <c r="AU18" s="204" t="s">
        <v>585</v>
      </c>
      <c r="AV18" s="204" t="s">
        <v>585</v>
      </c>
      <c r="AW18" s="204" t="s">
        <v>585</v>
      </c>
      <c r="AX18" s="202">
        <v>9</v>
      </c>
      <c r="AY18" s="206" t="s">
        <v>585</v>
      </c>
      <c r="AZ18" s="193">
        <v>1</v>
      </c>
      <c r="BA18" s="206">
        <v>4</v>
      </c>
      <c r="BB18" s="377">
        <v>85</v>
      </c>
      <c r="BC18" s="206">
        <v>149</v>
      </c>
      <c r="BD18" s="206">
        <v>60</v>
      </c>
      <c r="BE18" s="378">
        <v>6</v>
      </c>
      <c r="BF18" s="206">
        <v>304</v>
      </c>
      <c r="BG18" s="193" t="s">
        <v>585</v>
      </c>
      <c r="BH18" s="193" t="s">
        <v>585</v>
      </c>
      <c r="BI18" s="193" t="s">
        <v>585</v>
      </c>
      <c r="BJ18" s="193" t="s">
        <v>585</v>
      </c>
      <c r="BK18" s="206">
        <v>1</v>
      </c>
      <c r="BL18" s="204">
        <v>10</v>
      </c>
      <c r="BM18" s="206">
        <v>11</v>
      </c>
      <c r="BN18" s="193">
        <v>6</v>
      </c>
      <c r="BO18" s="206">
        <v>1</v>
      </c>
      <c r="BP18" s="204" t="s">
        <v>585</v>
      </c>
      <c r="BQ18" s="206">
        <v>1</v>
      </c>
      <c r="BR18" s="203" t="s">
        <v>585</v>
      </c>
      <c r="BS18" s="204">
        <v>31</v>
      </c>
      <c r="BT18" s="204" t="s">
        <v>585</v>
      </c>
      <c r="BU18" s="204">
        <v>7</v>
      </c>
      <c r="BV18" s="204" t="s">
        <v>585</v>
      </c>
      <c r="BW18" s="204">
        <v>101</v>
      </c>
      <c r="BX18" s="204" t="s">
        <v>585</v>
      </c>
      <c r="BY18" s="204" t="s">
        <v>585</v>
      </c>
      <c r="BZ18" s="204" t="s">
        <v>585</v>
      </c>
      <c r="CA18" s="204">
        <v>48</v>
      </c>
      <c r="CB18" s="204" t="s">
        <v>585</v>
      </c>
      <c r="CC18" s="204" t="s">
        <v>585</v>
      </c>
      <c r="CD18" s="204" t="s">
        <v>585</v>
      </c>
      <c r="CE18" s="204" t="s">
        <v>585</v>
      </c>
      <c r="CF18" s="202">
        <v>187</v>
      </c>
      <c r="CG18" s="206" t="s">
        <v>585</v>
      </c>
      <c r="CH18" s="204" t="s">
        <v>585</v>
      </c>
      <c r="CI18" s="206" t="s">
        <v>585</v>
      </c>
      <c r="CJ18" s="193" t="s">
        <v>585</v>
      </c>
      <c r="CK18" s="206">
        <v>2987</v>
      </c>
      <c r="CL18" s="204">
        <v>7</v>
      </c>
      <c r="CM18" s="204">
        <v>17464</v>
      </c>
      <c r="CN18" s="204">
        <v>5113</v>
      </c>
      <c r="CO18" s="204">
        <v>25</v>
      </c>
      <c r="CP18" s="204">
        <v>1</v>
      </c>
      <c r="CQ18" s="204">
        <v>6</v>
      </c>
      <c r="CR18" s="204">
        <v>1</v>
      </c>
      <c r="CS18" s="204">
        <v>10</v>
      </c>
      <c r="CT18" s="204" t="s">
        <v>585</v>
      </c>
      <c r="CU18" s="204" t="s">
        <v>585</v>
      </c>
      <c r="CV18" s="206">
        <v>25614</v>
      </c>
      <c r="CW18" s="203">
        <v>180</v>
      </c>
      <c r="CX18" s="204">
        <v>16</v>
      </c>
      <c r="CY18" s="204">
        <v>495</v>
      </c>
      <c r="CZ18" s="204">
        <v>2</v>
      </c>
      <c r="DA18" s="204">
        <v>4</v>
      </c>
      <c r="DB18" s="204" t="s">
        <v>585</v>
      </c>
      <c r="DC18" s="204" t="s">
        <v>585</v>
      </c>
      <c r="DD18" s="202">
        <v>697</v>
      </c>
      <c r="DE18" s="206" t="s">
        <v>585</v>
      </c>
      <c r="DF18" s="203" t="s">
        <v>585</v>
      </c>
      <c r="DG18" s="204" t="s">
        <v>585</v>
      </c>
      <c r="DH18" s="202" t="s">
        <v>585</v>
      </c>
      <c r="DI18" s="206" t="s">
        <v>585</v>
      </c>
      <c r="DJ18" s="204" t="s">
        <v>585</v>
      </c>
      <c r="DK18" s="206" t="s">
        <v>585</v>
      </c>
      <c r="DL18" s="193">
        <v>14</v>
      </c>
      <c r="DM18" s="206" t="s">
        <v>585</v>
      </c>
      <c r="DN18" s="204" t="s">
        <v>585</v>
      </c>
      <c r="DO18" s="206" t="s">
        <v>585</v>
      </c>
      <c r="DP18" s="203">
        <v>29</v>
      </c>
      <c r="DQ18" s="204" t="s">
        <v>585</v>
      </c>
      <c r="DR18" s="202">
        <v>29</v>
      </c>
      <c r="DS18" s="206" t="s">
        <v>585</v>
      </c>
      <c r="DT18" s="193" t="s">
        <v>585</v>
      </c>
      <c r="DU18" s="206">
        <v>25</v>
      </c>
      <c r="DV18" s="204" t="s">
        <v>585</v>
      </c>
      <c r="DW18" s="206">
        <v>25</v>
      </c>
      <c r="DX18" s="193" t="s">
        <v>585</v>
      </c>
      <c r="DY18" s="193" t="s">
        <v>585</v>
      </c>
      <c r="DZ18" s="206">
        <v>6</v>
      </c>
      <c r="EA18" s="204" t="s">
        <v>585</v>
      </c>
      <c r="EB18" s="204" t="s">
        <v>585</v>
      </c>
      <c r="EC18" s="204" t="s">
        <v>585</v>
      </c>
      <c r="ED18" s="204" t="s">
        <v>585</v>
      </c>
      <c r="EE18" s="204" t="s">
        <v>585</v>
      </c>
      <c r="EF18" s="204" t="s">
        <v>585</v>
      </c>
      <c r="EG18" s="206">
        <v>6</v>
      </c>
      <c r="EH18" s="203">
        <v>90</v>
      </c>
      <c r="EI18" s="204">
        <v>100</v>
      </c>
      <c r="EJ18" s="204">
        <v>5</v>
      </c>
      <c r="EK18" s="204">
        <v>32</v>
      </c>
      <c r="EL18" s="204">
        <v>1552</v>
      </c>
      <c r="EM18" s="204">
        <v>123</v>
      </c>
      <c r="EN18" s="204">
        <v>3</v>
      </c>
      <c r="EO18" s="204">
        <v>7</v>
      </c>
      <c r="EP18" s="204">
        <v>85</v>
      </c>
      <c r="EQ18" s="204">
        <v>22</v>
      </c>
      <c r="ER18" s="204">
        <v>2</v>
      </c>
      <c r="ES18" s="204">
        <v>1</v>
      </c>
      <c r="ET18" s="204" t="s">
        <v>585</v>
      </c>
      <c r="EU18" s="202">
        <v>2022</v>
      </c>
      <c r="EV18" s="206" t="s">
        <v>585</v>
      </c>
      <c r="EW18" s="193" t="s">
        <v>585</v>
      </c>
      <c r="EX18" s="206" t="s">
        <v>585</v>
      </c>
      <c r="EY18" s="204" t="s">
        <v>585</v>
      </c>
      <c r="EZ18" s="204" t="s">
        <v>585</v>
      </c>
      <c r="FA18" s="206" t="s">
        <v>585</v>
      </c>
      <c r="FB18" s="193" t="s">
        <v>585</v>
      </c>
      <c r="FC18" s="206" t="s">
        <v>585</v>
      </c>
      <c r="FD18" s="203">
        <v>6</v>
      </c>
      <c r="FE18" s="204" t="s">
        <v>585</v>
      </c>
      <c r="FF18" s="204" t="s">
        <v>585</v>
      </c>
      <c r="FG18" s="204" t="s">
        <v>585</v>
      </c>
      <c r="FH18" s="202">
        <v>6</v>
      </c>
      <c r="FI18" s="206">
        <v>1</v>
      </c>
      <c r="FJ18" s="204" t="s">
        <v>585</v>
      </c>
      <c r="FK18" s="206">
        <v>1</v>
      </c>
      <c r="FL18" s="203" t="s">
        <v>585</v>
      </c>
      <c r="FM18" s="204" t="s">
        <v>585</v>
      </c>
      <c r="FN18" s="202" t="s">
        <v>585</v>
      </c>
      <c r="FO18" s="206" t="s">
        <v>585</v>
      </c>
      <c r="FP18" s="193">
        <v>3</v>
      </c>
      <c r="FQ18" s="206" t="s">
        <v>585</v>
      </c>
      <c r="FR18" s="204" t="s">
        <v>585</v>
      </c>
      <c r="FS18" s="204" t="s">
        <v>585</v>
      </c>
      <c r="FT18" s="206" t="s">
        <v>585</v>
      </c>
      <c r="FU18" s="203">
        <v>9</v>
      </c>
      <c r="FV18" s="204" t="s">
        <v>585</v>
      </c>
      <c r="FW18" s="202">
        <v>9</v>
      </c>
      <c r="FX18" s="206" t="s">
        <v>585</v>
      </c>
      <c r="FY18" s="203" t="s">
        <v>585</v>
      </c>
      <c r="FZ18" s="204">
        <v>1</v>
      </c>
      <c r="GA18" s="204" t="s">
        <v>585</v>
      </c>
      <c r="GB18" s="202">
        <v>1</v>
      </c>
      <c r="GC18" s="206" t="s">
        <v>585</v>
      </c>
      <c r="GD18" s="203" t="s">
        <v>585</v>
      </c>
      <c r="GE18" s="204" t="s">
        <v>585</v>
      </c>
      <c r="GF18" s="204" t="s">
        <v>585</v>
      </c>
      <c r="GG18" s="204" t="s">
        <v>585</v>
      </c>
      <c r="GH18" s="202" t="s">
        <v>585</v>
      </c>
      <c r="GI18" s="193">
        <v>31532</v>
      </c>
      <c r="GJ18" s="368">
        <f>31532/45058286</f>
        <v>6.9980469297034511E-4</v>
      </c>
      <c r="GK18" s="382"/>
    </row>
    <row r="19" spans="2:193" s="76" customFormat="1" ht="12.75" customHeight="1" thickBot="1" x14ac:dyDescent="0.25">
      <c r="B19" s="363" t="s">
        <v>540</v>
      </c>
      <c r="C19" s="266">
        <v>158</v>
      </c>
      <c r="D19" s="264" t="s">
        <v>585</v>
      </c>
      <c r="E19" s="264" t="s">
        <v>585</v>
      </c>
      <c r="F19" s="264">
        <v>23</v>
      </c>
      <c r="G19" s="267">
        <v>181</v>
      </c>
      <c r="H19" s="265" t="s">
        <v>585</v>
      </c>
      <c r="I19" s="263">
        <v>18</v>
      </c>
      <c r="J19" s="264" t="s">
        <v>585</v>
      </c>
      <c r="K19" s="263">
        <v>18</v>
      </c>
      <c r="L19" s="265">
        <v>1</v>
      </c>
      <c r="M19" s="265">
        <v>719</v>
      </c>
      <c r="N19" s="263">
        <v>45</v>
      </c>
      <c r="O19" s="264">
        <v>58</v>
      </c>
      <c r="P19" s="264">
        <v>5545</v>
      </c>
      <c r="Q19" s="264">
        <v>105</v>
      </c>
      <c r="R19" s="264">
        <v>106</v>
      </c>
      <c r="S19" s="264" t="s">
        <v>585</v>
      </c>
      <c r="T19" s="264">
        <v>1</v>
      </c>
      <c r="U19" s="263">
        <v>5860</v>
      </c>
      <c r="V19" s="266">
        <v>23</v>
      </c>
      <c r="W19" s="264">
        <v>18</v>
      </c>
      <c r="X19" s="267">
        <v>41</v>
      </c>
      <c r="Y19" s="263">
        <v>238</v>
      </c>
      <c r="Z19" s="264">
        <v>3</v>
      </c>
      <c r="AA19" s="264" t="s">
        <v>585</v>
      </c>
      <c r="AB19" s="263">
        <v>241</v>
      </c>
      <c r="AC19" s="266">
        <v>11035</v>
      </c>
      <c r="AD19" s="264">
        <v>7</v>
      </c>
      <c r="AE19" s="264" t="s">
        <v>585</v>
      </c>
      <c r="AF19" s="267">
        <v>11042</v>
      </c>
      <c r="AG19" s="263">
        <v>115</v>
      </c>
      <c r="AH19" s="264" t="s">
        <v>585</v>
      </c>
      <c r="AI19" s="264" t="s">
        <v>585</v>
      </c>
      <c r="AJ19" s="264" t="s">
        <v>585</v>
      </c>
      <c r="AK19" s="263">
        <v>115</v>
      </c>
      <c r="AL19" s="265">
        <v>12</v>
      </c>
      <c r="AM19" s="265" t="s">
        <v>585</v>
      </c>
      <c r="AN19" s="263">
        <v>1</v>
      </c>
      <c r="AO19" s="264">
        <v>2</v>
      </c>
      <c r="AP19" s="263">
        <v>3</v>
      </c>
      <c r="AQ19" s="266">
        <v>130</v>
      </c>
      <c r="AR19" s="264" t="s">
        <v>585</v>
      </c>
      <c r="AS19" s="264" t="s">
        <v>585</v>
      </c>
      <c r="AT19" s="264" t="s">
        <v>585</v>
      </c>
      <c r="AU19" s="264" t="s">
        <v>585</v>
      </c>
      <c r="AV19" s="264" t="s">
        <v>585</v>
      </c>
      <c r="AW19" s="264" t="s">
        <v>585</v>
      </c>
      <c r="AX19" s="267">
        <v>130</v>
      </c>
      <c r="AY19" s="263" t="s">
        <v>585</v>
      </c>
      <c r="AZ19" s="265">
        <v>2</v>
      </c>
      <c r="BA19" s="263">
        <v>52</v>
      </c>
      <c r="BB19" s="379">
        <v>658</v>
      </c>
      <c r="BC19" s="263">
        <v>937</v>
      </c>
      <c r="BD19" s="263">
        <v>508</v>
      </c>
      <c r="BE19" s="380">
        <v>56</v>
      </c>
      <c r="BF19" s="263">
        <v>2211</v>
      </c>
      <c r="BG19" s="265">
        <v>5</v>
      </c>
      <c r="BH19" s="265" t="s">
        <v>585</v>
      </c>
      <c r="BI19" s="265" t="s">
        <v>585</v>
      </c>
      <c r="BJ19" s="265">
        <v>3</v>
      </c>
      <c r="BK19" s="263">
        <v>10</v>
      </c>
      <c r="BL19" s="264">
        <v>10</v>
      </c>
      <c r="BM19" s="263">
        <v>20</v>
      </c>
      <c r="BN19" s="265">
        <v>6</v>
      </c>
      <c r="BO19" s="263">
        <v>2</v>
      </c>
      <c r="BP19" s="264" t="s">
        <v>585</v>
      </c>
      <c r="BQ19" s="263">
        <v>2</v>
      </c>
      <c r="BR19" s="266">
        <v>9</v>
      </c>
      <c r="BS19" s="264">
        <v>228</v>
      </c>
      <c r="BT19" s="264">
        <v>6</v>
      </c>
      <c r="BU19" s="264">
        <v>8</v>
      </c>
      <c r="BV19" s="264" t="s">
        <v>585</v>
      </c>
      <c r="BW19" s="264">
        <v>101</v>
      </c>
      <c r="BX19" s="264" t="s">
        <v>585</v>
      </c>
      <c r="BY19" s="264" t="s">
        <v>585</v>
      </c>
      <c r="BZ19" s="264" t="s">
        <v>585</v>
      </c>
      <c r="CA19" s="264">
        <v>49</v>
      </c>
      <c r="CB19" s="264" t="s">
        <v>585</v>
      </c>
      <c r="CC19" s="264" t="s">
        <v>585</v>
      </c>
      <c r="CD19" s="264" t="s">
        <v>585</v>
      </c>
      <c r="CE19" s="264" t="s">
        <v>585</v>
      </c>
      <c r="CF19" s="267">
        <v>401</v>
      </c>
      <c r="CG19" s="263" t="s">
        <v>585</v>
      </c>
      <c r="CH19" s="264" t="s">
        <v>585</v>
      </c>
      <c r="CI19" s="263" t="s">
        <v>585</v>
      </c>
      <c r="CJ19" s="265" t="s">
        <v>585</v>
      </c>
      <c r="CK19" s="263">
        <v>43588</v>
      </c>
      <c r="CL19" s="264">
        <v>9</v>
      </c>
      <c r="CM19" s="264">
        <v>178831</v>
      </c>
      <c r="CN19" s="264">
        <v>33177</v>
      </c>
      <c r="CO19" s="264">
        <v>289</v>
      </c>
      <c r="CP19" s="264">
        <v>3</v>
      </c>
      <c r="CQ19" s="264">
        <v>52</v>
      </c>
      <c r="CR19" s="264">
        <v>1</v>
      </c>
      <c r="CS19" s="264">
        <v>23</v>
      </c>
      <c r="CT19" s="264" t="s">
        <v>585</v>
      </c>
      <c r="CU19" s="264" t="s">
        <v>585</v>
      </c>
      <c r="CV19" s="263">
        <v>255973</v>
      </c>
      <c r="CW19" s="266">
        <v>1449</v>
      </c>
      <c r="CX19" s="264">
        <v>30</v>
      </c>
      <c r="CY19" s="264">
        <v>10335</v>
      </c>
      <c r="CZ19" s="264">
        <v>4</v>
      </c>
      <c r="DA19" s="264">
        <v>10</v>
      </c>
      <c r="DB19" s="264">
        <v>1</v>
      </c>
      <c r="DC19" s="264" t="s">
        <v>585</v>
      </c>
      <c r="DD19" s="267">
        <v>11829</v>
      </c>
      <c r="DE19" s="263" t="s">
        <v>585</v>
      </c>
      <c r="DF19" s="266" t="s">
        <v>585</v>
      </c>
      <c r="DG19" s="264" t="s">
        <v>585</v>
      </c>
      <c r="DH19" s="267" t="s">
        <v>585</v>
      </c>
      <c r="DI19" s="263" t="s">
        <v>585</v>
      </c>
      <c r="DJ19" s="264" t="s">
        <v>585</v>
      </c>
      <c r="DK19" s="263" t="s">
        <v>585</v>
      </c>
      <c r="DL19" s="265">
        <v>81</v>
      </c>
      <c r="DM19" s="263" t="s">
        <v>585</v>
      </c>
      <c r="DN19" s="264" t="s">
        <v>585</v>
      </c>
      <c r="DO19" s="263" t="s">
        <v>585</v>
      </c>
      <c r="DP19" s="266">
        <v>86</v>
      </c>
      <c r="DQ19" s="264" t="s">
        <v>585</v>
      </c>
      <c r="DR19" s="267">
        <v>86</v>
      </c>
      <c r="DS19" s="263">
        <v>2</v>
      </c>
      <c r="DT19" s="265" t="s">
        <v>585</v>
      </c>
      <c r="DU19" s="263">
        <v>271</v>
      </c>
      <c r="DV19" s="264" t="s">
        <v>585</v>
      </c>
      <c r="DW19" s="263">
        <v>271</v>
      </c>
      <c r="DX19" s="265" t="s">
        <v>585</v>
      </c>
      <c r="DY19" s="265" t="s">
        <v>585</v>
      </c>
      <c r="DZ19" s="263">
        <v>26</v>
      </c>
      <c r="EA19" s="264">
        <v>6</v>
      </c>
      <c r="EB19" s="264">
        <v>10</v>
      </c>
      <c r="EC19" s="264">
        <v>59</v>
      </c>
      <c r="ED19" s="264" t="s">
        <v>585</v>
      </c>
      <c r="EE19" s="264" t="s">
        <v>585</v>
      </c>
      <c r="EF19" s="264" t="s">
        <v>585</v>
      </c>
      <c r="EG19" s="263">
        <v>101</v>
      </c>
      <c r="EH19" s="266">
        <v>811</v>
      </c>
      <c r="EI19" s="264">
        <v>866</v>
      </c>
      <c r="EJ19" s="264">
        <v>20</v>
      </c>
      <c r="EK19" s="264">
        <v>194</v>
      </c>
      <c r="EL19" s="264">
        <v>5543</v>
      </c>
      <c r="EM19" s="264">
        <v>711</v>
      </c>
      <c r="EN19" s="264">
        <v>101</v>
      </c>
      <c r="EO19" s="264">
        <v>61</v>
      </c>
      <c r="EP19" s="264">
        <v>433</v>
      </c>
      <c r="EQ19" s="264">
        <v>112</v>
      </c>
      <c r="ER19" s="264">
        <v>12</v>
      </c>
      <c r="ES19" s="264">
        <v>9</v>
      </c>
      <c r="ET19" s="264" t="s">
        <v>585</v>
      </c>
      <c r="EU19" s="267">
        <v>8873</v>
      </c>
      <c r="EV19" s="263" t="s">
        <v>585</v>
      </c>
      <c r="EW19" s="265">
        <v>23</v>
      </c>
      <c r="EX19" s="263" t="s">
        <v>585</v>
      </c>
      <c r="EY19" s="264">
        <v>2</v>
      </c>
      <c r="EZ19" s="264" t="s">
        <v>585</v>
      </c>
      <c r="FA19" s="263">
        <v>2</v>
      </c>
      <c r="FB19" s="265" t="s">
        <v>585</v>
      </c>
      <c r="FC19" s="263" t="s">
        <v>585</v>
      </c>
      <c r="FD19" s="266">
        <v>21</v>
      </c>
      <c r="FE19" s="264" t="s">
        <v>585</v>
      </c>
      <c r="FF19" s="264" t="s">
        <v>585</v>
      </c>
      <c r="FG19" s="264" t="s">
        <v>585</v>
      </c>
      <c r="FH19" s="267">
        <v>21</v>
      </c>
      <c r="FI19" s="263">
        <v>3</v>
      </c>
      <c r="FJ19" s="264" t="s">
        <v>585</v>
      </c>
      <c r="FK19" s="263">
        <v>3</v>
      </c>
      <c r="FL19" s="266" t="s">
        <v>585</v>
      </c>
      <c r="FM19" s="264" t="s">
        <v>585</v>
      </c>
      <c r="FN19" s="267" t="s">
        <v>585</v>
      </c>
      <c r="FO19" s="263" t="s">
        <v>585</v>
      </c>
      <c r="FP19" s="265">
        <v>41</v>
      </c>
      <c r="FQ19" s="263">
        <v>18</v>
      </c>
      <c r="FR19" s="264">
        <v>6</v>
      </c>
      <c r="FS19" s="264" t="s">
        <v>585</v>
      </c>
      <c r="FT19" s="263">
        <v>24</v>
      </c>
      <c r="FU19" s="266">
        <v>47</v>
      </c>
      <c r="FV19" s="264">
        <v>2</v>
      </c>
      <c r="FW19" s="267">
        <v>49</v>
      </c>
      <c r="FX19" s="263" t="s">
        <v>585</v>
      </c>
      <c r="FY19" s="266" t="s">
        <v>585</v>
      </c>
      <c r="FZ19" s="264">
        <v>3</v>
      </c>
      <c r="GA19" s="264" t="s">
        <v>585</v>
      </c>
      <c r="GB19" s="267">
        <v>3</v>
      </c>
      <c r="GC19" s="263">
        <v>5</v>
      </c>
      <c r="GD19" s="266" t="s">
        <v>585</v>
      </c>
      <c r="GE19" s="264" t="s">
        <v>585</v>
      </c>
      <c r="GF19" s="264" t="s">
        <v>585</v>
      </c>
      <c r="GG19" s="264" t="s">
        <v>585</v>
      </c>
      <c r="GH19" s="267" t="s">
        <v>585</v>
      </c>
      <c r="GI19" s="265">
        <v>298400</v>
      </c>
      <c r="GJ19" s="369">
        <f>298400/45058286</f>
        <v>6.6225333116310724E-3</v>
      </c>
      <c r="GK19" s="383"/>
    </row>
    <row r="20" spans="2:193" s="76" customFormat="1" ht="12.75" customHeight="1" thickBot="1" x14ac:dyDescent="0.25">
      <c r="B20" s="363" t="s">
        <v>541</v>
      </c>
      <c r="C20" s="266">
        <v>107</v>
      </c>
      <c r="D20" s="264" t="s">
        <v>585</v>
      </c>
      <c r="E20" s="264" t="s">
        <v>585</v>
      </c>
      <c r="F20" s="264" t="s">
        <v>585</v>
      </c>
      <c r="G20" s="267">
        <v>107</v>
      </c>
      <c r="H20" s="265" t="s">
        <v>585</v>
      </c>
      <c r="I20" s="263">
        <v>1</v>
      </c>
      <c r="J20" s="264" t="s">
        <v>585</v>
      </c>
      <c r="K20" s="263">
        <v>1</v>
      </c>
      <c r="L20" s="265" t="s">
        <v>585</v>
      </c>
      <c r="M20" s="265">
        <v>444</v>
      </c>
      <c r="N20" s="263">
        <v>1</v>
      </c>
      <c r="O20" s="264" t="s">
        <v>585</v>
      </c>
      <c r="P20" s="264">
        <v>1387</v>
      </c>
      <c r="Q20" s="264">
        <v>9</v>
      </c>
      <c r="R20" s="264">
        <v>4</v>
      </c>
      <c r="S20" s="264" t="s">
        <v>585</v>
      </c>
      <c r="T20" s="264" t="s">
        <v>585</v>
      </c>
      <c r="U20" s="263">
        <v>1401</v>
      </c>
      <c r="V20" s="266" t="s">
        <v>585</v>
      </c>
      <c r="W20" s="264" t="s">
        <v>585</v>
      </c>
      <c r="X20" s="267" t="s">
        <v>585</v>
      </c>
      <c r="Y20" s="263">
        <v>63</v>
      </c>
      <c r="Z20" s="264" t="s">
        <v>585</v>
      </c>
      <c r="AA20" s="264" t="s">
        <v>585</v>
      </c>
      <c r="AB20" s="263">
        <v>63</v>
      </c>
      <c r="AC20" s="266">
        <v>343</v>
      </c>
      <c r="AD20" s="264">
        <v>1</v>
      </c>
      <c r="AE20" s="264" t="s">
        <v>585</v>
      </c>
      <c r="AF20" s="267">
        <v>344</v>
      </c>
      <c r="AG20" s="263">
        <v>5</v>
      </c>
      <c r="AH20" s="264">
        <v>6</v>
      </c>
      <c r="AI20" s="264" t="s">
        <v>585</v>
      </c>
      <c r="AJ20" s="264" t="s">
        <v>585</v>
      </c>
      <c r="AK20" s="263">
        <v>11</v>
      </c>
      <c r="AL20" s="265" t="s">
        <v>585</v>
      </c>
      <c r="AM20" s="265" t="s">
        <v>585</v>
      </c>
      <c r="AN20" s="263">
        <v>5</v>
      </c>
      <c r="AO20" s="264" t="s">
        <v>585</v>
      </c>
      <c r="AP20" s="263">
        <v>5</v>
      </c>
      <c r="AQ20" s="266">
        <v>9</v>
      </c>
      <c r="AR20" s="264" t="s">
        <v>585</v>
      </c>
      <c r="AS20" s="264">
        <v>2</v>
      </c>
      <c r="AT20" s="264" t="s">
        <v>585</v>
      </c>
      <c r="AU20" s="264" t="s">
        <v>585</v>
      </c>
      <c r="AV20" s="264" t="s">
        <v>585</v>
      </c>
      <c r="AW20" s="264" t="s">
        <v>585</v>
      </c>
      <c r="AX20" s="267">
        <v>11</v>
      </c>
      <c r="AY20" s="263">
        <v>2</v>
      </c>
      <c r="AZ20" s="265">
        <v>4</v>
      </c>
      <c r="BA20" s="263">
        <v>6</v>
      </c>
      <c r="BB20" s="379">
        <v>47</v>
      </c>
      <c r="BC20" s="263">
        <v>66</v>
      </c>
      <c r="BD20" s="263">
        <v>1</v>
      </c>
      <c r="BE20" s="380">
        <v>7</v>
      </c>
      <c r="BF20" s="263">
        <v>127</v>
      </c>
      <c r="BG20" s="265" t="s">
        <v>585</v>
      </c>
      <c r="BH20" s="265" t="s">
        <v>585</v>
      </c>
      <c r="BI20" s="265" t="s">
        <v>585</v>
      </c>
      <c r="BJ20" s="265">
        <v>1</v>
      </c>
      <c r="BK20" s="263">
        <v>31</v>
      </c>
      <c r="BL20" s="264" t="s">
        <v>585</v>
      </c>
      <c r="BM20" s="263">
        <v>31</v>
      </c>
      <c r="BN20" s="265" t="s">
        <v>585</v>
      </c>
      <c r="BO20" s="263" t="s">
        <v>585</v>
      </c>
      <c r="BP20" s="264" t="s">
        <v>585</v>
      </c>
      <c r="BQ20" s="263" t="s">
        <v>585</v>
      </c>
      <c r="BR20" s="266">
        <v>24</v>
      </c>
      <c r="BS20" s="264">
        <v>15</v>
      </c>
      <c r="BT20" s="264" t="s">
        <v>585</v>
      </c>
      <c r="BU20" s="264">
        <v>4</v>
      </c>
      <c r="BV20" s="264" t="s">
        <v>585</v>
      </c>
      <c r="BW20" s="264" t="s">
        <v>585</v>
      </c>
      <c r="BX20" s="264" t="s">
        <v>585</v>
      </c>
      <c r="BY20" s="264">
        <v>1</v>
      </c>
      <c r="BZ20" s="264" t="s">
        <v>585</v>
      </c>
      <c r="CA20" s="264" t="s">
        <v>585</v>
      </c>
      <c r="CB20" s="264" t="s">
        <v>585</v>
      </c>
      <c r="CC20" s="264" t="s">
        <v>585</v>
      </c>
      <c r="CD20" s="264" t="s">
        <v>585</v>
      </c>
      <c r="CE20" s="264" t="s">
        <v>585</v>
      </c>
      <c r="CF20" s="267">
        <v>44</v>
      </c>
      <c r="CG20" s="263" t="s">
        <v>585</v>
      </c>
      <c r="CH20" s="264" t="s">
        <v>585</v>
      </c>
      <c r="CI20" s="263" t="s">
        <v>585</v>
      </c>
      <c r="CJ20" s="265" t="s">
        <v>585</v>
      </c>
      <c r="CK20" s="263">
        <v>3695</v>
      </c>
      <c r="CL20" s="264" t="s">
        <v>585</v>
      </c>
      <c r="CM20" s="264">
        <v>15356</v>
      </c>
      <c r="CN20" s="264">
        <v>3339</v>
      </c>
      <c r="CO20" s="264">
        <v>18</v>
      </c>
      <c r="CP20" s="264">
        <v>1</v>
      </c>
      <c r="CQ20" s="264">
        <v>3</v>
      </c>
      <c r="CR20" s="264" t="s">
        <v>585</v>
      </c>
      <c r="CS20" s="264" t="s">
        <v>585</v>
      </c>
      <c r="CT20" s="264" t="s">
        <v>585</v>
      </c>
      <c r="CU20" s="264" t="s">
        <v>585</v>
      </c>
      <c r="CV20" s="263">
        <v>22412</v>
      </c>
      <c r="CW20" s="266">
        <v>189</v>
      </c>
      <c r="CX20" s="264">
        <v>1</v>
      </c>
      <c r="CY20" s="264">
        <v>8</v>
      </c>
      <c r="CZ20" s="264">
        <v>1</v>
      </c>
      <c r="DA20" s="264" t="s">
        <v>585</v>
      </c>
      <c r="DB20" s="264" t="s">
        <v>585</v>
      </c>
      <c r="DC20" s="264" t="s">
        <v>585</v>
      </c>
      <c r="DD20" s="267">
        <v>199</v>
      </c>
      <c r="DE20" s="263" t="s">
        <v>585</v>
      </c>
      <c r="DF20" s="266" t="s">
        <v>585</v>
      </c>
      <c r="DG20" s="264" t="s">
        <v>585</v>
      </c>
      <c r="DH20" s="267" t="s">
        <v>585</v>
      </c>
      <c r="DI20" s="263" t="s">
        <v>585</v>
      </c>
      <c r="DJ20" s="264" t="s">
        <v>585</v>
      </c>
      <c r="DK20" s="263" t="s">
        <v>585</v>
      </c>
      <c r="DL20" s="265">
        <v>1</v>
      </c>
      <c r="DM20" s="263" t="s">
        <v>585</v>
      </c>
      <c r="DN20" s="264" t="s">
        <v>585</v>
      </c>
      <c r="DO20" s="263" t="s">
        <v>585</v>
      </c>
      <c r="DP20" s="266">
        <v>22</v>
      </c>
      <c r="DQ20" s="264" t="s">
        <v>585</v>
      </c>
      <c r="DR20" s="267">
        <v>22</v>
      </c>
      <c r="DS20" s="263">
        <v>1</v>
      </c>
      <c r="DT20" s="265" t="s">
        <v>585</v>
      </c>
      <c r="DU20" s="263">
        <v>13</v>
      </c>
      <c r="DV20" s="264" t="s">
        <v>585</v>
      </c>
      <c r="DW20" s="263">
        <v>13</v>
      </c>
      <c r="DX20" s="265" t="s">
        <v>585</v>
      </c>
      <c r="DY20" s="265" t="s">
        <v>585</v>
      </c>
      <c r="DZ20" s="263">
        <v>5</v>
      </c>
      <c r="EA20" s="264">
        <v>2</v>
      </c>
      <c r="EB20" s="264">
        <v>3</v>
      </c>
      <c r="EC20" s="264" t="s">
        <v>585</v>
      </c>
      <c r="ED20" s="264" t="s">
        <v>585</v>
      </c>
      <c r="EE20" s="264" t="s">
        <v>585</v>
      </c>
      <c r="EF20" s="264" t="s">
        <v>585</v>
      </c>
      <c r="EG20" s="263">
        <v>10</v>
      </c>
      <c r="EH20" s="266">
        <v>26</v>
      </c>
      <c r="EI20" s="264">
        <v>370</v>
      </c>
      <c r="EJ20" s="264">
        <v>3</v>
      </c>
      <c r="EK20" s="264">
        <v>5</v>
      </c>
      <c r="EL20" s="264">
        <v>275</v>
      </c>
      <c r="EM20" s="264">
        <v>163</v>
      </c>
      <c r="EN20" s="264">
        <v>15</v>
      </c>
      <c r="EO20" s="264">
        <v>11</v>
      </c>
      <c r="EP20" s="264">
        <v>41</v>
      </c>
      <c r="EQ20" s="264">
        <v>9</v>
      </c>
      <c r="ER20" s="264">
        <v>13</v>
      </c>
      <c r="ES20" s="264" t="s">
        <v>585</v>
      </c>
      <c r="ET20" s="264" t="s">
        <v>585</v>
      </c>
      <c r="EU20" s="267">
        <v>931</v>
      </c>
      <c r="EV20" s="263" t="s">
        <v>585</v>
      </c>
      <c r="EW20" s="265">
        <v>2</v>
      </c>
      <c r="EX20" s="263" t="s">
        <v>585</v>
      </c>
      <c r="EY20" s="264" t="s">
        <v>585</v>
      </c>
      <c r="EZ20" s="264" t="s">
        <v>585</v>
      </c>
      <c r="FA20" s="263" t="s">
        <v>585</v>
      </c>
      <c r="FB20" s="265" t="s">
        <v>585</v>
      </c>
      <c r="FC20" s="263">
        <v>1</v>
      </c>
      <c r="FD20" s="266" t="s">
        <v>585</v>
      </c>
      <c r="FE20" s="264" t="s">
        <v>585</v>
      </c>
      <c r="FF20" s="264">
        <v>2</v>
      </c>
      <c r="FG20" s="264" t="s">
        <v>585</v>
      </c>
      <c r="FH20" s="267">
        <v>2</v>
      </c>
      <c r="FI20" s="263" t="s">
        <v>585</v>
      </c>
      <c r="FJ20" s="264" t="s">
        <v>585</v>
      </c>
      <c r="FK20" s="263" t="s">
        <v>585</v>
      </c>
      <c r="FL20" s="266" t="s">
        <v>585</v>
      </c>
      <c r="FM20" s="264" t="s">
        <v>585</v>
      </c>
      <c r="FN20" s="267" t="s">
        <v>585</v>
      </c>
      <c r="FO20" s="263" t="s">
        <v>585</v>
      </c>
      <c r="FP20" s="265">
        <v>158</v>
      </c>
      <c r="FQ20" s="263">
        <v>2</v>
      </c>
      <c r="FR20" s="264">
        <v>132</v>
      </c>
      <c r="FS20" s="264" t="s">
        <v>585</v>
      </c>
      <c r="FT20" s="263">
        <v>134</v>
      </c>
      <c r="FU20" s="266">
        <v>75</v>
      </c>
      <c r="FV20" s="264">
        <v>1</v>
      </c>
      <c r="FW20" s="267">
        <v>76</v>
      </c>
      <c r="FX20" s="263" t="s">
        <v>585</v>
      </c>
      <c r="FY20" s="266" t="s">
        <v>585</v>
      </c>
      <c r="FZ20" s="264" t="s">
        <v>585</v>
      </c>
      <c r="GA20" s="264" t="s">
        <v>585</v>
      </c>
      <c r="GB20" s="267" t="s">
        <v>585</v>
      </c>
      <c r="GC20" s="263" t="s">
        <v>585</v>
      </c>
      <c r="GD20" s="266" t="s">
        <v>585</v>
      </c>
      <c r="GE20" s="264">
        <v>2</v>
      </c>
      <c r="GF20" s="264" t="s">
        <v>585</v>
      </c>
      <c r="GG20" s="264" t="s">
        <v>585</v>
      </c>
      <c r="GH20" s="267">
        <v>2</v>
      </c>
      <c r="GI20" s="265">
        <v>26560</v>
      </c>
      <c r="GJ20" s="369">
        <f>26560/45058286</f>
        <v>5.8945872907815446E-4</v>
      </c>
      <c r="GK20" s="383"/>
    </row>
    <row r="21" spans="2:193" s="76" customFormat="1" ht="12.75" customHeight="1" thickBot="1" x14ac:dyDescent="0.25">
      <c r="B21" s="363" t="s">
        <v>542</v>
      </c>
      <c r="C21" s="266">
        <v>3</v>
      </c>
      <c r="D21" s="264" t="s">
        <v>585</v>
      </c>
      <c r="E21" s="264">
        <v>1</v>
      </c>
      <c r="F21" s="264">
        <v>21</v>
      </c>
      <c r="G21" s="267">
        <v>25</v>
      </c>
      <c r="H21" s="265" t="s">
        <v>585</v>
      </c>
      <c r="I21" s="263" t="s">
        <v>585</v>
      </c>
      <c r="J21" s="264" t="s">
        <v>585</v>
      </c>
      <c r="K21" s="263" t="s">
        <v>585</v>
      </c>
      <c r="L21" s="265" t="s">
        <v>585</v>
      </c>
      <c r="M21" s="265">
        <v>82</v>
      </c>
      <c r="N21" s="263">
        <v>1</v>
      </c>
      <c r="O21" s="264" t="s">
        <v>585</v>
      </c>
      <c r="P21" s="264">
        <v>246</v>
      </c>
      <c r="Q21" s="264">
        <v>2</v>
      </c>
      <c r="R21" s="264">
        <v>4</v>
      </c>
      <c r="S21" s="264" t="s">
        <v>585</v>
      </c>
      <c r="T21" s="264" t="s">
        <v>585</v>
      </c>
      <c r="U21" s="263">
        <v>253</v>
      </c>
      <c r="V21" s="266" t="s">
        <v>585</v>
      </c>
      <c r="W21" s="264" t="s">
        <v>585</v>
      </c>
      <c r="X21" s="267" t="s">
        <v>585</v>
      </c>
      <c r="Y21" s="263">
        <v>20</v>
      </c>
      <c r="Z21" s="264" t="s">
        <v>585</v>
      </c>
      <c r="AA21" s="264" t="s">
        <v>585</v>
      </c>
      <c r="AB21" s="263">
        <v>20</v>
      </c>
      <c r="AC21" s="266">
        <v>867</v>
      </c>
      <c r="AD21" s="264" t="s">
        <v>585</v>
      </c>
      <c r="AE21" s="264" t="s">
        <v>585</v>
      </c>
      <c r="AF21" s="267">
        <v>867</v>
      </c>
      <c r="AG21" s="263" t="s">
        <v>585</v>
      </c>
      <c r="AH21" s="264" t="s">
        <v>585</v>
      </c>
      <c r="AI21" s="264" t="s">
        <v>585</v>
      </c>
      <c r="AJ21" s="264" t="s">
        <v>585</v>
      </c>
      <c r="AK21" s="263" t="s">
        <v>585</v>
      </c>
      <c r="AL21" s="265">
        <v>2</v>
      </c>
      <c r="AM21" s="265" t="s">
        <v>585</v>
      </c>
      <c r="AN21" s="263">
        <v>1</v>
      </c>
      <c r="AO21" s="264" t="s">
        <v>585</v>
      </c>
      <c r="AP21" s="263">
        <v>1</v>
      </c>
      <c r="AQ21" s="266">
        <v>2</v>
      </c>
      <c r="AR21" s="264" t="s">
        <v>585</v>
      </c>
      <c r="AS21" s="264" t="s">
        <v>585</v>
      </c>
      <c r="AT21" s="264" t="s">
        <v>585</v>
      </c>
      <c r="AU21" s="264" t="s">
        <v>585</v>
      </c>
      <c r="AV21" s="264" t="s">
        <v>585</v>
      </c>
      <c r="AW21" s="264" t="s">
        <v>585</v>
      </c>
      <c r="AX21" s="267">
        <v>2</v>
      </c>
      <c r="AY21" s="263" t="s">
        <v>585</v>
      </c>
      <c r="AZ21" s="265">
        <v>1</v>
      </c>
      <c r="BA21" s="263">
        <v>4</v>
      </c>
      <c r="BB21" s="379">
        <v>23</v>
      </c>
      <c r="BC21" s="263">
        <v>40</v>
      </c>
      <c r="BD21" s="263">
        <v>17</v>
      </c>
      <c r="BE21" s="380">
        <v>5</v>
      </c>
      <c r="BF21" s="263">
        <v>89</v>
      </c>
      <c r="BG21" s="265" t="s">
        <v>585</v>
      </c>
      <c r="BH21" s="265" t="s">
        <v>585</v>
      </c>
      <c r="BI21" s="265">
        <v>1</v>
      </c>
      <c r="BJ21" s="265" t="s">
        <v>585</v>
      </c>
      <c r="BK21" s="263">
        <v>3</v>
      </c>
      <c r="BL21" s="264" t="s">
        <v>585</v>
      </c>
      <c r="BM21" s="263">
        <v>3</v>
      </c>
      <c r="BN21" s="265" t="s">
        <v>585</v>
      </c>
      <c r="BO21" s="263" t="s">
        <v>585</v>
      </c>
      <c r="BP21" s="264" t="s">
        <v>585</v>
      </c>
      <c r="BQ21" s="263" t="s">
        <v>585</v>
      </c>
      <c r="BR21" s="266">
        <v>0</v>
      </c>
      <c r="BS21" s="264">
        <v>5</v>
      </c>
      <c r="BT21" s="264" t="s">
        <v>585</v>
      </c>
      <c r="BU21" s="264" t="s">
        <v>585</v>
      </c>
      <c r="BV21" s="264" t="s">
        <v>585</v>
      </c>
      <c r="BW21" s="264" t="s">
        <v>585</v>
      </c>
      <c r="BX21" s="264" t="s">
        <v>585</v>
      </c>
      <c r="BY21" s="264" t="s">
        <v>585</v>
      </c>
      <c r="BZ21" s="264" t="s">
        <v>585</v>
      </c>
      <c r="CA21" s="264">
        <v>18</v>
      </c>
      <c r="CB21" s="264" t="s">
        <v>585</v>
      </c>
      <c r="CC21" s="264" t="s">
        <v>585</v>
      </c>
      <c r="CD21" s="264" t="s">
        <v>585</v>
      </c>
      <c r="CE21" s="264" t="s">
        <v>585</v>
      </c>
      <c r="CF21" s="267">
        <v>23</v>
      </c>
      <c r="CG21" s="263" t="s">
        <v>585</v>
      </c>
      <c r="CH21" s="264" t="s">
        <v>585</v>
      </c>
      <c r="CI21" s="263" t="s">
        <v>585</v>
      </c>
      <c r="CJ21" s="265">
        <v>1</v>
      </c>
      <c r="CK21" s="263">
        <v>1739</v>
      </c>
      <c r="CL21" s="264">
        <v>1</v>
      </c>
      <c r="CM21" s="264">
        <v>9204</v>
      </c>
      <c r="CN21" s="264">
        <v>2353</v>
      </c>
      <c r="CO21" s="264">
        <v>29</v>
      </c>
      <c r="CP21" s="264" t="s">
        <v>585</v>
      </c>
      <c r="CQ21" s="264">
        <v>4</v>
      </c>
      <c r="CR21" s="264" t="s">
        <v>585</v>
      </c>
      <c r="CS21" s="264">
        <v>2</v>
      </c>
      <c r="CT21" s="264" t="s">
        <v>585</v>
      </c>
      <c r="CU21" s="264" t="s">
        <v>585</v>
      </c>
      <c r="CV21" s="263">
        <v>13332</v>
      </c>
      <c r="CW21" s="266">
        <v>107</v>
      </c>
      <c r="CX21" s="264">
        <v>14</v>
      </c>
      <c r="CY21" s="264">
        <v>167</v>
      </c>
      <c r="CZ21" s="264" t="s">
        <v>585</v>
      </c>
      <c r="DA21" s="264" t="s">
        <v>585</v>
      </c>
      <c r="DB21" s="264" t="s">
        <v>585</v>
      </c>
      <c r="DC21" s="264" t="s">
        <v>585</v>
      </c>
      <c r="DD21" s="267">
        <v>288</v>
      </c>
      <c r="DE21" s="263" t="s">
        <v>585</v>
      </c>
      <c r="DF21" s="266" t="s">
        <v>585</v>
      </c>
      <c r="DG21" s="264" t="s">
        <v>585</v>
      </c>
      <c r="DH21" s="267" t="s">
        <v>585</v>
      </c>
      <c r="DI21" s="263" t="s">
        <v>585</v>
      </c>
      <c r="DJ21" s="264" t="s">
        <v>585</v>
      </c>
      <c r="DK21" s="263" t="s">
        <v>585</v>
      </c>
      <c r="DL21" s="265">
        <v>11</v>
      </c>
      <c r="DM21" s="263" t="s">
        <v>585</v>
      </c>
      <c r="DN21" s="264" t="s">
        <v>585</v>
      </c>
      <c r="DO21" s="263" t="s">
        <v>585</v>
      </c>
      <c r="DP21" s="266">
        <v>8</v>
      </c>
      <c r="DQ21" s="264" t="s">
        <v>585</v>
      </c>
      <c r="DR21" s="267">
        <v>8</v>
      </c>
      <c r="DS21" s="263" t="s">
        <v>585</v>
      </c>
      <c r="DT21" s="265" t="s">
        <v>585</v>
      </c>
      <c r="DU21" s="263">
        <v>8</v>
      </c>
      <c r="DV21" s="264" t="s">
        <v>585</v>
      </c>
      <c r="DW21" s="263">
        <v>8</v>
      </c>
      <c r="DX21" s="265" t="s">
        <v>585</v>
      </c>
      <c r="DY21" s="265" t="s">
        <v>585</v>
      </c>
      <c r="DZ21" s="263">
        <v>31</v>
      </c>
      <c r="EA21" s="264" t="s">
        <v>585</v>
      </c>
      <c r="EB21" s="264">
        <v>1</v>
      </c>
      <c r="EC21" s="264" t="s">
        <v>585</v>
      </c>
      <c r="ED21" s="264" t="s">
        <v>585</v>
      </c>
      <c r="EE21" s="264" t="s">
        <v>585</v>
      </c>
      <c r="EF21" s="264" t="s">
        <v>585</v>
      </c>
      <c r="EG21" s="263">
        <v>32</v>
      </c>
      <c r="EH21" s="266">
        <v>22</v>
      </c>
      <c r="EI21" s="264">
        <v>39</v>
      </c>
      <c r="EJ21" s="264">
        <v>0</v>
      </c>
      <c r="EK21" s="264">
        <v>7</v>
      </c>
      <c r="EL21" s="264">
        <v>2199</v>
      </c>
      <c r="EM21" s="264">
        <v>20</v>
      </c>
      <c r="EN21" s="264">
        <v>4</v>
      </c>
      <c r="EO21" s="264">
        <v>2</v>
      </c>
      <c r="EP21" s="264">
        <v>60</v>
      </c>
      <c r="EQ21" s="264" t="s">
        <v>585</v>
      </c>
      <c r="ER21" s="264">
        <v>2</v>
      </c>
      <c r="ES21" s="264" t="s">
        <v>585</v>
      </c>
      <c r="ET21" s="264" t="s">
        <v>585</v>
      </c>
      <c r="EU21" s="267">
        <v>2355</v>
      </c>
      <c r="EV21" s="263" t="s">
        <v>585</v>
      </c>
      <c r="EW21" s="265" t="s">
        <v>585</v>
      </c>
      <c r="EX21" s="263" t="s">
        <v>585</v>
      </c>
      <c r="EY21" s="264" t="s">
        <v>585</v>
      </c>
      <c r="EZ21" s="264" t="s">
        <v>585</v>
      </c>
      <c r="FA21" s="263" t="s">
        <v>585</v>
      </c>
      <c r="FB21" s="265" t="s">
        <v>585</v>
      </c>
      <c r="FC21" s="263" t="s">
        <v>585</v>
      </c>
      <c r="FD21" s="266">
        <v>9</v>
      </c>
      <c r="FE21" s="264" t="s">
        <v>585</v>
      </c>
      <c r="FF21" s="264" t="s">
        <v>585</v>
      </c>
      <c r="FG21" s="264" t="s">
        <v>585</v>
      </c>
      <c r="FH21" s="267">
        <v>9</v>
      </c>
      <c r="FI21" s="263" t="s">
        <v>585</v>
      </c>
      <c r="FJ21" s="264" t="s">
        <v>585</v>
      </c>
      <c r="FK21" s="263" t="s">
        <v>585</v>
      </c>
      <c r="FL21" s="266" t="s">
        <v>585</v>
      </c>
      <c r="FM21" s="264" t="s">
        <v>585</v>
      </c>
      <c r="FN21" s="267" t="s">
        <v>585</v>
      </c>
      <c r="FO21" s="263" t="s">
        <v>585</v>
      </c>
      <c r="FP21" s="265">
        <v>2</v>
      </c>
      <c r="FQ21" s="263" t="s">
        <v>585</v>
      </c>
      <c r="FR21" s="264">
        <v>6</v>
      </c>
      <c r="FS21" s="264" t="s">
        <v>585</v>
      </c>
      <c r="FT21" s="263">
        <v>6</v>
      </c>
      <c r="FU21" s="266">
        <v>5</v>
      </c>
      <c r="FV21" s="264">
        <v>4</v>
      </c>
      <c r="FW21" s="267">
        <v>9</v>
      </c>
      <c r="FX21" s="263" t="s">
        <v>585</v>
      </c>
      <c r="FY21" s="266" t="s">
        <v>585</v>
      </c>
      <c r="FZ21" s="264" t="s">
        <v>585</v>
      </c>
      <c r="GA21" s="264" t="s">
        <v>585</v>
      </c>
      <c r="GB21" s="267" t="s">
        <v>585</v>
      </c>
      <c r="GC21" s="263">
        <v>3</v>
      </c>
      <c r="GD21" s="266" t="s">
        <v>585</v>
      </c>
      <c r="GE21" s="264" t="s">
        <v>585</v>
      </c>
      <c r="GF21" s="264" t="s">
        <v>585</v>
      </c>
      <c r="GG21" s="264" t="s">
        <v>585</v>
      </c>
      <c r="GH21" s="267" t="s">
        <v>585</v>
      </c>
      <c r="GI21" s="265">
        <v>17433</v>
      </c>
      <c r="GJ21" s="369">
        <f>17433/45058286</f>
        <v>3.8689887138627509E-4</v>
      </c>
      <c r="GK21" s="383"/>
    </row>
    <row r="22" spans="2:193" s="76" customFormat="1" ht="12.75" customHeight="1" thickBot="1" x14ac:dyDescent="0.25">
      <c r="B22" s="363" t="s">
        <v>543</v>
      </c>
      <c r="C22" s="266">
        <v>268</v>
      </c>
      <c r="D22" s="264" t="s">
        <v>585</v>
      </c>
      <c r="E22" s="264">
        <v>1</v>
      </c>
      <c r="F22" s="264">
        <v>44</v>
      </c>
      <c r="G22" s="267">
        <v>313</v>
      </c>
      <c r="H22" s="265" t="s">
        <v>585</v>
      </c>
      <c r="I22" s="263">
        <v>19</v>
      </c>
      <c r="J22" s="264" t="s">
        <v>585</v>
      </c>
      <c r="K22" s="263">
        <v>19</v>
      </c>
      <c r="L22" s="265">
        <v>1</v>
      </c>
      <c r="M22" s="265">
        <v>1245</v>
      </c>
      <c r="N22" s="263">
        <v>47</v>
      </c>
      <c r="O22" s="264">
        <v>58</v>
      </c>
      <c r="P22" s="264">
        <v>7178</v>
      </c>
      <c r="Q22" s="264">
        <v>116</v>
      </c>
      <c r="R22" s="264">
        <v>114</v>
      </c>
      <c r="S22" s="264" t="s">
        <v>585</v>
      </c>
      <c r="T22" s="264">
        <v>1</v>
      </c>
      <c r="U22" s="263">
        <v>7514</v>
      </c>
      <c r="V22" s="266">
        <v>23</v>
      </c>
      <c r="W22" s="264">
        <v>18</v>
      </c>
      <c r="X22" s="267">
        <v>41</v>
      </c>
      <c r="Y22" s="263">
        <v>321</v>
      </c>
      <c r="Z22" s="264">
        <v>3</v>
      </c>
      <c r="AA22" s="264" t="s">
        <v>585</v>
      </c>
      <c r="AB22" s="263">
        <v>324</v>
      </c>
      <c r="AC22" s="266">
        <v>12245</v>
      </c>
      <c r="AD22" s="264">
        <v>8</v>
      </c>
      <c r="AE22" s="264">
        <v>0</v>
      </c>
      <c r="AF22" s="267">
        <v>12253</v>
      </c>
      <c r="AG22" s="263">
        <v>120</v>
      </c>
      <c r="AH22" s="264">
        <v>6</v>
      </c>
      <c r="AI22" s="264" t="s">
        <v>585</v>
      </c>
      <c r="AJ22" s="264" t="s">
        <v>585</v>
      </c>
      <c r="AK22" s="263">
        <v>126</v>
      </c>
      <c r="AL22" s="265">
        <v>14</v>
      </c>
      <c r="AM22" s="265" t="s">
        <v>585</v>
      </c>
      <c r="AN22" s="263">
        <v>7</v>
      </c>
      <c r="AO22" s="264">
        <v>2</v>
      </c>
      <c r="AP22" s="263">
        <v>9</v>
      </c>
      <c r="AQ22" s="266">
        <v>141</v>
      </c>
      <c r="AR22" s="264" t="s">
        <v>585</v>
      </c>
      <c r="AS22" s="264">
        <v>2</v>
      </c>
      <c r="AT22" s="264" t="s">
        <v>585</v>
      </c>
      <c r="AU22" s="264" t="s">
        <v>585</v>
      </c>
      <c r="AV22" s="264" t="s">
        <v>585</v>
      </c>
      <c r="AW22" s="264" t="s">
        <v>585</v>
      </c>
      <c r="AX22" s="267">
        <v>143</v>
      </c>
      <c r="AY22" s="263">
        <v>2</v>
      </c>
      <c r="AZ22" s="265">
        <v>7</v>
      </c>
      <c r="BA22" s="263">
        <v>62</v>
      </c>
      <c r="BB22" s="379">
        <v>728</v>
      </c>
      <c r="BC22" s="263">
        <v>1043</v>
      </c>
      <c r="BD22" s="263">
        <v>526</v>
      </c>
      <c r="BE22" s="380">
        <v>68</v>
      </c>
      <c r="BF22" s="263">
        <v>2427</v>
      </c>
      <c r="BG22" s="265">
        <v>5</v>
      </c>
      <c r="BH22" s="265" t="s">
        <v>585</v>
      </c>
      <c r="BI22" s="265">
        <v>1</v>
      </c>
      <c r="BJ22" s="265">
        <v>4</v>
      </c>
      <c r="BK22" s="263">
        <v>44</v>
      </c>
      <c r="BL22" s="264">
        <v>10</v>
      </c>
      <c r="BM22" s="263">
        <v>54</v>
      </c>
      <c r="BN22" s="265">
        <v>6</v>
      </c>
      <c r="BO22" s="263">
        <v>2</v>
      </c>
      <c r="BP22" s="264" t="s">
        <v>585</v>
      </c>
      <c r="BQ22" s="263">
        <v>2</v>
      </c>
      <c r="BR22" s="266">
        <v>33</v>
      </c>
      <c r="BS22" s="264">
        <v>248</v>
      </c>
      <c r="BT22" s="264">
        <v>6</v>
      </c>
      <c r="BU22" s="264">
        <v>12</v>
      </c>
      <c r="BV22" s="264" t="s">
        <v>585</v>
      </c>
      <c r="BW22" s="264">
        <v>101</v>
      </c>
      <c r="BX22" s="264" t="s">
        <v>585</v>
      </c>
      <c r="BY22" s="264">
        <v>1</v>
      </c>
      <c r="BZ22" s="264" t="s">
        <v>585</v>
      </c>
      <c r="CA22" s="264">
        <v>67</v>
      </c>
      <c r="CB22" s="264" t="s">
        <v>585</v>
      </c>
      <c r="CC22" s="264" t="s">
        <v>585</v>
      </c>
      <c r="CD22" s="264" t="s">
        <v>585</v>
      </c>
      <c r="CE22" s="264" t="s">
        <v>585</v>
      </c>
      <c r="CF22" s="267">
        <v>468</v>
      </c>
      <c r="CG22" s="263" t="s">
        <v>585</v>
      </c>
      <c r="CH22" s="264" t="s">
        <v>585</v>
      </c>
      <c r="CI22" s="263" t="s">
        <v>585</v>
      </c>
      <c r="CJ22" s="265">
        <v>1</v>
      </c>
      <c r="CK22" s="263">
        <v>49022</v>
      </c>
      <c r="CL22" s="264">
        <v>10</v>
      </c>
      <c r="CM22" s="264">
        <v>203391</v>
      </c>
      <c r="CN22" s="264">
        <v>38869</v>
      </c>
      <c r="CO22" s="264">
        <v>336</v>
      </c>
      <c r="CP22" s="264">
        <v>4</v>
      </c>
      <c r="CQ22" s="264">
        <v>59</v>
      </c>
      <c r="CR22" s="264">
        <v>1</v>
      </c>
      <c r="CS22" s="264">
        <v>25</v>
      </c>
      <c r="CT22" s="264" t="s">
        <v>585</v>
      </c>
      <c r="CU22" s="264" t="s">
        <v>585</v>
      </c>
      <c r="CV22" s="263">
        <v>291717</v>
      </c>
      <c r="CW22" s="266">
        <v>1745</v>
      </c>
      <c r="CX22" s="264">
        <v>45</v>
      </c>
      <c r="CY22" s="264">
        <v>10510</v>
      </c>
      <c r="CZ22" s="264">
        <v>5</v>
      </c>
      <c r="DA22" s="264">
        <v>10</v>
      </c>
      <c r="DB22" s="264">
        <v>1</v>
      </c>
      <c r="DC22" s="264" t="s">
        <v>585</v>
      </c>
      <c r="DD22" s="267">
        <v>12316</v>
      </c>
      <c r="DE22" s="263" t="s">
        <v>585</v>
      </c>
      <c r="DF22" s="266" t="s">
        <v>585</v>
      </c>
      <c r="DG22" s="264" t="s">
        <v>585</v>
      </c>
      <c r="DH22" s="267" t="s">
        <v>585</v>
      </c>
      <c r="DI22" s="263" t="s">
        <v>585</v>
      </c>
      <c r="DJ22" s="264" t="s">
        <v>585</v>
      </c>
      <c r="DK22" s="263" t="s">
        <v>585</v>
      </c>
      <c r="DL22" s="265">
        <v>93</v>
      </c>
      <c r="DM22" s="263" t="s">
        <v>585</v>
      </c>
      <c r="DN22" s="264" t="s">
        <v>585</v>
      </c>
      <c r="DO22" s="263" t="s">
        <v>585</v>
      </c>
      <c r="DP22" s="266">
        <v>116</v>
      </c>
      <c r="DQ22" s="264" t="s">
        <v>585</v>
      </c>
      <c r="DR22" s="267">
        <v>116</v>
      </c>
      <c r="DS22" s="263">
        <v>3</v>
      </c>
      <c r="DT22" s="265" t="s">
        <v>585</v>
      </c>
      <c r="DU22" s="263">
        <v>292</v>
      </c>
      <c r="DV22" s="264" t="s">
        <v>585</v>
      </c>
      <c r="DW22" s="263">
        <v>292</v>
      </c>
      <c r="DX22" s="265" t="s">
        <v>585</v>
      </c>
      <c r="DY22" s="265" t="s">
        <v>585</v>
      </c>
      <c r="DZ22" s="263">
        <v>62</v>
      </c>
      <c r="EA22" s="264">
        <v>8</v>
      </c>
      <c r="EB22" s="264">
        <v>14</v>
      </c>
      <c r="EC22" s="264">
        <v>59</v>
      </c>
      <c r="ED22" s="264" t="s">
        <v>585</v>
      </c>
      <c r="EE22" s="264" t="s">
        <v>585</v>
      </c>
      <c r="EF22" s="264" t="s">
        <v>585</v>
      </c>
      <c r="EG22" s="263">
        <v>143</v>
      </c>
      <c r="EH22" s="266">
        <v>859</v>
      </c>
      <c r="EI22" s="264">
        <v>1275</v>
      </c>
      <c r="EJ22" s="264">
        <v>23</v>
      </c>
      <c r="EK22" s="264">
        <v>206</v>
      </c>
      <c r="EL22" s="264">
        <v>8017</v>
      </c>
      <c r="EM22" s="264">
        <v>894</v>
      </c>
      <c r="EN22" s="264">
        <v>120</v>
      </c>
      <c r="EO22" s="264">
        <v>74</v>
      </c>
      <c r="EP22" s="264">
        <v>534</v>
      </c>
      <c r="EQ22" s="264">
        <v>121</v>
      </c>
      <c r="ER22" s="264">
        <v>27</v>
      </c>
      <c r="ES22" s="264">
        <v>9</v>
      </c>
      <c r="ET22" s="264" t="s">
        <v>585</v>
      </c>
      <c r="EU22" s="267">
        <v>12159</v>
      </c>
      <c r="EV22" s="263" t="s">
        <v>585</v>
      </c>
      <c r="EW22" s="265">
        <v>25</v>
      </c>
      <c r="EX22" s="263" t="s">
        <v>585</v>
      </c>
      <c r="EY22" s="264">
        <v>2</v>
      </c>
      <c r="EZ22" s="264" t="s">
        <v>585</v>
      </c>
      <c r="FA22" s="263">
        <v>2</v>
      </c>
      <c r="FB22" s="265" t="s">
        <v>585</v>
      </c>
      <c r="FC22" s="263">
        <v>1</v>
      </c>
      <c r="FD22" s="266">
        <v>30</v>
      </c>
      <c r="FE22" s="264" t="s">
        <v>585</v>
      </c>
      <c r="FF22" s="264">
        <v>2</v>
      </c>
      <c r="FG22" s="264" t="s">
        <v>585</v>
      </c>
      <c r="FH22" s="267">
        <v>32</v>
      </c>
      <c r="FI22" s="263">
        <v>3</v>
      </c>
      <c r="FJ22" s="264" t="s">
        <v>585</v>
      </c>
      <c r="FK22" s="263">
        <v>3</v>
      </c>
      <c r="FL22" s="266" t="s">
        <v>585</v>
      </c>
      <c r="FM22" s="264" t="s">
        <v>585</v>
      </c>
      <c r="FN22" s="267" t="s">
        <v>585</v>
      </c>
      <c r="FO22" s="263" t="s">
        <v>585</v>
      </c>
      <c r="FP22" s="265">
        <v>201</v>
      </c>
      <c r="FQ22" s="263">
        <v>20</v>
      </c>
      <c r="FR22" s="264">
        <v>144</v>
      </c>
      <c r="FS22" s="264" t="s">
        <v>585</v>
      </c>
      <c r="FT22" s="263">
        <v>164</v>
      </c>
      <c r="FU22" s="266">
        <v>127</v>
      </c>
      <c r="FV22" s="264">
        <v>7</v>
      </c>
      <c r="FW22" s="267">
        <v>134</v>
      </c>
      <c r="FX22" s="263" t="s">
        <v>585</v>
      </c>
      <c r="FY22" s="266" t="s">
        <v>585</v>
      </c>
      <c r="FZ22" s="264">
        <v>3</v>
      </c>
      <c r="GA22" s="264" t="s">
        <v>585</v>
      </c>
      <c r="GB22" s="267">
        <v>3</v>
      </c>
      <c r="GC22" s="263">
        <v>8</v>
      </c>
      <c r="GD22" s="266" t="s">
        <v>585</v>
      </c>
      <c r="GE22" s="264">
        <v>2</v>
      </c>
      <c r="GF22" s="264" t="s">
        <v>585</v>
      </c>
      <c r="GG22" s="264" t="s">
        <v>585</v>
      </c>
      <c r="GH22" s="267">
        <v>2</v>
      </c>
      <c r="GI22" s="265">
        <v>342393</v>
      </c>
      <c r="GJ22" s="369">
        <f>342393/45058286</f>
        <v>7.5988909120955021E-3</v>
      </c>
      <c r="GK22" s="383"/>
    </row>
    <row r="23" spans="2:193" ht="12" customHeight="1" x14ac:dyDescent="0.2">
      <c r="B23" s="359" t="s">
        <v>35</v>
      </c>
      <c r="C23" s="203">
        <v>14</v>
      </c>
      <c r="D23" s="204" t="s">
        <v>585</v>
      </c>
      <c r="E23" s="204" t="s">
        <v>585</v>
      </c>
      <c r="F23" s="204" t="s">
        <v>585</v>
      </c>
      <c r="G23" s="202">
        <v>14</v>
      </c>
      <c r="H23" s="193" t="s">
        <v>585</v>
      </c>
      <c r="I23" s="206" t="s">
        <v>585</v>
      </c>
      <c r="J23" s="204" t="s">
        <v>585</v>
      </c>
      <c r="K23" s="206" t="s">
        <v>585</v>
      </c>
      <c r="L23" s="193" t="s">
        <v>585</v>
      </c>
      <c r="M23" s="193">
        <v>73</v>
      </c>
      <c r="N23" s="206">
        <v>2</v>
      </c>
      <c r="O23" s="204" t="s">
        <v>585</v>
      </c>
      <c r="P23" s="204">
        <v>3130</v>
      </c>
      <c r="Q23" s="204" t="s">
        <v>585</v>
      </c>
      <c r="R23" s="204">
        <v>4</v>
      </c>
      <c r="S23" s="204" t="s">
        <v>585</v>
      </c>
      <c r="T23" s="204" t="s">
        <v>585</v>
      </c>
      <c r="U23" s="206">
        <v>3136</v>
      </c>
      <c r="V23" s="203" t="s">
        <v>585</v>
      </c>
      <c r="W23" s="204" t="s">
        <v>585</v>
      </c>
      <c r="X23" s="202" t="s">
        <v>585</v>
      </c>
      <c r="Y23" s="206">
        <v>1697</v>
      </c>
      <c r="Z23" s="204" t="s">
        <v>585</v>
      </c>
      <c r="AA23" s="204" t="s">
        <v>585</v>
      </c>
      <c r="AB23" s="206">
        <v>1697</v>
      </c>
      <c r="AC23" s="203">
        <v>6</v>
      </c>
      <c r="AD23" s="204" t="s">
        <v>585</v>
      </c>
      <c r="AE23" s="204" t="s">
        <v>585</v>
      </c>
      <c r="AF23" s="202">
        <v>6</v>
      </c>
      <c r="AG23" s="206" t="s">
        <v>585</v>
      </c>
      <c r="AH23" s="204" t="s">
        <v>585</v>
      </c>
      <c r="AI23" s="204" t="s">
        <v>585</v>
      </c>
      <c r="AJ23" s="204" t="s">
        <v>585</v>
      </c>
      <c r="AK23" s="206" t="s">
        <v>585</v>
      </c>
      <c r="AL23" s="193" t="s">
        <v>585</v>
      </c>
      <c r="AM23" s="193" t="s">
        <v>585</v>
      </c>
      <c r="AN23" s="206" t="s">
        <v>585</v>
      </c>
      <c r="AO23" s="204">
        <v>586</v>
      </c>
      <c r="AP23" s="206">
        <v>586</v>
      </c>
      <c r="AQ23" s="203" t="s">
        <v>585</v>
      </c>
      <c r="AR23" s="204" t="s">
        <v>585</v>
      </c>
      <c r="AS23" s="204" t="s">
        <v>585</v>
      </c>
      <c r="AT23" s="204" t="s">
        <v>585</v>
      </c>
      <c r="AU23" s="204" t="s">
        <v>585</v>
      </c>
      <c r="AV23" s="204" t="s">
        <v>585</v>
      </c>
      <c r="AW23" s="204" t="s">
        <v>585</v>
      </c>
      <c r="AX23" s="202" t="s">
        <v>585</v>
      </c>
      <c r="AY23" s="206">
        <v>2</v>
      </c>
      <c r="AZ23" s="193">
        <v>1</v>
      </c>
      <c r="BA23" s="206">
        <v>2</v>
      </c>
      <c r="BB23" s="377">
        <v>5</v>
      </c>
      <c r="BC23" s="206">
        <v>10</v>
      </c>
      <c r="BD23" s="206" t="s">
        <v>585</v>
      </c>
      <c r="BE23" s="378">
        <v>2</v>
      </c>
      <c r="BF23" s="206">
        <v>19</v>
      </c>
      <c r="BG23" s="193" t="s">
        <v>585</v>
      </c>
      <c r="BH23" s="193" t="s">
        <v>585</v>
      </c>
      <c r="BI23" s="193" t="s">
        <v>585</v>
      </c>
      <c r="BJ23" s="193" t="s">
        <v>585</v>
      </c>
      <c r="BK23" s="206" t="s">
        <v>585</v>
      </c>
      <c r="BL23" s="204" t="s">
        <v>585</v>
      </c>
      <c r="BM23" s="206" t="s">
        <v>585</v>
      </c>
      <c r="BN23" s="193" t="s">
        <v>585</v>
      </c>
      <c r="BO23" s="206" t="s">
        <v>585</v>
      </c>
      <c r="BP23" s="204" t="s">
        <v>585</v>
      </c>
      <c r="BQ23" s="206" t="s">
        <v>585</v>
      </c>
      <c r="BR23" s="203">
        <v>8</v>
      </c>
      <c r="BS23" s="204">
        <v>2</v>
      </c>
      <c r="BT23" s="204" t="s">
        <v>585</v>
      </c>
      <c r="BU23" s="204" t="s">
        <v>585</v>
      </c>
      <c r="BV23" s="204" t="s">
        <v>585</v>
      </c>
      <c r="BW23" s="204" t="s">
        <v>585</v>
      </c>
      <c r="BX23" s="204" t="s">
        <v>585</v>
      </c>
      <c r="BY23" s="204" t="s">
        <v>585</v>
      </c>
      <c r="BZ23" s="204" t="s">
        <v>585</v>
      </c>
      <c r="CA23" s="204" t="s">
        <v>585</v>
      </c>
      <c r="CB23" s="204" t="s">
        <v>585</v>
      </c>
      <c r="CC23" s="204" t="s">
        <v>585</v>
      </c>
      <c r="CD23" s="204" t="s">
        <v>585</v>
      </c>
      <c r="CE23" s="204" t="s">
        <v>585</v>
      </c>
      <c r="CF23" s="202">
        <v>10</v>
      </c>
      <c r="CG23" s="206" t="s">
        <v>585</v>
      </c>
      <c r="CH23" s="204" t="s">
        <v>585</v>
      </c>
      <c r="CI23" s="206" t="s">
        <v>585</v>
      </c>
      <c r="CJ23" s="193" t="s">
        <v>585</v>
      </c>
      <c r="CK23" s="206">
        <v>15325</v>
      </c>
      <c r="CL23" s="204" t="s">
        <v>585</v>
      </c>
      <c r="CM23" s="204">
        <v>34013</v>
      </c>
      <c r="CN23" s="204">
        <v>21362</v>
      </c>
      <c r="CO23" s="204" t="s">
        <v>585</v>
      </c>
      <c r="CP23" s="204" t="s">
        <v>585</v>
      </c>
      <c r="CQ23" s="204" t="s">
        <v>585</v>
      </c>
      <c r="CR23" s="204" t="s">
        <v>585</v>
      </c>
      <c r="CS23" s="204" t="s">
        <v>585</v>
      </c>
      <c r="CT23" s="204" t="s">
        <v>585</v>
      </c>
      <c r="CU23" s="204" t="s">
        <v>585</v>
      </c>
      <c r="CV23" s="206">
        <v>70700</v>
      </c>
      <c r="CW23" s="203">
        <v>37</v>
      </c>
      <c r="CX23" s="204" t="s">
        <v>585</v>
      </c>
      <c r="CY23" s="204">
        <v>3</v>
      </c>
      <c r="CZ23" s="204" t="s">
        <v>585</v>
      </c>
      <c r="DA23" s="204" t="s">
        <v>585</v>
      </c>
      <c r="DB23" s="204" t="s">
        <v>585</v>
      </c>
      <c r="DC23" s="204" t="s">
        <v>585</v>
      </c>
      <c r="DD23" s="202">
        <v>40</v>
      </c>
      <c r="DE23" s="206" t="s">
        <v>585</v>
      </c>
      <c r="DF23" s="203" t="s">
        <v>585</v>
      </c>
      <c r="DG23" s="204" t="s">
        <v>585</v>
      </c>
      <c r="DH23" s="202" t="s">
        <v>585</v>
      </c>
      <c r="DI23" s="206" t="s">
        <v>585</v>
      </c>
      <c r="DJ23" s="204" t="s">
        <v>585</v>
      </c>
      <c r="DK23" s="206" t="s">
        <v>585</v>
      </c>
      <c r="DL23" s="193" t="s">
        <v>585</v>
      </c>
      <c r="DM23" s="206" t="s">
        <v>585</v>
      </c>
      <c r="DN23" s="204" t="s">
        <v>585</v>
      </c>
      <c r="DO23" s="206" t="s">
        <v>585</v>
      </c>
      <c r="DP23" s="203" t="s">
        <v>585</v>
      </c>
      <c r="DQ23" s="204" t="s">
        <v>585</v>
      </c>
      <c r="DR23" s="202" t="s">
        <v>585</v>
      </c>
      <c r="DS23" s="206" t="s">
        <v>585</v>
      </c>
      <c r="DT23" s="193" t="s">
        <v>585</v>
      </c>
      <c r="DU23" s="206">
        <v>16</v>
      </c>
      <c r="DV23" s="204" t="s">
        <v>585</v>
      </c>
      <c r="DW23" s="206">
        <v>16</v>
      </c>
      <c r="DX23" s="193" t="s">
        <v>585</v>
      </c>
      <c r="DY23" s="193" t="s">
        <v>585</v>
      </c>
      <c r="DZ23" s="206" t="s">
        <v>585</v>
      </c>
      <c r="EA23" s="204" t="s">
        <v>585</v>
      </c>
      <c r="EB23" s="204" t="s">
        <v>585</v>
      </c>
      <c r="EC23" s="204" t="s">
        <v>585</v>
      </c>
      <c r="ED23" s="204" t="s">
        <v>585</v>
      </c>
      <c r="EE23" s="204" t="s">
        <v>585</v>
      </c>
      <c r="EF23" s="204" t="s">
        <v>585</v>
      </c>
      <c r="EG23" s="206" t="s">
        <v>585</v>
      </c>
      <c r="EH23" s="203">
        <v>6</v>
      </c>
      <c r="EI23" s="204">
        <v>16</v>
      </c>
      <c r="EJ23" s="204">
        <v>3</v>
      </c>
      <c r="EK23" s="204" t="s">
        <v>585</v>
      </c>
      <c r="EL23" s="204">
        <v>10</v>
      </c>
      <c r="EM23" s="204">
        <v>81</v>
      </c>
      <c r="EN23" s="204">
        <v>3</v>
      </c>
      <c r="EO23" s="204">
        <v>11</v>
      </c>
      <c r="EP23" s="204">
        <v>11</v>
      </c>
      <c r="EQ23" s="204" t="s">
        <v>585</v>
      </c>
      <c r="ER23" s="204">
        <v>3</v>
      </c>
      <c r="ES23" s="204" t="s">
        <v>585</v>
      </c>
      <c r="ET23" s="204" t="s">
        <v>585</v>
      </c>
      <c r="EU23" s="202">
        <v>144</v>
      </c>
      <c r="EV23" s="206" t="s">
        <v>585</v>
      </c>
      <c r="EW23" s="193" t="s">
        <v>585</v>
      </c>
      <c r="EX23" s="206" t="s">
        <v>585</v>
      </c>
      <c r="EY23" s="204">
        <v>48</v>
      </c>
      <c r="EZ23" s="204" t="s">
        <v>585</v>
      </c>
      <c r="FA23" s="206">
        <v>48</v>
      </c>
      <c r="FB23" s="193" t="s">
        <v>585</v>
      </c>
      <c r="FC23" s="206" t="s">
        <v>585</v>
      </c>
      <c r="FD23" s="203" t="s">
        <v>585</v>
      </c>
      <c r="FE23" s="204" t="s">
        <v>585</v>
      </c>
      <c r="FF23" s="204" t="s">
        <v>585</v>
      </c>
      <c r="FG23" s="204" t="s">
        <v>585</v>
      </c>
      <c r="FH23" s="202" t="s">
        <v>585</v>
      </c>
      <c r="FI23" s="206" t="s">
        <v>585</v>
      </c>
      <c r="FJ23" s="204" t="s">
        <v>585</v>
      </c>
      <c r="FK23" s="206" t="s">
        <v>585</v>
      </c>
      <c r="FL23" s="203" t="s">
        <v>585</v>
      </c>
      <c r="FM23" s="204" t="s">
        <v>585</v>
      </c>
      <c r="FN23" s="202" t="s">
        <v>585</v>
      </c>
      <c r="FO23" s="206" t="s">
        <v>585</v>
      </c>
      <c r="FP23" s="193" t="s">
        <v>585</v>
      </c>
      <c r="FQ23" s="206" t="s">
        <v>585</v>
      </c>
      <c r="FR23" s="204" t="s">
        <v>585</v>
      </c>
      <c r="FS23" s="204" t="s">
        <v>585</v>
      </c>
      <c r="FT23" s="206" t="s">
        <v>585</v>
      </c>
      <c r="FU23" s="203">
        <v>13804</v>
      </c>
      <c r="FV23" s="204" t="s">
        <v>585</v>
      </c>
      <c r="FW23" s="202">
        <v>13804</v>
      </c>
      <c r="FX23" s="206" t="s">
        <v>585</v>
      </c>
      <c r="FY23" s="203" t="s">
        <v>585</v>
      </c>
      <c r="FZ23" s="204">
        <v>3</v>
      </c>
      <c r="GA23" s="204" t="s">
        <v>585</v>
      </c>
      <c r="GB23" s="202">
        <v>3</v>
      </c>
      <c r="GC23" s="206" t="s">
        <v>585</v>
      </c>
      <c r="GD23" s="203" t="s">
        <v>585</v>
      </c>
      <c r="GE23" s="204" t="s">
        <v>585</v>
      </c>
      <c r="GF23" s="204" t="s">
        <v>585</v>
      </c>
      <c r="GG23" s="204" t="s">
        <v>585</v>
      </c>
      <c r="GH23" s="202" t="s">
        <v>585</v>
      </c>
      <c r="GI23" s="193">
        <v>90299</v>
      </c>
      <c r="GJ23" s="368">
        <f>90299/45058286</f>
        <v>2.0040487114844981E-3</v>
      </c>
      <c r="GK23" s="382"/>
    </row>
    <row r="24" spans="2:193" ht="12" customHeight="1" x14ac:dyDescent="0.2">
      <c r="B24" s="359" t="s">
        <v>48</v>
      </c>
      <c r="C24" s="203">
        <v>12</v>
      </c>
      <c r="D24" s="204" t="s">
        <v>585</v>
      </c>
      <c r="E24" s="204" t="s">
        <v>585</v>
      </c>
      <c r="F24" s="204" t="s">
        <v>585</v>
      </c>
      <c r="G24" s="202">
        <v>12</v>
      </c>
      <c r="H24" s="193" t="s">
        <v>585</v>
      </c>
      <c r="I24" s="206" t="s">
        <v>585</v>
      </c>
      <c r="J24" s="204" t="s">
        <v>585</v>
      </c>
      <c r="K24" s="206" t="s">
        <v>585</v>
      </c>
      <c r="L24" s="193" t="s">
        <v>585</v>
      </c>
      <c r="M24" s="193">
        <v>24</v>
      </c>
      <c r="N24" s="206" t="s">
        <v>585</v>
      </c>
      <c r="O24" s="204" t="s">
        <v>585</v>
      </c>
      <c r="P24" s="204">
        <v>194</v>
      </c>
      <c r="Q24" s="204" t="s">
        <v>585</v>
      </c>
      <c r="R24" s="204">
        <v>4</v>
      </c>
      <c r="S24" s="204" t="s">
        <v>585</v>
      </c>
      <c r="T24" s="204" t="s">
        <v>585</v>
      </c>
      <c r="U24" s="206">
        <v>198</v>
      </c>
      <c r="V24" s="203" t="s">
        <v>585</v>
      </c>
      <c r="W24" s="204">
        <v>1</v>
      </c>
      <c r="X24" s="202">
        <v>1</v>
      </c>
      <c r="Y24" s="206">
        <v>174</v>
      </c>
      <c r="Z24" s="204">
        <v>3</v>
      </c>
      <c r="AA24" s="204" t="s">
        <v>585</v>
      </c>
      <c r="AB24" s="206">
        <v>177</v>
      </c>
      <c r="AC24" s="203">
        <v>3</v>
      </c>
      <c r="AD24" s="204" t="s">
        <v>585</v>
      </c>
      <c r="AE24" s="204" t="s">
        <v>585</v>
      </c>
      <c r="AF24" s="202">
        <v>3</v>
      </c>
      <c r="AG24" s="206" t="s">
        <v>585</v>
      </c>
      <c r="AH24" s="204" t="s">
        <v>585</v>
      </c>
      <c r="AI24" s="204" t="s">
        <v>585</v>
      </c>
      <c r="AJ24" s="204" t="s">
        <v>585</v>
      </c>
      <c r="AK24" s="206" t="s">
        <v>585</v>
      </c>
      <c r="AL24" s="193" t="s">
        <v>585</v>
      </c>
      <c r="AM24" s="193" t="s">
        <v>585</v>
      </c>
      <c r="AN24" s="206">
        <v>1</v>
      </c>
      <c r="AO24" s="204" t="s">
        <v>585</v>
      </c>
      <c r="AP24" s="206">
        <v>1</v>
      </c>
      <c r="AQ24" s="203" t="s">
        <v>585</v>
      </c>
      <c r="AR24" s="204" t="s">
        <v>585</v>
      </c>
      <c r="AS24" s="204" t="s">
        <v>585</v>
      </c>
      <c r="AT24" s="204" t="s">
        <v>585</v>
      </c>
      <c r="AU24" s="204" t="s">
        <v>585</v>
      </c>
      <c r="AV24" s="204" t="s">
        <v>585</v>
      </c>
      <c r="AW24" s="204" t="s">
        <v>585</v>
      </c>
      <c r="AX24" s="202" t="s">
        <v>585</v>
      </c>
      <c r="AY24" s="206" t="s">
        <v>585</v>
      </c>
      <c r="AZ24" s="193" t="s">
        <v>585</v>
      </c>
      <c r="BA24" s="206" t="s">
        <v>585</v>
      </c>
      <c r="BB24" s="377">
        <v>1</v>
      </c>
      <c r="BC24" s="206">
        <v>16</v>
      </c>
      <c r="BD24" s="206">
        <v>6</v>
      </c>
      <c r="BE24" s="378" t="s">
        <v>585</v>
      </c>
      <c r="BF24" s="206">
        <v>23</v>
      </c>
      <c r="BG24" s="193" t="s">
        <v>585</v>
      </c>
      <c r="BH24" s="193" t="s">
        <v>585</v>
      </c>
      <c r="BI24" s="193" t="s">
        <v>585</v>
      </c>
      <c r="BJ24" s="193">
        <v>2</v>
      </c>
      <c r="BK24" s="206">
        <v>1</v>
      </c>
      <c r="BL24" s="204" t="s">
        <v>585</v>
      </c>
      <c r="BM24" s="206">
        <v>1</v>
      </c>
      <c r="BN24" s="193" t="s">
        <v>585</v>
      </c>
      <c r="BO24" s="206" t="s">
        <v>585</v>
      </c>
      <c r="BP24" s="204" t="s">
        <v>585</v>
      </c>
      <c r="BQ24" s="206" t="s">
        <v>585</v>
      </c>
      <c r="BR24" s="203">
        <v>6</v>
      </c>
      <c r="BS24" s="204">
        <v>4</v>
      </c>
      <c r="BT24" s="204" t="s">
        <v>585</v>
      </c>
      <c r="BU24" s="204" t="s">
        <v>585</v>
      </c>
      <c r="BV24" s="204" t="s">
        <v>585</v>
      </c>
      <c r="BW24" s="204" t="s">
        <v>585</v>
      </c>
      <c r="BX24" s="204" t="s">
        <v>585</v>
      </c>
      <c r="BY24" s="204" t="s">
        <v>585</v>
      </c>
      <c r="BZ24" s="204" t="s">
        <v>585</v>
      </c>
      <c r="CA24" s="204" t="s">
        <v>585</v>
      </c>
      <c r="CB24" s="204" t="s">
        <v>585</v>
      </c>
      <c r="CC24" s="204" t="s">
        <v>585</v>
      </c>
      <c r="CD24" s="204" t="s">
        <v>585</v>
      </c>
      <c r="CE24" s="204" t="s">
        <v>585</v>
      </c>
      <c r="CF24" s="202">
        <v>10</v>
      </c>
      <c r="CG24" s="206" t="s">
        <v>585</v>
      </c>
      <c r="CH24" s="204" t="s">
        <v>585</v>
      </c>
      <c r="CI24" s="206" t="s">
        <v>585</v>
      </c>
      <c r="CJ24" s="193" t="s">
        <v>585</v>
      </c>
      <c r="CK24" s="206">
        <v>3909</v>
      </c>
      <c r="CL24" s="204" t="s">
        <v>585</v>
      </c>
      <c r="CM24" s="204">
        <v>8444</v>
      </c>
      <c r="CN24" s="204">
        <v>20650</v>
      </c>
      <c r="CO24" s="204" t="s">
        <v>585</v>
      </c>
      <c r="CP24" s="204" t="s">
        <v>585</v>
      </c>
      <c r="CQ24" s="204" t="s">
        <v>585</v>
      </c>
      <c r="CR24" s="204" t="s">
        <v>585</v>
      </c>
      <c r="CS24" s="204" t="s">
        <v>585</v>
      </c>
      <c r="CT24" s="204" t="s">
        <v>585</v>
      </c>
      <c r="CU24" s="204" t="s">
        <v>585</v>
      </c>
      <c r="CV24" s="206">
        <v>33003</v>
      </c>
      <c r="CW24" s="203">
        <v>9</v>
      </c>
      <c r="CX24" s="204" t="s">
        <v>585</v>
      </c>
      <c r="CY24" s="204">
        <v>2</v>
      </c>
      <c r="CZ24" s="204" t="s">
        <v>585</v>
      </c>
      <c r="DA24" s="204" t="s">
        <v>585</v>
      </c>
      <c r="DB24" s="204" t="s">
        <v>585</v>
      </c>
      <c r="DC24" s="204" t="s">
        <v>585</v>
      </c>
      <c r="DD24" s="202">
        <v>11</v>
      </c>
      <c r="DE24" s="206" t="s">
        <v>585</v>
      </c>
      <c r="DF24" s="203" t="s">
        <v>585</v>
      </c>
      <c r="DG24" s="204" t="s">
        <v>585</v>
      </c>
      <c r="DH24" s="202" t="s">
        <v>585</v>
      </c>
      <c r="DI24" s="206" t="s">
        <v>585</v>
      </c>
      <c r="DJ24" s="204" t="s">
        <v>585</v>
      </c>
      <c r="DK24" s="206" t="s">
        <v>585</v>
      </c>
      <c r="DL24" s="193">
        <v>2</v>
      </c>
      <c r="DM24" s="206" t="s">
        <v>585</v>
      </c>
      <c r="DN24" s="204" t="s">
        <v>585</v>
      </c>
      <c r="DO24" s="206" t="s">
        <v>585</v>
      </c>
      <c r="DP24" s="203" t="s">
        <v>585</v>
      </c>
      <c r="DQ24" s="204" t="s">
        <v>585</v>
      </c>
      <c r="DR24" s="202" t="s">
        <v>585</v>
      </c>
      <c r="DS24" s="206" t="s">
        <v>585</v>
      </c>
      <c r="DT24" s="193" t="s">
        <v>585</v>
      </c>
      <c r="DU24" s="206">
        <v>1</v>
      </c>
      <c r="DV24" s="204" t="s">
        <v>585</v>
      </c>
      <c r="DW24" s="206">
        <v>1</v>
      </c>
      <c r="DX24" s="193" t="s">
        <v>585</v>
      </c>
      <c r="DY24" s="193" t="s">
        <v>585</v>
      </c>
      <c r="DZ24" s="206" t="s">
        <v>585</v>
      </c>
      <c r="EA24" s="204" t="s">
        <v>585</v>
      </c>
      <c r="EB24" s="204" t="s">
        <v>585</v>
      </c>
      <c r="EC24" s="204" t="s">
        <v>585</v>
      </c>
      <c r="ED24" s="204" t="s">
        <v>585</v>
      </c>
      <c r="EE24" s="204" t="s">
        <v>585</v>
      </c>
      <c r="EF24" s="204" t="s">
        <v>585</v>
      </c>
      <c r="EG24" s="206" t="s">
        <v>585</v>
      </c>
      <c r="EH24" s="203">
        <v>26</v>
      </c>
      <c r="EI24" s="204">
        <v>11</v>
      </c>
      <c r="EJ24" s="204">
        <v>5</v>
      </c>
      <c r="EK24" s="204">
        <v>6</v>
      </c>
      <c r="EL24" s="204">
        <v>1</v>
      </c>
      <c r="EM24" s="204">
        <v>76</v>
      </c>
      <c r="EN24" s="204">
        <v>6</v>
      </c>
      <c r="EO24" s="204">
        <v>5</v>
      </c>
      <c r="EP24" s="204">
        <v>18</v>
      </c>
      <c r="EQ24" s="204">
        <v>1</v>
      </c>
      <c r="ER24" s="204" t="s">
        <v>585</v>
      </c>
      <c r="ES24" s="204" t="s">
        <v>585</v>
      </c>
      <c r="ET24" s="204" t="s">
        <v>585</v>
      </c>
      <c r="EU24" s="202">
        <v>155</v>
      </c>
      <c r="EV24" s="206" t="s">
        <v>585</v>
      </c>
      <c r="EW24" s="193" t="s">
        <v>585</v>
      </c>
      <c r="EX24" s="206" t="s">
        <v>585</v>
      </c>
      <c r="EY24" s="204" t="s">
        <v>585</v>
      </c>
      <c r="EZ24" s="204" t="s">
        <v>585</v>
      </c>
      <c r="FA24" s="206" t="s">
        <v>585</v>
      </c>
      <c r="FB24" s="193" t="s">
        <v>585</v>
      </c>
      <c r="FC24" s="206" t="s">
        <v>585</v>
      </c>
      <c r="FD24" s="203" t="s">
        <v>585</v>
      </c>
      <c r="FE24" s="204">
        <v>3</v>
      </c>
      <c r="FF24" s="204" t="s">
        <v>585</v>
      </c>
      <c r="FG24" s="204" t="s">
        <v>585</v>
      </c>
      <c r="FH24" s="202">
        <v>3</v>
      </c>
      <c r="FI24" s="206" t="s">
        <v>585</v>
      </c>
      <c r="FJ24" s="204" t="s">
        <v>585</v>
      </c>
      <c r="FK24" s="206" t="s">
        <v>585</v>
      </c>
      <c r="FL24" s="203" t="s">
        <v>585</v>
      </c>
      <c r="FM24" s="204" t="s">
        <v>585</v>
      </c>
      <c r="FN24" s="202" t="s">
        <v>585</v>
      </c>
      <c r="FO24" s="206" t="s">
        <v>585</v>
      </c>
      <c r="FP24" s="193" t="s">
        <v>585</v>
      </c>
      <c r="FQ24" s="206" t="s">
        <v>585</v>
      </c>
      <c r="FR24" s="204" t="s">
        <v>585</v>
      </c>
      <c r="FS24" s="204" t="s">
        <v>585</v>
      </c>
      <c r="FT24" s="206" t="s">
        <v>585</v>
      </c>
      <c r="FU24" s="203">
        <v>3873</v>
      </c>
      <c r="FV24" s="204" t="s">
        <v>585</v>
      </c>
      <c r="FW24" s="202">
        <v>3873</v>
      </c>
      <c r="FX24" s="206" t="s">
        <v>585</v>
      </c>
      <c r="FY24" s="203" t="s">
        <v>585</v>
      </c>
      <c r="FZ24" s="204" t="s">
        <v>585</v>
      </c>
      <c r="GA24" s="204" t="s">
        <v>585</v>
      </c>
      <c r="GB24" s="202" t="s">
        <v>585</v>
      </c>
      <c r="GC24" s="206" t="s">
        <v>585</v>
      </c>
      <c r="GD24" s="203" t="s">
        <v>585</v>
      </c>
      <c r="GE24" s="204" t="s">
        <v>585</v>
      </c>
      <c r="GF24" s="204" t="s">
        <v>585</v>
      </c>
      <c r="GG24" s="204" t="s">
        <v>585</v>
      </c>
      <c r="GH24" s="202" t="s">
        <v>585</v>
      </c>
      <c r="GI24" s="193">
        <v>37500</v>
      </c>
      <c r="GJ24" s="368">
        <f>37500/45058286</f>
        <v>8.3225535920296659E-4</v>
      </c>
      <c r="GK24" s="382"/>
    </row>
    <row r="25" spans="2:193" ht="12" customHeight="1" x14ac:dyDescent="0.2">
      <c r="B25" s="359" t="s">
        <v>111</v>
      </c>
      <c r="C25" s="203">
        <v>1587</v>
      </c>
      <c r="D25" s="204" t="s">
        <v>585</v>
      </c>
      <c r="E25" s="204" t="s">
        <v>585</v>
      </c>
      <c r="F25" s="204" t="s">
        <v>585</v>
      </c>
      <c r="G25" s="202">
        <v>1587</v>
      </c>
      <c r="H25" s="193" t="s">
        <v>585</v>
      </c>
      <c r="I25" s="206">
        <v>87</v>
      </c>
      <c r="J25" s="204" t="s">
        <v>585</v>
      </c>
      <c r="K25" s="206">
        <v>87</v>
      </c>
      <c r="L25" s="193" t="s">
        <v>585</v>
      </c>
      <c r="M25" s="193">
        <v>121436</v>
      </c>
      <c r="N25" s="206">
        <v>106</v>
      </c>
      <c r="O25" s="204" t="s">
        <v>585</v>
      </c>
      <c r="P25" s="204">
        <v>51715</v>
      </c>
      <c r="Q25" s="204">
        <v>127</v>
      </c>
      <c r="R25" s="204">
        <v>2</v>
      </c>
      <c r="S25" s="204" t="s">
        <v>585</v>
      </c>
      <c r="T25" s="204" t="s">
        <v>585</v>
      </c>
      <c r="U25" s="206">
        <v>51950</v>
      </c>
      <c r="V25" s="203">
        <v>40</v>
      </c>
      <c r="W25" s="204">
        <v>16</v>
      </c>
      <c r="X25" s="202">
        <v>56</v>
      </c>
      <c r="Y25" s="206">
        <v>381</v>
      </c>
      <c r="Z25" s="204" t="s">
        <v>585</v>
      </c>
      <c r="AA25" s="204" t="s">
        <v>585</v>
      </c>
      <c r="AB25" s="206">
        <v>381</v>
      </c>
      <c r="AC25" s="203">
        <v>1</v>
      </c>
      <c r="AD25" s="204" t="s">
        <v>585</v>
      </c>
      <c r="AE25" s="204" t="s">
        <v>585</v>
      </c>
      <c r="AF25" s="202">
        <v>1</v>
      </c>
      <c r="AG25" s="206">
        <v>6</v>
      </c>
      <c r="AH25" s="204" t="s">
        <v>585</v>
      </c>
      <c r="AI25" s="204" t="s">
        <v>585</v>
      </c>
      <c r="AJ25" s="204" t="s">
        <v>585</v>
      </c>
      <c r="AK25" s="206">
        <v>6</v>
      </c>
      <c r="AL25" s="193" t="s">
        <v>585</v>
      </c>
      <c r="AM25" s="193" t="s">
        <v>585</v>
      </c>
      <c r="AN25" s="206" t="s">
        <v>585</v>
      </c>
      <c r="AO25" s="204">
        <v>2</v>
      </c>
      <c r="AP25" s="206">
        <v>2</v>
      </c>
      <c r="AQ25" s="203" t="s">
        <v>585</v>
      </c>
      <c r="AR25" s="204" t="s">
        <v>585</v>
      </c>
      <c r="AS25" s="204" t="s">
        <v>585</v>
      </c>
      <c r="AT25" s="204" t="s">
        <v>585</v>
      </c>
      <c r="AU25" s="204" t="s">
        <v>585</v>
      </c>
      <c r="AV25" s="204" t="s">
        <v>585</v>
      </c>
      <c r="AW25" s="204" t="s">
        <v>585</v>
      </c>
      <c r="AX25" s="202" t="s">
        <v>585</v>
      </c>
      <c r="AY25" s="206">
        <v>46</v>
      </c>
      <c r="AZ25" s="193">
        <v>8008</v>
      </c>
      <c r="BA25" s="206">
        <v>202</v>
      </c>
      <c r="BB25" s="377">
        <v>738</v>
      </c>
      <c r="BC25" s="206">
        <v>2603</v>
      </c>
      <c r="BD25" s="206">
        <v>37</v>
      </c>
      <c r="BE25" s="378">
        <v>18</v>
      </c>
      <c r="BF25" s="206">
        <v>3598</v>
      </c>
      <c r="BG25" s="193">
        <v>1</v>
      </c>
      <c r="BH25" s="193" t="s">
        <v>585</v>
      </c>
      <c r="BI25" s="193" t="s">
        <v>585</v>
      </c>
      <c r="BJ25" s="193">
        <v>13</v>
      </c>
      <c r="BK25" s="206">
        <v>12677</v>
      </c>
      <c r="BL25" s="204" t="s">
        <v>585</v>
      </c>
      <c r="BM25" s="206">
        <v>12677</v>
      </c>
      <c r="BN25" s="193" t="s">
        <v>585</v>
      </c>
      <c r="BO25" s="206">
        <v>412</v>
      </c>
      <c r="BP25" s="204">
        <v>27426</v>
      </c>
      <c r="BQ25" s="206">
        <v>27838</v>
      </c>
      <c r="BR25" s="203">
        <v>20</v>
      </c>
      <c r="BS25" s="204" t="s">
        <v>585</v>
      </c>
      <c r="BT25" s="204" t="s">
        <v>585</v>
      </c>
      <c r="BU25" s="204" t="s">
        <v>585</v>
      </c>
      <c r="BV25" s="204" t="s">
        <v>585</v>
      </c>
      <c r="BW25" s="204" t="s">
        <v>585</v>
      </c>
      <c r="BX25" s="204" t="s">
        <v>585</v>
      </c>
      <c r="BY25" s="204" t="s">
        <v>585</v>
      </c>
      <c r="BZ25" s="204" t="s">
        <v>585</v>
      </c>
      <c r="CA25" s="204" t="s">
        <v>585</v>
      </c>
      <c r="CB25" s="204" t="s">
        <v>585</v>
      </c>
      <c r="CC25" s="204" t="s">
        <v>585</v>
      </c>
      <c r="CD25" s="204" t="s">
        <v>585</v>
      </c>
      <c r="CE25" s="204" t="s">
        <v>585</v>
      </c>
      <c r="CF25" s="202">
        <v>20</v>
      </c>
      <c r="CG25" s="206">
        <v>3</v>
      </c>
      <c r="CH25" s="204" t="s">
        <v>585</v>
      </c>
      <c r="CI25" s="206">
        <v>3</v>
      </c>
      <c r="CJ25" s="193">
        <v>37</v>
      </c>
      <c r="CK25" s="206">
        <v>112710</v>
      </c>
      <c r="CL25" s="204" t="s">
        <v>585</v>
      </c>
      <c r="CM25" s="204">
        <v>393764</v>
      </c>
      <c r="CN25" s="204">
        <v>170664</v>
      </c>
      <c r="CO25" s="204" t="s">
        <v>585</v>
      </c>
      <c r="CP25" s="204">
        <v>5</v>
      </c>
      <c r="CQ25" s="204">
        <v>1</v>
      </c>
      <c r="CR25" s="204" t="s">
        <v>585</v>
      </c>
      <c r="CS25" s="204" t="s">
        <v>585</v>
      </c>
      <c r="CT25" s="204" t="s">
        <v>585</v>
      </c>
      <c r="CU25" s="204" t="s">
        <v>585</v>
      </c>
      <c r="CV25" s="206">
        <v>677144</v>
      </c>
      <c r="CW25" s="203">
        <v>2000</v>
      </c>
      <c r="CX25" s="204">
        <v>20</v>
      </c>
      <c r="CY25" s="204">
        <v>38</v>
      </c>
      <c r="CZ25" s="204" t="s">
        <v>585</v>
      </c>
      <c r="DA25" s="204" t="s">
        <v>585</v>
      </c>
      <c r="DB25" s="204" t="s">
        <v>585</v>
      </c>
      <c r="DC25" s="204" t="s">
        <v>585</v>
      </c>
      <c r="DD25" s="202">
        <v>2058</v>
      </c>
      <c r="DE25" s="206" t="s">
        <v>585</v>
      </c>
      <c r="DF25" s="203" t="s">
        <v>585</v>
      </c>
      <c r="DG25" s="204" t="s">
        <v>585</v>
      </c>
      <c r="DH25" s="202" t="s">
        <v>585</v>
      </c>
      <c r="DI25" s="206" t="s">
        <v>585</v>
      </c>
      <c r="DJ25" s="204" t="s">
        <v>585</v>
      </c>
      <c r="DK25" s="206" t="s">
        <v>585</v>
      </c>
      <c r="DL25" s="193">
        <v>13</v>
      </c>
      <c r="DM25" s="206">
        <v>2659</v>
      </c>
      <c r="DN25" s="204" t="s">
        <v>585</v>
      </c>
      <c r="DO25" s="206">
        <v>2659</v>
      </c>
      <c r="DP25" s="203">
        <v>69</v>
      </c>
      <c r="DQ25" s="204" t="s">
        <v>585</v>
      </c>
      <c r="DR25" s="202">
        <v>69</v>
      </c>
      <c r="DS25" s="206">
        <v>7</v>
      </c>
      <c r="DT25" s="193" t="s">
        <v>585</v>
      </c>
      <c r="DU25" s="206">
        <v>46</v>
      </c>
      <c r="DV25" s="204" t="s">
        <v>585</v>
      </c>
      <c r="DW25" s="206">
        <v>46</v>
      </c>
      <c r="DX25" s="193" t="s">
        <v>585</v>
      </c>
      <c r="DY25" s="193" t="s">
        <v>585</v>
      </c>
      <c r="DZ25" s="206">
        <v>7</v>
      </c>
      <c r="EA25" s="204">
        <v>192</v>
      </c>
      <c r="EB25" s="204">
        <v>439</v>
      </c>
      <c r="EC25" s="204" t="s">
        <v>585</v>
      </c>
      <c r="ED25" s="204" t="s">
        <v>585</v>
      </c>
      <c r="EE25" s="204" t="s">
        <v>585</v>
      </c>
      <c r="EF25" s="204" t="s">
        <v>585</v>
      </c>
      <c r="EG25" s="206">
        <v>638</v>
      </c>
      <c r="EH25" s="203">
        <v>19</v>
      </c>
      <c r="EI25" s="204">
        <v>4415</v>
      </c>
      <c r="EJ25" s="204" t="s">
        <v>585</v>
      </c>
      <c r="EK25" s="204">
        <v>3</v>
      </c>
      <c r="EL25" s="204">
        <v>151</v>
      </c>
      <c r="EM25" s="204">
        <v>219</v>
      </c>
      <c r="EN25" s="204">
        <v>1</v>
      </c>
      <c r="EO25" s="204" t="s">
        <v>585</v>
      </c>
      <c r="EP25" s="204">
        <v>81</v>
      </c>
      <c r="EQ25" s="204" t="s">
        <v>585</v>
      </c>
      <c r="ER25" s="204" t="s">
        <v>585</v>
      </c>
      <c r="ES25" s="204" t="s">
        <v>585</v>
      </c>
      <c r="ET25" s="204" t="s">
        <v>585</v>
      </c>
      <c r="EU25" s="202">
        <v>4889</v>
      </c>
      <c r="EV25" s="206" t="s">
        <v>585</v>
      </c>
      <c r="EW25" s="193" t="s">
        <v>585</v>
      </c>
      <c r="EX25" s="206" t="s">
        <v>585</v>
      </c>
      <c r="EY25" s="204">
        <v>1</v>
      </c>
      <c r="EZ25" s="204" t="s">
        <v>585</v>
      </c>
      <c r="FA25" s="206">
        <v>1</v>
      </c>
      <c r="FB25" s="193" t="s">
        <v>585</v>
      </c>
      <c r="FC25" s="206">
        <v>9</v>
      </c>
      <c r="FD25" s="203">
        <v>1</v>
      </c>
      <c r="FE25" s="204">
        <v>21417</v>
      </c>
      <c r="FF25" s="204" t="s">
        <v>585</v>
      </c>
      <c r="FG25" s="204" t="s">
        <v>585</v>
      </c>
      <c r="FH25" s="202">
        <v>21418</v>
      </c>
      <c r="FI25" s="206">
        <v>2</v>
      </c>
      <c r="FJ25" s="204" t="s">
        <v>585</v>
      </c>
      <c r="FK25" s="206">
        <v>2</v>
      </c>
      <c r="FL25" s="203" t="s">
        <v>585</v>
      </c>
      <c r="FM25" s="204" t="s">
        <v>585</v>
      </c>
      <c r="FN25" s="202" t="s">
        <v>585</v>
      </c>
      <c r="FO25" s="206" t="s">
        <v>585</v>
      </c>
      <c r="FP25" s="193">
        <v>426745</v>
      </c>
      <c r="FQ25" s="206">
        <v>5</v>
      </c>
      <c r="FR25" s="204">
        <v>4</v>
      </c>
      <c r="FS25" s="204" t="s">
        <v>585</v>
      </c>
      <c r="FT25" s="206">
        <v>9</v>
      </c>
      <c r="FU25" s="203">
        <v>11329</v>
      </c>
      <c r="FV25" s="204" t="s">
        <v>585</v>
      </c>
      <c r="FW25" s="202">
        <v>11329</v>
      </c>
      <c r="FX25" s="206" t="s">
        <v>585</v>
      </c>
      <c r="FY25" s="203" t="s">
        <v>585</v>
      </c>
      <c r="FZ25" s="204">
        <v>108</v>
      </c>
      <c r="GA25" s="204">
        <v>5</v>
      </c>
      <c r="GB25" s="202">
        <v>113</v>
      </c>
      <c r="GC25" s="206" t="s">
        <v>585</v>
      </c>
      <c r="GD25" s="203" t="s">
        <v>585</v>
      </c>
      <c r="GE25" s="204" t="s">
        <v>585</v>
      </c>
      <c r="GF25" s="204" t="s">
        <v>585</v>
      </c>
      <c r="GG25" s="204" t="s">
        <v>585</v>
      </c>
      <c r="GH25" s="202" t="s">
        <v>585</v>
      </c>
      <c r="GI25" s="193">
        <v>1374896</v>
      </c>
      <c r="GJ25" s="368">
        <f>1374896/45058286</f>
        <v>3.0513721715912583E-2</v>
      </c>
      <c r="GK25" s="382"/>
    </row>
    <row r="26" spans="2:193" ht="12" customHeight="1" x14ac:dyDescent="0.2">
      <c r="B26" s="359" t="s">
        <v>117</v>
      </c>
      <c r="C26" s="203">
        <v>20</v>
      </c>
      <c r="D26" s="204" t="s">
        <v>585</v>
      </c>
      <c r="E26" s="204">
        <v>2</v>
      </c>
      <c r="F26" s="204" t="s">
        <v>585</v>
      </c>
      <c r="G26" s="202">
        <v>22</v>
      </c>
      <c r="H26" s="193" t="s">
        <v>585</v>
      </c>
      <c r="I26" s="206">
        <v>2</v>
      </c>
      <c r="J26" s="204" t="s">
        <v>585</v>
      </c>
      <c r="K26" s="206">
        <v>2</v>
      </c>
      <c r="L26" s="193" t="s">
        <v>585</v>
      </c>
      <c r="M26" s="193">
        <v>196</v>
      </c>
      <c r="N26" s="206">
        <v>7</v>
      </c>
      <c r="O26" s="204">
        <v>7</v>
      </c>
      <c r="P26" s="204">
        <v>191403</v>
      </c>
      <c r="Q26" s="204">
        <v>20</v>
      </c>
      <c r="R26" s="204">
        <v>169</v>
      </c>
      <c r="S26" s="204">
        <v>150</v>
      </c>
      <c r="T26" s="204">
        <v>10</v>
      </c>
      <c r="U26" s="206">
        <v>191766</v>
      </c>
      <c r="V26" s="203">
        <v>11</v>
      </c>
      <c r="W26" s="204">
        <v>8</v>
      </c>
      <c r="X26" s="202">
        <v>19</v>
      </c>
      <c r="Y26" s="206">
        <v>2146</v>
      </c>
      <c r="Z26" s="204">
        <v>4</v>
      </c>
      <c r="AA26" s="204" t="s">
        <v>585</v>
      </c>
      <c r="AB26" s="206">
        <v>2150</v>
      </c>
      <c r="AC26" s="203">
        <v>387</v>
      </c>
      <c r="AD26" s="204">
        <v>1</v>
      </c>
      <c r="AE26" s="204">
        <v>2</v>
      </c>
      <c r="AF26" s="202">
        <v>390</v>
      </c>
      <c r="AG26" s="206">
        <v>58</v>
      </c>
      <c r="AH26" s="204" t="s">
        <v>585</v>
      </c>
      <c r="AI26" s="204">
        <v>1</v>
      </c>
      <c r="AJ26" s="204" t="s">
        <v>585</v>
      </c>
      <c r="AK26" s="206">
        <v>59</v>
      </c>
      <c r="AL26" s="193" t="s">
        <v>585</v>
      </c>
      <c r="AM26" s="193" t="s">
        <v>585</v>
      </c>
      <c r="AN26" s="206">
        <v>1</v>
      </c>
      <c r="AO26" s="204" t="s">
        <v>585</v>
      </c>
      <c r="AP26" s="206">
        <v>1</v>
      </c>
      <c r="AQ26" s="203">
        <v>3</v>
      </c>
      <c r="AR26" s="204">
        <v>5</v>
      </c>
      <c r="AS26" s="204" t="s">
        <v>585</v>
      </c>
      <c r="AT26" s="204" t="s">
        <v>585</v>
      </c>
      <c r="AU26" s="204" t="s">
        <v>585</v>
      </c>
      <c r="AV26" s="204" t="s">
        <v>585</v>
      </c>
      <c r="AW26" s="204" t="s">
        <v>585</v>
      </c>
      <c r="AX26" s="202">
        <v>8</v>
      </c>
      <c r="AY26" s="206" t="s">
        <v>585</v>
      </c>
      <c r="AZ26" s="193" t="s">
        <v>585</v>
      </c>
      <c r="BA26" s="206">
        <v>103</v>
      </c>
      <c r="BB26" s="377">
        <v>205</v>
      </c>
      <c r="BC26" s="206">
        <v>369</v>
      </c>
      <c r="BD26" s="206">
        <v>18</v>
      </c>
      <c r="BE26" s="378">
        <v>6</v>
      </c>
      <c r="BF26" s="206">
        <v>701</v>
      </c>
      <c r="BG26" s="193" t="s">
        <v>585</v>
      </c>
      <c r="BH26" s="193" t="s">
        <v>585</v>
      </c>
      <c r="BI26" s="193" t="s">
        <v>585</v>
      </c>
      <c r="BJ26" s="193">
        <v>2</v>
      </c>
      <c r="BK26" s="206">
        <v>5</v>
      </c>
      <c r="BL26" s="204" t="s">
        <v>585</v>
      </c>
      <c r="BM26" s="206">
        <v>5</v>
      </c>
      <c r="BN26" s="193" t="s">
        <v>585</v>
      </c>
      <c r="BO26" s="206" t="s">
        <v>585</v>
      </c>
      <c r="BP26" s="204" t="s">
        <v>585</v>
      </c>
      <c r="BQ26" s="206" t="s">
        <v>585</v>
      </c>
      <c r="BR26" s="203">
        <v>5</v>
      </c>
      <c r="BS26" s="204">
        <v>3</v>
      </c>
      <c r="BT26" s="204">
        <v>3</v>
      </c>
      <c r="BU26" s="204" t="s">
        <v>585</v>
      </c>
      <c r="BV26" s="204" t="s">
        <v>585</v>
      </c>
      <c r="BW26" s="204" t="s">
        <v>585</v>
      </c>
      <c r="BX26" s="204" t="s">
        <v>585</v>
      </c>
      <c r="BY26" s="204" t="s">
        <v>585</v>
      </c>
      <c r="BZ26" s="204" t="s">
        <v>585</v>
      </c>
      <c r="CA26" s="204" t="s">
        <v>585</v>
      </c>
      <c r="CB26" s="204" t="s">
        <v>585</v>
      </c>
      <c r="CC26" s="204" t="s">
        <v>585</v>
      </c>
      <c r="CD26" s="204" t="s">
        <v>585</v>
      </c>
      <c r="CE26" s="204" t="s">
        <v>585</v>
      </c>
      <c r="CF26" s="202">
        <v>11</v>
      </c>
      <c r="CG26" s="206">
        <v>1</v>
      </c>
      <c r="CH26" s="204" t="s">
        <v>585</v>
      </c>
      <c r="CI26" s="206">
        <v>1</v>
      </c>
      <c r="CJ26" s="193" t="s">
        <v>585</v>
      </c>
      <c r="CK26" s="206">
        <v>33406</v>
      </c>
      <c r="CL26" s="204">
        <v>5</v>
      </c>
      <c r="CM26" s="204">
        <v>126931</v>
      </c>
      <c r="CN26" s="204">
        <v>147376</v>
      </c>
      <c r="CO26" s="204">
        <v>9</v>
      </c>
      <c r="CP26" s="204" t="s">
        <v>585</v>
      </c>
      <c r="CQ26" s="204" t="s">
        <v>585</v>
      </c>
      <c r="CR26" s="204" t="s">
        <v>585</v>
      </c>
      <c r="CS26" s="204" t="s">
        <v>585</v>
      </c>
      <c r="CT26" s="204" t="s">
        <v>585</v>
      </c>
      <c r="CU26" s="204" t="s">
        <v>585</v>
      </c>
      <c r="CV26" s="206">
        <v>307727</v>
      </c>
      <c r="CW26" s="203">
        <v>5340</v>
      </c>
      <c r="CX26" s="204">
        <v>10</v>
      </c>
      <c r="CY26" s="204">
        <v>95</v>
      </c>
      <c r="CZ26" s="204">
        <v>3</v>
      </c>
      <c r="DA26" s="204">
        <v>9</v>
      </c>
      <c r="DB26" s="204" t="s">
        <v>585</v>
      </c>
      <c r="DC26" s="204" t="s">
        <v>585</v>
      </c>
      <c r="DD26" s="202">
        <v>5457</v>
      </c>
      <c r="DE26" s="206" t="s">
        <v>585</v>
      </c>
      <c r="DF26" s="203" t="s">
        <v>585</v>
      </c>
      <c r="DG26" s="204" t="s">
        <v>585</v>
      </c>
      <c r="DH26" s="202" t="s">
        <v>585</v>
      </c>
      <c r="DI26" s="206" t="s">
        <v>585</v>
      </c>
      <c r="DJ26" s="204" t="s">
        <v>585</v>
      </c>
      <c r="DK26" s="206" t="s">
        <v>585</v>
      </c>
      <c r="DL26" s="193">
        <v>4</v>
      </c>
      <c r="DM26" s="206" t="s">
        <v>585</v>
      </c>
      <c r="DN26" s="204" t="s">
        <v>585</v>
      </c>
      <c r="DO26" s="206" t="s">
        <v>585</v>
      </c>
      <c r="DP26" s="203">
        <v>1</v>
      </c>
      <c r="DQ26" s="204" t="s">
        <v>585</v>
      </c>
      <c r="DR26" s="202">
        <v>1</v>
      </c>
      <c r="DS26" s="206">
        <v>2</v>
      </c>
      <c r="DT26" s="193" t="s">
        <v>585</v>
      </c>
      <c r="DU26" s="206">
        <v>307</v>
      </c>
      <c r="DV26" s="204" t="s">
        <v>585</v>
      </c>
      <c r="DW26" s="206">
        <v>307</v>
      </c>
      <c r="DX26" s="193">
        <v>1</v>
      </c>
      <c r="DY26" s="193" t="s">
        <v>585</v>
      </c>
      <c r="DZ26" s="206">
        <v>75</v>
      </c>
      <c r="EA26" s="204">
        <v>11</v>
      </c>
      <c r="EB26" s="204">
        <v>2</v>
      </c>
      <c r="EC26" s="204" t="s">
        <v>585</v>
      </c>
      <c r="ED26" s="204" t="s">
        <v>585</v>
      </c>
      <c r="EE26" s="204" t="s">
        <v>585</v>
      </c>
      <c r="EF26" s="204" t="s">
        <v>585</v>
      </c>
      <c r="EG26" s="206">
        <v>88</v>
      </c>
      <c r="EH26" s="203">
        <v>5304</v>
      </c>
      <c r="EI26" s="204">
        <v>26670</v>
      </c>
      <c r="EJ26" s="204">
        <v>41</v>
      </c>
      <c r="EK26" s="204">
        <v>110</v>
      </c>
      <c r="EL26" s="204">
        <v>8151</v>
      </c>
      <c r="EM26" s="204">
        <v>18492</v>
      </c>
      <c r="EN26" s="204">
        <v>150</v>
      </c>
      <c r="EO26" s="204">
        <v>15</v>
      </c>
      <c r="EP26" s="204">
        <v>1162</v>
      </c>
      <c r="EQ26" s="204">
        <v>239</v>
      </c>
      <c r="ER26" s="204">
        <v>30</v>
      </c>
      <c r="ES26" s="204" t="s">
        <v>585</v>
      </c>
      <c r="ET26" s="204" t="s">
        <v>585</v>
      </c>
      <c r="EU26" s="202">
        <v>60364</v>
      </c>
      <c r="EV26" s="206" t="s">
        <v>585</v>
      </c>
      <c r="EW26" s="193">
        <v>2</v>
      </c>
      <c r="EX26" s="206" t="s">
        <v>585</v>
      </c>
      <c r="EY26" s="204" t="s">
        <v>585</v>
      </c>
      <c r="EZ26" s="204" t="s">
        <v>585</v>
      </c>
      <c r="FA26" s="206" t="s">
        <v>585</v>
      </c>
      <c r="FB26" s="193" t="s">
        <v>585</v>
      </c>
      <c r="FC26" s="206" t="s">
        <v>585</v>
      </c>
      <c r="FD26" s="203">
        <v>4</v>
      </c>
      <c r="FE26" s="204" t="s">
        <v>585</v>
      </c>
      <c r="FF26" s="204">
        <v>2</v>
      </c>
      <c r="FG26" s="204" t="s">
        <v>585</v>
      </c>
      <c r="FH26" s="202">
        <v>6</v>
      </c>
      <c r="FI26" s="206" t="s">
        <v>585</v>
      </c>
      <c r="FJ26" s="204" t="s">
        <v>585</v>
      </c>
      <c r="FK26" s="206" t="s">
        <v>585</v>
      </c>
      <c r="FL26" s="203" t="s">
        <v>585</v>
      </c>
      <c r="FM26" s="204" t="s">
        <v>585</v>
      </c>
      <c r="FN26" s="202" t="s">
        <v>585</v>
      </c>
      <c r="FO26" s="206" t="s">
        <v>585</v>
      </c>
      <c r="FP26" s="193">
        <v>35</v>
      </c>
      <c r="FQ26" s="206">
        <v>15</v>
      </c>
      <c r="FR26" s="204" t="s">
        <v>585</v>
      </c>
      <c r="FS26" s="204" t="s">
        <v>585</v>
      </c>
      <c r="FT26" s="206">
        <v>15</v>
      </c>
      <c r="FU26" s="203">
        <v>26</v>
      </c>
      <c r="FV26" s="204" t="s">
        <v>585</v>
      </c>
      <c r="FW26" s="202">
        <v>26</v>
      </c>
      <c r="FX26" s="206" t="s">
        <v>585</v>
      </c>
      <c r="FY26" s="203" t="s">
        <v>585</v>
      </c>
      <c r="FZ26" s="204" t="s">
        <v>585</v>
      </c>
      <c r="GA26" s="204" t="s">
        <v>585</v>
      </c>
      <c r="GB26" s="202" t="s">
        <v>585</v>
      </c>
      <c r="GC26" s="206" t="s">
        <v>585</v>
      </c>
      <c r="GD26" s="203" t="s">
        <v>585</v>
      </c>
      <c r="GE26" s="204" t="s">
        <v>585</v>
      </c>
      <c r="GF26" s="204" t="s">
        <v>585</v>
      </c>
      <c r="GG26" s="204" t="s">
        <v>585</v>
      </c>
      <c r="GH26" s="202" t="s">
        <v>585</v>
      </c>
      <c r="GI26" s="193">
        <v>569368</v>
      </c>
      <c r="GJ26" s="368">
        <f>569368/45058286</f>
        <v>1.2636255182897991E-2</v>
      </c>
      <c r="GK26" s="382"/>
    </row>
    <row r="27" spans="2:193" ht="12" customHeight="1" x14ac:dyDescent="0.2">
      <c r="B27" s="359" t="s">
        <v>129</v>
      </c>
      <c r="C27" s="203">
        <v>962</v>
      </c>
      <c r="D27" s="204" t="s">
        <v>585</v>
      </c>
      <c r="E27" s="204" t="s">
        <v>585</v>
      </c>
      <c r="F27" s="204" t="s">
        <v>585</v>
      </c>
      <c r="G27" s="202">
        <v>962</v>
      </c>
      <c r="H27" s="193" t="s">
        <v>585</v>
      </c>
      <c r="I27" s="206">
        <v>1</v>
      </c>
      <c r="J27" s="204" t="s">
        <v>585</v>
      </c>
      <c r="K27" s="206">
        <v>1</v>
      </c>
      <c r="L27" s="193" t="s">
        <v>585</v>
      </c>
      <c r="M27" s="193">
        <v>3733</v>
      </c>
      <c r="N27" s="206" t="s">
        <v>585</v>
      </c>
      <c r="O27" s="204" t="s">
        <v>585</v>
      </c>
      <c r="P27" s="204">
        <v>3059</v>
      </c>
      <c r="Q27" s="204" t="s">
        <v>585</v>
      </c>
      <c r="R27" s="204" t="s">
        <v>585</v>
      </c>
      <c r="S27" s="204" t="s">
        <v>585</v>
      </c>
      <c r="T27" s="204" t="s">
        <v>585</v>
      </c>
      <c r="U27" s="206">
        <v>3059</v>
      </c>
      <c r="V27" s="203" t="s">
        <v>585</v>
      </c>
      <c r="W27" s="204" t="s">
        <v>585</v>
      </c>
      <c r="X27" s="202" t="s">
        <v>585</v>
      </c>
      <c r="Y27" s="206">
        <v>359</v>
      </c>
      <c r="Z27" s="204" t="s">
        <v>585</v>
      </c>
      <c r="AA27" s="204" t="s">
        <v>585</v>
      </c>
      <c r="AB27" s="206">
        <v>359</v>
      </c>
      <c r="AC27" s="203">
        <v>6</v>
      </c>
      <c r="AD27" s="204" t="s">
        <v>585</v>
      </c>
      <c r="AE27" s="204" t="s">
        <v>585</v>
      </c>
      <c r="AF27" s="202">
        <v>6</v>
      </c>
      <c r="AG27" s="206" t="s">
        <v>585</v>
      </c>
      <c r="AH27" s="204" t="s">
        <v>585</v>
      </c>
      <c r="AI27" s="204" t="s">
        <v>585</v>
      </c>
      <c r="AJ27" s="204" t="s">
        <v>585</v>
      </c>
      <c r="AK27" s="206" t="s">
        <v>585</v>
      </c>
      <c r="AL27" s="193" t="s">
        <v>585</v>
      </c>
      <c r="AM27" s="193" t="s">
        <v>585</v>
      </c>
      <c r="AN27" s="206" t="s">
        <v>585</v>
      </c>
      <c r="AO27" s="204" t="s">
        <v>585</v>
      </c>
      <c r="AP27" s="206" t="s">
        <v>585</v>
      </c>
      <c r="AQ27" s="203" t="s">
        <v>585</v>
      </c>
      <c r="AR27" s="204" t="s">
        <v>585</v>
      </c>
      <c r="AS27" s="204" t="s">
        <v>585</v>
      </c>
      <c r="AT27" s="204" t="s">
        <v>585</v>
      </c>
      <c r="AU27" s="204" t="s">
        <v>585</v>
      </c>
      <c r="AV27" s="204" t="s">
        <v>585</v>
      </c>
      <c r="AW27" s="204" t="s">
        <v>585</v>
      </c>
      <c r="AX27" s="202" t="s">
        <v>585</v>
      </c>
      <c r="AY27" s="206" t="s">
        <v>585</v>
      </c>
      <c r="AZ27" s="193" t="s">
        <v>585</v>
      </c>
      <c r="BA27" s="206">
        <v>1</v>
      </c>
      <c r="BB27" s="377" t="s">
        <v>585</v>
      </c>
      <c r="BC27" s="206">
        <v>53</v>
      </c>
      <c r="BD27" s="206">
        <v>1</v>
      </c>
      <c r="BE27" s="378">
        <v>2</v>
      </c>
      <c r="BF27" s="206">
        <v>57</v>
      </c>
      <c r="BG27" s="193" t="s">
        <v>585</v>
      </c>
      <c r="BH27" s="193" t="s">
        <v>585</v>
      </c>
      <c r="BI27" s="193" t="s">
        <v>585</v>
      </c>
      <c r="BJ27" s="193" t="s">
        <v>585</v>
      </c>
      <c r="BK27" s="206" t="s">
        <v>585</v>
      </c>
      <c r="BL27" s="204" t="s">
        <v>585</v>
      </c>
      <c r="BM27" s="206" t="s">
        <v>585</v>
      </c>
      <c r="BN27" s="193" t="s">
        <v>585</v>
      </c>
      <c r="BO27" s="206" t="s">
        <v>585</v>
      </c>
      <c r="BP27" s="204" t="s">
        <v>585</v>
      </c>
      <c r="BQ27" s="206" t="s">
        <v>585</v>
      </c>
      <c r="BR27" s="203">
        <v>1</v>
      </c>
      <c r="BS27" s="204" t="s">
        <v>585</v>
      </c>
      <c r="BT27" s="204" t="s">
        <v>585</v>
      </c>
      <c r="BU27" s="204" t="s">
        <v>585</v>
      </c>
      <c r="BV27" s="204" t="s">
        <v>585</v>
      </c>
      <c r="BW27" s="204">
        <v>1</v>
      </c>
      <c r="BX27" s="204" t="s">
        <v>585</v>
      </c>
      <c r="BY27" s="204" t="s">
        <v>585</v>
      </c>
      <c r="BZ27" s="204" t="s">
        <v>585</v>
      </c>
      <c r="CA27" s="204" t="s">
        <v>585</v>
      </c>
      <c r="CB27" s="204" t="s">
        <v>585</v>
      </c>
      <c r="CC27" s="204" t="s">
        <v>585</v>
      </c>
      <c r="CD27" s="204" t="s">
        <v>585</v>
      </c>
      <c r="CE27" s="204" t="s">
        <v>585</v>
      </c>
      <c r="CF27" s="202">
        <v>2</v>
      </c>
      <c r="CG27" s="206" t="s">
        <v>585</v>
      </c>
      <c r="CH27" s="204" t="s">
        <v>585</v>
      </c>
      <c r="CI27" s="206" t="s">
        <v>585</v>
      </c>
      <c r="CJ27" s="193" t="s">
        <v>585</v>
      </c>
      <c r="CK27" s="206">
        <v>13871</v>
      </c>
      <c r="CL27" s="204" t="s">
        <v>585</v>
      </c>
      <c r="CM27" s="204">
        <v>46263</v>
      </c>
      <c r="CN27" s="204">
        <v>37595</v>
      </c>
      <c r="CO27" s="204" t="s">
        <v>585</v>
      </c>
      <c r="CP27" s="204" t="s">
        <v>585</v>
      </c>
      <c r="CQ27" s="204" t="s">
        <v>585</v>
      </c>
      <c r="CR27" s="204">
        <v>1</v>
      </c>
      <c r="CS27" s="204" t="s">
        <v>585</v>
      </c>
      <c r="CT27" s="204" t="s">
        <v>585</v>
      </c>
      <c r="CU27" s="204" t="s">
        <v>585</v>
      </c>
      <c r="CV27" s="206">
        <v>97730</v>
      </c>
      <c r="CW27" s="203">
        <v>564</v>
      </c>
      <c r="CX27" s="204" t="s">
        <v>585</v>
      </c>
      <c r="CY27" s="204">
        <v>2</v>
      </c>
      <c r="CZ27" s="204" t="s">
        <v>585</v>
      </c>
      <c r="DA27" s="204" t="s">
        <v>585</v>
      </c>
      <c r="DB27" s="204" t="s">
        <v>585</v>
      </c>
      <c r="DC27" s="204" t="s">
        <v>585</v>
      </c>
      <c r="DD27" s="202">
        <v>566</v>
      </c>
      <c r="DE27" s="206" t="s">
        <v>585</v>
      </c>
      <c r="DF27" s="203">
        <v>24</v>
      </c>
      <c r="DG27" s="204" t="s">
        <v>585</v>
      </c>
      <c r="DH27" s="202">
        <v>24</v>
      </c>
      <c r="DI27" s="206" t="s">
        <v>585</v>
      </c>
      <c r="DJ27" s="204" t="s">
        <v>585</v>
      </c>
      <c r="DK27" s="206" t="s">
        <v>585</v>
      </c>
      <c r="DL27" s="193" t="s">
        <v>585</v>
      </c>
      <c r="DM27" s="206">
        <v>1</v>
      </c>
      <c r="DN27" s="204" t="s">
        <v>585</v>
      </c>
      <c r="DO27" s="206">
        <v>1</v>
      </c>
      <c r="DP27" s="203" t="s">
        <v>585</v>
      </c>
      <c r="DQ27" s="204">
        <v>49</v>
      </c>
      <c r="DR27" s="202">
        <v>49</v>
      </c>
      <c r="DS27" s="206">
        <v>85</v>
      </c>
      <c r="DT27" s="193" t="s">
        <v>585</v>
      </c>
      <c r="DU27" s="206">
        <v>9</v>
      </c>
      <c r="DV27" s="204" t="s">
        <v>585</v>
      </c>
      <c r="DW27" s="206">
        <v>9</v>
      </c>
      <c r="DX27" s="193" t="s">
        <v>585</v>
      </c>
      <c r="DY27" s="193">
        <v>3</v>
      </c>
      <c r="DZ27" s="206" t="s">
        <v>585</v>
      </c>
      <c r="EA27" s="204" t="s">
        <v>585</v>
      </c>
      <c r="EB27" s="204" t="s">
        <v>585</v>
      </c>
      <c r="EC27" s="204" t="s">
        <v>585</v>
      </c>
      <c r="ED27" s="204" t="s">
        <v>585</v>
      </c>
      <c r="EE27" s="204" t="s">
        <v>585</v>
      </c>
      <c r="EF27" s="204" t="s">
        <v>585</v>
      </c>
      <c r="EG27" s="206" t="s">
        <v>585</v>
      </c>
      <c r="EH27" s="203">
        <v>1</v>
      </c>
      <c r="EI27" s="204">
        <v>50</v>
      </c>
      <c r="EJ27" s="204">
        <v>3</v>
      </c>
      <c r="EK27" s="204">
        <v>1</v>
      </c>
      <c r="EL27" s="204">
        <v>0</v>
      </c>
      <c r="EM27" s="204">
        <v>1640</v>
      </c>
      <c r="EN27" s="204" t="s">
        <v>585</v>
      </c>
      <c r="EO27" s="204" t="s">
        <v>585</v>
      </c>
      <c r="EP27" s="204">
        <v>10</v>
      </c>
      <c r="EQ27" s="204">
        <v>1</v>
      </c>
      <c r="ER27" s="204" t="s">
        <v>585</v>
      </c>
      <c r="ES27" s="204" t="s">
        <v>585</v>
      </c>
      <c r="ET27" s="204" t="s">
        <v>585</v>
      </c>
      <c r="EU27" s="202">
        <v>1706</v>
      </c>
      <c r="EV27" s="206" t="s">
        <v>585</v>
      </c>
      <c r="EW27" s="193" t="s">
        <v>585</v>
      </c>
      <c r="EX27" s="206" t="s">
        <v>585</v>
      </c>
      <c r="EY27" s="204" t="s">
        <v>585</v>
      </c>
      <c r="EZ27" s="204" t="s">
        <v>585</v>
      </c>
      <c r="FA27" s="206" t="s">
        <v>585</v>
      </c>
      <c r="FB27" s="193" t="s">
        <v>585</v>
      </c>
      <c r="FC27" s="206" t="s">
        <v>585</v>
      </c>
      <c r="FD27" s="203" t="s">
        <v>585</v>
      </c>
      <c r="FE27" s="204" t="s">
        <v>585</v>
      </c>
      <c r="FF27" s="204" t="s">
        <v>585</v>
      </c>
      <c r="FG27" s="204" t="s">
        <v>585</v>
      </c>
      <c r="FH27" s="202" t="s">
        <v>585</v>
      </c>
      <c r="FI27" s="206" t="s">
        <v>585</v>
      </c>
      <c r="FJ27" s="204" t="s">
        <v>585</v>
      </c>
      <c r="FK27" s="206" t="s">
        <v>585</v>
      </c>
      <c r="FL27" s="203" t="s">
        <v>585</v>
      </c>
      <c r="FM27" s="204" t="s">
        <v>585</v>
      </c>
      <c r="FN27" s="202" t="s">
        <v>585</v>
      </c>
      <c r="FO27" s="206" t="s">
        <v>585</v>
      </c>
      <c r="FP27" s="193" t="s">
        <v>585</v>
      </c>
      <c r="FQ27" s="206" t="s">
        <v>585</v>
      </c>
      <c r="FR27" s="204" t="s">
        <v>585</v>
      </c>
      <c r="FS27" s="204" t="s">
        <v>585</v>
      </c>
      <c r="FT27" s="206" t="s">
        <v>585</v>
      </c>
      <c r="FU27" s="203">
        <v>144</v>
      </c>
      <c r="FV27" s="204" t="s">
        <v>585</v>
      </c>
      <c r="FW27" s="202">
        <v>144</v>
      </c>
      <c r="FX27" s="206" t="s">
        <v>585</v>
      </c>
      <c r="FY27" s="203" t="s">
        <v>585</v>
      </c>
      <c r="FZ27" s="204" t="s">
        <v>585</v>
      </c>
      <c r="GA27" s="204" t="s">
        <v>585</v>
      </c>
      <c r="GB27" s="202" t="s">
        <v>585</v>
      </c>
      <c r="GC27" s="206" t="s">
        <v>585</v>
      </c>
      <c r="GD27" s="203" t="s">
        <v>585</v>
      </c>
      <c r="GE27" s="204" t="s">
        <v>585</v>
      </c>
      <c r="GF27" s="204" t="s">
        <v>585</v>
      </c>
      <c r="GG27" s="204" t="s">
        <v>585</v>
      </c>
      <c r="GH27" s="202" t="s">
        <v>585</v>
      </c>
      <c r="GI27" s="193">
        <v>108496</v>
      </c>
      <c r="GJ27" s="368">
        <f>108496/45058286</f>
        <v>2.4079033987222682E-3</v>
      </c>
      <c r="GK27" s="382"/>
    </row>
    <row r="28" spans="2:193" ht="12" customHeight="1" x14ac:dyDescent="0.2">
      <c r="B28" s="359" t="s">
        <v>140</v>
      </c>
      <c r="C28" s="203">
        <v>115</v>
      </c>
      <c r="D28" s="204" t="s">
        <v>585</v>
      </c>
      <c r="E28" s="204" t="s">
        <v>585</v>
      </c>
      <c r="F28" s="204" t="s">
        <v>585</v>
      </c>
      <c r="G28" s="202">
        <v>115</v>
      </c>
      <c r="H28" s="193" t="s">
        <v>585</v>
      </c>
      <c r="I28" s="206">
        <v>5</v>
      </c>
      <c r="J28" s="204" t="s">
        <v>585</v>
      </c>
      <c r="K28" s="206">
        <v>5</v>
      </c>
      <c r="L28" s="193" t="s">
        <v>585</v>
      </c>
      <c r="M28" s="193">
        <v>802</v>
      </c>
      <c r="N28" s="206">
        <v>17</v>
      </c>
      <c r="O28" s="204" t="s">
        <v>585</v>
      </c>
      <c r="P28" s="204">
        <v>5367</v>
      </c>
      <c r="Q28" s="204" t="s">
        <v>585</v>
      </c>
      <c r="R28" s="204">
        <v>2</v>
      </c>
      <c r="S28" s="204" t="s">
        <v>585</v>
      </c>
      <c r="T28" s="204" t="s">
        <v>585</v>
      </c>
      <c r="U28" s="206">
        <v>5386</v>
      </c>
      <c r="V28" s="203" t="s">
        <v>585</v>
      </c>
      <c r="W28" s="204" t="s">
        <v>585</v>
      </c>
      <c r="X28" s="202" t="s">
        <v>585</v>
      </c>
      <c r="Y28" s="206">
        <v>1601</v>
      </c>
      <c r="Z28" s="204">
        <v>1</v>
      </c>
      <c r="AA28" s="204" t="s">
        <v>585</v>
      </c>
      <c r="AB28" s="206">
        <v>1602</v>
      </c>
      <c r="AC28" s="203">
        <v>83</v>
      </c>
      <c r="AD28" s="204">
        <v>2</v>
      </c>
      <c r="AE28" s="204" t="s">
        <v>585</v>
      </c>
      <c r="AF28" s="202">
        <v>85</v>
      </c>
      <c r="AG28" s="206" t="s">
        <v>585</v>
      </c>
      <c r="AH28" s="204" t="s">
        <v>585</v>
      </c>
      <c r="AI28" s="204" t="s">
        <v>585</v>
      </c>
      <c r="AJ28" s="204" t="s">
        <v>585</v>
      </c>
      <c r="AK28" s="206" t="s">
        <v>585</v>
      </c>
      <c r="AL28" s="193" t="s">
        <v>585</v>
      </c>
      <c r="AM28" s="193" t="s">
        <v>585</v>
      </c>
      <c r="AN28" s="206" t="s">
        <v>585</v>
      </c>
      <c r="AO28" s="204" t="s">
        <v>585</v>
      </c>
      <c r="AP28" s="206" t="s">
        <v>585</v>
      </c>
      <c r="AQ28" s="203">
        <v>2</v>
      </c>
      <c r="AR28" s="204" t="s">
        <v>585</v>
      </c>
      <c r="AS28" s="204" t="s">
        <v>585</v>
      </c>
      <c r="AT28" s="204" t="s">
        <v>585</v>
      </c>
      <c r="AU28" s="204" t="s">
        <v>585</v>
      </c>
      <c r="AV28" s="204" t="s">
        <v>585</v>
      </c>
      <c r="AW28" s="204" t="s">
        <v>585</v>
      </c>
      <c r="AX28" s="202">
        <v>2</v>
      </c>
      <c r="AY28" s="206">
        <v>1</v>
      </c>
      <c r="AZ28" s="193" t="s">
        <v>585</v>
      </c>
      <c r="BA28" s="206">
        <v>48</v>
      </c>
      <c r="BB28" s="377">
        <v>12</v>
      </c>
      <c r="BC28" s="206">
        <v>70</v>
      </c>
      <c r="BD28" s="206" t="s">
        <v>585</v>
      </c>
      <c r="BE28" s="378">
        <v>1</v>
      </c>
      <c r="BF28" s="206">
        <v>131</v>
      </c>
      <c r="BG28" s="193" t="s">
        <v>585</v>
      </c>
      <c r="BH28" s="193" t="s">
        <v>585</v>
      </c>
      <c r="BI28" s="193" t="s">
        <v>585</v>
      </c>
      <c r="BJ28" s="193" t="s">
        <v>585</v>
      </c>
      <c r="BK28" s="206" t="s">
        <v>585</v>
      </c>
      <c r="BL28" s="204" t="s">
        <v>585</v>
      </c>
      <c r="BM28" s="206" t="s">
        <v>585</v>
      </c>
      <c r="BN28" s="193" t="s">
        <v>585</v>
      </c>
      <c r="BO28" s="206" t="s">
        <v>585</v>
      </c>
      <c r="BP28" s="204" t="s">
        <v>585</v>
      </c>
      <c r="BQ28" s="206" t="s">
        <v>585</v>
      </c>
      <c r="BR28" s="203">
        <v>11</v>
      </c>
      <c r="BS28" s="204">
        <v>92</v>
      </c>
      <c r="BT28" s="204" t="s">
        <v>585</v>
      </c>
      <c r="BU28" s="204" t="s">
        <v>585</v>
      </c>
      <c r="BV28" s="204" t="s">
        <v>585</v>
      </c>
      <c r="BW28" s="204" t="s">
        <v>585</v>
      </c>
      <c r="BX28" s="204" t="s">
        <v>585</v>
      </c>
      <c r="BY28" s="204" t="s">
        <v>585</v>
      </c>
      <c r="BZ28" s="204" t="s">
        <v>585</v>
      </c>
      <c r="CA28" s="204" t="s">
        <v>585</v>
      </c>
      <c r="CB28" s="204" t="s">
        <v>585</v>
      </c>
      <c r="CC28" s="204" t="s">
        <v>585</v>
      </c>
      <c r="CD28" s="204" t="s">
        <v>585</v>
      </c>
      <c r="CE28" s="204" t="s">
        <v>585</v>
      </c>
      <c r="CF28" s="202">
        <v>103</v>
      </c>
      <c r="CG28" s="206" t="s">
        <v>585</v>
      </c>
      <c r="CH28" s="204" t="s">
        <v>585</v>
      </c>
      <c r="CI28" s="206" t="s">
        <v>585</v>
      </c>
      <c r="CJ28" s="193">
        <v>2</v>
      </c>
      <c r="CK28" s="206">
        <v>46000</v>
      </c>
      <c r="CL28" s="204" t="s">
        <v>585</v>
      </c>
      <c r="CM28" s="204">
        <v>170424</v>
      </c>
      <c r="CN28" s="204">
        <v>121249</v>
      </c>
      <c r="CO28" s="204">
        <v>6</v>
      </c>
      <c r="CP28" s="204" t="s">
        <v>585</v>
      </c>
      <c r="CQ28" s="204" t="s">
        <v>585</v>
      </c>
      <c r="CR28" s="204" t="s">
        <v>585</v>
      </c>
      <c r="CS28" s="204" t="s">
        <v>585</v>
      </c>
      <c r="CT28" s="204" t="s">
        <v>585</v>
      </c>
      <c r="CU28" s="204" t="s">
        <v>585</v>
      </c>
      <c r="CV28" s="206">
        <v>337679</v>
      </c>
      <c r="CW28" s="203">
        <v>2028</v>
      </c>
      <c r="CX28" s="204" t="s">
        <v>585</v>
      </c>
      <c r="CY28" s="204">
        <v>41</v>
      </c>
      <c r="CZ28" s="204" t="s">
        <v>585</v>
      </c>
      <c r="DA28" s="204" t="s">
        <v>585</v>
      </c>
      <c r="DB28" s="204" t="s">
        <v>585</v>
      </c>
      <c r="DC28" s="204">
        <v>5</v>
      </c>
      <c r="DD28" s="202">
        <v>2074</v>
      </c>
      <c r="DE28" s="206" t="s">
        <v>585</v>
      </c>
      <c r="DF28" s="203" t="s">
        <v>585</v>
      </c>
      <c r="DG28" s="204" t="s">
        <v>585</v>
      </c>
      <c r="DH28" s="202" t="s">
        <v>585</v>
      </c>
      <c r="DI28" s="206" t="s">
        <v>585</v>
      </c>
      <c r="DJ28" s="204" t="s">
        <v>585</v>
      </c>
      <c r="DK28" s="206" t="s">
        <v>585</v>
      </c>
      <c r="DL28" s="193" t="s">
        <v>585</v>
      </c>
      <c r="DM28" s="206" t="s">
        <v>585</v>
      </c>
      <c r="DN28" s="204" t="s">
        <v>585</v>
      </c>
      <c r="DO28" s="206" t="s">
        <v>585</v>
      </c>
      <c r="DP28" s="203" t="s">
        <v>585</v>
      </c>
      <c r="DQ28" s="204">
        <v>6</v>
      </c>
      <c r="DR28" s="202">
        <v>6</v>
      </c>
      <c r="DS28" s="206" t="s">
        <v>585</v>
      </c>
      <c r="DT28" s="193" t="s">
        <v>585</v>
      </c>
      <c r="DU28" s="206">
        <v>110</v>
      </c>
      <c r="DV28" s="204" t="s">
        <v>585</v>
      </c>
      <c r="DW28" s="206">
        <v>110</v>
      </c>
      <c r="DX28" s="193">
        <v>1</v>
      </c>
      <c r="DY28" s="193">
        <v>2</v>
      </c>
      <c r="DZ28" s="206" t="s">
        <v>585</v>
      </c>
      <c r="EA28" s="204" t="s">
        <v>585</v>
      </c>
      <c r="EB28" s="204" t="s">
        <v>585</v>
      </c>
      <c r="EC28" s="204" t="s">
        <v>585</v>
      </c>
      <c r="ED28" s="204" t="s">
        <v>585</v>
      </c>
      <c r="EE28" s="204" t="s">
        <v>585</v>
      </c>
      <c r="EF28" s="204" t="s">
        <v>585</v>
      </c>
      <c r="EG28" s="206" t="s">
        <v>585</v>
      </c>
      <c r="EH28" s="203">
        <v>50</v>
      </c>
      <c r="EI28" s="204">
        <v>102</v>
      </c>
      <c r="EJ28" s="204">
        <v>22</v>
      </c>
      <c r="EK28" s="204">
        <v>15</v>
      </c>
      <c r="EL28" s="204">
        <v>48</v>
      </c>
      <c r="EM28" s="204">
        <v>8970</v>
      </c>
      <c r="EN28" s="204">
        <v>15</v>
      </c>
      <c r="EO28" s="204">
        <v>12</v>
      </c>
      <c r="EP28" s="204">
        <v>95</v>
      </c>
      <c r="EQ28" s="204">
        <v>15</v>
      </c>
      <c r="ER28" s="204" t="s">
        <v>585</v>
      </c>
      <c r="ES28" s="204" t="s">
        <v>585</v>
      </c>
      <c r="ET28" s="204" t="s">
        <v>585</v>
      </c>
      <c r="EU28" s="202">
        <v>9344</v>
      </c>
      <c r="EV28" s="206" t="s">
        <v>585</v>
      </c>
      <c r="EW28" s="193" t="s">
        <v>585</v>
      </c>
      <c r="EX28" s="206" t="s">
        <v>585</v>
      </c>
      <c r="EY28" s="204">
        <v>7</v>
      </c>
      <c r="EZ28" s="204" t="s">
        <v>585</v>
      </c>
      <c r="FA28" s="206">
        <v>7</v>
      </c>
      <c r="FB28" s="193" t="s">
        <v>585</v>
      </c>
      <c r="FC28" s="206" t="s">
        <v>585</v>
      </c>
      <c r="FD28" s="203" t="s">
        <v>585</v>
      </c>
      <c r="FE28" s="204" t="s">
        <v>585</v>
      </c>
      <c r="FF28" s="204" t="s">
        <v>585</v>
      </c>
      <c r="FG28" s="204" t="s">
        <v>585</v>
      </c>
      <c r="FH28" s="202" t="s">
        <v>585</v>
      </c>
      <c r="FI28" s="206" t="s">
        <v>585</v>
      </c>
      <c r="FJ28" s="204" t="s">
        <v>585</v>
      </c>
      <c r="FK28" s="206" t="s">
        <v>585</v>
      </c>
      <c r="FL28" s="203" t="s">
        <v>585</v>
      </c>
      <c r="FM28" s="204" t="s">
        <v>585</v>
      </c>
      <c r="FN28" s="202" t="s">
        <v>585</v>
      </c>
      <c r="FO28" s="206" t="s">
        <v>585</v>
      </c>
      <c r="FP28" s="193">
        <v>2</v>
      </c>
      <c r="FQ28" s="206" t="s">
        <v>585</v>
      </c>
      <c r="FR28" s="204" t="s">
        <v>585</v>
      </c>
      <c r="FS28" s="204" t="s">
        <v>585</v>
      </c>
      <c r="FT28" s="206" t="s">
        <v>585</v>
      </c>
      <c r="FU28" s="203">
        <v>16730</v>
      </c>
      <c r="FV28" s="204" t="s">
        <v>585</v>
      </c>
      <c r="FW28" s="202">
        <v>16730</v>
      </c>
      <c r="FX28" s="206" t="s">
        <v>585</v>
      </c>
      <c r="FY28" s="203" t="s">
        <v>585</v>
      </c>
      <c r="FZ28" s="204">
        <v>2</v>
      </c>
      <c r="GA28" s="204" t="s">
        <v>585</v>
      </c>
      <c r="GB28" s="202">
        <v>2</v>
      </c>
      <c r="GC28" s="206" t="s">
        <v>585</v>
      </c>
      <c r="GD28" s="203" t="s">
        <v>585</v>
      </c>
      <c r="GE28" s="204" t="s">
        <v>585</v>
      </c>
      <c r="GF28" s="204" t="s">
        <v>585</v>
      </c>
      <c r="GG28" s="204" t="s">
        <v>585</v>
      </c>
      <c r="GH28" s="202" t="s">
        <v>585</v>
      </c>
      <c r="GI28" s="193">
        <v>374191</v>
      </c>
      <c r="GJ28" s="368">
        <f>374191/45058286</f>
        <v>8.3045990697471275E-3</v>
      </c>
      <c r="GK28" s="382"/>
    </row>
    <row r="29" spans="2:193" ht="12" customHeight="1" x14ac:dyDescent="0.2">
      <c r="B29" s="359" t="s">
        <v>141</v>
      </c>
      <c r="C29" s="203">
        <v>34463</v>
      </c>
      <c r="D29" s="204" t="s">
        <v>585</v>
      </c>
      <c r="E29" s="204" t="s">
        <v>585</v>
      </c>
      <c r="F29" s="204" t="s">
        <v>585</v>
      </c>
      <c r="G29" s="202">
        <v>34463</v>
      </c>
      <c r="H29" s="193" t="s">
        <v>585</v>
      </c>
      <c r="I29" s="206" t="s">
        <v>585</v>
      </c>
      <c r="J29" s="204" t="s">
        <v>585</v>
      </c>
      <c r="K29" s="206" t="s">
        <v>585</v>
      </c>
      <c r="L29" s="193" t="s">
        <v>585</v>
      </c>
      <c r="M29" s="193">
        <v>39392</v>
      </c>
      <c r="N29" s="206">
        <v>314</v>
      </c>
      <c r="O29" s="204">
        <v>1</v>
      </c>
      <c r="P29" s="204">
        <v>16789</v>
      </c>
      <c r="Q29" s="204">
        <v>2</v>
      </c>
      <c r="R29" s="204">
        <v>48</v>
      </c>
      <c r="S29" s="204">
        <v>5</v>
      </c>
      <c r="T29" s="204" t="s">
        <v>585</v>
      </c>
      <c r="U29" s="206">
        <v>17159</v>
      </c>
      <c r="V29" s="203">
        <v>4</v>
      </c>
      <c r="W29" s="204" t="s">
        <v>585</v>
      </c>
      <c r="X29" s="202">
        <v>4</v>
      </c>
      <c r="Y29" s="206">
        <v>521</v>
      </c>
      <c r="Z29" s="204">
        <v>13</v>
      </c>
      <c r="AA29" s="204" t="s">
        <v>585</v>
      </c>
      <c r="AB29" s="206">
        <v>534</v>
      </c>
      <c r="AC29" s="203">
        <v>173</v>
      </c>
      <c r="AD29" s="204" t="s">
        <v>585</v>
      </c>
      <c r="AE29" s="204" t="s">
        <v>585</v>
      </c>
      <c r="AF29" s="202">
        <v>173</v>
      </c>
      <c r="AG29" s="206">
        <v>109</v>
      </c>
      <c r="AH29" s="204" t="s">
        <v>585</v>
      </c>
      <c r="AI29" s="204" t="s">
        <v>585</v>
      </c>
      <c r="AJ29" s="204" t="s">
        <v>585</v>
      </c>
      <c r="AK29" s="206">
        <v>109</v>
      </c>
      <c r="AL29" s="193" t="s">
        <v>585</v>
      </c>
      <c r="AM29" s="193" t="s">
        <v>585</v>
      </c>
      <c r="AN29" s="206" t="s">
        <v>585</v>
      </c>
      <c r="AO29" s="204" t="s">
        <v>585</v>
      </c>
      <c r="AP29" s="206" t="s">
        <v>585</v>
      </c>
      <c r="AQ29" s="203" t="s">
        <v>585</v>
      </c>
      <c r="AR29" s="204" t="s">
        <v>585</v>
      </c>
      <c r="AS29" s="204">
        <v>4</v>
      </c>
      <c r="AT29" s="204" t="s">
        <v>585</v>
      </c>
      <c r="AU29" s="204" t="s">
        <v>585</v>
      </c>
      <c r="AV29" s="204">
        <v>896</v>
      </c>
      <c r="AW29" s="204" t="s">
        <v>585</v>
      </c>
      <c r="AX29" s="202">
        <v>900</v>
      </c>
      <c r="AY29" s="206" t="s">
        <v>585</v>
      </c>
      <c r="AZ29" s="193" t="s">
        <v>585</v>
      </c>
      <c r="BA29" s="206">
        <v>32</v>
      </c>
      <c r="BB29" s="377">
        <v>400</v>
      </c>
      <c r="BC29" s="206">
        <v>1103</v>
      </c>
      <c r="BD29" s="206">
        <v>4</v>
      </c>
      <c r="BE29" s="378">
        <v>25</v>
      </c>
      <c r="BF29" s="206">
        <v>1564</v>
      </c>
      <c r="BG29" s="193" t="s">
        <v>585</v>
      </c>
      <c r="BH29" s="193" t="s">
        <v>585</v>
      </c>
      <c r="BI29" s="193" t="s">
        <v>585</v>
      </c>
      <c r="BJ29" s="193" t="s">
        <v>585</v>
      </c>
      <c r="BK29" s="206">
        <v>9007</v>
      </c>
      <c r="BL29" s="204" t="s">
        <v>585</v>
      </c>
      <c r="BM29" s="206">
        <v>9007</v>
      </c>
      <c r="BN29" s="193" t="s">
        <v>585</v>
      </c>
      <c r="BO29" s="206">
        <v>1</v>
      </c>
      <c r="BP29" s="204" t="s">
        <v>585</v>
      </c>
      <c r="BQ29" s="206">
        <v>1</v>
      </c>
      <c r="BR29" s="203">
        <v>11256</v>
      </c>
      <c r="BS29" s="204" t="s">
        <v>585</v>
      </c>
      <c r="BT29" s="204" t="s">
        <v>585</v>
      </c>
      <c r="BU29" s="204" t="s">
        <v>585</v>
      </c>
      <c r="BV29" s="204" t="s">
        <v>585</v>
      </c>
      <c r="BW29" s="204" t="s">
        <v>585</v>
      </c>
      <c r="BX29" s="204" t="s">
        <v>585</v>
      </c>
      <c r="BY29" s="204" t="s">
        <v>585</v>
      </c>
      <c r="BZ29" s="204" t="s">
        <v>585</v>
      </c>
      <c r="CA29" s="204" t="s">
        <v>585</v>
      </c>
      <c r="CB29" s="204" t="s">
        <v>585</v>
      </c>
      <c r="CC29" s="204" t="s">
        <v>585</v>
      </c>
      <c r="CD29" s="204" t="s">
        <v>585</v>
      </c>
      <c r="CE29" s="204" t="s">
        <v>585</v>
      </c>
      <c r="CF29" s="202">
        <v>11256</v>
      </c>
      <c r="CG29" s="206" t="s">
        <v>585</v>
      </c>
      <c r="CH29" s="204" t="s">
        <v>585</v>
      </c>
      <c r="CI29" s="206" t="s">
        <v>585</v>
      </c>
      <c r="CJ29" s="193">
        <v>2</v>
      </c>
      <c r="CK29" s="206">
        <v>12450</v>
      </c>
      <c r="CL29" s="204" t="s">
        <v>585</v>
      </c>
      <c r="CM29" s="204">
        <v>27753</v>
      </c>
      <c r="CN29" s="204">
        <v>66622</v>
      </c>
      <c r="CO29" s="204" t="s">
        <v>585</v>
      </c>
      <c r="CP29" s="204" t="s">
        <v>585</v>
      </c>
      <c r="CQ29" s="204" t="s">
        <v>585</v>
      </c>
      <c r="CR29" s="204" t="s">
        <v>585</v>
      </c>
      <c r="CS29" s="204" t="s">
        <v>585</v>
      </c>
      <c r="CT29" s="204" t="s">
        <v>585</v>
      </c>
      <c r="CU29" s="204" t="s">
        <v>585</v>
      </c>
      <c r="CV29" s="206">
        <v>106825</v>
      </c>
      <c r="CW29" s="203">
        <v>23720</v>
      </c>
      <c r="CX29" s="204" t="s">
        <v>585</v>
      </c>
      <c r="CY29" s="204">
        <v>562</v>
      </c>
      <c r="CZ29" s="204" t="s">
        <v>585</v>
      </c>
      <c r="DA29" s="204">
        <v>41</v>
      </c>
      <c r="DB29" s="204" t="s">
        <v>585</v>
      </c>
      <c r="DC29" s="204" t="s">
        <v>585</v>
      </c>
      <c r="DD29" s="202">
        <v>24323</v>
      </c>
      <c r="DE29" s="206" t="s">
        <v>585</v>
      </c>
      <c r="DF29" s="203" t="s">
        <v>585</v>
      </c>
      <c r="DG29" s="204" t="s">
        <v>585</v>
      </c>
      <c r="DH29" s="202" t="s">
        <v>585</v>
      </c>
      <c r="DI29" s="206" t="s">
        <v>585</v>
      </c>
      <c r="DJ29" s="204" t="s">
        <v>585</v>
      </c>
      <c r="DK29" s="206" t="s">
        <v>585</v>
      </c>
      <c r="DL29" s="193">
        <v>4</v>
      </c>
      <c r="DM29" s="206" t="s">
        <v>585</v>
      </c>
      <c r="DN29" s="204" t="s">
        <v>585</v>
      </c>
      <c r="DO29" s="206" t="s">
        <v>585</v>
      </c>
      <c r="DP29" s="203" t="s">
        <v>585</v>
      </c>
      <c r="DQ29" s="204" t="s">
        <v>585</v>
      </c>
      <c r="DR29" s="202" t="s">
        <v>585</v>
      </c>
      <c r="DS29" s="206">
        <v>18</v>
      </c>
      <c r="DT29" s="193" t="s">
        <v>585</v>
      </c>
      <c r="DU29" s="206">
        <v>141</v>
      </c>
      <c r="DV29" s="204" t="s">
        <v>585</v>
      </c>
      <c r="DW29" s="206">
        <v>141</v>
      </c>
      <c r="DX29" s="193" t="s">
        <v>585</v>
      </c>
      <c r="DY29" s="193">
        <v>1</v>
      </c>
      <c r="DZ29" s="206">
        <v>2099</v>
      </c>
      <c r="EA29" s="204">
        <v>4295</v>
      </c>
      <c r="EB29" s="204">
        <v>2986</v>
      </c>
      <c r="EC29" s="204" t="s">
        <v>585</v>
      </c>
      <c r="ED29" s="204" t="s">
        <v>585</v>
      </c>
      <c r="EE29" s="204">
        <v>32</v>
      </c>
      <c r="EF29" s="204">
        <v>3</v>
      </c>
      <c r="EG29" s="206">
        <v>9415</v>
      </c>
      <c r="EH29" s="203">
        <v>42</v>
      </c>
      <c r="EI29" s="204">
        <v>203</v>
      </c>
      <c r="EJ29" s="204">
        <v>16</v>
      </c>
      <c r="EK29" s="204">
        <v>15</v>
      </c>
      <c r="EL29" s="204">
        <v>152</v>
      </c>
      <c r="EM29" s="204">
        <v>53</v>
      </c>
      <c r="EN29" s="204">
        <v>15</v>
      </c>
      <c r="EO29" s="204">
        <v>1</v>
      </c>
      <c r="EP29" s="204">
        <v>31</v>
      </c>
      <c r="EQ29" s="204">
        <v>0</v>
      </c>
      <c r="ER29" s="204">
        <v>7</v>
      </c>
      <c r="ES29" s="204" t="s">
        <v>585</v>
      </c>
      <c r="ET29" s="204" t="s">
        <v>585</v>
      </c>
      <c r="EU29" s="202">
        <v>535</v>
      </c>
      <c r="EV29" s="206">
        <v>146</v>
      </c>
      <c r="EW29" s="193" t="s">
        <v>585</v>
      </c>
      <c r="EX29" s="206" t="s">
        <v>585</v>
      </c>
      <c r="EY29" s="204" t="s">
        <v>585</v>
      </c>
      <c r="EZ29" s="204" t="s">
        <v>585</v>
      </c>
      <c r="FA29" s="206" t="s">
        <v>585</v>
      </c>
      <c r="FB29" s="193" t="s">
        <v>585</v>
      </c>
      <c r="FC29" s="206" t="s">
        <v>585</v>
      </c>
      <c r="FD29" s="203">
        <v>1</v>
      </c>
      <c r="FE29" s="204" t="s">
        <v>585</v>
      </c>
      <c r="FF29" s="204" t="s">
        <v>585</v>
      </c>
      <c r="FG29" s="204" t="s">
        <v>585</v>
      </c>
      <c r="FH29" s="202">
        <v>1</v>
      </c>
      <c r="FI29" s="206" t="s">
        <v>585</v>
      </c>
      <c r="FJ29" s="204" t="s">
        <v>585</v>
      </c>
      <c r="FK29" s="206" t="s">
        <v>585</v>
      </c>
      <c r="FL29" s="203" t="s">
        <v>585</v>
      </c>
      <c r="FM29" s="204" t="s">
        <v>585</v>
      </c>
      <c r="FN29" s="202" t="s">
        <v>585</v>
      </c>
      <c r="FO29" s="206" t="s">
        <v>585</v>
      </c>
      <c r="FP29" s="193">
        <v>8</v>
      </c>
      <c r="FQ29" s="206" t="s">
        <v>585</v>
      </c>
      <c r="FR29" s="204" t="s">
        <v>585</v>
      </c>
      <c r="FS29" s="204" t="s">
        <v>585</v>
      </c>
      <c r="FT29" s="206" t="s">
        <v>585</v>
      </c>
      <c r="FU29" s="203">
        <v>5</v>
      </c>
      <c r="FV29" s="204" t="s">
        <v>585</v>
      </c>
      <c r="FW29" s="202">
        <v>5</v>
      </c>
      <c r="FX29" s="206" t="s">
        <v>585</v>
      </c>
      <c r="FY29" s="203" t="s">
        <v>585</v>
      </c>
      <c r="FZ29" s="204" t="s">
        <v>585</v>
      </c>
      <c r="GA29" s="204" t="s">
        <v>585</v>
      </c>
      <c r="GB29" s="202" t="s">
        <v>585</v>
      </c>
      <c r="GC29" s="206" t="s">
        <v>585</v>
      </c>
      <c r="GD29" s="203" t="s">
        <v>585</v>
      </c>
      <c r="GE29" s="204" t="s">
        <v>585</v>
      </c>
      <c r="GF29" s="204" t="s">
        <v>585</v>
      </c>
      <c r="GG29" s="204" t="s">
        <v>585</v>
      </c>
      <c r="GH29" s="202" t="s">
        <v>585</v>
      </c>
      <c r="GI29" s="193">
        <v>255986</v>
      </c>
      <c r="GJ29" s="368">
        <f>255986/45058286</f>
        <v>5.6812192101581491E-3</v>
      </c>
      <c r="GK29" s="382"/>
    </row>
    <row r="30" spans="2:193" ht="12" customHeight="1" x14ac:dyDescent="0.2">
      <c r="B30" s="359" t="s">
        <v>152</v>
      </c>
      <c r="C30" s="203">
        <v>11865</v>
      </c>
      <c r="D30" s="204" t="s">
        <v>585</v>
      </c>
      <c r="E30" s="204">
        <v>12</v>
      </c>
      <c r="F30" s="204" t="s">
        <v>585</v>
      </c>
      <c r="G30" s="202">
        <v>11877</v>
      </c>
      <c r="H30" s="193" t="s">
        <v>585</v>
      </c>
      <c r="I30" s="206">
        <v>4</v>
      </c>
      <c r="J30" s="204" t="s">
        <v>585</v>
      </c>
      <c r="K30" s="206">
        <v>4</v>
      </c>
      <c r="L30" s="193" t="s">
        <v>585</v>
      </c>
      <c r="M30" s="193">
        <v>326</v>
      </c>
      <c r="N30" s="206">
        <v>2027</v>
      </c>
      <c r="O30" s="204">
        <v>12</v>
      </c>
      <c r="P30" s="204">
        <v>46145</v>
      </c>
      <c r="Q30" s="204">
        <v>40</v>
      </c>
      <c r="R30" s="204">
        <v>133</v>
      </c>
      <c r="S30" s="204">
        <v>53</v>
      </c>
      <c r="T30" s="204">
        <v>1</v>
      </c>
      <c r="U30" s="206">
        <v>48411</v>
      </c>
      <c r="V30" s="203">
        <v>1</v>
      </c>
      <c r="W30" s="204">
        <v>42</v>
      </c>
      <c r="X30" s="202">
        <v>43</v>
      </c>
      <c r="Y30" s="206">
        <v>809</v>
      </c>
      <c r="Z30" s="204" t="s">
        <v>585</v>
      </c>
      <c r="AA30" s="204" t="s">
        <v>585</v>
      </c>
      <c r="AB30" s="206">
        <v>809</v>
      </c>
      <c r="AC30" s="203">
        <v>64</v>
      </c>
      <c r="AD30" s="204">
        <v>12</v>
      </c>
      <c r="AE30" s="204">
        <v>5</v>
      </c>
      <c r="AF30" s="202">
        <v>81</v>
      </c>
      <c r="AG30" s="206">
        <v>3</v>
      </c>
      <c r="AH30" s="204" t="s">
        <v>585</v>
      </c>
      <c r="AI30" s="204" t="s">
        <v>585</v>
      </c>
      <c r="AJ30" s="204">
        <v>2</v>
      </c>
      <c r="AK30" s="206">
        <v>5</v>
      </c>
      <c r="AL30" s="193">
        <v>1</v>
      </c>
      <c r="AM30" s="193" t="s">
        <v>585</v>
      </c>
      <c r="AN30" s="206">
        <v>3</v>
      </c>
      <c r="AO30" s="204">
        <v>1</v>
      </c>
      <c r="AP30" s="206">
        <v>4</v>
      </c>
      <c r="AQ30" s="203" t="s">
        <v>585</v>
      </c>
      <c r="AR30" s="204" t="s">
        <v>585</v>
      </c>
      <c r="AS30" s="204" t="s">
        <v>585</v>
      </c>
      <c r="AT30" s="204" t="s">
        <v>585</v>
      </c>
      <c r="AU30" s="204" t="s">
        <v>585</v>
      </c>
      <c r="AV30" s="204" t="s">
        <v>585</v>
      </c>
      <c r="AW30" s="204" t="s">
        <v>585</v>
      </c>
      <c r="AX30" s="202" t="s">
        <v>585</v>
      </c>
      <c r="AY30" s="206">
        <v>2</v>
      </c>
      <c r="AZ30" s="193">
        <v>33</v>
      </c>
      <c r="BA30" s="206">
        <v>73</v>
      </c>
      <c r="BB30" s="377">
        <v>45</v>
      </c>
      <c r="BC30" s="206">
        <v>565</v>
      </c>
      <c r="BD30" s="206">
        <v>18</v>
      </c>
      <c r="BE30" s="378">
        <v>6</v>
      </c>
      <c r="BF30" s="206">
        <v>707</v>
      </c>
      <c r="BG30" s="193" t="s">
        <v>585</v>
      </c>
      <c r="BH30" s="193" t="s">
        <v>585</v>
      </c>
      <c r="BI30" s="193" t="s">
        <v>585</v>
      </c>
      <c r="BJ30" s="193">
        <v>1</v>
      </c>
      <c r="BK30" s="206">
        <v>21</v>
      </c>
      <c r="BL30" s="204" t="s">
        <v>585</v>
      </c>
      <c r="BM30" s="206">
        <v>21</v>
      </c>
      <c r="BN30" s="193" t="s">
        <v>585</v>
      </c>
      <c r="BO30" s="206">
        <v>1</v>
      </c>
      <c r="BP30" s="204" t="s">
        <v>585</v>
      </c>
      <c r="BQ30" s="206">
        <v>1</v>
      </c>
      <c r="BR30" s="203">
        <v>24</v>
      </c>
      <c r="BS30" s="204">
        <v>125</v>
      </c>
      <c r="BT30" s="204">
        <v>5</v>
      </c>
      <c r="BU30" s="204">
        <v>17</v>
      </c>
      <c r="BV30" s="204" t="s">
        <v>585</v>
      </c>
      <c r="BW30" s="204" t="s">
        <v>585</v>
      </c>
      <c r="BX30" s="204" t="s">
        <v>585</v>
      </c>
      <c r="BY30" s="204">
        <v>5</v>
      </c>
      <c r="BZ30" s="204">
        <v>24</v>
      </c>
      <c r="CA30" s="204">
        <v>16</v>
      </c>
      <c r="CB30" s="204" t="s">
        <v>585</v>
      </c>
      <c r="CC30" s="204" t="s">
        <v>585</v>
      </c>
      <c r="CD30" s="204" t="s">
        <v>585</v>
      </c>
      <c r="CE30" s="204" t="s">
        <v>585</v>
      </c>
      <c r="CF30" s="202">
        <v>216</v>
      </c>
      <c r="CG30" s="206">
        <v>1</v>
      </c>
      <c r="CH30" s="204" t="s">
        <v>585</v>
      </c>
      <c r="CI30" s="206">
        <v>1</v>
      </c>
      <c r="CJ30" s="193" t="s">
        <v>585</v>
      </c>
      <c r="CK30" s="206">
        <v>48673</v>
      </c>
      <c r="CL30" s="204">
        <v>2</v>
      </c>
      <c r="CM30" s="204">
        <v>155016</v>
      </c>
      <c r="CN30" s="204">
        <v>52028</v>
      </c>
      <c r="CO30" s="204" t="s">
        <v>585</v>
      </c>
      <c r="CP30" s="204" t="s">
        <v>585</v>
      </c>
      <c r="CQ30" s="204">
        <v>41</v>
      </c>
      <c r="CR30" s="204">
        <v>1</v>
      </c>
      <c r="CS30" s="204">
        <v>2</v>
      </c>
      <c r="CT30" s="204" t="s">
        <v>585</v>
      </c>
      <c r="CU30" s="204" t="s">
        <v>585</v>
      </c>
      <c r="CV30" s="206">
        <v>255763</v>
      </c>
      <c r="CW30" s="203">
        <v>2207</v>
      </c>
      <c r="CX30" s="204">
        <v>32</v>
      </c>
      <c r="CY30" s="204">
        <v>41</v>
      </c>
      <c r="CZ30" s="204">
        <v>9</v>
      </c>
      <c r="DA30" s="204">
        <v>1</v>
      </c>
      <c r="DB30" s="204">
        <v>5</v>
      </c>
      <c r="DC30" s="204" t="s">
        <v>585</v>
      </c>
      <c r="DD30" s="202">
        <v>2295</v>
      </c>
      <c r="DE30" s="206" t="s">
        <v>585</v>
      </c>
      <c r="DF30" s="203" t="s">
        <v>585</v>
      </c>
      <c r="DG30" s="204" t="s">
        <v>585</v>
      </c>
      <c r="DH30" s="202" t="s">
        <v>585</v>
      </c>
      <c r="DI30" s="206">
        <v>1</v>
      </c>
      <c r="DJ30" s="204" t="s">
        <v>585</v>
      </c>
      <c r="DK30" s="206">
        <v>1</v>
      </c>
      <c r="DL30" s="193">
        <v>2</v>
      </c>
      <c r="DM30" s="206" t="s">
        <v>585</v>
      </c>
      <c r="DN30" s="204" t="s">
        <v>585</v>
      </c>
      <c r="DO30" s="206" t="s">
        <v>585</v>
      </c>
      <c r="DP30" s="203">
        <v>28</v>
      </c>
      <c r="DQ30" s="204" t="s">
        <v>585</v>
      </c>
      <c r="DR30" s="202">
        <v>28</v>
      </c>
      <c r="DS30" s="206" t="s">
        <v>585</v>
      </c>
      <c r="DT30" s="193" t="s">
        <v>585</v>
      </c>
      <c r="DU30" s="206">
        <v>102</v>
      </c>
      <c r="DV30" s="204" t="s">
        <v>585</v>
      </c>
      <c r="DW30" s="206">
        <v>102</v>
      </c>
      <c r="DX30" s="193" t="s">
        <v>585</v>
      </c>
      <c r="DY30" s="193" t="s">
        <v>585</v>
      </c>
      <c r="DZ30" s="206">
        <v>121</v>
      </c>
      <c r="EA30" s="204">
        <v>2</v>
      </c>
      <c r="EB30" s="204">
        <v>1053</v>
      </c>
      <c r="EC30" s="204">
        <v>4</v>
      </c>
      <c r="ED30" s="204" t="s">
        <v>585</v>
      </c>
      <c r="EE30" s="204" t="s">
        <v>585</v>
      </c>
      <c r="EF30" s="204" t="s">
        <v>585</v>
      </c>
      <c r="EG30" s="206">
        <v>1180</v>
      </c>
      <c r="EH30" s="203">
        <v>123</v>
      </c>
      <c r="EI30" s="204">
        <v>42341</v>
      </c>
      <c r="EJ30" s="204">
        <v>18</v>
      </c>
      <c r="EK30" s="204">
        <v>99</v>
      </c>
      <c r="EL30" s="204">
        <v>2934</v>
      </c>
      <c r="EM30" s="204">
        <v>6801</v>
      </c>
      <c r="EN30" s="204">
        <v>23</v>
      </c>
      <c r="EO30" s="204">
        <v>67</v>
      </c>
      <c r="EP30" s="204">
        <v>754</v>
      </c>
      <c r="EQ30" s="204">
        <v>116</v>
      </c>
      <c r="ER30" s="204">
        <v>68</v>
      </c>
      <c r="ES30" s="204" t="s">
        <v>585</v>
      </c>
      <c r="ET30" s="204" t="s">
        <v>585</v>
      </c>
      <c r="EU30" s="202">
        <v>53344</v>
      </c>
      <c r="EV30" s="206" t="s">
        <v>585</v>
      </c>
      <c r="EW30" s="193">
        <v>3</v>
      </c>
      <c r="EX30" s="206">
        <v>6</v>
      </c>
      <c r="EY30" s="204" t="s">
        <v>585</v>
      </c>
      <c r="EZ30" s="204">
        <v>3</v>
      </c>
      <c r="FA30" s="206">
        <v>9</v>
      </c>
      <c r="FB30" s="193" t="s">
        <v>585</v>
      </c>
      <c r="FC30" s="206">
        <v>2</v>
      </c>
      <c r="FD30" s="203">
        <v>11</v>
      </c>
      <c r="FE30" s="204" t="s">
        <v>585</v>
      </c>
      <c r="FF30" s="204">
        <v>2</v>
      </c>
      <c r="FG30" s="204" t="s">
        <v>585</v>
      </c>
      <c r="FH30" s="202">
        <v>13</v>
      </c>
      <c r="FI30" s="206" t="s">
        <v>585</v>
      </c>
      <c r="FJ30" s="204" t="s">
        <v>585</v>
      </c>
      <c r="FK30" s="206" t="s">
        <v>585</v>
      </c>
      <c r="FL30" s="203" t="s">
        <v>585</v>
      </c>
      <c r="FM30" s="204" t="s">
        <v>585</v>
      </c>
      <c r="FN30" s="202" t="s">
        <v>585</v>
      </c>
      <c r="FO30" s="206" t="s">
        <v>585</v>
      </c>
      <c r="FP30" s="193">
        <v>604</v>
      </c>
      <c r="FQ30" s="206">
        <v>2</v>
      </c>
      <c r="FR30" s="204">
        <v>11</v>
      </c>
      <c r="FS30" s="204" t="s">
        <v>585</v>
      </c>
      <c r="FT30" s="206">
        <v>13</v>
      </c>
      <c r="FU30" s="203">
        <v>795</v>
      </c>
      <c r="FV30" s="204" t="s">
        <v>585</v>
      </c>
      <c r="FW30" s="202">
        <v>795</v>
      </c>
      <c r="FX30" s="206" t="s">
        <v>585</v>
      </c>
      <c r="FY30" s="203" t="s">
        <v>585</v>
      </c>
      <c r="FZ30" s="204">
        <v>16</v>
      </c>
      <c r="GA30" s="204" t="s">
        <v>585</v>
      </c>
      <c r="GB30" s="202">
        <v>16</v>
      </c>
      <c r="GC30" s="206">
        <v>5</v>
      </c>
      <c r="GD30" s="203" t="s">
        <v>585</v>
      </c>
      <c r="GE30" s="204">
        <v>1</v>
      </c>
      <c r="GF30" s="204">
        <v>2</v>
      </c>
      <c r="GG30" s="204" t="s">
        <v>585</v>
      </c>
      <c r="GH30" s="202">
        <v>3</v>
      </c>
      <c r="GI30" s="193">
        <v>376721</v>
      </c>
      <c r="GJ30" s="368">
        <f>376721/45058286</f>
        <v>8.3607485646480205E-3</v>
      </c>
      <c r="GK30" s="382"/>
    </row>
    <row r="31" spans="2:193" ht="12" customHeight="1" x14ac:dyDescent="0.2">
      <c r="B31" s="359" t="s">
        <v>225</v>
      </c>
      <c r="C31" s="203">
        <v>66</v>
      </c>
      <c r="D31" s="204" t="s">
        <v>585</v>
      </c>
      <c r="E31" s="204" t="s">
        <v>585</v>
      </c>
      <c r="F31" s="204" t="s">
        <v>585</v>
      </c>
      <c r="G31" s="202">
        <v>66</v>
      </c>
      <c r="H31" s="193" t="s">
        <v>585</v>
      </c>
      <c r="I31" s="206" t="s">
        <v>585</v>
      </c>
      <c r="J31" s="204" t="s">
        <v>585</v>
      </c>
      <c r="K31" s="206" t="s">
        <v>585</v>
      </c>
      <c r="L31" s="193" t="s">
        <v>585</v>
      </c>
      <c r="M31" s="193">
        <v>6888</v>
      </c>
      <c r="N31" s="206">
        <v>33</v>
      </c>
      <c r="O31" s="204" t="s">
        <v>585</v>
      </c>
      <c r="P31" s="204">
        <v>6822</v>
      </c>
      <c r="Q31" s="204">
        <v>9</v>
      </c>
      <c r="R31" s="204">
        <v>1</v>
      </c>
      <c r="S31" s="204" t="s">
        <v>585</v>
      </c>
      <c r="T31" s="204" t="s">
        <v>585</v>
      </c>
      <c r="U31" s="206">
        <v>6865</v>
      </c>
      <c r="V31" s="203">
        <v>6</v>
      </c>
      <c r="W31" s="204">
        <v>0</v>
      </c>
      <c r="X31" s="202">
        <v>6</v>
      </c>
      <c r="Y31" s="206">
        <v>11380</v>
      </c>
      <c r="Z31" s="204" t="s">
        <v>585</v>
      </c>
      <c r="AA31" s="204" t="s">
        <v>585</v>
      </c>
      <c r="AB31" s="206">
        <v>11380</v>
      </c>
      <c r="AC31" s="203">
        <v>54</v>
      </c>
      <c r="AD31" s="204" t="s">
        <v>585</v>
      </c>
      <c r="AE31" s="204" t="s">
        <v>585</v>
      </c>
      <c r="AF31" s="202">
        <v>54</v>
      </c>
      <c r="AG31" s="206">
        <v>6</v>
      </c>
      <c r="AH31" s="204">
        <v>4</v>
      </c>
      <c r="AI31" s="204" t="s">
        <v>585</v>
      </c>
      <c r="AJ31" s="204" t="s">
        <v>585</v>
      </c>
      <c r="AK31" s="206">
        <v>10</v>
      </c>
      <c r="AL31" s="193" t="s">
        <v>585</v>
      </c>
      <c r="AM31" s="193" t="s">
        <v>585</v>
      </c>
      <c r="AN31" s="206" t="s">
        <v>585</v>
      </c>
      <c r="AO31" s="204">
        <v>418</v>
      </c>
      <c r="AP31" s="206">
        <v>418</v>
      </c>
      <c r="AQ31" s="203" t="s">
        <v>585</v>
      </c>
      <c r="AR31" s="204" t="s">
        <v>585</v>
      </c>
      <c r="AS31" s="204" t="s">
        <v>585</v>
      </c>
      <c r="AT31" s="204" t="s">
        <v>585</v>
      </c>
      <c r="AU31" s="204" t="s">
        <v>585</v>
      </c>
      <c r="AV31" s="204" t="s">
        <v>585</v>
      </c>
      <c r="AW31" s="204" t="s">
        <v>585</v>
      </c>
      <c r="AX31" s="202" t="s">
        <v>585</v>
      </c>
      <c r="AY31" s="206">
        <v>9</v>
      </c>
      <c r="AZ31" s="193" t="s">
        <v>585</v>
      </c>
      <c r="BA31" s="206">
        <v>4</v>
      </c>
      <c r="BB31" s="377">
        <v>22</v>
      </c>
      <c r="BC31" s="206">
        <v>85</v>
      </c>
      <c r="BD31" s="206">
        <v>2</v>
      </c>
      <c r="BE31" s="378">
        <v>2</v>
      </c>
      <c r="BF31" s="206">
        <v>115</v>
      </c>
      <c r="BG31" s="193" t="s">
        <v>585</v>
      </c>
      <c r="BH31" s="193" t="s">
        <v>585</v>
      </c>
      <c r="BI31" s="193" t="s">
        <v>585</v>
      </c>
      <c r="BJ31" s="193">
        <v>1</v>
      </c>
      <c r="BK31" s="206">
        <v>5</v>
      </c>
      <c r="BL31" s="204" t="s">
        <v>585</v>
      </c>
      <c r="BM31" s="206">
        <v>5</v>
      </c>
      <c r="BN31" s="193" t="s">
        <v>585</v>
      </c>
      <c r="BO31" s="206" t="s">
        <v>585</v>
      </c>
      <c r="BP31" s="204" t="s">
        <v>585</v>
      </c>
      <c r="BQ31" s="206" t="s">
        <v>585</v>
      </c>
      <c r="BR31" s="203">
        <v>1397</v>
      </c>
      <c r="BS31" s="204">
        <v>35</v>
      </c>
      <c r="BT31" s="204" t="s">
        <v>585</v>
      </c>
      <c r="BU31" s="204" t="s">
        <v>585</v>
      </c>
      <c r="BV31" s="204" t="s">
        <v>585</v>
      </c>
      <c r="BW31" s="204">
        <v>43</v>
      </c>
      <c r="BX31" s="204" t="s">
        <v>585</v>
      </c>
      <c r="BY31" s="204" t="s">
        <v>585</v>
      </c>
      <c r="BZ31" s="204" t="s">
        <v>585</v>
      </c>
      <c r="CA31" s="204" t="s">
        <v>585</v>
      </c>
      <c r="CB31" s="204" t="s">
        <v>585</v>
      </c>
      <c r="CC31" s="204" t="s">
        <v>585</v>
      </c>
      <c r="CD31" s="204" t="s">
        <v>585</v>
      </c>
      <c r="CE31" s="204" t="s">
        <v>585</v>
      </c>
      <c r="CF31" s="202">
        <v>1475</v>
      </c>
      <c r="CG31" s="206" t="s">
        <v>585</v>
      </c>
      <c r="CH31" s="204" t="s">
        <v>585</v>
      </c>
      <c r="CI31" s="206" t="s">
        <v>585</v>
      </c>
      <c r="CJ31" s="193">
        <v>4</v>
      </c>
      <c r="CK31" s="206">
        <v>56760</v>
      </c>
      <c r="CL31" s="204" t="s">
        <v>585</v>
      </c>
      <c r="CM31" s="204">
        <v>257483</v>
      </c>
      <c r="CN31" s="204">
        <v>130646</v>
      </c>
      <c r="CO31" s="204">
        <v>2</v>
      </c>
      <c r="CP31" s="204" t="s">
        <v>585</v>
      </c>
      <c r="CQ31" s="204" t="s">
        <v>585</v>
      </c>
      <c r="CR31" s="204" t="s">
        <v>585</v>
      </c>
      <c r="CS31" s="204" t="s">
        <v>585</v>
      </c>
      <c r="CT31" s="204" t="s">
        <v>585</v>
      </c>
      <c r="CU31" s="204" t="s">
        <v>585</v>
      </c>
      <c r="CV31" s="206">
        <v>444891</v>
      </c>
      <c r="CW31" s="203">
        <v>221</v>
      </c>
      <c r="CX31" s="204" t="s">
        <v>585</v>
      </c>
      <c r="CY31" s="204">
        <v>24</v>
      </c>
      <c r="CZ31" s="204" t="s">
        <v>585</v>
      </c>
      <c r="DA31" s="204">
        <v>5</v>
      </c>
      <c r="DB31" s="204" t="s">
        <v>585</v>
      </c>
      <c r="DC31" s="204" t="s">
        <v>585</v>
      </c>
      <c r="DD31" s="202">
        <v>250</v>
      </c>
      <c r="DE31" s="206" t="s">
        <v>585</v>
      </c>
      <c r="DF31" s="203" t="s">
        <v>585</v>
      </c>
      <c r="DG31" s="204" t="s">
        <v>585</v>
      </c>
      <c r="DH31" s="202" t="s">
        <v>585</v>
      </c>
      <c r="DI31" s="206" t="s">
        <v>585</v>
      </c>
      <c r="DJ31" s="204" t="s">
        <v>585</v>
      </c>
      <c r="DK31" s="206" t="s">
        <v>585</v>
      </c>
      <c r="DL31" s="193" t="s">
        <v>585</v>
      </c>
      <c r="DM31" s="206">
        <v>7</v>
      </c>
      <c r="DN31" s="204" t="s">
        <v>585</v>
      </c>
      <c r="DO31" s="206">
        <v>7</v>
      </c>
      <c r="DP31" s="203" t="s">
        <v>585</v>
      </c>
      <c r="DQ31" s="204" t="s">
        <v>585</v>
      </c>
      <c r="DR31" s="202" t="s">
        <v>585</v>
      </c>
      <c r="DS31" s="206">
        <v>2</v>
      </c>
      <c r="DT31" s="193" t="s">
        <v>585</v>
      </c>
      <c r="DU31" s="206">
        <v>13</v>
      </c>
      <c r="DV31" s="204" t="s">
        <v>585</v>
      </c>
      <c r="DW31" s="206">
        <v>13</v>
      </c>
      <c r="DX31" s="193" t="s">
        <v>585</v>
      </c>
      <c r="DY31" s="193" t="s">
        <v>585</v>
      </c>
      <c r="DZ31" s="206">
        <v>2</v>
      </c>
      <c r="EA31" s="204">
        <v>0</v>
      </c>
      <c r="EB31" s="204">
        <v>3</v>
      </c>
      <c r="EC31" s="204" t="s">
        <v>585</v>
      </c>
      <c r="ED31" s="204" t="s">
        <v>585</v>
      </c>
      <c r="EE31" s="204" t="s">
        <v>585</v>
      </c>
      <c r="EF31" s="204" t="s">
        <v>585</v>
      </c>
      <c r="EG31" s="206">
        <v>5</v>
      </c>
      <c r="EH31" s="203">
        <v>18</v>
      </c>
      <c r="EI31" s="204">
        <v>80</v>
      </c>
      <c r="EJ31" s="204">
        <v>3</v>
      </c>
      <c r="EK31" s="204">
        <v>5</v>
      </c>
      <c r="EL31" s="204">
        <v>61</v>
      </c>
      <c r="EM31" s="204">
        <v>343</v>
      </c>
      <c r="EN31" s="204">
        <v>3</v>
      </c>
      <c r="EO31" s="204">
        <v>9</v>
      </c>
      <c r="EP31" s="204">
        <v>41</v>
      </c>
      <c r="EQ31" s="204">
        <v>9</v>
      </c>
      <c r="ER31" s="204" t="s">
        <v>585</v>
      </c>
      <c r="ES31" s="204" t="s">
        <v>585</v>
      </c>
      <c r="ET31" s="204" t="s">
        <v>585</v>
      </c>
      <c r="EU31" s="202">
        <v>572</v>
      </c>
      <c r="EV31" s="206" t="s">
        <v>585</v>
      </c>
      <c r="EW31" s="193">
        <v>4</v>
      </c>
      <c r="EX31" s="206" t="s">
        <v>585</v>
      </c>
      <c r="EY31" s="204">
        <v>3084</v>
      </c>
      <c r="EZ31" s="204" t="s">
        <v>585</v>
      </c>
      <c r="FA31" s="206">
        <v>3084</v>
      </c>
      <c r="FB31" s="193" t="s">
        <v>585</v>
      </c>
      <c r="FC31" s="206" t="s">
        <v>585</v>
      </c>
      <c r="FD31" s="203" t="s">
        <v>585</v>
      </c>
      <c r="FE31" s="204" t="s">
        <v>585</v>
      </c>
      <c r="FF31" s="204" t="s">
        <v>585</v>
      </c>
      <c r="FG31" s="204" t="s">
        <v>585</v>
      </c>
      <c r="FH31" s="202" t="s">
        <v>585</v>
      </c>
      <c r="FI31" s="206" t="s">
        <v>585</v>
      </c>
      <c r="FJ31" s="204" t="s">
        <v>585</v>
      </c>
      <c r="FK31" s="206" t="s">
        <v>585</v>
      </c>
      <c r="FL31" s="203" t="s">
        <v>585</v>
      </c>
      <c r="FM31" s="204" t="s">
        <v>585</v>
      </c>
      <c r="FN31" s="202" t="s">
        <v>585</v>
      </c>
      <c r="FO31" s="206" t="s">
        <v>585</v>
      </c>
      <c r="FP31" s="193" t="s">
        <v>585</v>
      </c>
      <c r="FQ31" s="206">
        <v>12</v>
      </c>
      <c r="FR31" s="204" t="s">
        <v>585</v>
      </c>
      <c r="FS31" s="204" t="s">
        <v>585</v>
      </c>
      <c r="FT31" s="206">
        <v>12</v>
      </c>
      <c r="FU31" s="203">
        <v>88680</v>
      </c>
      <c r="FV31" s="204" t="s">
        <v>585</v>
      </c>
      <c r="FW31" s="202">
        <v>88680</v>
      </c>
      <c r="FX31" s="206" t="s">
        <v>585</v>
      </c>
      <c r="FY31" s="203" t="s">
        <v>585</v>
      </c>
      <c r="FZ31" s="204" t="s">
        <v>585</v>
      </c>
      <c r="GA31" s="204" t="s">
        <v>585</v>
      </c>
      <c r="GB31" s="202" t="s">
        <v>585</v>
      </c>
      <c r="GC31" s="206" t="s">
        <v>585</v>
      </c>
      <c r="GD31" s="203" t="s">
        <v>585</v>
      </c>
      <c r="GE31" s="204" t="s">
        <v>585</v>
      </c>
      <c r="GF31" s="204" t="s">
        <v>585</v>
      </c>
      <c r="GG31" s="204" t="s">
        <v>585</v>
      </c>
      <c r="GH31" s="202" t="s">
        <v>585</v>
      </c>
      <c r="GI31" s="193">
        <v>564816</v>
      </c>
      <c r="GJ31" s="368">
        <f>564816/45058286</f>
        <v>1.2535230479028873E-2</v>
      </c>
      <c r="GK31" s="382"/>
    </row>
    <row r="32" spans="2:193" ht="12" customHeight="1" x14ac:dyDescent="0.2">
      <c r="B32" s="359" t="s">
        <v>246</v>
      </c>
      <c r="C32" s="203">
        <v>256</v>
      </c>
      <c r="D32" s="204" t="s">
        <v>585</v>
      </c>
      <c r="E32" s="204" t="s">
        <v>585</v>
      </c>
      <c r="F32" s="204" t="s">
        <v>585</v>
      </c>
      <c r="G32" s="202">
        <v>256</v>
      </c>
      <c r="H32" s="193" t="s">
        <v>585</v>
      </c>
      <c r="I32" s="206">
        <v>1</v>
      </c>
      <c r="J32" s="204" t="s">
        <v>585</v>
      </c>
      <c r="K32" s="206">
        <v>1</v>
      </c>
      <c r="L32" s="193" t="s">
        <v>585</v>
      </c>
      <c r="M32" s="193">
        <v>29752</v>
      </c>
      <c r="N32" s="206">
        <v>36</v>
      </c>
      <c r="O32" s="204">
        <v>2</v>
      </c>
      <c r="P32" s="204">
        <v>77739</v>
      </c>
      <c r="Q32" s="204">
        <v>22</v>
      </c>
      <c r="R32" s="204">
        <v>17</v>
      </c>
      <c r="S32" s="204" t="s">
        <v>585</v>
      </c>
      <c r="T32" s="204" t="s">
        <v>585</v>
      </c>
      <c r="U32" s="206">
        <v>77816</v>
      </c>
      <c r="V32" s="203">
        <v>4</v>
      </c>
      <c r="W32" s="204">
        <v>10</v>
      </c>
      <c r="X32" s="202">
        <v>14</v>
      </c>
      <c r="Y32" s="206">
        <v>6641</v>
      </c>
      <c r="Z32" s="204">
        <v>3</v>
      </c>
      <c r="AA32" s="204" t="s">
        <v>585</v>
      </c>
      <c r="AB32" s="206">
        <v>6644</v>
      </c>
      <c r="AC32" s="203">
        <v>20</v>
      </c>
      <c r="AD32" s="204" t="s">
        <v>585</v>
      </c>
      <c r="AE32" s="204" t="s">
        <v>585</v>
      </c>
      <c r="AF32" s="202">
        <v>20</v>
      </c>
      <c r="AG32" s="206">
        <v>6</v>
      </c>
      <c r="AH32" s="204" t="s">
        <v>585</v>
      </c>
      <c r="AI32" s="204" t="s">
        <v>585</v>
      </c>
      <c r="AJ32" s="204" t="s">
        <v>585</v>
      </c>
      <c r="AK32" s="206">
        <v>6</v>
      </c>
      <c r="AL32" s="193" t="s">
        <v>585</v>
      </c>
      <c r="AM32" s="193" t="s">
        <v>585</v>
      </c>
      <c r="AN32" s="206" t="s">
        <v>585</v>
      </c>
      <c r="AO32" s="204">
        <v>1</v>
      </c>
      <c r="AP32" s="206">
        <v>1</v>
      </c>
      <c r="AQ32" s="203">
        <v>2</v>
      </c>
      <c r="AR32" s="204" t="s">
        <v>585</v>
      </c>
      <c r="AS32" s="204" t="s">
        <v>585</v>
      </c>
      <c r="AT32" s="204" t="s">
        <v>585</v>
      </c>
      <c r="AU32" s="204" t="s">
        <v>585</v>
      </c>
      <c r="AV32" s="204">
        <v>3</v>
      </c>
      <c r="AW32" s="204" t="s">
        <v>585</v>
      </c>
      <c r="AX32" s="202">
        <v>5</v>
      </c>
      <c r="AY32" s="206" t="s">
        <v>585</v>
      </c>
      <c r="AZ32" s="193">
        <v>3</v>
      </c>
      <c r="BA32" s="206">
        <v>48</v>
      </c>
      <c r="BB32" s="377">
        <v>56</v>
      </c>
      <c r="BC32" s="206">
        <v>293</v>
      </c>
      <c r="BD32" s="206">
        <v>6</v>
      </c>
      <c r="BE32" s="378">
        <v>10</v>
      </c>
      <c r="BF32" s="206">
        <v>413</v>
      </c>
      <c r="BG32" s="193" t="s">
        <v>585</v>
      </c>
      <c r="BH32" s="193" t="s">
        <v>585</v>
      </c>
      <c r="BI32" s="193" t="s">
        <v>585</v>
      </c>
      <c r="BJ32" s="193" t="s">
        <v>585</v>
      </c>
      <c r="BK32" s="206">
        <v>48</v>
      </c>
      <c r="BL32" s="204" t="s">
        <v>585</v>
      </c>
      <c r="BM32" s="206">
        <v>48</v>
      </c>
      <c r="BN32" s="193" t="s">
        <v>585</v>
      </c>
      <c r="BO32" s="206" t="s">
        <v>585</v>
      </c>
      <c r="BP32" s="204" t="s">
        <v>585</v>
      </c>
      <c r="BQ32" s="206" t="s">
        <v>585</v>
      </c>
      <c r="BR32" s="203">
        <v>92</v>
      </c>
      <c r="BS32" s="204">
        <v>57</v>
      </c>
      <c r="BT32" s="204" t="s">
        <v>585</v>
      </c>
      <c r="BU32" s="204" t="s">
        <v>585</v>
      </c>
      <c r="BV32" s="204" t="s">
        <v>585</v>
      </c>
      <c r="BW32" s="204" t="s">
        <v>585</v>
      </c>
      <c r="BX32" s="204" t="s">
        <v>585</v>
      </c>
      <c r="BY32" s="204" t="s">
        <v>585</v>
      </c>
      <c r="BZ32" s="204" t="s">
        <v>585</v>
      </c>
      <c r="CA32" s="204">
        <v>4</v>
      </c>
      <c r="CB32" s="204">
        <v>5</v>
      </c>
      <c r="CC32" s="204" t="s">
        <v>585</v>
      </c>
      <c r="CD32" s="204" t="s">
        <v>585</v>
      </c>
      <c r="CE32" s="204" t="s">
        <v>585</v>
      </c>
      <c r="CF32" s="202">
        <v>158</v>
      </c>
      <c r="CG32" s="206">
        <v>1</v>
      </c>
      <c r="CH32" s="204" t="s">
        <v>585</v>
      </c>
      <c r="CI32" s="206">
        <v>1</v>
      </c>
      <c r="CJ32" s="193">
        <v>1</v>
      </c>
      <c r="CK32" s="206">
        <v>33658</v>
      </c>
      <c r="CL32" s="204" t="s">
        <v>585</v>
      </c>
      <c r="CM32" s="204">
        <v>185962</v>
      </c>
      <c r="CN32" s="204">
        <v>105833</v>
      </c>
      <c r="CO32" s="204">
        <v>2</v>
      </c>
      <c r="CP32" s="204" t="s">
        <v>585</v>
      </c>
      <c r="CQ32" s="204">
        <v>55</v>
      </c>
      <c r="CR32" s="204">
        <v>1</v>
      </c>
      <c r="CS32" s="204" t="s">
        <v>585</v>
      </c>
      <c r="CT32" s="204" t="s">
        <v>585</v>
      </c>
      <c r="CU32" s="204" t="s">
        <v>585</v>
      </c>
      <c r="CV32" s="206">
        <v>325511</v>
      </c>
      <c r="CW32" s="203">
        <v>7723</v>
      </c>
      <c r="CX32" s="204">
        <v>3</v>
      </c>
      <c r="CY32" s="204">
        <v>9</v>
      </c>
      <c r="CZ32" s="204">
        <v>1</v>
      </c>
      <c r="DA32" s="204" t="s">
        <v>585</v>
      </c>
      <c r="DB32" s="204" t="s">
        <v>585</v>
      </c>
      <c r="DC32" s="204" t="s">
        <v>585</v>
      </c>
      <c r="DD32" s="202">
        <v>7736</v>
      </c>
      <c r="DE32" s="206" t="s">
        <v>585</v>
      </c>
      <c r="DF32" s="203" t="s">
        <v>585</v>
      </c>
      <c r="DG32" s="204" t="s">
        <v>585</v>
      </c>
      <c r="DH32" s="202" t="s">
        <v>585</v>
      </c>
      <c r="DI32" s="206" t="s">
        <v>585</v>
      </c>
      <c r="DJ32" s="204" t="s">
        <v>585</v>
      </c>
      <c r="DK32" s="206" t="s">
        <v>585</v>
      </c>
      <c r="DL32" s="193">
        <v>2</v>
      </c>
      <c r="DM32" s="206" t="s">
        <v>585</v>
      </c>
      <c r="DN32" s="204" t="s">
        <v>585</v>
      </c>
      <c r="DO32" s="206" t="s">
        <v>585</v>
      </c>
      <c r="DP32" s="203">
        <v>111</v>
      </c>
      <c r="DQ32" s="204" t="s">
        <v>585</v>
      </c>
      <c r="DR32" s="202">
        <v>111</v>
      </c>
      <c r="DS32" s="206">
        <v>73</v>
      </c>
      <c r="DT32" s="193" t="s">
        <v>585</v>
      </c>
      <c r="DU32" s="206">
        <v>49</v>
      </c>
      <c r="DV32" s="204" t="s">
        <v>585</v>
      </c>
      <c r="DW32" s="206">
        <v>49</v>
      </c>
      <c r="DX32" s="193" t="s">
        <v>585</v>
      </c>
      <c r="DY32" s="193" t="s">
        <v>585</v>
      </c>
      <c r="DZ32" s="206">
        <v>8</v>
      </c>
      <c r="EA32" s="204">
        <v>14</v>
      </c>
      <c r="EB32" s="204">
        <v>30</v>
      </c>
      <c r="EC32" s="204">
        <v>2</v>
      </c>
      <c r="ED32" s="204" t="s">
        <v>585</v>
      </c>
      <c r="EE32" s="204" t="s">
        <v>585</v>
      </c>
      <c r="EF32" s="204" t="s">
        <v>585</v>
      </c>
      <c r="EG32" s="206">
        <v>54</v>
      </c>
      <c r="EH32" s="203">
        <v>45</v>
      </c>
      <c r="EI32" s="204">
        <v>4511</v>
      </c>
      <c r="EJ32" s="204">
        <v>2</v>
      </c>
      <c r="EK32" s="204">
        <v>5</v>
      </c>
      <c r="EL32" s="204">
        <v>79</v>
      </c>
      <c r="EM32" s="204">
        <v>5343</v>
      </c>
      <c r="EN32" s="204">
        <v>14</v>
      </c>
      <c r="EO32" s="204">
        <v>1</v>
      </c>
      <c r="EP32" s="204">
        <v>34</v>
      </c>
      <c r="EQ32" s="204" t="s">
        <v>585</v>
      </c>
      <c r="ER32" s="204" t="s">
        <v>585</v>
      </c>
      <c r="ES32" s="204" t="s">
        <v>585</v>
      </c>
      <c r="ET32" s="204" t="s">
        <v>585</v>
      </c>
      <c r="EU32" s="202">
        <v>10034</v>
      </c>
      <c r="EV32" s="206" t="s">
        <v>585</v>
      </c>
      <c r="EW32" s="193" t="s">
        <v>585</v>
      </c>
      <c r="EX32" s="206" t="s">
        <v>585</v>
      </c>
      <c r="EY32" s="204" t="s">
        <v>585</v>
      </c>
      <c r="EZ32" s="204">
        <v>2</v>
      </c>
      <c r="FA32" s="206">
        <v>2</v>
      </c>
      <c r="FB32" s="193" t="s">
        <v>585</v>
      </c>
      <c r="FC32" s="206" t="s">
        <v>585</v>
      </c>
      <c r="FD32" s="203" t="s">
        <v>585</v>
      </c>
      <c r="FE32" s="204">
        <v>4</v>
      </c>
      <c r="FF32" s="204" t="s">
        <v>585</v>
      </c>
      <c r="FG32" s="204" t="s">
        <v>585</v>
      </c>
      <c r="FH32" s="202">
        <v>4</v>
      </c>
      <c r="FI32" s="206" t="s">
        <v>585</v>
      </c>
      <c r="FJ32" s="204" t="s">
        <v>585</v>
      </c>
      <c r="FK32" s="206" t="s">
        <v>585</v>
      </c>
      <c r="FL32" s="203" t="s">
        <v>585</v>
      </c>
      <c r="FM32" s="204" t="s">
        <v>585</v>
      </c>
      <c r="FN32" s="202" t="s">
        <v>585</v>
      </c>
      <c r="FO32" s="206" t="s">
        <v>585</v>
      </c>
      <c r="FP32" s="193">
        <v>110</v>
      </c>
      <c r="FQ32" s="206">
        <v>360</v>
      </c>
      <c r="FR32" s="204">
        <v>2</v>
      </c>
      <c r="FS32" s="204" t="s">
        <v>585</v>
      </c>
      <c r="FT32" s="206">
        <v>362</v>
      </c>
      <c r="FU32" s="203">
        <v>15661</v>
      </c>
      <c r="FV32" s="204" t="s">
        <v>585</v>
      </c>
      <c r="FW32" s="202">
        <v>15661</v>
      </c>
      <c r="FX32" s="206" t="s">
        <v>585</v>
      </c>
      <c r="FY32" s="203" t="s">
        <v>585</v>
      </c>
      <c r="FZ32" s="204">
        <v>3</v>
      </c>
      <c r="GA32" s="204" t="s">
        <v>585</v>
      </c>
      <c r="GB32" s="202">
        <v>3</v>
      </c>
      <c r="GC32" s="206">
        <v>23</v>
      </c>
      <c r="GD32" s="203" t="s">
        <v>585</v>
      </c>
      <c r="GE32" s="204" t="s">
        <v>585</v>
      </c>
      <c r="GF32" s="204" t="s">
        <v>585</v>
      </c>
      <c r="GG32" s="204" t="s">
        <v>585</v>
      </c>
      <c r="GH32" s="202" t="s">
        <v>585</v>
      </c>
      <c r="GI32" s="193">
        <v>474874</v>
      </c>
      <c r="GJ32" s="368">
        <f>474874/45058286</f>
        <v>1.0539104838563988E-2</v>
      </c>
      <c r="GK32" s="382"/>
    </row>
    <row r="33" spans="2:193" ht="12" customHeight="1" x14ac:dyDescent="0.2">
      <c r="B33" s="359" t="s">
        <v>253</v>
      </c>
      <c r="C33" s="203">
        <v>26</v>
      </c>
      <c r="D33" s="204" t="s">
        <v>585</v>
      </c>
      <c r="E33" s="204" t="s">
        <v>585</v>
      </c>
      <c r="F33" s="204" t="s">
        <v>585</v>
      </c>
      <c r="G33" s="202">
        <v>26</v>
      </c>
      <c r="H33" s="193" t="s">
        <v>585</v>
      </c>
      <c r="I33" s="206" t="s">
        <v>585</v>
      </c>
      <c r="J33" s="204" t="s">
        <v>585</v>
      </c>
      <c r="K33" s="206" t="s">
        <v>585</v>
      </c>
      <c r="L33" s="193" t="s">
        <v>585</v>
      </c>
      <c r="M33" s="193">
        <v>972</v>
      </c>
      <c r="N33" s="206" t="s">
        <v>585</v>
      </c>
      <c r="O33" s="204" t="s">
        <v>585</v>
      </c>
      <c r="P33" s="204">
        <v>415</v>
      </c>
      <c r="Q33" s="204">
        <v>3</v>
      </c>
      <c r="R33" s="204" t="s">
        <v>585</v>
      </c>
      <c r="S33" s="204" t="s">
        <v>585</v>
      </c>
      <c r="T33" s="204" t="s">
        <v>585</v>
      </c>
      <c r="U33" s="206">
        <v>418</v>
      </c>
      <c r="V33" s="203" t="s">
        <v>585</v>
      </c>
      <c r="W33" s="204" t="s">
        <v>585</v>
      </c>
      <c r="X33" s="202" t="s">
        <v>585</v>
      </c>
      <c r="Y33" s="206">
        <v>78</v>
      </c>
      <c r="Z33" s="204" t="s">
        <v>585</v>
      </c>
      <c r="AA33" s="204" t="s">
        <v>585</v>
      </c>
      <c r="AB33" s="206">
        <v>78</v>
      </c>
      <c r="AC33" s="203" t="s">
        <v>585</v>
      </c>
      <c r="AD33" s="204" t="s">
        <v>585</v>
      </c>
      <c r="AE33" s="204" t="s">
        <v>585</v>
      </c>
      <c r="AF33" s="202" t="s">
        <v>585</v>
      </c>
      <c r="AG33" s="206" t="s">
        <v>585</v>
      </c>
      <c r="AH33" s="204">
        <v>3</v>
      </c>
      <c r="AI33" s="204" t="s">
        <v>585</v>
      </c>
      <c r="AJ33" s="204">
        <v>1</v>
      </c>
      <c r="AK33" s="206">
        <v>4</v>
      </c>
      <c r="AL33" s="193" t="s">
        <v>585</v>
      </c>
      <c r="AM33" s="193" t="s">
        <v>585</v>
      </c>
      <c r="AN33" s="206" t="s">
        <v>585</v>
      </c>
      <c r="AO33" s="204" t="s">
        <v>585</v>
      </c>
      <c r="AP33" s="206" t="s">
        <v>585</v>
      </c>
      <c r="AQ33" s="203" t="s">
        <v>585</v>
      </c>
      <c r="AR33" s="204" t="s">
        <v>585</v>
      </c>
      <c r="AS33" s="204" t="s">
        <v>585</v>
      </c>
      <c r="AT33" s="204" t="s">
        <v>585</v>
      </c>
      <c r="AU33" s="204" t="s">
        <v>585</v>
      </c>
      <c r="AV33" s="204" t="s">
        <v>585</v>
      </c>
      <c r="AW33" s="204" t="s">
        <v>585</v>
      </c>
      <c r="AX33" s="202" t="s">
        <v>585</v>
      </c>
      <c r="AY33" s="206" t="s">
        <v>585</v>
      </c>
      <c r="AZ33" s="193">
        <v>5</v>
      </c>
      <c r="BA33" s="206">
        <v>1</v>
      </c>
      <c r="BB33" s="377">
        <v>4</v>
      </c>
      <c r="BC33" s="206">
        <v>20</v>
      </c>
      <c r="BD33" s="206">
        <v>1</v>
      </c>
      <c r="BE33" s="378">
        <v>1</v>
      </c>
      <c r="BF33" s="206">
        <v>27</v>
      </c>
      <c r="BG33" s="193" t="s">
        <v>585</v>
      </c>
      <c r="BH33" s="193" t="s">
        <v>585</v>
      </c>
      <c r="BI33" s="193" t="s">
        <v>585</v>
      </c>
      <c r="BJ33" s="193" t="s">
        <v>585</v>
      </c>
      <c r="BK33" s="206">
        <v>2</v>
      </c>
      <c r="BL33" s="204" t="s">
        <v>585</v>
      </c>
      <c r="BM33" s="206">
        <v>2</v>
      </c>
      <c r="BN33" s="193" t="s">
        <v>585</v>
      </c>
      <c r="BO33" s="206" t="s">
        <v>585</v>
      </c>
      <c r="BP33" s="204" t="s">
        <v>585</v>
      </c>
      <c r="BQ33" s="206" t="s">
        <v>585</v>
      </c>
      <c r="BR33" s="203">
        <v>39</v>
      </c>
      <c r="BS33" s="204" t="s">
        <v>585</v>
      </c>
      <c r="BT33" s="204" t="s">
        <v>585</v>
      </c>
      <c r="BU33" s="204" t="s">
        <v>585</v>
      </c>
      <c r="BV33" s="204" t="s">
        <v>585</v>
      </c>
      <c r="BW33" s="204" t="s">
        <v>585</v>
      </c>
      <c r="BX33" s="204" t="s">
        <v>585</v>
      </c>
      <c r="BY33" s="204" t="s">
        <v>585</v>
      </c>
      <c r="BZ33" s="204" t="s">
        <v>585</v>
      </c>
      <c r="CA33" s="204">
        <v>4</v>
      </c>
      <c r="CB33" s="204" t="s">
        <v>585</v>
      </c>
      <c r="CC33" s="204" t="s">
        <v>585</v>
      </c>
      <c r="CD33" s="204" t="s">
        <v>585</v>
      </c>
      <c r="CE33" s="204" t="s">
        <v>585</v>
      </c>
      <c r="CF33" s="202">
        <v>43</v>
      </c>
      <c r="CG33" s="206" t="s">
        <v>585</v>
      </c>
      <c r="CH33" s="204" t="s">
        <v>585</v>
      </c>
      <c r="CI33" s="206" t="s">
        <v>585</v>
      </c>
      <c r="CJ33" s="193" t="s">
        <v>585</v>
      </c>
      <c r="CK33" s="206">
        <v>6525</v>
      </c>
      <c r="CL33" s="204" t="s">
        <v>585</v>
      </c>
      <c r="CM33" s="204">
        <v>21169</v>
      </c>
      <c r="CN33" s="204">
        <v>11679</v>
      </c>
      <c r="CO33" s="204" t="s">
        <v>585</v>
      </c>
      <c r="CP33" s="204" t="s">
        <v>585</v>
      </c>
      <c r="CQ33" s="204" t="s">
        <v>585</v>
      </c>
      <c r="CR33" s="204" t="s">
        <v>585</v>
      </c>
      <c r="CS33" s="204" t="s">
        <v>585</v>
      </c>
      <c r="CT33" s="204" t="s">
        <v>585</v>
      </c>
      <c r="CU33" s="204" t="s">
        <v>585</v>
      </c>
      <c r="CV33" s="206">
        <v>39373</v>
      </c>
      <c r="CW33" s="203">
        <v>120</v>
      </c>
      <c r="CX33" s="204" t="s">
        <v>585</v>
      </c>
      <c r="CY33" s="204">
        <v>12</v>
      </c>
      <c r="CZ33" s="204" t="s">
        <v>585</v>
      </c>
      <c r="DA33" s="204" t="s">
        <v>585</v>
      </c>
      <c r="DB33" s="204" t="s">
        <v>585</v>
      </c>
      <c r="DC33" s="204" t="s">
        <v>585</v>
      </c>
      <c r="DD33" s="202">
        <v>132</v>
      </c>
      <c r="DE33" s="206" t="s">
        <v>585</v>
      </c>
      <c r="DF33" s="203" t="s">
        <v>585</v>
      </c>
      <c r="DG33" s="204" t="s">
        <v>585</v>
      </c>
      <c r="DH33" s="202" t="s">
        <v>585</v>
      </c>
      <c r="DI33" s="206" t="s">
        <v>585</v>
      </c>
      <c r="DJ33" s="204" t="s">
        <v>585</v>
      </c>
      <c r="DK33" s="206" t="s">
        <v>585</v>
      </c>
      <c r="DL33" s="193" t="s">
        <v>585</v>
      </c>
      <c r="DM33" s="206" t="s">
        <v>585</v>
      </c>
      <c r="DN33" s="204" t="s">
        <v>585</v>
      </c>
      <c r="DO33" s="206" t="s">
        <v>585</v>
      </c>
      <c r="DP33" s="203" t="s">
        <v>585</v>
      </c>
      <c r="DQ33" s="204" t="s">
        <v>585</v>
      </c>
      <c r="DR33" s="202" t="s">
        <v>585</v>
      </c>
      <c r="DS33" s="206">
        <v>3</v>
      </c>
      <c r="DT33" s="193" t="s">
        <v>585</v>
      </c>
      <c r="DU33" s="206">
        <v>11</v>
      </c>
      <c r="DV33" s="204" t="s">
        <v>585</v>
      </c>
      <c r="DW33" s="206">
        <v>11</v>
      </c>
      <c r="DX33" s="193" t="s">
        <v>585</v>
      </c>
      <c r="DY33" s="193" t="s">
        <v>585</v>
      </c>
      <c r="DZ33" s="206" t="s">
        <v>585</v>
      </c>
      <c r="EA33" s="204" t="s">
        <v>585</v>
      </c>
      <c r="EB33" s="204">
        <v>2</v>
      </c>
      <c r="EC33" s="204" t="s">
        <v>585</v>
      </c>
      <c r="ED33" s="204" t="s">
        <v>585</v>
      </c>
      <c r="EE33" s="204" t="s">
        <v>585</v>
      </c>
      <c r="EF33" s="204" t="s">
        <v>585</v>
      </c>
      <c r="EG33" s="206">
        <v>2</v>
      </c>
      <c r="EH33" s="203" t="s">
        <v>585</v>
      </c>
      <c r="EI33" s="204">
        <v>7</v>
      </c>
      <c r="EJ33" s="204" t="s">
        <v>585</v>
      </c>
      <c r="EK33" s="204" t="s">
        <v>585</v>
      </c>
      <c r="EL33" s="204">
        <v>2</v>
      </c>
      <c r="EM33" s="204">
        <v>23</v>
      </c>
      <c r="EN33" s="204" t="s">
        <v>585</v>
      </c>
      <c r="EO33" s="204" t="s">
        <v>585</v>
      </c>
      <c r="EP33" s="204">
        <v>3</v>
      </c>
      <c r="EQ33" s="204" t="s">
        <v>585</v>
      </c>
      <c r="ER33" s="204" t="s">
        <v>585</v>
      </c>
      <c r="ES33" s="204" t="s">
        <v>585</v>
      </c>
      <c r="ET33" s="204" t="s">
        <v>585</v>
      </c>
      <c r="EU33" s="202">
        <v>35</v>
      </c>
      <c r="EV33" s="206" t="s">
        <v>585</v>
      </c>
      <c r="EW33" s="193" t="s">
        <v>585</v>
      </c>
      <c r="EX33" s="206" t="s">
        <v>585</v>
      </c>
      <c r="EY33" s="204">
        <v>2</v>
      </c>
      <c r="EZ33" s="204" t="s">
        <v>585</v>
      </c>
      <c r="FA33" s="206">
        <v>2</v>
      </c>
      <c r="FB33" s="193" t="s">
        <v>585</v>
      </c>
      <c r="FC33" s="206" t="s">
        <v>585</v>
      </c>
      <c r="FD33" s="203">
        <v>1</v>
      </c>
      <c r="FE33" s="204">
        <v>1</v>
      </c>
      <c r="FF33" s="204" t="s">
        <v>585</v>
      </c>
      <c r="FG33" s="204" t="s">
        <v>585</v>
      </c>
      <c r="FH33" s="202">
        <v>2</v>
      </c>
      <c r="FI33" s="206" t="s">
        <v>585</v>
      </c>
      <c r="FJ33" s="204" t="s">
        <v>585</v>
      </c>
      <c r="FK33" s="206" t="s">
        <v>585</v>
      </c>
      <c r="FL33" s="203" t="s">
        <v>585</v>
      </c>
      <c r="FM33" s="204" t="s">
        <v>585</v>
      </c>
      <c r="FN33" s="202" t="s">
        <v>585</v>
      </c>
      <c r="FO33" s="206" t="s">
        <v>585</v>
      </c>
      <c r="FP33" s="193">
        <v>9</v>
      </c>
      <c r="FQ33" s="206">
        <v>6</v>
      </c>
      <c r="FR33" s="204">
        <v>2</v>
      </c>
      <c r="FS33" s="204">
        <v>2</v>
      </c>
      <c r="FT33" s="206">
        <v>10</v>
      </c>
      <c r="FU33" s="203">
        <v>518</v>
      </c>
      <c r="FV33" s="204" t="s">
        <v>585</v>
      </c>
      <c r="FW33" s="202">
        <v>518</v>
      </c>
      <c r="FX33" s="206" t="s">
        <v>585</v>
      </c>
      <c r="FY33" s="203" t="s">
        <v>585</v>
      </c>
      <c r="FZ33" s="204">
        <v>1</v>
      </c>
      <c r="GA33" s="204" t="s">
        <v>585</v>
      </c>
      <c r="GB33" s="202">
        <v>1</v>
      </c>
      <c r="GC33" s="206" t="s">
        <v>585</v>
      </c>
      <c r="GD33" s="203" t="s">
        <v>585</v>
      </c>
      <c r="GE33" s="204" t="s">
        <v>585</v>
      </c>
      <c r="GF33" s="204" t="s">
        <v>585</v>
      </c>
      <c r="GG33" s="204" t="s">
        <v>585</v>
      </c>
      <c r="GH33" s="202" t="s">
        <v>585</v>
      </c>
      <c r="GI33" s="193">
        <v>41673</v>
      </c>
      <c r="GJ33" s="368">
        <f>41673/45058286</f>
        <v>9.2486873557507266E-4</v>
      </c>
      <c r="GK33" s="382"/>
    </row>
    <row r="34" spans="2:193" ht="12.75" customHeight="1" thickBot="1" x14ac:dyDescent="0.25">
      <c r="B34" s="359" t="s">
        <v>544</v>
      </c>
      <c r="C34" s="203">
        <v>12250</v>
      </c>
      <c r="D34" s="204" t="s">
        <v>585</v>
      </c>
      <c r="E34" s="204">
        <v>2</v>
      </c>
      <c r="F34" s="204" t="s">
        <v>585</v>
      </c>
      <c r="G34" s="202">
        <v>12252</v>
      </c>
      <c r="H34" s="193" t="s">
        <v>585</v>
      </c>
      <c r="I34" s="206">
        <v>36</v>
      </c>
      <c r="J34" s="204" t="s">
        <v>585</v>
      </c>
      <c r="K34" s="206">
        <v>36</v>
      </c>
      <c r="L34" s="193" t="s">
        <v>585</v>
      </c>
      <c r="M34" s="193">
        <v>7779</v>
      </c>
      <c r="N34" s="206">
        <v>450</v>
      </c>
      <c r="O34" s="204">
        <v>273</v>
      </c>
      <c r="P34" s="204">
        <v>10080</v>
      </c>
      <c r="Q34" s="204">
        <v>23</v>
      </c>
      <c r="R34" s="204">
        <v>2</v>
      </c>
      <c r="S34" s="204">
        <v>1</v>
      </c>
      <c r="T34" s="204" t="s">
        <v>585</v>
      </c>
      <c r="U34" s="206">
        <v>10829</v>
      </c>
      <c r="V34" s="203" t="s">
        <v>585</v>
      </c>
      <c r="W34" s="204">
        <v>2</v>
      </c>
      <c r="X34" s="202">
        <v>2</v>
      </c>
      <c r="Y34" s="206">
        <v>1081</v>
      </c>
      <c r="Z34" s="204">
        <v>4</v>
      </c>
      <c r="AA34" s="204">
        <v>23</v>
      </c>
      <c r="AB34" s="206">
        <v>1108</v>
      </c>
      <c r="AC34" s="203">
        <v>13</v>
      </c>
      <c r="AD34" s="204" t="s">
        <v>585</v>
      </c>
      <c r="AE34" s="204" t="s">
        <v>585</v>
      </c>
      <c r="AF34" s="202">
        <v>13</v>
      </c>
      <c r="AG34" s="206" t="s">
        <v>585</v>
      </c>
      <c r="AH34" s="204">
        <v>9</v>
      </c>
      <c r="AI34" s="204" t="s">
        <v>585</v>
      </c>
      <c r="AJ34" s="204">
        <v>1</v>
      </c>
      <c r="AK34" s="206">
        <v>10</v>
      </c>
      <c r="AL34" s="193">
        <v>16</v>
      </c>
      <c r="AM34" s="193" t="s">
        <v>585</v>
      </c>
      <c r="AN34" s="206">
        <v>121</v>
      </c>
      <c r="AO34" s="204" t="s">
        <v>585</v>
      </c>
      <c r="AP34" s="206">
        <v>121</v>
      </c>
      <c r="AQ34" s="203">
        <v>2</v>
      </c>
      <c r="AR34" s="204" t="s">
        <v>585</v>
      </c>
      <c r="AS34" s="204" t="s">
        <v>585</v>
      </c>
      <c r="AT34" s="204" t="s">
        <v>585</v>
      </c>
      <c r="AU34" s="204" t="s">
        <v>585</v>
      </c>
      <c r="AV34" s="204" t="s">
        <v>585</v>
      </c>
      <c r="AW34" s="204" t="s">
        <v>585</v>
      </c>
      <c r="AX34" s="202">
        <v>2</v>
      </c>
      <c r="AY34" s="206">
        <v>1</v>
      </c>
      <c r="AZ34" s="193">
        <v>169</v>
      </c>
      <c r="BA34" s="206">
        <v>292</v>
      </c>
      <c r="BB34" s="377">
        <v>195</v>
      </c>
      <c r="BC34" s="206">
        <v>2261</v>
      </c>
      <c r="BD34" s="206">
        <v>17</v>
      </c>
      <c r="BE34" s="378">
        <v>14</v>
      </c>
      <c r="BF34" s="206">
        <v>2779</v>
      </c>
      <c r="BG34" s="193">
        <v>5</v>
      </c>
      <c r="BH34" s="193" t="s">
        <v>585</v>
      </c>
      <c r="BI34" s="193" t="s">
        <v>585</v>
      </c>
      <c r="BJ34" s="193">
        <v>3</v>
      </c>
      <c r="BK34" s="206">
        <v>6745</v>
      </c>
      <c r="BL34" s="204">
        <v>46649</v>
      </c>
      <c r="BM34" s="206">
        <v>53394</v>
      </c>
      <c r="BN34" s="193">
        <v>18</v>
      </c>
      <c r="BO34" s="206">
        <v>5</v>
      </c>
      <c r="BP34" s="204">
        <v>9</v>
      </c>
      <c r="BQ34" s="206">
        <v>14</v>
      </c>
      <c r="BR34" s="203">
        <v>12199</v>
      </c>
      <c r="BS34" s="204">
        <v>1410</v>
      </c>
      <c r="BT34" s="204">
        <v>357</v>
      </c>
      <c r="BU34" s="204">
        <v>257</v>
      </c>
      <c r="BV34" s="204">
        <v>6</v>
      </c>
      <c r="BW34" s="204">
        <v>146022</v>
      </c>
      <c r="BX34" s="204">
        <v>2</v>
      </c>
      <c r="BY34" s="204">
        <v>18</v>
      </c>
      <c r="BZ34" s="204">
        <v>102</v>
      </c>
      <c r="CA34" s="204">
        <v>223</v>
      </c>
      <c r="CB34" s="204">
        <v>7110</v>
      </c>
      <c r="CC34" s="204">
        <v>346</v>
      </c>
      <c r="CD34" s="204" t="s">
        <v>585</v>
      </c>
      <c r="CE34" s="204" t="s">
        <v>585</v>
      </c>
      <c r="CF34" s="202">
        <v>168052</v>
      </c>
      <c r="CG34" s="206">
        <v>3</v>
      </c>
      <c r="CH34" s="204" t="s">
        <v>585</v>
      </c>
      <c r="CI34" s="206">
        <v>3</v>
      </c>
      <c r="CJ34" s="193">
        <v>1</v>
      </c>
      <c r="CK34" s="206">
        <v>37330</v>
      </c>
      <c r="CL34" s="204">
        <v>17</v>
      </c>
      <c r="CM34" s="204">
        <v>141113</v>
      </c>
      <c r="CN34" s="204">
        <v>135978</v>
      </c>
      <c r="CO34" s="204" t="s">
        <v>585</v>
      </c>
      <c r="CP34" s="204" t="s">
        <v>585</v>
      </c>
      <c r="CQ34" s="204">
        <v>296</v>
      </c>
      <c r="CR34" s="204" t="s">
        <v>585</v>
      </c>
      <c r="CS34" s="204">
        <v>19</v>
      </c>
      <c r="CT34" s="204">
        <v>10</v>
      </c>
      <c r="CU34" s="204" t="s">
        <v>585</v>
      </c>
      <c r="CV34" s="206">
        <v>314763</v>
      </c>
      <c r="CW34" s="203">
        <v>1947</v>
      </c>
      <c r="CX34" s="204">
        <v>38</v>
      </c>
      <c r="CY34" s="204">
        <v>4</v>
      </c>
      <c r="CZ34" s="204">
        <v>25</v>
      </c>
      <c r="DA34" s="204" t="s">
        <v>585</v>
      </c>
      <c r="DB34" s="204">
        <v>2</v>
      </c>
      <c r="DC34" s="204" t="s">
        <v>585</v>
      </c>
      <c r="DD34" s="202">
        <v>2016</v>
      </c>
      <c r="DE34" s="206" t="s">
        <v>585</v>
      </c>
      <c r="DF34" s="203" t="s">
        <v>585</v>
      </c>
      <c r="DG34" s="204" t="s">
        <v>585</v>
      </c>
      <c r="DH34" s="202" t="s">
        <v>585</v>
      </c>
      <c r="DI34" s="206">
        <v>41</v>
      </c>
      <c r="DJ34" s="204" t="s">
        <v>585</v>
      </c>
      <c r="DK34" s="206">
        <v>41</v>
      </c>
      <c r="DL34" s="193">
        <v>68</v>
      </c>
      <c r="DM34" s="206">
        <v>135297</v>
      </c>
      <c r="DN34" s="204">
        <v>2</v>
      </c>
      <c r="DO34" s="206">
        <v>135299</v>
      </c>
      <c r="DP34" s="203">
        <v>708</v>
      </c>
      <c r="DQ34" s="204">
        <v>3</v>
      </c>
      <c r="DR34" s="202">
        <v>711</v>
      </c>
      <c r="DS34" s="206">
        <v>22</v>
      </c>
      <c r="DT34" s="193">
        <v>7</v>
      </c>
      <c r="DU34" s="206">
        <v>59</v>
      </c>
      <c r="DV34" s="204" t="s">
        <v>585</v>
      </c>
      <c r="DW34" s="206">
        <v>59</v>
      </c>
      <c r="DX34" s="193">
        <v>3</v>
      </c>
      <c r="DY34" s="193" t="s">
        <v>585</v>
      </c>
      <c r="DZ34" s="206">
        <v>1894</v>
      </c>
      <c r="EA34" s="204">
        <v>22</v>
      </c>
      <c r="EB34" s="204">
        <v>1453</v>
      </c>
      <c r="EC34" s="204">
        <v>47</v>
      </c>
      <c r="ED34" s="204" t="s">
        <v>585</v>
      </c>
      <c r="EE34" s="204" t="s">
        <v>585</v>
      </c>
      <c r="EF34" s="204" t="s">
        <v>585</v>
      </c>
      <c r="EG34" s="206">
        <v>3416</v>
      </c>
      <c r="EH34" s="203">
        <v>4</v>
      </c>
      <c r="EI34" s="204">
        <v>397</v>
      </c>
      <c r="EJ34" s="204" t="s">
        <v>585</v>
      </c>
      <c r="EK34" s="204">
        <v>4</v>
      </c>
      <c r="EL34" s="204">
        <v>565</v>
      </c>
      <c r="EM34" s="204">
        <v>300</v>
      </c>
      <c r="EN34" s="204" t="s">
        <v>585</v>
      </c>
      <c r="EO34" s="204">
        <v>1</v>
      </c>
      <c r="EP34" s="204">
        <v>184</v>
      </c>
      <c r="EQ34" s="204" t="s">
        <v>585</v>
      </c>
      <c r="ER34" s="204" t="s">
        <v>585</v>
      </c>
      <c r="ES34" s="204" t="s">
        <v>585</v>
      </c>
      <c r="ET34" s="204" t="s">
        <v>585</v>
      </c>
      <c r="EU34" s="202">
        <v>1455</v>
      </c>
      <c r="EV34" s="206" t="s">
        <v>585</v>
      </c>
      <c r="EW34" s="193" t="s">
        <v>585</v>
      </c>
      <c r="EX34" s="206">
        <v>37</v>
      </c>
      <c r="EY34" s="204">
        <v>7</v>
      </c>
      <c r="EZ34" s="204">
        <v>19</v>
      </c>
      <c r="FA34" s="206">
        <v>63</v>
      </c>
      <c r="FB34" s="193" t="s">
        <v>585</v>
      </c>
      <c r="FC34" s="206">
        <v>41</v>
      </c>
      <c r="FD34" s="203">
        <v>1042</v>
      </c>
      <c r="FE34" s="204">
        <v>15</v>
      </c>
      <c r="FF34" s="204">
        <v>195</v>
      </c>
      <c r="FG34" s="204">
        <v>5</v>
      </c>
      <c r="FH34" s="202">
        <v>1257</v>
      </c>
      <c r="FI34" s="206" t="s">
        <v>585</v>
      </c>
      <c r="FJ34" s="204">
        <v>3</v>
      </c>
      <c r="FK34" s="206">
        <v>3</v>
      </c>
      <c r="FL34" s="203" t="s">
        <v>585</v>
      </c>
      <c r="FM34" s="204" t="s">
        <v>585</v>
      </c>
      <c r="FN34" s="202" t="s">
        <v>585</v>
      </c>
      <c r="FO34" s="206" t="s">
        <v>585</v>
      </c>
      <c r="FP34" s="193">
        <v>2457</v>
      </c>
      <c r="FQ34" s="206">
        <v>43</v>
      </c>
      <c r="FR34" s="204">
        <v>49</v>
      </c>
      <c r="FS34" s="204">
        <v>7</v>
      </c>
      <c r="FT34" s="206">
        <v>99</v>
      </c>
      <c r="FU34" s="203">
        <v>14517</v>
      </c>
      <c r="FV34" s="204">
        <v>28</v>
      </c>
      <c r="FW34" s="202">
        <v>14545</v>
      </c>
      <c r="FX34" s="206" t="s">
        <v>585</v>
      </c>
      <c r="FY34" s="203" t="s">
        <v>585</v>
      </c>
      <c r="FZ34" s="204">
        <v>8</v>
      </c>
      <c r="GA34" s="204" t="s">
        <v>585</v>
      </c>
      <c r="GB34" s="202">
        <v>8</v>
      </c>
      <c r="GC34" s="206">
        <v>169</v>
      </c>
      <c r="GD34" s="203" t="s">
        <v>585</v>
      </c>
      <c r="GE34" s="204" t="s">
        <v>585</v>
      </c>
      <c r="GF34" s="204">
        <v>5</v>
      </c>
      <c r="GG34" s="204" t="s">
        <v>585</v>
      </c>
      <c r="GH34" s="202">
        <v>5</v>
      </c>
      <c r="GI34" s="193">
        <v>733114</v>
      </c>
      <c r="GJ34" s="368">
        <f>733114/45058286</f>
        <v>1.6270348144179297E-2</v>
      </c>
      <c r="GK34" s="382"/>
    </row>
    <row r="35" spans="2:193" s="76" customFormat="1" ht="12.75" customHeight="1" thickBot="1" x14ac:dyDescent="0.25">
      <c r="B35" s="363" t="s">
        <v>546</v>
      </c>
      <c r="C35" s="266">
        <v>61636</v>
      </c>
      <c r="D35" s="264" t="s">
        <v>585</v>
      </c>
      <c r="E35" s="264">
        <v>16</v>
      </c>
      <c r="F35" s="264" t="s">
        <v>585</v>
      </c>
      <c r="G35" s="267">
        <v>61652</v>
      </c>
      <c r="H35" s="265" t="s">
        <v>585</v>
      </c>
      <c r="I35" s="263">
        <v>136</v>
      </c>
      <c r="J35" s="264" t="s">
        <v>585</v>
      </c>
      <c r="K35" s="263">
        <v>136</v>
      </c>
      <c r="L35" s="265" t="s">
        <v>585</v>
      </c>
      <c r="M35" s="265">
        <v>211373</v>
      </c>
      <c r="N35" s="263">
        <v>2992</v>
      </c>
      <c r="O35" s="264">
        <v>295</v>
      </c>
      <c r="P35" s="264">
        <v>412858</v>
      </c>
      <c r="Q35" s="264">
        <v>246</v>
      </c>
      <c r="R35" s="264">
        <v>382</v>
      </c>
      <c r="S35" s="264">
        <v>209</v>
      </c>
      <c r="T35" s="264">
        <v>11</v>
      </c>
      <c r="U35" s="263">
        <v>416993</v>
      </c>
      <c r="V35" s="266">
        <v>66</v>
      </c>
      <c r="W35" s="264">
        <v>79</v>
      </c>
      <c r="X35" s="267">
        <v>145</v>
      </c>
      <c r="Y35" s="263">
        <v>26868</v>
      </c>
      <c r="Z35" s="264">
        <v>28</v>
      </c>
      <c r="AA35" s="264">
        <v>23</v>
      </c>
      <c r="AB35" s="263">
        <v>26919</v>
      </c>
      <c r="AC35" s="266">
        <v>810</v>
      </c>
      <c r="AD35" s="264">
        <v>15</v>
      </c>
      <c r="AE35" s="264">
        <v>7</v>
      </c>
      <c r="AF35" s="267">
        <v>832</v>
      </c>
      <c r="AG35" s="263">
        <v>188</v>
      </c>
      <c r="AH35" s="264">
        <v>16</v>
      </c>
      <c r="AI35" s="264">
        <v>1</v>
      </c>
      <c r="AJ35" s="264">
        <v>4</v>
      </c>
      <c r="AK35" s="263">
        <v>209</v>
      </c>
      <c r="AL35" s="265">
        <v>17</v>
      </c>
      <c r="AM35" s="265" t="s">
        <v>585</v>
      </c>
      <c r="AN35" s="263">
        <v>126</v>
      </c>
      <c r="AO35" s="264">
        <v>1008</v>
      </c>
      <c r="AP35" s="263">
        <v>1134</v>
      </c>
      <c r="AQ35" s="266">
        <v>9</v>
      </c>
      <c r="AR35" s="264">
        <v>5</v>
      </c>
      <c r="AS35" s="264">
        <v>4</v>
      </c>
      <c r="AT35" s="264" t="s">
        <v>585</v>
      </c>
      <c r="AU35" s="264" t="s">
        <v>585</v>
      </c>
      <c r="AV35" s="264">
        <v>899</v>
      </c>
      <c r="AW35" s="264" t="s">
        <v>585</v>
      </c>
      <c r="AX35" s="267">
        <v>917</v>
      </c>
      <c r="AY35" s="263">
        <v>61</v>
      </c>
      <c r="AZ35" s="265">
        <v>8219</v>
      </c>
      <c r="BA35" s="263">
        <v>806</v>
      </c>
      <c r="BB35" s="379">
        <v>1683</v>
      </c>
      <c r="BC35" s="263">
        <v>7448</v>
      </c>
      <c r="BD35" s="263">
        <v>110</v>
      </c>
      <c r="BE35" s="380">
        <v>87</v>
      </c>
      <c r="BF35" s="263">
        <v>10134</v>
      </c>
      <c r="BG35" s="265">
        <v>6</v>
      </c>
      <c r="BH35" s="265" t="s">
        <v>585</v>
      </c>
      <c r="BI35" s="265" t="s">
        <v>585</v>
      </c>
      <c r="BJ35" s="265">
        <v>22</v>
      </c>
      <c r="BK35" s="263">
        <v>28511</v>
      </c>
      <c r="BL35" s="264">
        <v>46649</v>
      </c>
      <c r="BM35" s="263">
        <v>75160</v>
      </c>
      <c r="BN35" s="265">
        <v>18</v>
      </c>
      <c r="BO35" s="263">
        <v>419</v>
      </c>
      <c r="BP35" s="264">
        <v>27435</v>
      </c>
      <c r="BQ35" s="263">
        <v>27854</v>
      </c>
      <c r="BR35" s="266">
        <v>25058</v>
      </c>
      <c r="BS35" s="264">
        <v>1728</v>
      </c>
      <c r="BT35" s="264">
        <v>365</v>
      </c>
      <c r="BU35" s="264">
        <v>274</v>
      </c>
      <c r="BV35" s="264">
        <v>6</v>
      </c>
      <c r="BW35" s="264">
        <v>146066</v>
      </c>
      <c r="BX35" s="264">
        <v>2</v>
      </c>
      <c r="BY35" s="264">
        <v>23</v>
      </c>
      <c r="BZ35" s="264">
        <v>126</v>
      </c>
      <c r="CA35" s="264">
        <v>247</v>
      </c>
      <c r="CB35" s="264">
        <v>7115</v>
      </c>
      <c r="CC35" s="264">
        <v>346</v>
      </c>
      <c r="CD35" s="264" t="s">
        <v>585</v>
      </c>
      <c r="CE35" s="264" t="s">
        <v>585</v>
      </c>
      <c r="CF35" s="267">
        <v>181356</v>
      </c>
      <c r="CG35" s="263">
        <v>9</v>
      </c>
      <c r="CH35" s="264" t="s">
        <v>585</v>
      </c>
      <c r="CI35" s="263">
        <v>9</v>
      </c>
      <c r="CJ35" s="265">
        <v>47</v>
      </c>
      <c r="CK35" s="263">
        <v>420617</v>
      </c>
      <c r="CL35" s="264">
        <v>24</v>
      </c>
      <c r="CM35" s="264">
        <v>1568335</v>
      </c>
      <c r="CN35" s="264">
        <v>1021682</v>
      </c>
      <c r="CO35" s="264">
        <v>19</v>
      </c>
      <c r="CP35" s="264">
        <v>5</v>
      </c>
      <c r="CQ35" s="264">
        <v>393</v>
      </c>
      <c r="CR35" s="264">
        <v>3</v>
      </c>
      <c r="CS35" s="264">
        <v>21</v>
      </c>
      <c r="CT35" s="264">
        <v>10</v>
      </c>
      <c r="CU35" s="264" t="s">
        <v>585</v>
      </c>
      <c r="CV35" s="263">
        <v>3011109</v>
      </c>
      <c r="CW35" s="266">
        <v>45916</v>
      </c>
      <c r="CX35" s="264">
        <v>103</v>
      </c>
      <c r="CY35" s="264">
        <v>833</v>
      </c>
      <c r="CZ35" s="264">
        <v>38</v>
      </c>
      <c r="DA35" s="264">
        <v>56</v>
      </c>
      <c r="DB35" s="264">
        <v>7</v>
      </c>
      <c r="DC35" s="264">
        <v>5</v>
      </c>
      <c r="DD35" s="267">
        <v>46958</v>
      </c>
      <c r="DE35" s="263" t="s">
        <v>585</v>
      </c>
      <c r="DF35" s="266">
        <v>24</v>
      </c>
      <c r="DG35" s="264" t="s">
        <v>585</v>
      </c>
      <c r="DH35" s="267">
        <v>24</v>
      </c>
      <c r="DI35" s="263">
        <v>42</v>
      </c>
      <c r="DJ35" s="264" t="s">
        <v>585</v>
      </c>
      <c r="DK35" s="263">
        <v>42</v>
      </c>
      <c r="DL35" s="265">
        <v>95</v>
      </c>
      <c r="DM35" s="263">
        <v>137964</v>
      </c>
      <c r="DN35" s="264">
        <v>2</v>
      </c>
      <c r="DO35" s="263">
        <v>137966</v>
      </c>
      <c r="DP35" s="266">
        <v>917</v>
      </c>
      <c r="DQ35" s="264">
        <v>58</v>
      </c>
      <c r="DR35" s="267">
        <v>975</v>
      </c>
      <c r="DS35" s="263">
        <v>212</v>
      </c>
      <c r="DT35" s="265">
        <v>7</v>
      </c>
      <c r="DU35" s="263">
        <v>864</v>
      </c>
      <c r="DV35" s="264" t="s">
        <v>585</v>
      </c>
      <c r="DW35" s="263">
        <v>864</v>
      </c>
      <c r="DX35" s="265">
        <v>5</v>
      </c>
      <c r="DY35" s="265">
        <v>6</v>
      </c>
      <c r="DZ35" s="263">
        <v>4206</v>
      </c>
      <c r="EA35" s="264">
        <v>4536</v>
      </c>
      <c r="EB35" s="264">
        <v>5968</v>
      </c>
      <c r="EC35" s="264">
        <v>53</v>
      </c>
      <c r="ED35" s="264" t="s">
        <v>585</v>
      </c>
      <c r="EE35" s="264">
        <v>32</v>
      </c>
      <c r="EF35" s="264">
        <v>3</v>
      </c>
      <c r="EG35" s="263">
        <v>14798</v>
      </c>
      <c r="EH35" s="266">
        <v>5638</v>
      </c>
      <c r="EI35" s="264">
        <v>78803</v>
      </c>
      <c r="EJ35" s="264">
        <v>113</v>
      </c>
      <c r="EK35" s="264">
        <v>263</v>
      </c>
      <c r="EL35" s="264">
        <v>12154</v>
      </c>
      <c r="EM35" s="264">
        <v>42341</v>
      </c>
      <c r="EN35" s="264">
        <v>230</v>
      </c>
      <c r="EO35" s="264">
        <v>122</v>
      </c>
      <c r="EP35" s="264">
        <v>2424</v>
      </c>
      <c r="EQ35" s="264">
        <v>381</v>
      </c>
      <c r="ER35" s="264">
        <v>108</v>
      </c>
      <c r="ES35" s="264" t="s">
        <v>585</v>
      </c>
      <c r="ET35" s="264" t="s">
        <v>585</v>
      </c>
      <c r="EU35" s="267">
        <v>142577</v>
      </c>
      <c r="EV35" s="263">
        <v>146</v>
      </c>
      <c r="EW35" s="265">
        <v>9</v>
      </c>
      <c r="EX35" s="263">
        <v>43</v>
      </c>
      <c r="EY35" s="264">
        <v>3149</v>
      </c>
      <c r="EZ35" s="264">
        <v>24</v>
      </c>
      <c r="FA35" s="263">
        <v>3216</v>
      </c>
      <c r="FB35" s="265" t="s">
        <v>585</v>
      </c>
      <c r="FC35" s="263">
        <v>52</v>
      </c>
      <c r="FD35" s="266">
        <v>1060</v>
      </c>
      <c r="FE35" s="264">
        <v>21440</v>
      </c>
      <c r="FF35" s="264">
        <v>199</v>
      </c>
      <c r="FG35" s="264">
        <v>5</v>
      </c>
      <c r="FH35" s="267">
        <v>22704</v>
      </c>
      <c r="FI35" s="263">
        <v>2</v>
      </c>
      <c r="FJ35" s="264">
        <v>3</v>
      </c>
      <c r="FK35" s="263">
        <v>5</v>
      </c>
      <c r="FL35" s="266" t="s">
        <v>585</v>
      </c>
      <c r="FM35" s="264" t="s">
        <v>585</v>
      </c>
      <c r="FN35" s="267" t="s">
        <v>585</v>
      </c>
      <c r="FO35" s="263" t="s">
        <v>585</v>
      </c>
      <c r="FP35" s="265">
        <v>429970</v>
      </c>
      <c r="FQ35" s="263">
        <v>443</v>
      </c>
      <c r="FR35" s="264">
        <v>68</v>
      </c>
      <c r="FS35" s="264">
        <v>9</v>
      </c>
      <c r="FT35" s="263">
        <v>520</v>
      </c>
      <c r="FU35" s="266">
        <v>166082</v>
      </c>
      <c r="FV35" s="264">
        <v>28</v>
      </c>
      <c r="FW35" s="267">
        <v>166110</v>
      </c>
      <c r="FX35" s="263" t="s">
        <v>585</v>
      </c>
      <c r="FY35" s="266" t="s">
        <v>585</v>
      </c>
      <c r="FZ35" s="264">
        <v>141</v>
      </c>
      <c r="GA35" s="264">
        <v>5</v>
      </c>
      <c r="GB35" s="267">
        <v>146</v>
      </c>
      <c r="GC35" s="263">
        <v>197</v>
      </c>
      <c r="GD35" s="266" t="s">
        <v>585</v>
      </c>
      <c r="GE35" s="264">
        <v>1</v>
      </c>
      <c r="GF35" s="264">
        <v>7</v>
      </c>
      <c r="GG35" s="264" t="s">
        <v>585</v>
      </c>
      <c r="GH35" s="267">
        <v>8</v>
      </c>
      <c r="GI35" s="265">
        <v>5001934</v>
      </c>
      <c r="GJ35" s="369">
        <f>5001934/45058286</f>
        <v>0.11101030341012083</v>
      </c>
      <c r="GK35" s="383"/>
    </row>
    <row r="36" spans="2:193" ht="12" customHeight="1" x14ac:dyDescent="0.2">
      <c r="B36" s="359" t="s">
        <v>37</v>
      </c>
      <c r="C36" s="203">
        <v>13</v>
      </c>
      <c r="D36" s="204" t="s">
        <v>585</v>
      </c>
      <c r="E36" s="204">
        <v>14</v>
      </c>
      <c r="F36" s="204" t="s">
        <v>585</v>
      </c>
      <c r="G36" s="202">
        <v>27</v>
      </c>
      <c r="H36" s="193" t="s">
        <v>585</v>
      </c>
      <c r="I36" s="206" t="s">
        <v>585</v>
      </c>
      <c r="J36" s="204" t="s">
        <v>585</v>
      </c>
      <c r="K36" s="206" t="s">
        <v>585</v>
      </c>
      <c r="L36" s="193" t="s">
        <v>585</v>
      </c>
      <c r="M36" s="193">
        <v>175</v>
      </c>
      <c r="N36" s="206" t="s">
        <v>585</v>
      </c>
      <c r="O36" s="204">
        <v>4</v>
      </c>
      <c r="P36" s="204">
        <v>471</v>
      </c>
      <c r="Q36" s="204">
        <v>2</v>
      </c>
      <c r="R36" s="204">
        <v>1</v>
      </c>
      <c r="S36" s="204" t="s">
        <v>585</v>
      </c>
      <c r="T36" s="204" t="s">
        <v>585</v>
      </c>
      <c r="U36" s="206">
        <v>478</v>
      </c>
      <c r="V36" s="203">
        <v>2</v>
      </c>
      <c r="W36" s="204">
        <v>3</v>
      </c>
      <c r="X36" s="202">
        <v>5</v>
      </c>
      <c r="Y36" s="206">
        <v>17</v>
      </c>
      <c r="Z36" s="204" t="s">
        <v>585</v>
      </c>
      <c r="AA36" s="204" t="s">
        <v>585</v>
      </c>
      <c r="AB36" s="206">
        <v>17</v>
      </c>
      <c r="AC36" s="203">
        <v>15</v>
      </c>
      <c r="AD36" s="204" t="s">
        <v>585</v>
      </c>
      <c r="AE36" s="204" t="s">
        <v>585</v>
      </c>
      <c r="AF36" s="202">
        <v>15</v>
      </c>
      <c r="AG36" s="206" t="s">
        <v>585</v>
      </c>
      <c r="AH36" s="204" t="s">
        <v>585</v>
      </c>
      <c r="AI36" s="204" t="s">
        <v>585</v>
      </c>
      <c r="AJ36" s="204" t="s">
        <v>585</v>
      </c>
      <c r="AK36" s="206" t="s">
        <v>585</v>
      </c>
      <c r="AL36" s="193" t="s">
        <v>585</v>
      </c>
      <c r="AM36" s="193" t="s">
        <v>585</v>
      </c>
      <c r="AN36" s="206">
        <v>4</v>
      </c>
      <c r="AO36" s="204" t="s">
        <v>585</v>
      </c>
      <c r="AP36" s="206">
        <v>4</v>
      </c>
      <c r="AQ36" s="203" t="s">
        <v>585</v>
      </c>
      <c r="AR36" s="204" t="s">
        <v>585</v>
      </c>
      <c r="AS36" s="204" t="s">
        <v>585</v>
      </c>
      <c r="AT36" s="204" t="s">
        <v>585</v>
      </c>
      <c r="AU36" s="204" t="s">
        <v>585</v>
      </c>
      <c r="AV36" s="204" t="s">
        <v>585</v>
      </c>
      <c r="AW36" s="204" t="s">
        <v>585</v>
      </c>
      <c r="AX36" s="202" t="s">
        <v>585</v>
      </c>
      <c r="AY36" s="206" t="s">
        <v>585</v>
      </c>
      <c r="AZ36" s="193">
        <v>1</v>
      </c>
      <c r="BA36" s="206">
        <v>2</v>
      </c>
      <c r="BB36" s="377" t="s">
        <v>585</v>
      </c>
      <c r="BC36" s="206">
        <v>4</v>
      </c>
      <c r="BD36" s="206">
        <v>5</v>
      </c>
      <c r="BE36" s="378">
        <v>1</v>
      </c>
      <c r="BF36" s="206">
        <v>12</v>
      </c>
      <c r="BG36" s="193" t="s">
        <v>585</v>
      </c>
      <c r="BH36" s="193" t="s">
        <v>585</v>
      </c>
      <c r="BI36" s="193" t="s">
        <v>585</v>
      </c>
      <c r="BJ36" s="193" t="s">
        <v>585</v>
      </c>
      <c r="BK36" s="206" t="s">
        <v>585</v>
      </c>
      <c r="BL36" s="204" t="s">
        <v>585</v>
      </c>
      <c r="BM36" s="206" t="s">
        <v>585</v>
      </c>
      <c r="BN36" s="193" t="s">
        <v>585</v>
      </c>
      <c r="BO36" s="206" t="s">
        <v>585</v>
      </c>
      <c r="BP36" s="204" t="s">
        <v>585</v>
      </c>
      <c r="BQ36" s="206" t="s">
        <v>585</v>
      </c>
      <c r="BR36" s="203">
        <v>2</v>
      </c>
      <c r="BS36" s="204">
        <v>47</v>
      </c>
      <c r="BT36" s="204">
        <v>4</v>
      </c>
      <c r="BU36" s="204">
        <v>6</v>
      </c>
      <c r="BV36" s="204">
        <v>1</v>
      </c>
      <c r="BW36" s="204" t="s">
        <v>585</v>
      </c>
      <c r="BX36" s="204" t="s">
        <v>585</v>
      </c>
      <c r="BY36" s="204">
        <v>2</v>
      </c>
      <c r="BZ36" s="204">
        <v>10</v>
      </c>
      <c r="CA36" s="204">
        <v>3</v>
      </c>
      <c r="CB36" s="204" t="s">
        <v>585</v>
      </c>
      <c r="CC36" s="204" t="s">
        <v>585</v>
      </c>
      <c r="CD36" s="204" t="s">
        <v>585</v>
      </c>
      <c r="CE36" s="204" t="s">
        <v>585</v>
      </c>
      <c r="CF36" s="202">
        <v>75</v>
      </c>
      <c r="CG36" s="206">
        <v>36</v>
      </c>
      <c r="CH36" s="204" t="s">
        <v>585</v>
      </c>
      <c r="CI36" s="206">
        <v>36</v>
      </c>
      <c r="CJ36" s="193" t="s">
        <v>585</v>
      </c>
      <c r="CK36" s="206">
        <v>3425</v>
      </c>
      <c r="CL36" s="204">
        <v>5</v>
      </c>
      <c r="CM36" s="204">
        <v>11673</v>
      </c>
      <c r="CN36" s="204">
        <v>3526</v>
      </c>
      <c r="CO36" s="204" t="s">
        <v>585</v>
      </c>
      <c r="CP36" s="204" t="s">
        <v>585</v>
      </c>
      <c r="CQ36" s="204">
        <v>14</v>
      </c>
      <c r="CR36" s="204" t="s">
        <v>585</v>
      </c>
      <c r="CS36" s="204">
        <v>11</v>
      </c>
      <c r="CT36" s="204" t="s">
        <v>585</v>
      </c>
      <c r="CU36" s="204" t="s">
        <v>585</v>
      </c>
      <c r="CV36" s="206">
        <v>18654</v>
      </c>
      <c r="CW36" s="203">
        <v>85</v>
      </c>
      <c r="CX36" s="204">
        <v>25</v>
      </c>
      <c r="CY36" s="204">
        <v>135</v>
      </c>
      <c r="CZ36" s="204" t="s">
        <v>585</v>
      </c>
      <c r="DA36" s="204" t="s">
        <v>585</v>
      </c>
      <c r="DB36" s="204" t="s">
        <v>585</v>
      </c>
      <c r="DC36" s="204" t="s">
        <v>585</v>
      </c>
      <c r="DD36" s="202">
        <v>245</v>
      </c>
      <c r="DE36" s="206" t="s">
        <v>585</v>
      </c>
      <c r="DF36" s="203" t="s">
        <v>585</v>
      </c>
      <c r="DG36" s="204" t="s">
        <v>585</v>
      </c>
      <c r="DH36" s="202" t="s">
        <v>585</v>
      </c>
      <c r="DI36" s="206" t="s">
        <v>585</v>
      </c>
      <c r="DJ36" s="204" t="s">
        <v>585</v>
      </c>
      <c r="DK36" s="206" t="s">
        <v>585</v>
      </c>
      <c r="DL36" s="193">
        <v>2</v>
      </c>
      <c r="DM36" s="206" t="s">
        <v>585</v>
      </c>
      <c r="DN36" s="204" t="s">
        <v>585</v>
      </c>
      <c r="DO36" s="206" t="s">
        <v>585</v>
      </c>
      <c r="DP36" s="203">
        <v>522</v>
      </c>
      <c r="DQ36" s="204" t="s">
        <v>585</v>
      </c>
      <c r="DR36" s="202">
        <v>522</v>
      </c>
      <c r="DS36" s="206">
        <v>3</v>
      </c>
      <c r="DT36" s="193" t="s">
        <v>585</v>
      </c>
      <c r="DU36" s="206">
        <v>3</v>
      </c>
      <c r="DV36" s="204" t="s">
        <v>585</v>
      </c>
      <c r="DW36" s="206">
        <v>3</v>
      </c>
      <c r="DX36" s="193" t="s">
        <v>585</v>
      </c>
      <c r="DY36" s="193" t="s">
        <v>585</v>
      </c>
      <c r="DZ36" s="206">
        <v>41</v>
      </c>
      <c r="EA36" s="204">
        <v>5</v>
      </c>
      <c r="EB36" s="204">
        <v>2</v>
      </c>
      <c r="EC36" s="204" t="s">
        <v>585</v>
      </c>
      <c r="ED36" s="204" t="s">
        <v>585</v>
      </c>
      <c r="EE36" s="204" t="s">
        <v>585</v>
      </c>
      <c r="EF36" s="204" t="s">
        <v>585</v>
      </c>
      <c r="EG36" s="206">
        <v>48</v>
      </c>
      <c r="EH36" s="203">
        <v>6</v>
      </c>
      <c r="EI36" s="204">
        <v>141</v>
      </c>
      <c r="EJ36" s="204" t="s">
        <v>585</v>
      </c>
      <c r="EK36" s="204" t="s">
        <v>585</v>
      </c>
      <c r="EL36" s="204">
        <v>11</v>
      </c>
      <c r="EM36" s="204">
        <v>47</v>
      </c>
      <c r="EN36" s="204" t="s">
        <v>585</v>
      </c>
      <c r="EO36" s="204">
        <v>1</v>
      </c>
      <c r="EP36" s="204" t="s">
        <v>585</v>
      </c>
      <c r="EQ36" s="204" t="s">
        <v>585</v>
      </c>
      <c r="ER36" s="204" t="s">
        <v>585</v>
      </c>
      <c r="ES36" s="204" t="s">
        <v>585</v>
      </c>
      <c r="ET36" s="204" t="s">
        <v>585</v>
      </c>
      <c r="EU36" s="202">
        <v>206</v>
      </c>
      <c r="EV36" s="206" t="s">
        <v>585</v>
      </c>
      <c r="EW36" s="193" t="s">
        <v>585</v>
      </c>
      <c r="EX36" s="206" t="s">
        <v>585</v>
      </c>
      <c r="EY36" s="204" t="s">
        <v>585</v>
      </c>
      <c r="EZ36" s="204" t="s">
        <v>585</v>
      </c>
      <c r="FA36" s="206" t="s">
        <v>585</v>
      </c>
      <c r="FB36" s="193" t="s">
        <v>585</v>
      </c>
      <c r="FC36" s="206" t="s">
        <v>585</v>
      </c>
      <c r="FD36" s="203">
        <v>2</v>
      </c>
      <c r="FE36" s="204" t="s">
        <v>585</v>
      </c>
      <c r="FF36" s="204">
        <v>1</v>
      </c>
      <c r="FG36" s="204" t="s">
        <v>585</v>
      </c>
      <c r="FH36" s="202">
        <v>3</v>
      </c>
      <c r="FI36" s="206" t="s">
        <v>585</v>
      </c>
      <c r="FJ36" s="204" t="s">
        <v>585</v>
      </c>
      <c r="FK36" s="206" t="s">
        <v>585</v>
      </c>
      <c r="FL36" s="203" t="s">
        <v>585</v>
      </c>
      <c r="FM36" s="204" t="s">
        <v>585</v>
      </c>
      <c r="FN36" s="202" t="s">
        <v>585</v>
      </c>
      <c r="FO36" s="206" t="s">
        <v>585</v>
      </c>
      <c r="FP36" s="193">
        <v>2</v>
      </c>
      <c r="FQ36" s="206">
        <v>2</v>
      </c>
      <c r="FR36" s="204">
        <v>23</v>
      </c>
      <c r="FS36" s="204">
        <v>5</v>
      </c>
      <c r="FT36" s="206">
        <v>30</v>
      </c>
      <c r="FU36" s="203">
        <v>27</v>
      </c>
      <c r="FV36" s="204" t="s">
        <v>585</v>
      </c>
      <c r="FW36" s="202">
        <v>27</v>
      </c>
      <c r="FX36" s="206" t="s">
        <v>585</v>
      </c>
      <c r="FY36" s="203" t="s">
        <v>585</v>
      </c>
      <c r="FZ36" s="204" t="s">
        <v>585</v>
      </c>
      <c r="GA36" s="204" t="s">
        <v>585</v>
      </c>
      <c r="GB36" s="202" t="s">
        <v>585</v>
      </c>
      <c r="GC36" s="206">
        <v>8</v>
      </c>
      <c r="GD36" s="203">
        <v>2</v>
      </c>
      <c r="GE36" s="204">
        <v>1</v>
      </c>
      <c r="GF36" s="204">
        <v>4</v>
      </c>
      <c r="GG36" s="204" t="s">
        <v>585</v>
      </c>
      <c r="GH36" s="202">
        <v>7</v>
      </c>
      <c r="GI36" s="193">
        <v>20605</v>
      </c>
      <c r="GJ36" s="368">
        <f>20605/45058286</f>
        <v>4.5729657803672335E-4</v>
      </c>
      <c r="GK36" s="382"/>
    </row>
    <row r="37" spans="2:193" ht="12" customHeight="1" x14ac:dyDescent="0.2">
      <c r="B37" s="359" t="s">
        <v>64</v>
      </c>
      <c r="C37" s="203">
        <v>2286</v>
      </c>
      <c r="D37" s="204">
        <v>21</v>
      </c>
      <c r="E37" s="204">
        <v>45</v>
      </c>
      <c r="F37" s="204">
        <v>4</v>
      </c>
      <c r="G37" s="202">
        <v>2356</v>
      </c>
      <c r="H37" s="193" t="s">
        <v>585</v>
      </c>
      <c r="I37" s="206">
        <v>48</v>
      </c>
      <c r="J37" s="204">
        <v>1</v>
      </c>
      <c r="K37" s="206">
        <v>49</v>
      </c>
      <c r="L37" s="193" t="s">
        <v>585</v>
      </c>
      <c r="M37" s="193">
        <v>19144</v>
      </c>
      <c r="N37" s="206">
        <v>10</v>
      </c>
      <c r="O37" s="204">
        <v>35</v>
      </c>
      <c r="P37" s="204">
        <v>4202</v>
      </c>
      <c r="Q37" s="204">
        <v>33</v>
      </c>
      <c r="R37" s="204">
        <v>26</v>
      </c>
      <c r="S37" s="204" t="s">
        <v>585</v>
      </c>
      <c r="T37" s="204" t="s">
        <v>585</v>
      </c>
      <c r="U37" s="206">
        <v>4306</v>
      </c>
      <c r="V37" s="203">
        <v>21</v>
      </c>
      <c r="W37" s="204">
        <v>8</v>
      </c>
      <c r="X37" s="202">
        <v>29</v>
      </c>
      <c r="Y37" s="206">
        <v>750</v>
      </c>
      <c r="Z37" s="204">
        <v>1</v>
      </c>
      <c r="AA37" s="204" t="s">
        <v>585</v>
      </c>
      <c r="AB37" s="206">
        <v>751</v>
      </c>
      <c r="AC37" s="203">
        <v>1359</v>
      </c>
      <c r="AD37" s="204">
        <v>2</v>
      </c>
      <c r="AE37" s="204">
        <v>1</v>
      </c>
      <c r="AF37" s="202">
        <v>1362</v>
      </c>
      <c r="AG37" s="206">
        <v>3</v>
      </c>
      <c r="AH37" s="204">
        <v>1</v>
      </c>
      <c r="AI37" s="204" t="s">
        <v>585</v>
      </c>
      <c r="AJ37" s="204">
        <v>22</v>
      </c>
      <c r="AK37" s="206">
        <v>26</v>
      </c>
      <c r="AL37" s="193">
        <v>7</v>
      </c>
      <c r="AM37" s="193" t="s">
        <v>585</v>
      </c>
      <c r="AN37" s="206">
        <v>216</v>
      </c>
      <c r="AO37" s="204">
        <v>4</v>
      </c>
      <c r="AP37" s="206">
        <v>220</v>
      </c>
      <c r="AQ37" s="203">
        <v>60</v>
      </c>
      <c r="AR37" s="204" t="s">
        <v>585</v>
      </c>
      <c r="AS37" s="204" t="s">
        <v>585</v>
      </c>
      <c r="AT37" s="204" t="s">
        <v>585</v>
      </c>
      <c r="AU37" s="204">
        <v>16</v>
      </c>
      <c r="AV37" s="204" t="s">
        <v>585</v>
      </c>
      <c r="AW37" s="204" t="s">
        <v>585</v>
      </c>
      <c r="AX37" s="202">
        <v>76</v>
      </c>
      <c r="AY37" s="206">
        <v>1</v>
      </c>
      <c r="AZ37" s="193" t="s">
        <v>585</v>
      </c>
      <c r="BA37" s="206">
        <v>117</v>
      </c>
      <c r="BB37" s="377">
        <v>437</v>
      </c>
      <c r="BC37" s="206">
        <v>418</v>
      </c>
      <c r="BD37" s="206">
        <v>70</v>
      </c>
      <c r="BE37" s="378">
        <v>17</v>
      </c>
      <c r="BF37" s="206">
        <v>1059</v>
      </c>
      <c r="BG37" s="193" t="s">
        <v>585</v>
      </c>
      <c r="BH37" s="193" t="s">
        <v>585</v>
      </c>
      <c r="BI37" s="193" t="s">
        <v>585</v>
      </c>
      <c r="BJ37" s="193" t="s">
        <v>585</v>
      </c>
      <c r="BK37" s="206">
        <v>9</v>
      </c>
      <c r="BL37" s="204" t="s">
        <v>585</v>
      </c>
      <c r="BM37" s="206">
        <v>9</v>
      </c>
      <c r="BN37" s="193" t="s">
        <v>585</v>
      </c>
      <c r="BO37" s="206">
        <v>5</v>
      </c>
      <c r="BP37" s="204" t="s">
        <v>585</v>
      </c>
      <c r="BQ37" s="206">
        <v>5</v>
      </c>
      <c r="BR37" s="203">
        <v>4</v>
      </c>
      <c r="BS37" s="204">
        <v>2061</v>
      </c>
      <c r="BT37" s="204">
        <v>247</v>
      </c>
      <c r="BU37" s="204">
        <v>376</v>
      </c>
      <c r="BV37" s="204">
        <v>99</v>
      </c>
      <c r="BW37" s="204" t="s">
        <v>585</v>
      </c>
      <c r="BX37" s="204">
        <v>3</v>
      </c>
      <c r="BY37" s="204">
        <v>174</v>
      </c>
      <c r="BZ37" s="204">
        <v>165</v>
      </c>
      <c r="CA37" s="204">
        <v>420</v>
      </c>
      <c r="CB37" s="204" t="s">
        <v>585</v>
      </c>
      <c r="CC37" s="204" t="s">
        <v>585</v>
      </c>
      <c r="CD37" s="204" t="s">
        <v>585</v>
      </c>
      <c r="CE37" s="204" t="s">
        <v>585</v>
      </c>
      <c r="CF37" s="202">
        <v>3549</v>
      </c>
      <c r="CG37" s="206">
        <v>3</v>
      </c>
      <c r="CH37" s="204" t="s">
        <v>585</v>
      </c>
      <c r="CI37" s="206">
        <v>3</v>
      </c>
      <c r="CJ37" s="193">
        <v>1</v>
      </c>
      <c r="CK37" s="206">
        <v>75543</v>
      </c>
      <c r="CL37" s="204">
        <v>318</v>
      </c>
      <c r="CM37" s="204">
        <v>268963</v>
      </c>
      <c r="CN37" s="204">
        <v>33090</v>
      </c>
      <c r="CO37" s="204">
        <v>74</v>
      </c>
      <c r="CP37" s="204">
        <v>1</v>
      </c>
      <c r="CQ37" s="204">
        <v>126</v>
      </c>
      <c r="CR37" s="204" t="s">
        <v>585</v>
      </c>
      <c r="CS37" s="204">
        <v>53</v>
      </c>
      <c r="CT37" s="204">
        <v>1</v>
      </c>
      <c r="CU37" s="204">
        <v>3</v>
      </c>
      <c r="CV37" s="206">
        <v>378172</v>
      </c>
      <c r="CW37" s="203">
        <v>3001</v>
      </c>
      <c r="CX37" s="204">
        <v>1058</v>
      </c>
      <c r="CY37" s="204">
        <v>85</v>
      </c>
      <c r="CZ37" s="204">
        <v>317</v>
      </c>
      <c r="DA37" s="204" t="s">
        <v>585</v>
      </c>
      <c r="DB37" s="204" t="s">
        <v>585</v>
      </c>
      <c r="DC37" s="204" t="s">
        <v>585</v>
      </c>
      <c r="DD37" s="202">
        <v>4461</v>
      </c>
      <c r="DE37" s="206" t="s">
        <v>585</v>
      </c>
      <c r="DF37" s="203" t="s">
        <v>585</v>
      </c>
      <c r="DG37" s="204" t="s">
        <v>585</v>
      </c>
      <c r="DH37" s="202" t="s">
        <v>585</v>
      </c>
      <c r="DI37" s="206" t="s">
        <v>585</v>
      </c>
      <c r="DJ37" s="204" t="s">
        <v>585</v>
      </c>
      <c r="DK37" s="206" t="s">
        <v>585</v>
      </c>
      <c r="DL37" s="193">
        <v>38</v>
      </c>
      <c r="DM37" s="206" t="s">
        <v>585</v>
      </c>
      <c r="DN37" s="204" t="s">
        <v>585</v>
      </c>
      <c r="DO37" s="206" t="s">
        <v>585</v>
      </c>
      <c r="DP37" s="203">
        <v>3018</v>
      </c>
      <c r="DQ37" s="204" t="s">
        <v>585</v>
      </c>
      <c r="DR37" s="202">
        <v>3018</v>
      </c>
      <c r="DS37" s="206" t="s">
        <v>585</v>
      </c>
      <c r="DT37" s="193" t="s">
        <v>585</v>
      </c>
      <c r="DU37" s="206">
        <v>89</v>
      </c>
      <c r="DV37" s="204" t="s">
        <v>585</v>
      </c>
      <c r="DW37" s="206">
        <v>89</v>
      </c>
      <c r="DX37" s="193" t="s">
        <v>585</v>
      </c>
      <c r="DY37" s="193" t="s">
        <v>585</v>
      </c>
      <c r="DZ37" s="206">
        <v>3302</v>
      </c>
      <c r="EA37" s="204">
        <v>4</v>
      </c>
      <c r="EB37" s="204">
        <v>6</v>
      </c>
      <c r="EC37" s="204">
        <v>298</v>
      </c>
      <c r="ED37" s="204" t="s">
        <v>585</v>
      </c>
      <c r="EE37" s="204" t="s">
        <v>585</v>
      </c>
      <c r="EF37" s="204" t="s">
        <v>585</v>
      </c>
      <c r="EG37" s="206">
        <v>3610</v>
      </c>
      <c r="EH37" s="203">
        <v>115</v>
      </c>
      <c r="EI37" s="204">
        <v>636</v>
      </c>
      <c r="EJ37" s="204" t="s">
        <v>585</v>
      </c>
      <c r="EK37" s="204">
        <v>86</v>
      </c>
      <c r="EL37" s="204">
        <v>208</v>
      </c>
      <c r="EM37" s="204">
        <v>479</v>
      </c>
      <c r="EN37" s="204">
        <v>17</v>
      </c>
      <c r="EO37" s="204">
        <v>1</v>
      </c>
      <c r="EP37" s="204">
        <v>146</v>
      </c>
      <c r="EQ37" s="204" t="s">
        <v>585</v>
      </c>
      <c r="ER37" s="204">
        <v>1</v>
      </c>
      <c r="ES37" s="204" t="s">
        <v>585</v>
      </c>
      <c r="ET37" s="204">
        <v>1</v>
      </c>
      <c r="EU37" s="202">
        <v>1690</v>
      </c>
      <c r="EV37" s="206" t="s">
        <v>585</v>
      </c>
      <c r="EW37" s="193">
        <v>8</v>
      </c>
      <c r="EX37" s="206">
        <v>30</v>
      </c>
      <c r="EY37" s="204" t="s">
        <v>585</v>
      </c>
      <c r="EZ37" s="204" t="s">
        <v>585</v>
      </c>
      <c r="FA37" s="206">
        <v>30</v>
      </c>
      <c r="FB37" s="193" t="s">
        <v>585</v>
      </c>
      <c r="FC37" s="206">
        <v>34</v>
      </c>
      <c r="FD37" s="203">
        <v>365</v>
      </c>
      <c r="FE37" s="204" t="s">
        <v>585</v>
      </c>
      <c r="FF37" s="204">
        <v>78</v>
      </c>
      <c r="FG37" s="204">
        <v>57</v>
      </c>
      <c r="FH37" s="202">
        <v>500</v>
      </c>
      <c r="FI37" s="206" t="s">
        <v>585</v>
      </c>
      <c r="FJ37" s="204" t="s">
        <v>585</v>
      </c>
      <c r="FK37" s="206" t="s">
        <v>585</v>
      </c>
      <c r="FL37" s="203" t="s">
        <v>585</v>
      </c>
      <c r="FM37" s="204" t="s">
        <v>585</v>
      </c>
      <c r="FN37" s="202" t="s">
        <v>585</v>
      </c>
      <c r="FO37" s="206" t="s">
        <v>585</v>
      </c>
      <c r="FP37" s="193">
        <v>25</v>
      </c>
      <c r="FQ37" s="206">
        <v>2</v>
      </c>
      <c r="FR37" s="204">
        <v>643</v>
      </c>
      <c r="FS37" s="204">
        <v>61</v>
      </c>
      <c r="FT37" s="206">
        <v>706</v>
      </c>
      <c r="FU37" s="203">
        <v>9</v>
      </c>
      <c r="FV37" s="204">
        <v>52</v>
      </c>
      <c r="FW37" s="202">
        <v>61</v>
      </c>
      <c r="FX37" s="206" t="s">
        <v>585</v>
      </c>
      <c r="FY37" s="203" t="s">
        <v>585</v>
      </c>
      <c r="FZ37" s="204">
        <v>65</v>
      </c>
      <c r="GA37" s="204">
        <v>5</v>
      </c>
      <c r="GB37" s="202">
        <v>70</v>
      </c>
      <c r="GC37" s="206">
        <v>35</v>
      </c>
      <c r="GD37" s="203">
        <v>766</v>
      </c>
      <c r="GE37" s="204">
        <v>78</v>
      </c>
      <c r="GF37" s="204" t="s">
        <v>585</v>
      </c>
      <c r="GG37" s="204" t="s">
        <v>585</v>
      </c>
      <c r="GH37" s="202">
        <v>844</v>
      </c>
      <c r="GI37" s="193">
        <v>426344</v>
      </c>
      <c r="GJ37" s="368">
        <f>426344/45058286</f>
        <v>9.4620554363741213E-3</v>
      </c>
      <c r="GK37" s="382"/>
    </row>
    <row r="38" spans="2:193" ht="12" customHeight="1" x14ac:dyDescent="0.2">
      <c r="B38" s="359" t="s">
        <v>73</v>
      </c>
      <c r="C38" s="203">
        <v>210</v>
      </c>
      <c r="D38" s="204">
        <v>2</v>
      </c>
      <c r="E38" s="204">
        <v>18</v>
      </c>
      <c r="F38" s="204" t="s">
        <v>585</v>
      </c>
      <c r="G38" s="202">
        <v>230</v>
      </c>
      <c r="H38" s="193" t="s">
        <v>585</v>
      </c>
      <c r="I38" s="206">
        <v>16</v>
      </c>
      <c r="J38" s="204" t="s">
        <v>585</v>
      </c>
      <c r="K38" s="206">
        <v>16</v>
      </c>
      <c r="L38" s="193" t="s">
        <v>585</v>
      </c>
      <c r="M38" s="193">
        <v>747</v>
      </c>
      <c r="N38" s="206" t="s">
        <v>585</v>
      </c>
      <c r="O38" s="204">
        <v>3</v>
      </c>
      <c r="P38" s="204">
        <v>599</v>
      </c>
      <c r="Q38" s="204">
        <v>13</v>
      </c>
      <c r="R38" s="204">
        <v>2</v>
      </c>
      <c r="S38" s="204" t="s">
        <v>585</v>
      </c>
      <c r="T38" s="204" t="s">
        <v>585</v>
      </c>
      <c r="U38" s="206">
        <v>617</v>
      </c>
      <c r="V38" s="203">
        <v>3</v>
      </c>
      <c r="W38" s="204">
        <v>0</v>
      </c>
      <c r="X38" s="202">
        <v>3</v>
      </c>
      <c r="Y38" s="206">
        <v>64</v>
      </c>
      <c r="Z38" s="204" t="s">
        <v>585</v>
      </c>
      <c r="AA38" s="204" t="s">
        <v>585</v>
      </c>
      <c r="AB38" s="206">
        <v>64</v>
      </c>
      <c r="AC38" s="203">
        <v>343</v>
      </c>
      <c r="AD38" s="204">
        <v>1</v>
      </c>
      <c r="AE38" s="204" t="s">
        <v>585</v>
      </c>
      <c r="AF38" s="202">
        <v>344</v>
      </c>
      <c r="AG38" s="206">
        <v>1</v>
      </c>
      <c r="AH38" s="204">
        <v>3</v>
      </c>
      <c r="AI38" s="204" t="s">
        <v>585</v>
      </c>
      <c r="AJ38" s="204">
        <v>23</v>
      </c>
      <c r="AK38" s="206">
        <v>27</v>
      </c>
      <c r="AL38" s="193" t="s">
        <v>585</v>
      </c>
      <c r="AM38" s="193" t="s">
        <v>585</v>
      </c>
      <c r="AN38" s="206">
        <v>125</v>
      </c>
      <c r="AO38" s="204" t="s">
        <v>585</v>
      </c>
      <c r="AP38" s="206">
        <v>125</v>
      </c>
      <c r="AQ38" s="203">
        <v>4</v>
      </c>
      <c r="AR38" s="204" t="s">
        <v>585</v>
      </c>
      <c r="AS38" s="204" t="s">
        <v>585</v>
      </c>
      <c r="AT38" s="204" t="s">
        <v>585</v>
      </c>
      <c r="AU38" s="204" t="s">
        <v>585</v>
      </c>
      <c r="AV38" s="204" t="s">
        <v>585</v>
      </c>
      <c r="AW38" s="204" t="s">
        <v>585</v>
      </c>
      <c r="AX38" s="202">
        <v>4</v>
      </c>
      <c r="AY38" s="206" t="s">
        <v>585</v>
      </c>
      <c r="AZ38" s="193">
        <v>4</v>
      </c>
      <c r="BA38" s="206">
        <v>12</v>
      </c>
      <c r="BB38" s="377">
        <v>75</v>
      </c>
      <c r="BC38" s="206">
        <v>78</v>
      </c>
      <c r="BD38" s="206">
        <v>20</v>
      </c>
      <c r="BE38" s="378">
        <v>1</v>
      </c>
      <c r="BF38" s="206">
        <v>186</v>
      </c>
      <c r="BG38" s="193" t="s">
        <v>585</v>
      </c>
      <c r="BH38" s="193" t="s">
        <v>585</v>
      </c>
      <c r="BI38" s="193" t="s">
        <v>585</v>
      </c>
      <c r="BJ38" s="193" t="s">
        <v>585</v>
      </c>
      <c r="BK38" s="206">
        <v>12</v>
      </c>
      <c r="BL38" s="204" t="s">
        <v>585</v>
      </c>
      <c r="BM38" s="206">
        <v>12</v>
      </c>
      <c r="BN38" s="193">
        <v>14</v>
      </c>
      <c r="BO38" s="206" t="s">
        <v>585</v>
      </c>
      <c r="BP38" s="204">
        <v>1</v>
      </c>
      <c r="BQ38" s="206">
        <v>1</v>
      </c>
      <c r="BR38" s="203">
        <v>19</v>
      </c>
      <c r="BS38" s="204">
        <v>29</v>
      </c>
      <c r="BT38" s="204">
        <v>1</v>
      </c>
      <c r="BU38" s="204">
        <v>20</v>
      </c>
      <c r="BV38" s="204">
        <v>4</v>
      </c>
      <c r="BW38" s="204" t="s">
        <v>585</v>
      </c>
      <c r="BX38" s="204">
        <v>14</v>
      </c>
      <c r="BY38" s="204">
        <v>10</v>
      </c>
      <c r="BZ38" s="204">
        <v>2</v>
      </c>
      <c r="CA38" s="204">
        <v>31</v>
      </c>
      <c r="CB38" s="204" t="s">
        <v>585</v>
      </c>
      <c r="CC38" s="204" t="s">
        <v>585</v>
      </c>
      <c r="CD38" s="204" t="s">
        <v>585</v>
      </c>
      <c r="CE38" s="204" t="s">
        <v>585</v>
      </c>
      <c r="CF38" s="202">
        <v>130</v>
      </c>
      <c r="CG38" s="206">
        <v>2</v>
      </c>
      <c r="CH38" s="204" t="s">
        <v>585</v>
      </c>
      <c r="CI38" s="206">
        <v>2</v>
      </c>
      <c r="CJ38" s="193" t="s">
        <v>585</v>
      </c>
      <c r="CK38" s="206">
        <v>35099</v>
      </c>
      <c r="CL38" s="204">
        <v>173</v>
      </c>
      <c r="CM38" s="204">
        <v>64383</v>
      </c>
      <c r="CN38" s="204">
        <v>19253</v>
      </c>
      <c r="CO38" s="204">
        <v>25</v>
      </c>
      <c r="CP38" s="204">
        <v>27</v>
      </c>
      <c r="CQ38" s="204">
        <v>83</v>
      </c>
      <c r="CR38" s="204" t="s">
        <v>585</v>
      </c>
      <c r="CS38" s="204">
        <v>104</v>
      </c>
      <c r="CT38" s="204" t="s">
        <v>585</v>
      </c>
      <c r="CU38" s="204" t="s">
        <v>585</v>
      </c>
      <c r="CV38" s="206">
        <v>119147</v>
      </c>
      <c r="CW38" s="203">
        <v>181</v>
      </c>
      <c r="CX38" s="204">
        <v>92</v>
      </c>
      <c r="CY38" s="204">
        <v>254</v>
      </c>
      <c r="CZ38" s="204">
        <v>168</v>
      </c>
      <c r="DA38" s="204" t="s">
        <v>585</v>
      </c>
      <c r="DB38" s="204">
        <v>3</v>
      </c>
      <c r="DC38" s="204" t="s">
        <v>585</v>
      </c>
      <c r="DD38" s="202">
        <v>698</v>
      </c>
      <c r="DE38" s="206" t="s">
        <v>585</v>
      </c>
      <c r="DF38" s="203" t="s">
        <v>585</v>
      </c>
      <c r="DG38" s="204" t="s">
        <v>585</v>
      </c>
      <c r="DH38" s="202" t="s">
        <v>585</v>
      </c>
      <c r="DI38" s="206" t="s">
        <v>585</v>
      </c>
      <c r="DJ38" s="204" t="s">
        <v>585</v>
      </c>
      <c r="DK38" s="206" t="s">
        <v>585</v>
      </c>
      <c r="DL38" s="193">
        <v>3</v>
      </c>
      <c r="DM38" s="206" t="s">
        <v>585</v>
      </c>
      <c r="DN38" s="204" t="s">
        <v>585</v>
      </c>
      <c r="DO38" s="206" t="s">
        <v>585</v>
      </c>
      <c r="DP38" s="203">
        <v>948</v>
      </c>
      <c r="DQ38" s="204" t="s">
        <v>585</v>
      </c>
      <c r="DR38" s="202">
        <v>948</v>
      </c>
      <c r="DS38" s="206">
        <v>5</v>
      </c>
      <c r="DT38" s="193" t="s">
        <v>585</v>
      </c>
      <c r="DU38" s="206">
        <v>4</v>
      </c>
      <c r="DV38" s="204" t="s">
        <v>585</v>
      </c>
      <c r="DW38" s="206">
        <v>4</v>
      </c>
      <c r="DX38" s="193" t="s">
        <v>585</v>
      </c>
      <c r="DY38" s="193" t="s">
        <v>585</v>
      </c>
      <c r="DZ38" s="206">
        <v>369</v>
      </c>
      <c r="EA38" s="204">
        <v>2</v>
      </c>
      <c r="EB38" s="204">
        <v>7</v>
      </c>
      <c r="EC38" s="204" t="s">
        <v>585</v>
      </c>
      <c r="ED38" s="204" t="s">
        <v>585</v>
      </c>
      <c r="EE38" s="204" t="s">
        <v>585</v>
      </c>
      <c r="EF38" s="204" t="s">
        <v>585</v>
      </c>
      <c r="EG38" s="206">
        <v>378</v>
      </c>
      <c r="EH38" s="203">
        <v>31</v>
      </c>
      <c r="EI38" s="204">
        <v>30</v>
      </c>
      <c r="EJ38" s="204">
        <v>3</v>
      </c>
      <c r="EK38" s="204">
        <v>5</v>
      </c>
      <c r="EL38" s="204">
        <v>2217</v>
      </c>
      <c r="EM38" s="204">
        <v>93</v>
      </c>
      <c r="EN38" s="204">
        <v>2</v>
      </c>
      <c r="EO38" s="204">
        <v>3</v>
      </c>
      <c r="EP38" s="204">
        <v>493</v>
      </c>
      <c r="EQ38" s="204">
        <v>1</v>
      </c>
      <c r="ER38" s="204" t="s">
        <v>585</v>
      </c>
      <c r="ES38" s="204" t="s">
        <v>585</v>
      </c>
      <c r="ET38" s="204" t="s">
        <v>585</v>
      </c>
      <c r="EU38" s="202">
        <v>2878</v>
      </c>
      <c r="EV38" s="206" t="s">
        <v>585</v>
      </c>
      <c r="EW38" s="193" t="s">
        <v>585</v>
      </c>
      <c r="EX38" s="206">
        <v>39</v>
      </c>
      <c r="EY38" s="204">
        <v>4</v>
      </c>
      <c r="EZ38" s="204" t="s">
        <v>585</v>
      </c>
      <c r="FA38" s="206">
        <v>43</v>
      </c>
      <c r="FB38" s="193" t="s">
        <v>585</v>
      </c>
      <c r="FC38" s="206" t="s">
        <v>585</v>
      </c>
      <c r="FD38" s="203">
        <v>8</v>
      </c>
      <c r="FE38" s="204">
        <v>1</v>
      </c>
      <c r="FF38" s="204">
        <v>8</v>
      </c>
      <c r="FG38" s="204" t="s">
        <v>585</v>
      </c>
      <c r="FH38" s="202">
        <v>17</v>
      </c>
      <c r="FI38" s="206" t="s">
        <v>585</v>
      </c>
      <c r="FJ38" s="204" t="s">
        <v>585</v>
      </c>
      <c r="FK38" s="206" t="s">
        <v>585</v>
      </c>
      <c r="FL38" s="203" t="s">
        <v>585</v>
      </c>
      <c r="FM38" s="204" t="s">
        <v>585</v>
      </c>
      <c r="FN38" s="202" t="s">
        <v>585</v>
      </c>
      <c r="FO38" s="206" t="s">
        <v>585</v>
      </c>
      <c r="FP38" s="193">
        <v>71</v>
      </c>
      <c r="FQ38" s="206">
        <v>0</v>
      </c>
      <c r="FR38" s="204">
        <v>126</v>
      </c>
      <c r="FS38" s="204">
        <v>68</v>
      </c>
      <c r="FT38" s="206">
        <v>194</v>
      </c>
      <c r="FU38" s="203">
        <v>176</v>
      </c>
      <c r="FV38" s="204">
        <v>11</v>
      </c>
      <c r="FW38" s="202">
        <v>187</v>
      </c>
      <c r="FX38" s="206" t="s">
        <v>585</v>
      </c>
      <c r="FY38" s="203" t="s">
        <v>585</v>
      </c>
      <c r="FZ38" s="204" t="s">
        <v>585</v>
      </c>
      <c r="GA38" s="204" t="s">
        <v>585</v>
      </c>
      <c r="GB38" s="202" t="s">
        <v>585</v>
      </c>
      <c r="GC38" s="206">
        <v>44</v>
      </c>
      <c r="GD38" s="203" t="s">
        <v>585</v>
      </c>
      <c r="GE38" s="204">
        <v>6</v>
      </c>
      <c r="GF38" s="204" t="s">
        <v>585</v>
      </c>
      <c r="GG38" s="204" t="s">
        <v>585</v>
      </c>
      <c r="GH38" s="202">
        <v>6</v>
      </c>
      <c r="GI38" s="193">
        <v>127149</v>
      </c>
      <c r="GJ38" s="368">
        <f>127149/45058286</f>
        <v>2.8218783111279466E-3</v>
      </c>
      <c r="GK38" s="382"/>
    </row>
    <row r="39" spans="2:193" ht="12" customHeight="1" x14ac:dyDescent="0.2">
      <c r="B39" s="359" t="s">
        <v>83</v>
      </c>
      <c r="C39" s="203">
        <v>843</v>
      </c>
      <c r="D39" s="204">
        <v>157</v>
      </c>
      <c r="E39" s="204">
        <v>329</v>
      </c>
      <c r="F39" s="204">
        <v>366</v>
      </c>
      <c r="G39" s="202">
        <v>1695</v>
      </c>
      <c r="H39" s="193" t="s">
        <v>585</v>
      </c>
      <c r="I39" s="206">
        <v>1</v>
      </c>
      <c r="J39" s="204" t="s">
        <v>585</v>
      </c>
      <c r="K39" s="206">
        <v>1</v>
      </c>
      <c r="L39" s="193" t="s">
        <v>585</v>
      </c>
      <c r="M39" s="193">
        <v>602</v>
      </c>
      <c r="N39" s="206">
        <v>24</v>
      </c>
      <c r="O39" s="204">
        <v>1579</v>
      </c>
      <c r="P39" s="204">
        <v>1394</v>
      </c>
      <c r="Q39" s="204">
        <v>53</v>
      </c>
      <c r="R39" s="204">
        <v>10</v>
      </c>
      <c r="S39" s="204">
        <v>5</v>
      </c>
      <c r="T39" s="204" t="s">
        <v>585</v>
      </c>
      <c r="U39" s="206">
        <v>3065</v>
      </c>
      <c r="V39" s="203">
        <v>2</v>
      </c>
      <c r="W39" s="204">
        <v>9</v>
      </c>
      <c r="X39" s="202">
        <v>11</v>
      </c>
      <c r="Y39" s="206">
        <v>37</v>
      </c>
      <c r="Z39" s="204" t="s">
        <v>585</v>
      </c>
      <c r="AA39" s="204" t="s">
        <v>585</v>
      </c>
      <c r="AB39" s="206">
        <v>37</v>
      </c>
      <c r="AC39" s="203">
        <v>585</v>
      </c>
      <c r="AD39" s="204">
        <v>24</v>
      </c>
      <c r="AE39" s="204">
        <v>6</v>
      </c>
      <c r="AF39" s="202">
        <v>615</v>
      </c>
      <c r="AG39" s="206">
        <v>11</v>
      </c>
      <c r="AH39" s="204" t="s">
        <v>585</v>
      </c>
      <c r="AI39" s="204">
        <v>62</v>
      </c>
      <c r="AJ39" s="204">
        <v>163</v>
      </c>
      <c r="AK39" s="206">
        <v>236</v>
      </c>
      <c r="AL39" s="193">
        <v>25</v>
      </c>
      <c r="AM39" s="193" t="s">
        <v>585</v>
      </c>
      <c r="AN39" s="206">
        <v>2116</v>
      </c>
      <c r="AO39" s="204">
        <v>1</v>
      </c>
      <c r="AP39" s="206">
        <v>2117</v>
      </c>
      <c r="AQ39" s="203">
        <v>311</v>
      </c>
      <c r="AR39" s="204" t="s">
        <v>585</v>
      </c>
      <c r="AS39" s="204">
        <v>2</v>
      </c>
      <c r="AT39" s="204">
        <v>7</v>
      </c>
      <c r="AU39" s="204">
        <v>238</v>
      </c>
      <c r="AV39" s="204" t="s">
        <v>585</v>
      </c>
      <c r="AW39" s="204">
        <v>23</v>
      </c>
      <c r="AX39" s="202">
        <v>581</v>
      </c>
      <c r="AY39" s="206" t="s">
        <v>585</v>
      </c>
      <c r="AZ39" s="193">
        <v>5</v>
      </c>
      <c r="BA39" s="206">
        <v>4</v>
      </c>
      <c r="BB39" s="377">
        <v>34</v>
      </c>
      <c r="BC39" s="206">
        <v>35</v>
      </c>
      <c r="BD39" s="206">
        <v>3</v>
      </c>
      <c r="BE39" s="378">
        <v>2</v>
      </c>
      <c r="BF39" s="206">
        <v>78</v>
      </c>
      <c r="BG39" s="193" t="s">
        <v>585</v>
      </c>
      <c r="BH39" s="193" t="s">
        <v>585</v>
      </c>
      <c r="BI39" s="193" t="s">
        <v>585</v>
      </c>
      <c r="BJ39" s="193" t="s">
        <v>585</v>
      </c>
      <c r="BK39" s="206">
        <v>5</v>
      </c>
      <c r="BL39" s="204" t="s">
        <v>585</v>
      </c>
      <c r="BM39" s="206">
        <v>5</v>
      </c>
      <c r="BN39" s="193">
        <v>1071</v>
      </c>
      <c r="BO39" s="206" t="s">
        <v>585</v>
      </c>
      <c r="BP39" s="204" t="s">
        <v>585</v>
      </c>
      <c r="BQ39" s="206" t="s">
        <v>585</v>
      </c>
      <c r="BR39" s="203">
        <v>34</v>
      </c>
      <c r="BS39" s="204">
        <v>3993</v>
      </c>
      <c r="BT39" s="204">
        <v>893</v>
      </c>
      <c r="BU39" s="204">
        <v>858</v>
      </c>
      <c r="BV39" s="204">
        <v>27</v>
      </c>
      <c r="BW39" s="204" t="s">
        <v>585</v>
      </c>
      <c r="BX39" s="204">
        <v>189</v>
      </c>
      <c r="BY39" s="204">
        <v>542</v>
      </c>
      <c r="BZ39" s="204">
        <v>708</v>
      </c>
      <c r="CA39" s="204">
        <v>1104</v>
      </c>
      <c r="CB39" s="204" t="s">
        <v>585</v>
      </c>
      <c r="CC39" s="204" t="s">
        <v>585</v>
      </c>
      <c r="CD39" s="204">
        <v>40</v>
      </c>
      <c r="CE39" s="204">
        <v>51</v>
      </c>
      <c r="CF39" s="202">
        <v>8439</v>
      </c>
      <c r="CG39" s="206" t="s">
        <v>585</v>
      </c>
      <c r="CH39" s="204" t="s">
        <v>585</v>
      </c>
      <c r="CI39" s="206" t="s">
        <v>585</v>
      </c>
      <c r="CJ39" s="193" t="s">
        <v>585</v>
      </c>
      <c r="CK39" s="206">
        <v>7016</v>
      </c>
      <c r="CL39" s="204">
        <v>1622</v>
      </c>
      <c r="CM39" s="204">
        <v>27616</v>
      </c>
      <c r="CN39" s="204">
        <v>10915</v>
      </c>
      <c r="CO39" s="204">
        <v>43</v>
      </c>
      <c r="CP39" s="204">
        <v>157</v>
      </c>
      <c r="CQ39" s="204">
        <v>3135</v>
      </c>
      <c r="CR39" s="204">
        <v>13</v>
      </c>
      <c r="CS39" s="204">
        <v>3299</v>
      </c>
      <c r="CT39" s="204">
        <v>11</v>
      </c>
      <c r="CU39" s="204" t="s">
        <v>585</v>
      </c>
      <c r="CV39" s="206">
        <v>53827</v>
      </c>
      <c r="CW39" s="203">
        <v>481</v>
      </c>
      <c r="CX39" s="204">
        <v>6994</v>
      </c>
      <c r="CY39" s="204">
        <v>196</v>
      </c>
      <c r="CZ39" s="204">
        <v>3605</v>
      </c>
      <c r="DA39" s="204">
        <v>1</v>
      </c>
      <c r="DB39" s="204">
        <v>127</v>
      </c>
      <c r="DC39" s="204" t="s">
        <v>585</v>
      </c>
      <c r="DD39" s="202">
        <v>11404</v>
      </c>
      <c r="DE39" s="206" t="s">
        <v>585</v>
      </c>
      <c r="DF39" s="203" t="s">
        <v>585</v>
      </c>
      <c r="DG39" s="204" t="s">
        <v>585</v>
      </c>
      <c r="DH39" s="202" t="s">
        <v>585</v>
      </c>
      <c r="DI39" s="206" t="s">
        <v>585</v>
      </c>
      <c r="DJ39" s="204" t="s">
        <v>585</v>
      </c>
      <c r="DK39" s="206" t="s">
        <v>585</v>
      </c>
      <c r="DL39" s="193">
        <v>9</v>
      </c>
      <c r="DM39" s="206" t="s">
        <v>585</v>
      </c>
      <c r="DN39" s="204" t="s">
        <v>585</v>
      </c>
      <c r="DO39" s="206" t="s">
        <v>585</v>
      </c>
      <c r="DP39" s="203">
        <v>18542</v>
      </c>
      <c r="DQ39" s="204" t="s">
        <v>585</v>
      </c>
      <c r="DR39" s="202">
        <v>18542</v>
      </c>
      <c r="DS39" s="206">
        <v>2</v>
      </c>
      <c r="DT39" s="193" t="s">
        <v>585</v>
      </c>
      <c r="DU39" s="206">
        <v>16</v>
      </c>
      <c r="DV39" s="204" t="s">
        <v>585</v>
      </c>
      <c r="DW39" s="206">
        <v>16</v>
      </c>
      <c r="DX39" s="193" t="s">
        <v>585</v>
      </c>
      <c r="DY39" s="193" t="s">
        <v>585</v>
      </c>
      <c r="DZ39" s="206">
        <v>15855</v>
      </c>
      <c r="EA39" s="204">
        <v>1</v>
      </c>
      <c r="EB39" s="204">
        <v>219</v>
      </c>
      <c r="EC39" s="204">
        <v>2876</v>
      </c>
      <c r="ED39" s="204">
        <v>1</v>
      </c>
      <c r="EE39" s="204" t="s">
        <v>585</v>
      </c>
      <c r="EF39" s="204" t="s">
        <v>585</v>
      </c>
      <c r="EG39" s="206">
        <v>18952</v>
      </c>
      <c r="EH39" s="203">
        <v>92</v>
      </c>
      <c r="EI39" s="204">
        <v>203</v>
      </c>
      <c r="EJ39" s="204">
        <v>21</v>
      </c>
      <c r="EK39" s="204">
        <v>40</v>
      </c>
      <c r="EL39" s="204">
        <v>4197</v>
      </c>
      <c r="EM39" s="204">
        <v>512</v>
      </c>
      <c r="EN39" s="204">
        <v>20</v>
      </c>
      <c r="EO39" s="204">
        <v>212</v>
      </c>
      <c r="EP39" s="204">
        <v>840</v>
      </c>
      <c r="EQ39" s="204">
        <v>29</v>
      </c>
      <c r="ER39" s="204">
        <v>38</v>
      </c>
      <c r="ES39" s="204" t="s">
        <v>585</v>
      </c>
      <c r="ET39" s="204">
        <v>14</v>
      </c>
      <c r="EU39" s="202">
        <v>6218</v>
      </c>
      <c r="EV39" s="206" t="s">
        <v>585</v>
      </c>
      <c r="EW39" s="193" t="s">
        <v>585</v>
      </c>
      <c r="EX39" s="206">
        <v>200</v>
      </c>
      <c r="EY39" s="204">
        <v>6</v>
      </c>
      <c r="EZ39" s="204">
        <v>4</v>
      </c>
      <c r="FA39" s="206">
        <v>210</v>
      </c>
      <c r="FB39" s="193" t="s">
        <v>585</v>
      </c>
      <c r="FC39" s="206">
        <v>122</v>
      </c>
      <c r="FD39" s="203">
        <v>1487</v>
      </c>
      <c r="FE39" s="204" t="s">
        <v>585</v>
      </c>
      <c r="FF39" s="204">
        <v>366</v>
      </c>
      <c r="FG39" s="204">
        <v>110</v>
      </c>
      <c r="FH39" s="202">
        <v>1963</v>
      </c>
      <c r="FI39" s="206" t="s">
        <v>585</v>
      </c>
      <c r="FJ39" s="204" t="s">
        <v>585</v>
      </c>
      <c r="FK39" s="206" t="s">
        <v>585</v>
      </c>
      <c r="FL39" s="203">
        <v>1</v>
      </c>
      <c r="FM39" s="204" t="s">
        <v>585</v>
      </c>
      <c r="FN39" s="202">
        <v>1</v>
      </c>
      <c r="FO39" s="206" t="s">
        <v>585</v>
      </c>
      <c r="FP39" s="193">
        <v>15</v>
      </c>
      <c r="FQ39" s="206">
        <v>9</v>
      </c>
      <c r="FR39" s="204">
        <v>2226</v>
      </c>
      <c r="FS39" s="204">
        <v>282</v>
      </c>
      <c r="FT39" s="206">
        <v>2517</v>
      </c>
      <c r="FU39" s="203">
        <v>550</v>
      </c>
      <c r="FV39" s="204">
        <v>866</v>
      </c>
      <c r="FW39" s="202">
        <v>1416</v>
      </c>
      <c r="FX39" s="206" t="s">
        <v>585</v>
      </c>
      <c r="FY39" s="203" t="s">
        <v>585</v>
      </c>
      <c r="FZ39" s="204">
        <v>1</v>
      </c>
      <c r="GA39" s="204" t="s">
        <v>585</v>
      </c>
      <c r="GB39" s="202">
        <v>1</v>
      </c>
      <c r="GC39" s="206">
        <v>2022</v>
      </c>
      <c r="GD39" s="203">
        <v>2511</v>
      </c>
      <c r="GE39" s="204">
        <v>789</v>
      </c>
      <c r="GF39" s="204">
        <v>6</v>
      </c>
      <c r="GG39" s="204" t="s">
        <v>585</v>
      </c>
      <c r="GH39" s="202">
        <v>3306</v>
      </c>
      <c r="GI39" s="193">
        <v>139126</v>
      </c>
      <c r="GJ39" s="368">
        <f>139126/45058286</f>
        <v>3.0876895761192515E-3</v>
      </c>
      <c r="GK39" s="382"/>
    </row>
    <row r="40" spans="2:193" ht="12" customHeight="1" x14ac:dyDescent="0.2">
      <c r="B40" s="359" t="s">
        <v>107</v>
      </c>
      <c r="C40" s="203">
        <v>191</v>
      </c>
      <c r="D40" s="204">
        <v>30</v>
      </c>
      <c r="E40" s="204">
        <v>162</v>
      </c>
      <c r="F40" s="204">
        <v>374</v>
      </c>
      <c r="G40" s="202">
        <v>757</v>
      </c>
      <c r="H40" s="193" t="s">
        <v>585</v>
      </c>
      <c r="I40" s="206">
        <v>13</v>
      </c>
      <c r="J40" s="204">
        <v>1</v>
      </c>
      <c r="K40" s="206">
        <v>14</v>
      </c>
      <c r="L40" s="193" t="s">
        <v>585</v>
      </c>
      <c r="M40" s="193">
        <v>817</v>
      </c>
      <c r="N40" s="206">
        <v>4</v>
      </c>
      <c r="O40" s="204">
        <v>309</v>
      </c>
      <c r="P40" s="204">
        <v>5014</v>
      </c>
      <c r="Q40" s="204">
        <v>26</v>
      </c>
      <c r="R40" s="204">
        <v>15</v>
      </c>
      <c r="S40" s="204" t="s">
        <v>585</v>
      </c>
      <c r="T40" s="204" t="s">
        <v>585</v>
      </c>
      <c r="U40" s="206">
        <v>5368</v>
      </c>
      <c r="V40" s="203">
        <v>1</v>
      </c>
      <c r="W40" s="204">
        <v>3</v>
      </c>
      <c r="X40" s="202">
        <v>4</v>
      </c>
      <c r="Y40" s="206">
        <v>91</v>
      </c>
      <c r="Z40" s="204">
        <v>1</v>
      </c>
      <c r="AA40" s="204" t="s">
        <v>585</v>
      </c>
      <c r="AB40" s="206">
        <v>92</v>
      </c>
      <c r="AC40" s="203">
        <v>624</v>
      </c>
      <c r="AD40" s="204">
        <v>2</v>
      </c>
      <c r="AE40" s="204" t="s">
        <v>585</v>
      </c>
      <c r="AF40" s="202">
        <v>626</v>
      </c>
      <c r="AG40" s="206">
        <v>8</v>
      </c>
      <c r="AH40" s="204" t="s">
        <v>585</v>
      </c>
      <c r="AI40" s="204">
        <v>87</v>
      </c>
      <c r="AJ40" s="204">
        <v>144</v>
      </c>
      <c r="AK40" s="206">
        <v>239</v>
      </c>
      <c r="AL40" s="193">
        <v>23</v>
      </c>
      <c r="AM40" s="193" t="s">
        <v>585</v>
      </c>
      <c r="AN40" s="206">
        <v>1234</v>
      </c>
      <c r="AO40" s="204" t="s">
        <v>585</v>
      </c>
      <c r="AP40" s="206">
        <v>1234</v>
      </c>
      <c r="AQ40" s="203">
        <v>136</v>
      </c>
      <c r="AR40" s="204" t="s">
        <v>585</v>
      </c>
      <c r="AS40" s="204" t="s">
        <v>585</v>
      </c>
      <c r="AT40" s="204">
        <v>8</v>
      </c>
      <c r="AU40" s="204">
        <v>7</v>
      </c>
      <c r="AV40" s="204" t="s">
        <v>585</v>
      </c>
      <c r="AW40" s="204" t="s">
        <v>585</v>
      </c>
      <c r="AX40" s="202">
        <v>151</v>
      </c>
      <c r="AY40" s="206">
        <v>1</v>
      </c>
      <c r="AZ40" s="193">
        <v>1</v>
      </c>
      <c r="BA40" s="206">
        <v>3</v>
      </c>
      <c r="BB40" s="377">
        <v>60</v>
      </c>
      <c r="BC40" s="206">
        <v>70</v>
      </c>
      <c r="BD40" s="206">
        <v>39</v>
      </c>
      <c r="BE40" s="378">
        <v>8</v>
      </c>
      <c r="BF40" s="206">
        <v>180</v>
      </c>
      <c r="BG40" s="193" t="s">
        <v>585</v>
      </c>
      <c r="BH40" s="193" t="s">
        <v>585</v>
      </c>
      <c r="BI40" s="193" t="s">
        <v>585</v>
      </c>
      <c r="BJ40" s="193" t="s">
        <v>585</v>
      </c>
      <c r="BK40" s="206">
        <v>14</v>
      </c>
      <c r="BL40" s="204" t="s">
        <v>585</v>
      </c>
      <c r="BM40" s="206">
        <v>14</v>
      </c>
      <c r="BN40" s="193">
        <v>69</v>
      </c>
      <c r="BO40" s="206" t="s">
        <v>585</v>
      </c>
      <c r="BP40" s="204" t="s">
        <v>585</v>
      </c>
      <c r="BQ40" s="206" t="s">
        <v>585</v>
      </c>
      <c r="BR40" s="203">
        <v>7</v>
      </c>
      <c r="BS40" s="204">
        <v>1869</v>
      </c>
      <c r="BT40" s="204">
        <v>442</v>
      </c>
      <c r="BU40" s="204">
        <v>412</v>
      </c>
      <c r="BV40" s="204">
        <v>159</v>
      </c>
      <c r="BW40" s="204" t="s">
        <v>585</v>
      </c>
      <c r="BX40" s="204">
        <v>176</v>
      </c>
      <c r="BY40" s="204">
        <v>217</v>
      </c>
      <c r="BZ40" s="204">
        <v>167</v>
      </c>
      <c r="CA40" s="204">
        <v>456</v>
      </c>
      <c r="CB40" s="204" t="s">
        <v>585</v>
      </c>
      <c r="CC40" s="204" t="s">
        <v>585</v>
      </c>
      <c r="CD40" s="204">
        <v>12</v>
      </c>
      <c r="CE40" s="204">
        <v>19</v>
      </c>
      <c r="CF40" s="202">
        <v>3936</v>
      </c>
      <c r="CG40" s="206">
        <v>1</v>
      </c>
      <c r="CH40" s="204" t="s">
        <v>585</v>
      </c>
      <c r="CI40" s="206">
        <v>1</v>
      </c>
      <c r="CJ40" s="193" t="s">
        <v>585</v>
      </c>
      <c r="CK40" s="206">
        <v>23543</v>
      </c>
      <c r="CL40" s="204">
        <v>831</v>
      </c>
      <c r="CM40" s="204">
        <v>124649</v>
      </c>
      <c r="CN40" s="204">
        <v>30914</v>
      </c>
      <c r="CO40" s="204">
        <v>32</v>
      </c>
      <c r="CP40" s="204" t="s">
        <v>585</v>
      </c>
      <c r="CQ40" s="204">
        <v>2303</v>
      </c>
      <c r="CR40" s="204" t="s">
        <v>585</v>
      </c>
      <c r="CS40" s="204">
        <v>1207</v>
      </c>
      <c r="CT40" s="204">
        <v>9</v>
      </c>
      <c r="CU40" s="204">
        <v>13</v>
      </c>
      <c r="CV40" s="206">
        <v>183501</v>
      </c>
      <c r="CW40" s="203">
        <v>821</v>
      </c>
      <c r="CX40" s="204">
        <v>2724</v>
      </c>
      <c r="CY40" s="204">
        <v>27</v>
      </c>
      <c r="CZ40" s="204">
        <v>1435</v>
      </c>
      <c r="DA40" s="204" t="s">
        <v>585</v>
      </c>
      <c r="DB40" s="204">
        <v>72</v>
      </c>
      <c r="DC40" s="204">
        <v>1</v>
      </c>
      <c r="DD40" s="202">
        <v>5080</v>
      </c>
      <c r="DE40" s="206" t="s">
        <v>585</v>
      </c>
      <c r="DF40" s="203" t="s">
        <v>585</v>
      </c>
      <c r="DG40" s="204" t="s">
        <v>585</v>
      </c>
      <c r="DH40" s="202" t="s">
        <v>585</v>
      </c>
      <c r="DI40" s="206">
        <v>17</v>
      </c>
      <c r="DJ40" s="204" t="s">
        <v>585</v>
      </c>
      <c r="DK40" s="206">
        <v>17</v>
      </c>
      <c r="DL40" s="193">
        <v>22</v>
      </c>
      <c r="DM40" s="206" t="s">
        <v>585</v>
      </c>
      <c r="DN40" s="204" t="s">
        <v>585</v>
      </c>
      <c r="DO40" s="206" t="s">
        <v>585</v>
      </c>
      <c r="DP40" s="203">
        <v>9478</v>
      </c>
      <c r="DQ40" s="204">
        <v>1</v>
      </c>
      <c r="DR40" s="202">
        <v>9479</v>
      </c>
      <c r="DS40" s="206">
        <v>1</v>
      </c>
      <c r="DT40" s="193" t="s">
        <v>585</v>
      </c>
      <c r="DU40" s="206">
        <v>16</v>
      </c>
      <c r="DV40" s="204" t="s">
        <v>585</v>
      </c>
      <c r="DW40" s="206">
        <v>16</v>
      </c>
      <c r="DX40" s="193" t="s">
        <v>585</v>
      </c>
      <c r="DY40" s="193" t="s">
        <v>585</v>
      </c>
      <c r="DZ40" s="206">
        <v>7528</v>
      </c>
      <c r="EA40" s="204">
        <v>41</v>
      </c>
      <c r="EB40" s="204">
        <v>483</v>
      </c>
      <c r="EC40" s="204">
        <v>375</v>
      </c>
      <c r="ED40" s="204">
        <v>41</v>
      </c>
      <c r="EE40" s="204" t="s">
        <v>585</v>
      </c>
      <c r="EF40" s="204" t="s">
        <v>585</v>
      </c>
      <c r="EG40" s="206">
        <v>8468</v>
      </c>
      <c r="EH40" s="203">
        <v>82</v>
      </c>
      <c r="EI40" s="204">
        <v>512</v>
      </c>
      <c r="EJ40" s="204">
        <v>3</v>
      </c>
      <c r="EK40" s="204">
        <v>6</v>
      </c>
      <c r="EL40" s="204">
        <v>2631</v>
      </c>
      <c r="EM40" s="204">
        <v>533</v>
      </c>
      <c r="EN40" s="204">
        <v>1</v>
      </c>
      <c r="EO40" s="204">
        <v>33</v>
      </c>
      <c r="EP40" s="204">
        <v>228</v>
      </c>
      <c r="EQ40" s="204">
        <v>8</v>
      </c>
      <c r="ER40" s="204">
        <v>7</v>
      </c>
      <c r="ES40" s="204" t="s">
        <v>585</v>
      </c>
      <c r="ET40" s="204">
        <v>41</v>
      </c>
      <c r="EU40" s="202">
        <v>4085</v>
      </c>
      <c r="EV40" s="206" t="s">
        <v>585</v>
      </c>
      <c r="EW40" s="193">
        <v>8</v>
      </c>
      <c r="EX40" s="206">
        <v>68</v>
      </c>
      <c r="EY40" s="204" t="s">
        <v>585</v>
      </c>
      <c r="EZ40" s="204">
        <v>25</v>
      </c>
      <c r="FA40" s="206">
        <v>93</v>
      </c>
      <c r="FB40" s="193">
        <v>1</v>
      </c>
      <c r="FC40" s="206">
        <v>84</v>
      </c>
      <c r="FD40" s="203">
        <v>984</v>
      </c>
      <c r="FE40" s="204">
        <v>2</v>
      </c>
      <c r="FF40" s="204">
        <v>131</v>
      </c>
      <c r="FG40" s="204">
        <v>164</v>
      </c>
      <c r="FH40" s="202">
        <v>1281</v>
      </c>
      <c r="FI40" s="206">
        <v>1</v>
      </c>
      <c r="FJ40" s="204" t="s">
        <v>585</v>
      </c>
      <c r="FK40" s="206">
        <v>1</v>
      </c>
      <c r="FL40" s="203" t="s">
        <v>585</v>
      </c>
      <c r="FM40" s="204" t="s">
        <v>585</v>
      </c>
      <c r="FN40" s="202" t="s">
        <v>585</v>
      </c>
      <c r="FO40" s="206" t="s">
        <v>585</v>
      </c>
      <c r="FP40" s="193">
        <v>22</v>
      </c>
      <c r="FQ40" s="206">
        <v>2</v>
      </c>
      <c r="FR40" s="204">
        <v>1627</v>
      </c>
      <c r="FS40" s="204">
        <v>676</v>
      </c>
      <c r="FT40" s="206">
        <v>2305</v>
      </c>
      <c r="FU40" s="203">
        <v>257</v>
      </c>
      <c r="FV40" s="204">
        <v>69</v>
      </c>
      <c r="FW40" s="202">
        <v>326</v>
      </c>
      <c r="FX40" s="206" t="s">
        <v>585</v>
      </c>
      <c r="FY40" s="203" t="s">
        <v>585</v>
      </c>
      <c r="FZ40" s="204">
        <v>1</v>
      </c>
      <c r="GA40" s="204" t="s">
        <v>585</v>
      </c>
      <c r="GB40" s="202">
        <v>1</v>
      </c>
      <c r="GC40" s="206">
        <v>1096</v>
      </c>
      <c r="GD40" s="203">
        <v>534</v>
      </c>
      <c r="GE40" s="204">
        <v>119</v>
      </c>
      <c r="GF40" s="204">
        <v>64</v>
      </c>
      <c r="GG40" s="204" t="s">
        <v>585</v>
      </c>
      <c r="GH40" s="202">
        <v>717</v>
      </c>
      <c r="GI40" s="193">
        <v>230131</v>
      </c>
      <c r="GJ40" s="368">
        <f>230131/45058286</f>
        <v>5.1074068818330104E-3</v>
      </c>
      <c r="GK40" s="382"/>
    </row>
    <row r="41" spans="2:193" ht="12" customHeight="1" x14ac:dyDescent="0.2">
      <c r="B41" s="359" t="s">
        <v>114</v>
      </c>
      <c r="C41" s="203">
        <v>1046</v>
      </c>
      <c r="D41" s="204" t="s">
        <v>585</v>
      </c>
      <c r="E41" s="204" t="s">
        <v>585</v>
      </c>
      <c r="F41" s="204" t="s">
        <v>585</v>
      </c>
      <c r="G41" s="202">
        <v>1046</v>
      </c>
      <c r="H41" s="193" t="s">
        <v>585</v>
      </c>
      <c r="I41" s="206">
        <v>397131</v>
      </c>
      <c r="J41" s="204" t="s">
        <v>585</v>
      </c>
      <c r="K41" s="206">
        <v>397131</v>
      </c>
      <c r="L41" s="193" t="s">
        <v>585</v>
      </c>
      <c r="M41" s="193">
        <v>47949</v>
      </c>
      <c r="N41" s="206">
        <v>15</v>
      </c>
      <c r="O41" s="204" t="s">
        <v>585</v>
      </c>
      <c r="P41" s="204">
        <v>75030</v>
      </c>
      <c r="Q41" s="204">
        <v>2475</v>
      </c>
      <c r="R41" s="204">
        <v>8</v>
      </c>
      <c r="S41" s="204" t="s">
        <v>585</v>
      </c>
      <c r="T41" s="204" t="s">
        <v>585</v>
      </c>
      <c r="U41" s="206">
        <v>77528</v>
      </c>
      <c r="V41" s="203">
        <v>17386</v>
      </c>
      <c r="W41" s="204">
        <v>6539</v>
      </c>
      <c r="X41" s="202">
        <v>23925</v>
      </c>
      <c r="Y41" s="206">
        <v>25845</v>
      </c>
      <c r="Z41" s="204">
        <v>29</v>
      </c>
      <c r="AA41" s="204" t="s">
        <v>585</v>
      </c>
      <c r="AB41" s="206">
        <v>25874</v>
      </c>
      <c r="AC41" s="203">
        <v>564</v>
      </c>
      <c r="AD41" s="204" t="s">
        <v>585</v>
      </c>
      <c r="AE41" s="204" t="s">
        <v>585</v>
      </c>
      <c r="AF41" s="202">
        <v>564</v>
      </c>
      <c r="AG41" s="206">
        <v>27</v>
      </c>
      <c r="AH41" s="204">
        <v>1</v>
      </c>
      <c r="AI41" s="204" t="s">
        <v>585</v>
      </c>
      <c r="AJ41" s="204" t="s">
        <v>585</v>
      </c>
      <c r="AK41" s="206">
        <v>28</v>
      </c>
      <c r="AL41" s="193" t="s">
        <v>585</v>
      </c>
      <c r="AM41" s="193" t="s">
        <v>585</v>
      </c>
      <c r="AN41" s="206" t="s">
        <v>585</v>
      </c>
      <c r="AO41" s="204">
        <v>1</v>
      </c>
      <c r="AP41" s="206">
        <v>1</v>
      </c>
      <c r="AQ41" s="203">
        <v>31</v>
      </c>
      <c r="AR41" s="204" t="s">
        <v>585</v>
      </c>
      <c r="AS41" s="204" t="s">
        <v>585</v>
      </c>
      <c r="AT41" s="204" t="s">
        <v>585</v>
      </c>
      <c r="AU41" s="204" t="s">
        <v>585</v>
      </c>
      <c r="AV41" s="204" t="s">
        <v>585</v>
      </c>
      <c r="AW41" s="204" t="s">
        <v>585</v>
      </c>
      <c r="AX41" s="202">
        <v>31</v>
      </c>
      <c r="AY41" s="206">
        <v>58402</v>
      </c>
      <c r="AZ41" s="193">
        <v>29</v>
      </c>
      <c r="BA41" s="206">
        <v>1117</v>
      </c>
      <c r="BB41" s="377">
        <v>1724</v>
      </c>
      <c r="BC41" s="206">
        <v>7919</v>
      </c>
      <c r="BD41" s="206">
        <v>120</v>
      </c>
      <c r="BE41" s="378">
        <v>37</v>
      </c>
      <c r="BF41" s="206">
        <v>10917</v>
      </c>
      <c r="BG41" s="193">
        <v>3</v>
      </c>
      <c r="BH41" s="193" t="s">
        <v>585</v>
      </c>
      <c r="BI41" s="193">
        <v>33</v>
      </c>
      <c r="BJ41" s="193">
        <v>5</v>
      </c>
      <c r="BK41" s="206">
        <v>107</v>
      </c>
      <c r="BL41" s="204" t="s">
        <v>585</v>
      </c>
      <c r="BM41" s="206">
        <v>107</v>
      </c>
      <c r="BN41" s="193" t="s">
        <v>585</v>
      </c>
      <c r="BO41" s="206">
        <v>86662</v>
      </c>
      <c r="BP41" s="204">
        <v>412</v>
      </c>
      <c r="BQ41" s="206">
        <v>87074</v>
      </c>
      <c r="BR41" s="203">
        <v>47</v>
      </c>
      <c r="BS41" s="204">
        <v>4</v>
      </c>
      <c r="BT41" s="204">
        <v>4</v>
      </c>
      <c r="BU41" s="204" t="s">
        <v>585</v>
      </c>
      <c r="BV41" s="204" t="s">
        <v>585</v>
      </c>
      <c r="BW41" s="204" t="s">
        <v>585</v>
      </c>
      <c r="BX41" s="204" t="s">
        <v>585</v>
      </c>
      <c r="BY41" s="204" t="s">
        <v>585</v>
      </c>
      <c r="BZ41" s="204" t="s">
        <v>585</v>
      </c>
      <c r="CA41" s="204" t="s">
        <v>585</v>
      </c>
      <c r="CB41" s="204" t="s">
        <v>585</v>
      </c>
      <c r="CC41" s="204" t="s">
        <v>585</v>
      </c>
      <c r="CD41" s="204" t="s">
        <v>585</v>
      </c>
      <c r="CE41" s="204" t="s">
        <v>585</v>
      </c>
      <c r="CF41" s="202">
        <v>55</v>
      </c>
      <c r="CG41" s="206">
        <v>3356</v>
      </c>
      <c r="CH41" s="204" t="s">
        <v>585</v>
      </c>
      <c r="CI41" s="206">
        <v>3356</v>
      </c>
      <c r="CJ41" s="193">
        <v>33937</v>
      </c>
      <c r="CK41" s="206">
        <v>208577</v>
      </c>
      <c r="CL41" s="204">
        <v>11</v>
      </c>
      <c r="CM41" s="204">
        <v>661648</v>
      </c>
      <c r="CN41" s="204">
        <v>52131</v>
      </c>
      <c r="CO41" s="204">
        <v>54</v>
      </c>
      <c r="CP41" s="204">
        <v>17</v>
      </c>
      <c r="CQ41" s="204">
        <v>44</v>
      </c>
      <c r="CR41" s="204" t="s">
        <v>585</v>
      </c>
      <c r="CS41" s="204">
        <v>5</v>
      </c>
      <c r="CT41" s="204">
        <v>651</v>
      </c>
      <c r="CU41" s="204" t="s">
        <v>585</v>
      </c>
      <c r="CV41" s="206">
        <v>923138</v>
      </c>
      <c r="CW41" s="203">
        <v>63197</v>
      </c>
      <c r="CX41" s="204">
        <v>185</v>
      </c>
      <c r="CY41" s="204">
        <v>134</v>
      </c>
      <c r="CZ41" s="204" t="s">
        <v>585</v>
      </c>
      <c r="DA41" s="204">
        <v>2</v>
      </c>
      <c r="DB41" s="204" t="s">
        <v>585</v>
      </c>
      <c r="DC41" s="204" t="s">
        <v>585</v>
      </c>
      <c r="DD41" s="202">
        <v>63518</v>
      </c>
      <c r="DE41" s="206" t="s">
        <v>585</v>
      </c>
      <c r="DF41" s="203" t="s">
        <v>585</v>
      </c>
      <c r="DG41" s="204" t="s">
        <v>585</v>
      </c>
      <c r="DH41" s="202" t="s">
        <v>585</v>
      </c>
      <c r="DI41" s="206">
        <v>13</v>
      </c>
      <c r="DJ41" s="204">
        <v>1</v>
      </c>
      <c r="DK41" s="206">
        <v>14</v>
      </c>
      <c r="DL41" s="193">
        <v>56</v>
      </c>
      <c r="DM41" s="206" t="s">
        <v>585</v>
      </c>
      <c r="DN41" s="204" t="s">
        <v>585</v>
      </c>
      <c r="DO41" s="206" t="s">
        <v>585</v>
      </c>
      <c r="DP41" s="203">
        <v>294</v>
      </c>
      <c r="DQ41" s="204" t="s">
        <v>585</v>
      </c>
      <c r="DR41" s="202">
        <v>294</v>
      </c>
      <c r="DS41" s="206">
        <v>723</v>
      </c>
      <c r="DT41" s="193">
        <v>2</v>
      </c>
      <c r="DU41" s="206">
        <v>448</v>
      </c>
      <c r="DV41" s="204" t="s">
        <v>585</v>
      </c>
      <c r="DW41" s="206">
        <v>448</v>
      </c>
      <c r="DX41" s="193" t="s">
        <v>585</v>
      </c>
      <c r="DY41" s="193" t="s">
        <v>585</v>
      </c>
      <c r="DZ41" s="206">
        <v>82</v>
      </c>
      <c r="EA41" s="204">
        <v>149</v>
      </c>
      <c r="EB41" s="204">
        <v>497</v>
      </c>
      <c r="EC41" s="204" t="s">
        <v>585</v>
      </c>
      <c r="ED41" s="204" t="s">
        <v>585</v>
      </c>
      <c r="EE41" s="204" t="s">
        <v>585</v>
      </c>
      <c r="EF41" s="204" t="s">
        <v>585</v>
      </c>
      <c r="EG41" s="206">
        <v>728</v>
      </c>
      <c r="EH41" s="203">
        <v>112</v>
      </c>
      <c r="EI41" s="204">
        <v>689</v>
      </c>
      <c r="EJ41" s="204">
        <v>4</v>
      </c>
      <c r="EK41" s="204">
        <v>23</v>
      </c>
      <c r="EL41" s="204">
        <v>85</v>
      </c>
      <c r="EM41" s="204">
        <v>1107</v>
      </c>
      <c r="EN41" s="204">
        <v>17</v>
      </c>
      <c r="EO41" s="204" t="s">
        <v>585</v>
      </c>
      <c r="EP41" s="204">
        <v>37</v>
      </c>
      <c r="EQ41" s="204">
        <v>4</v>
      </c>
      <c r="ER41" s="204">
        <v>1</v>
      </c>
      <c r="ES41" s="204" t="s">
        <v>585</v>
      </c>
      <c r="ET41" s="204" t="s">
        <v>585</v>
      </c>
      <c r="EU41" s="202">
        <v>2079</v>
      </c>
      <c r="EV41" s="206">
        <v>1</v>
      </c>
      <c r="EW41" s="193" t="s">
        <v>585</v>
      </c>
      <c r="EX41" s="206" t="s">
        <v>585</v>
      </c>
      <c r="EY41" s="204" t="s">
        <v>585</v>
      </c>
      <c r="EZ41" s="204" t="s">
        <v>585</v>
      </c>
      <c r="FA41" s="206" t="s">
        <v>585</v>
      </c>
      <c r="FB41" s="193" t="s">
        <v>585</v>
      </c>
      <c r="FC41" s="206" t="s">
        <v>585</v>
      </c>
      <c r="FD41" s="203">
        <v>2</v>
      </c>
      <c r="FE41" s="204">
        <v>7</v>
      </c>
      <c r="FF41" s="204" t="s">
        <v>585</v>
      </c>
      <c r="FG41" s="204" t="s">
        <v>585</v>
      </c>
      <c r="FH41" s="202">
        <v>9</v>
      </c>
      <c r="FI41" s="206">
        <v>1</v>
      </c>
      <c r="FJ41" s="204" t="s">
        <v>585</v>
      </c>
      <c r="FK41" s="206">
        <v>1</v>
      </c>
      <c r="FL41" s="203" t="s">
        <v>585</v>
      </c>
      <c r="FM41" s="204" t="s">
        <v>585</v>
      </c>
      <c r="FN41" s="202" t="s">
        <v>585</v>
      </c>
      <c r="FO41" s="206" t="s">
        <v>585</v>
      </c>
      <c r="FP41" s="193">
        <v>16108</v>
      </c>
      <c r="FQ41" s="206">
        <v>8</v>
      </c>
      <c r="FR41" s="204">
        <v>3</v>
      </c>
      <c r="FS41" s="204">
        <v>1</v>
      </c>
      <c r="FT41" s="206">
        <v>12</v>
      </c>
      <c r="FU41" s="203">
        <v>414</v>
      </c>
      <c r="FV41" s="204">
        <v>1</v>
      </c>
      <c r="FW41" s="202">
        <v>415</v>
      </c>
      <c r="FX41" s="206" t="s">
        <v>585</v>
      </c>
      <c r="FY41" s="203" t="s">
        <v>585</v>
      </c>
      <c r="FZ41" s="204">
        <v>317370</v>
      </c>
      <c r="GA41" s="204">
        <v>9519</v>
      </c>
      <c r="GB41" s="202">
        <v>326889</v>
      </c>
      <c r="GC41" s="206">
        <v>291</v>
      </c>
      <c r="GD41" s="203" t="s">
        <v>585</v>
      </c>
      <c r="GE41" s="204" t="s">
        <v>585</v>
      </c>
      <c r="GF41" s="204">
        <v>164</v>
      </c>
      <c r="GG41" s="204">
        <v>5</v>
      </c>
      <c r="GH41" s="202">
        <v>169</v>
      </c>
      <c r="GI41" s="193">
        <v>2102890</v>
      </c>
      <c r="GJ41" s="368">
        <f>2102890/45058286</f>
        <v>4.6670439261715373E-2</v>
      </c>
      <c r="GK41" s="382"/>
    </row>
    <row r="42" spans="2:193" ht="12" customHeight="1" x14ac:dyDescent="0.2">
      <c r="B42" s="359" t="s">
        <v>159</v>
      </c>
      <c r="C42" s="203">
        <v>329</v>
      </c>
      <c r="D42" s="204" t="s">
        <v>585</v>
      </c>
      <c r="E42" s="204" t="s">
        <v>585</v>
      </c>
      <c r="F42" s="204">
        <v>2</v>
      </c>
      <c r="G42" s="202">
        <v>331</v>
      </c>
      <c r="H42" s="193" t="s">
        <v>585</v>
      </c>
      <c r="I42" s="206">
        <v>7</v>
      </c>
      <c r="J42" s="204" t="s">
        <v>585</v>
      </c>
      <c r="K42" s="206">
        <v>7</v>
      </c>
      <c r="L42" s="193" t="s">
        <v>585</v>
      </c>
      <c r="M42" s="193">
        <v>4219</v>
      </c>
      <c r="N42" s="206">
        <v>4</v>
      </c>
      <c r="O42" s="204">
        <v>3</v>
      </c>
      <c r="P42" s="204">
        <v>372</v>
      </c>
      <c r="Q42" s="204">
        <v>11</v>
      </c>
      <c r="R42" s="204">
        <v>24</v>
      </c>
      <c r="S42" s="204" t="s">
        <v>585</v>
      </c>
      <c r="T42" s="204" t="s">
        <v>585</v>
      </c>
      <c r="U42" s="206">
        <v>414</v>
      </c>
      <c r="V42" s="203">
        <v>6</v>
      </c>
      <c r="W42" s="204">
        <v>1</v>
      </c>
      <c r="X42" s="202">
        <v>7</v>
      </c>
      <c r="Y42" s="206">
        <v>188</v>
      </c>
      <c r="Z42" s="204" t="s">
        <v>585</v>
      </c>
      <c r="AA42" s="204" t="s">
        <v>585</v>
      </c>
      <c r="AB42" s="206">
        <v>188</v>
      </c>
      <c r="AC42" s="203">
        <v>383</v>
      </c>
      <c r="AD42" s="204" t="s">
        <v>585</v>
      </c>
      <c r="AE42" s="204" t="s">
        <v>585</v>
      </c>
      <c r="AF42" s="202">
        <v>383</v>
      </c>
      <c r="AG42" s="206">
        <v>2</v>
      </c>
      <c r="AH42" s="204">
        <v>3</v>
      </c>
      <c r="AI42" s="204" t="s">
        <v>585</v>
      </c>
      <c r="AJ42" s="204" t="s">
        <v>585</v>
      </c>
      <c r="AK42" s="206">
        <v>5</v>
      </c>
      <c r="AL42" s="193" t="s">
        <v>585</v>
      </c>
      <c r="AM42" s="193" t="s">
        <v>585</v>
      </c>
      <c r="AN42" s="206" t="s">
        <v>585</v>
      </c>
      <c r="AO42" s="204" t="s">
        <v>585</v>
      </c>
      <c r="AP42" s="206" t="s">
        <v>585</v>
      </c>
      <c r="AQ42" s="203">
        <v>2</v>
      </c>
      <c r="AR42" s="204" t="s">
        <v>585</v>
      </c>
      <c r="AS42" s="204">
        <v>1</v>
      </c>
      <c r="AT42" s="204" t="s">
        <v>585</v>
      </c>
      <c r="AU42" s="204" t="s">
        <v>585</v>
      </c>
      <c r="AV42" s="204" t="s">
        <v>585</v>
      </c>
      <c r="AW42" s="204" t="s">
        <v>585</v>
      </c>
      <c r="AX42" s="202">
        <v>3</v>
      </c>
      <c r="AY42" s="206">
        <v>2</v>
      </c>
      <c r="AZ42" s="193" t="s">
        <v>585</v>
      </c>
      <c r="BA42" s="206">
        <v>17</v>
      </c>
      <c r="BB42" s="377">
        <v>187</v>
      </c>
      <c r="BC42" s="206">
        <v>2022</v>
      </c>
      <c r="BD42" s="206">
        <v>112</v>
      </c>
      <c r="BE42" s="378">
        <v>5</v>
      </c>
      <c r="BF42" s="206">
        <v>2343</v>
      </c>
      <c r="BG42" s="193" t="s">
        <v>585</v>
      </c>
      <c r="BH42" s="193" t="s">
        <v>585</v>
      </c>
      <c r="BI42" s="193" t="s">
        <v>585</v>
      </c>
      <c r="BJ42" s="193" t="s">
        <v>585</v>
      </c>
      <c r="BK42" s="206">
        <v>1</v>
      </c>
      <c r="BL42" s="204" t="s">
        <v>585</v>
      </c>
      <c r="BM42" s="206">
        <v>1</v>
      </c>
      <c r="BN42" s="193" t="s">
        <v>585</v>
      </c>
      <c r="BO42" s="206">
        <v>2</v>
      </c>
      <c r="BP42" s="204" t="s">
        <v>585</v>
      </c>
      <c r="BQ42" s="206">
        <v>2</v>
      </c>
      <c r="BR42" s="203">
        <v>4</v>
      </c>
      <c r="BS42" s="204" t="s">
        <v>585</v>
      </c>
      <c r="BT42" s="204" t="s">
        <v>585</v>
      </c>
      <c r="BU42" s="204" t="s">
        <v>585</v>
      </c>
      <c r="BV42" s="204" t="s">
        <v>585</v>
      </c>
      <c r="BW42" s="204">
        <v>30</v>
      </c>
      <c r="BX42" s="204" t="s">
        <v>585</v>
      </c>
      <c r="BY42" s="204" t="s">
        <v>585</v>
      </c>
      <c r="BZ42" s="204" t="s">
        <v>585</v>
      </c>
      <c r="CA42" s="204" t="s">
        <v>585</v>
      </c>
      <c r="CB42" s="204" t="s">
        <v>585</v>
      </c>
      <c r="CC42" s="204" t="s">
        <v>585</v>
      </c>
      <c r="CD42" s="204">
        <v>14</v>
      </c>
      <c r="CE42" s="204" t="s">
        <v>585</v>
      </c>
      <c r="CF42" s="202">
        <v>48</v>
      </c>
      <c r="CG42" s="206" t="s">
        <v>585</v>
      </c>
      <c r="CH42" s="204" t="s">
        <v>585</v>
      </c>
      <c r="CI42" s="206" t="s">
        <v>585</v>
      </c>
      <c r="CJ42" s="193" t="s">
        <v>585</v>
      </c>
      <c r="CK42" s="206">
        <v>24900</v>
      </c>
      <c r="CL42" s="204">
        <v>2</v>
      </c>
      <c r="CM42" s="204">
        <v>67194</v>
      </c>
      <c r="CN42" s="204">
        <v>13322</v>
      </c>
      <c r="CO42" s="204">
        <v>14</v>
      </c>
      <c r="CP42" s="204" t="s">
        <v>585</v>
      </c>
      <c r="CQ42" s="204" t="s">
        <v>585</v>
      </c>
      <c r="CR42" s="204" t="s">
        <v>585</v>
      </c>
      <c r="CS42" s="204">
        <v>13</v>
      </c>
      <c r="CT42" s="204" t="s">
        <v>585</v>
      </c>
      <c r="CU42" s="204" t="s">
        <v>585</v>
      </c>
      <c r="CV42" s="206">
        <v>105445</v>
      </c>
      <c r="CW42" s="203">
        <v>212</v>
      </c>
      <c r="CX42" s="204">
        <v>46</v>
      </c>
      <c r="CY42" s="204">
        <v>47</v>
      </c>
      <c r="CZ42" s="204">
        <v>28</v>
      </c>
      <c r="DA42" s="204" t="s">
        <v>585</v>
      </c>
      <c r="DB42" s="204" t="s">
        <v>585</v>
      </c>
      <c r="DC42" s="204" t="s">
        <v>585</v>
      </c>
      <c r="DD42" s="202">
        <v>333</v>
      </c>
      <c r="DE42" s="206" t="s">
        <v>585</v>
      </c>
      <c r="DF42" s="203" t="s">
        <v>585</v>
      </c>
      <c r="DG42" s="204" t="s">
        <v>585</v>
      </c>
      <c r="DH42" s="202" t="s">
        <v>585</v>
      </c>
      <c r="DI42" s="206" t="s">
        <v>585</v>
      </c>
      <c r="DJ42" s="204" t="s">
        <v>585</v>
      </c>
      <c r="DK42" s="206" t="s">
        <v>585</v>
      </c>
      <c r="DL42" s="193">
        <v>4</v>
      </c>
      <c r="DM42" s="206" t="s">
        <v>585</v>
      </c>
      <c r="DN42" s="204" t="s">
        <v>585</v>
      </c>
      <c r="DO42" s="206" t="s">
        <v>585</v>
      </c>
      <c r="DP42" s="203">
        <v>35</v>
      </c>
      <c r="DQ42" s="204" t="s">
        <v>585</v>
      </c>
      <c r="DR42" s="202">
        <v>35</v>
      </c>
      <c r="DS42" s="206">
        <v>1</v>
      </c>
      <c r="DT42" s="193" t="s">
        <v>585</v>
      </c>
      <c r="DU42" s="206">
        <v>82</v>
      </c>
      <c r="DV42" s="204" t="s">
        <v>585</v>
      </c>
      <c r="DW42" s="206">
        <v>82</v>
      </c>
      <c r="DX42" s="193" t="s">
        <v>585</v>
      </c>
      <c r="DY42" s="193" t="s">
        <v>585</v>
      </c>
      <c r="DZ42" s="206">
        <v>6</v>
      </c>
      <c r="EA42" s="204">
        <v>2</v>
      </c>
      <c r="EB42" s="204">
        <v>6</v>
      </c>
      <c r="EC42" s="204" t="s">
        <v>585</v>
      </c>
      <c r="ED42" s="204" t="s">
        <v>585</v>
      </c>
      <c r="EE42" s="204" t="s">
        <v>585</v>
      </c>
      <c r="EF42" s="204" t="s">
        <v>585</v>
      </c>
      <c r="EG42" s="206">
        <v>14</v>
      </c>
      <c r="EH42" s="203">
        <v>38</v>
      </c>
      <c r="EI42" s="204">
        <v>90</v>
      </c>
      <c r="EJ42" s="204">
        <v>1</v>
      </c>
      <c r="EK42" s="204">
        <v>17</v>
      </c>
      <c r="EL42" s="204">
        <v>27</v>
      </c>
      <c r="EM42" s="204">
        <v>52</v>
      </c>
      <c r="EN42" s="204">
        <v>6</v>
      </c>
      <c r="EO42" s="204">
        <v>4</v>
      </c>
      <c r="EP42" s="204">
        <v>50</v>
      </c>
      <c r="EQ42" s="204" t="s">
        <v>585</v>
      </c>
      <c r="ER42" s="204" t="s">
        <v>585</v>
      </c>
      <c r="ES42" s="204" t="s">
        <v>585</v>
      </c>
      <c r="ET42" s="204" t="s">
        <v>585</v>
      </c>
      <c r="EU42" s="202">
        <v>285</v>
      </c>
      <c r="EV42" s="206" t="s">
        <v>585</v>
      </c>
      <c r="EW42" s="193" t="s">
        <v>585</v>
      </c>
      <c r="EX42" s="206" t="s">
        <v>585</v>
      </c>
      <c r="EY42" s="204" t="s">
        <v>585</v>
      </c>
      <c r="EZ42" s="204" t="s">
        <v>585</v>
      </c>
      <c r="FA42" s="206" t="s">
        <v>585</v>
      </c>
      <c r="FB42" s="193" t="s">
        <v>585</v>
      </c>
      <c r="FC42" s="206" t="s">
        <v>585</v>
      </c>
      <c r="FD42" s="203" t="s">
        <v>585</v>
      </c>
      <c r="FE42" s="204" t="s">
        <v>585</v>
      </c>
      <c r="FF42" s="204" t="s">
        <v>585</v>
      </c>
      <c r="FG42" s="204" t="s">
        <v>585</v>
      </c>
      <c r="FH42" s="202" t="s">
        <v>585</v>
      </c>
      <c r="FI42" s="206" t="s">
        <v>585</v>
      </c>
      <c r="FJ42" s="204" t="s">
        <v>585</v>
      </c>
      <c r="FK42" s="206" t="s">
        <v>585</v>
      </c>
      <c r="FL42" s="203" t="s">
        <v>585</v>
      </c>
      <c r="FM42" s="204" t="s">
        <v>585</v>
      </c>
      <c r="FN42" s="202" t="s">
        <v>585</v>
      </c>
      <c r="FO42" s="206" t="s">
        <v>585</v>
      </c>
      <c r="FP42" s="193">
        <v>18</v>
      </c>
      <c r="FQ42" s="206">
        <v>7</v>
      </c>
      <c r="FR42" s="204">
        <v>6</v>
      </c>
      <c r="FS42" s="204" t="s">
        <v>585</v>
      </c>
      <c r="FT42" s="206">
        <v>13</v>
      </c>
      <c r="FU42" s="203">
        <v>12</v>
      </c>
      <c r="FV42" s="204">
        <v>1</v>
      </c>
      <c r="FW42" s="202">
        <v>13</v>
      </c>
      <c r="FX42" s="206" t="s">
        <v>585</v>
      </c>
      <c r="FY42" s="203" t="s">
        <v>585</v>
      </c>
      <c r="FZ42" s="204">
        <v>16</v>
      </c>
      <c r="GA42" s="204">
        <v>2</v>
      </c>
      <c r="GB42" s="202">
        <v>18</v>
      </c>
      <c r="GC42" s="206" t="s">
        <v>585</v>
      </c>
      <c r="GD42" s="203" t="s">
        <v>585</v>
      </c>
      <c r="GE42" s="204" t="s">
        <v>585</v>
      </c>
      <c r="GF42" s="204" t="s">
        <v>585</v>
      </c>
      <c r="GG42" s="204" t="s">
        <v>585</v>
      </c>
      <c r="GH42" s="202" t="s">
        <v>585</v>
      </c>
      <c r="GI42" s="193">
        <v>114214</v>
      </c>
      <c r="GJ42" s="368">
        <f>114214/45058286</f>
        <v>2.5348056958935366E-3</v>
      </c>
      <c r="GK42" s="382"/>
    </row>
    <row r="43" spans="2:193" ht="12" customHeight="1" x14ac:dyDescent="0.2">
      <c r="B43" s="359" t="s">
        <v>190</v>
      </c>
      <c r="C43" s="203">
        <v>72</v>
      </c>
      <c r="D43" s="204" t="s">
        <v>585</v>
      </c>
      <c r="E43" s="204" t="s">
        <v>585</v>
      </c>
      <c r="F43" s="204">
        <v>11</v>
      </c>
      <c r="G43" s="202">
        <v>83</v>
      </c>
      <c r="H43" s="193" t="s">
        <v>585</v>
      </c>
      <c r="I43" s="206">
        <v>69</v>
      </c>
      <c r="J43" s="204" t="s">
        <v>585</v>
      </c>
      <c r="K43" s="206">
        <v>69</v>
      </c>
      <c r="L43" s="193" t="s">
        <v>585</v>
      </c>
      <c r="M43" s="193">
        <v>1385</v>
      </c>
      <c r="N43" s="206" t="s">
        <v>585</v>
      </c>
      <c r="O43" s="204">
        <v>28</v>
      </c>
      <c r="P43" s="204">
        <v>2640</v>
      </c>
      <c r="Q43" s="204">
        <v>50</v>
      </c>
      <c r="R43" s="204" t="s">
        <v>585</v>
      </c>
      <c r="S43" s="204" t="s">
        <v>585</v>
      </c>
      <c r="T43" s="204" t="s">
        <v>585</v>
      </c>
      <c r="U43" s="206">
        <v>2718</v>
      </c>
      <c r="V43" s="203" t="s">
        <v>585</v>
      </c>
      <c r="W43" s="204">
        <v>4</v>
      </c>
      <c r="X43" s="202">
        <v>4</v>
      </c>
      <c r="Y43" s="206">
        <v>83</v>
      </c>
      <c r="Z43" s="204">
        <v>1</v>
      </c>
      <c r="AA43" s="204" t="s">
        <v>585</v>
      </c>
      <c r="AB43" s="206">
        <v>84</v>
      </c>
      <c r="AC43" s="203">
        <v>7</v>
      </c>
      <c r="AD43" s="204" t="s">
        <v>585</v>
      </c>
      <c r="AE43" s="204" t="s">
        <v>585</v>
      </c>
      <c r="AF43" s="202">
        <v>7</v>
      </c>
      <c r="AG43" s="206">
        <v>19</v>
      </c>
      <c r="AH43" s="204" t="s">
        <v>585</v>
      </c>
      <c r="AI43" s="204" t="s">
        <v>585</v>
      </c>
      <c r="AJ43" s="204">
        <v>2</v>
      </c>
      <c r="AK43" s="206">
        <v>21</v>
      </c>
      <c r="AL43" s="193" t="s">
        <v>585</v>
      </c>
      <c r="AM43" s="193" t="s">
        <v>585</v>
      </c>
      <c r="AN43" s="206">
        <v>6</v>
      </c>
      <c r="AO43" s="204">
        <v>1</v>
      </c>
      <c r="AP43" s="206">
        <v>7</v>
      </c>
      <c r="AQ43" s="203" t="s">
        <v>585</v>
      </c>
      <c r="AR43" s="204" t="s">
        <v>585</v>
      </c>
      <c r="AS43" s="204" t="s">
        <v>585</v>
      </c>
      <c r="AT43" s="204" t="s">
        <v>585</v>
      </c>
      <c r="AU43" s="204" t="s">
        <v>585</v>
      </c>
      <c r="AV43" s="204" t="s">
        <v>585</v>
      </c>
      <c r="AW43" s="204" t="s">
        <v>585</v>
      </c>
      <c r="AX43" s="202" t="s">
        <v>585</v>
      </c>
      <c r="AY43" s="206" t="s">
        <v>585</v>
      </c>
      <c r="AZ43" s="193">
        <v>1</v>
      </c>
      <c r="BA43" s="206">
        <v>10</v>
      </c>
      <c r="BB43" s="377">
        <v>42</v>
      </c>
      <c r="BC43" s="206">
        <v>105</v>
      </c>
      <c r="BD43" s="206">
        <v>8</v>
      </c>
      <c r="BE43" s="378" t="s">
        <v>585</v>
      </c>
      <c r="BF43" s="206">
        <v>165</v>
      </c>
      <c r="BG43" s="193" t="s">
        <v>585</v>
      </c>
      <c r="BH43" s="193" t="s">
        <v>585</v>
      </c>
      <c r="BI43" s="193">
        <v>1</v>
      </c>
      <c r="BJ43" s="193">
        <v>1</v>
      </c>
      <c r="BK43" s="206">
        <v>12</v>
      </c>
      <c r="BL43" s="204" t="s">
        <v>585</v>
      </c>
      <c r="BM43" s="206">
        <v>12</v>
      </c>
      <c r="BN43" s="193" t="s">
        <v>585</v>
      </c>
      <c r="BO43" s="206">
        <v>42</v>
      </c>
      <c r="BP43" s="204" t="s">
        <v>585</v>
      </c>
      <c r="BQ43" s="206">
        <v>42</v>
      </c>
      <c r="BR43" s="203">
        <v>15</v>
      </c>
      <c r="BS43" s="204">
        <v>105</v>
      </c>
      <c r="BT43" s="204">
        <v>22</v>
      </c>
      <c r="BU43" s="204">
        <v>18</v>
      </c>
      <c r="BV43" s="204">
        <v>1</v>
      </c>
      <c r="BW43" s="204">
        <v>2</v>
      </c>
      <c r="BX43" s="204" t="s">
        <v>585</v>
      </c>
      <c r="BY43" s="204" t="s">
        <v>585</v>
      </c>
      <c r="BZ43" s="204">
        <v>1</v>
      </c>
      <c r="CA43" s="204">
        <v>12</v>
      </c>
      <c r="CB43" s="204" t="s">
        <v>585</v>
      </c>
      <c r="CC43" s="204" t="s">
        <v>585</v>
      </c>
      <c r="CD43" s="204" t="s">
        <v>585</v>
      </c>
      <c r="CE43" s="204">
        <v>3</v>
      </c>
      <c r="CF43" s="202">
        <v>179</v>
      </c>
      <c r="CG43" s="206">
        <v>26</v>
      </c>
      <c r="CH43" s="204" t="s">
        <v>585</v>
      </c>
      <c r="CI43" s="206">
        <v>26</v>
      </c>
      <c r="CJ43" s="193" t="s">
        <v>585</v>
      </c>
      <c r="CK43" s="206">
        <v>20670</v>
      </c>
      <c r="CL43" s="204">
        <v>8</v>
      </c>
      <c r="CM43" s="204">
        <v>81843</v>
      </c>
      <c r="CN43" s="204">
        <v>19241</v>
      </c>
      <c r="CO43" s="204" t="s">
        <v>585</v>
      </c>
      <c r="CP43" s="204" t="s">
        <v>585</v>
      </c>
      <c r="CQ43" s="204">
        <v>102</v>
      </c>
      <c r="CR43" s="204" t="s">
        <v>585</v>
      </c>
      <c r="CS43" s="204">
        <v>14</v>
      </c>
      <c r="CT43" s="204" t="s">
        <v>585</v>
      </c>
      <c r="CU43" s="204" t="s">
        <v>585</v>
      </c>
      <c r="CV43" s="206">
        <v>121878</v>
      </c>
      <c r="CW43" s="203">
        <v>329</v>
      </c>
      <c r="CX43" s="204">
        <v>33</v>
      </c>
      <c r="CY43" s="204">
        <v>23</v>
      </c>
      <c r="CZ43" s="204">
        <v>3</v>
      </c>
      <c r="DA43" s="204" t="s">
        <v>585</v>
      </c>
      <c r="DB43" s="204">
        <v>7</v>
      </c>
      <c r="DC43" s="204" t="s">
        <v>585</v>
      </c>
      <c r="DD43" s="202">
        <v>395</v>
      </c>
      <c r="DE43" s="206" t="s">
        <v>585</v>
      </c>
      <c r="DF43" s="203" t="s">
        <v>585</v>
      </c>
      <c r="DG43" s="204" t="s">
        <v>585</v>
      </c>
      <c r="DH43" s="202" t="s">
        <v>585</v>
      </c>
      <c r="DI43" s="206" t="s">
        <v>585</v>
      </c>
      <c r="DJ43" s="204" t="s">
        <v>585</v>
      </c>
      <c r="DK43" s="206" t="s">
        <v>585</v>
      </c>
      <c r="DL43" s="193">
        <v>252</v>
      </c>
      <c r="DM43" s="206" t="s">
        <v>585</v>
      </c>
      <c r="DN43" s="204" t="s">
        <v>585</v>
      </c>
      <c r="DO43" s="206" t="s">
        <v>585</v>
      </c>
      <c r="DP43" s="203">
        <v>156</v>
      </c>
      <c r="DQ43" s="204">
        <v>1</v>
      </c>
      <c r="DR43" s="202">
        <v>157</v>
      </c>
      <c r="DS43" s="206">
        <v>326</v>
      </c>
      <c r="DT43" s="193" t="s">
        <v>585</v>
      </c>
      <c r="DU43" s="206">
        <v>38</v>
      </c>
      <c r="DV43" s="204" t="s">
        <v>585</v>
      </c>
      <c r="DW43" s="206">
        <v>38</v>
      </c>
      <c r="DX43" s="193" t="s">
        <v>585</v>
      </c>
      <c r="DY43" s="193" t="s">
        <v>585</v>
      </c>
      <c r="DZ43" s="206">
        <v>1537</v>
      </c>
      <c r="EA43" s="204">
        <v>6</v>
      </c>
      <c r="EB43" s="204">
        <v>3</v>
      </c>
      <c r="EC43" s="204">
        <v>250</v>
      </c>
      <c r="ED43" s="204" t="s">
        <v>585</v>
      </c>
      <c r="EE43" s="204" t="s">
        <v>585</v>
      </c>
      <c r="EF43" s="204" t="s">
        <v>585</v>
      </c>
      <c r="EG43" s="206">
        <v>1796</v>
      </c>
      <c r="EH43" s="203">
        <v>10</v>
      </c>
      <c r="EI43" s="204">
        <v>522</v>
      </c>
      <c r="EJ43" s="204">
        <v>1</v>
      </c>
      <c r="EK43" s="204" t="s">
        <v>585</v>
      </c>
      <c r="EL43" s="204">
        <v>10</v>
      </c>
      <c r="EM43" s="204">
        <v>245</v>
      </c>
      <c r="EN43" s="204" t="s">
        <v>585</v>
      </c>
      <c r="EO43" s="204" t="s">
        <v>585</v>
      </c>
      <c r="EP43" s="204">
        <v>4</v>
      </c>
      <c r="EQ43" s="204" t="s">
        <v>585</v>
      </c>
      <c r="ER43" s="204" t="s">
        <v>585</v>
      </c>
      <c r="ES43" s="204" t="s">
        <v>585</v>
      </c>
      <c r="ET43" s="204" t="s">
        <v>585</v>
      </c>
      <c r="EU43" s="202">
        <v>792</v>
      </c>
      <c r="EV43" s="206" t="s">
        <v>585</v>
      </c>
      <c r="EW43" s="193">
        <v>2</v>
      </c>
      <c r="EX43" s="206" t="s">
        <v>585</v>
      </c>
      <c r="EY43" s="204">
        <v>1</v>
      </c>
      <c r="EZ43" s="204" t="s">
        <v>585</v>
      </c>
      <c r="FA43" s="206">
        <v>1</v>
      </c>
      <c r="FB43" s="193" t="s">
        <v>585</v>
      </c>
      <c r="FC43" s="206">
        <v>1</v>
      </c>
      <c r="FD43" s="203">
        <v>31</v>
      </c>
      <c r="FE43" s="204">
        <v>1</v>
      </c>
      <c r="FF43" s="204">
        <v>15</v>
      </c>
      <c r="FG43" s="204" t="s">
        <v>585</v>
      </c>
      <c r="FH43" s="202">
        <v>47</v>
      </c>
      <c r="FI43" s="206" t="s">
        <v>585</v>
      </c>
      <c r="FJ43" s="204" t="s">
        <v>585</v>
      </c>
      <c r="FK43" s="206" t="s">
        <v>585</v>
      </c>
      <c r="FL43" s="203" t="s">
        <v>585</v>
      </c>
      <c r="FM43" s="204" t="s">
        <v>585</v>
      </c>
      <c r="FN43" s="202" t="s">
        <v>585</v>
      </c>
      <c r="FO43" s="206" t="s">
        <v>585</v>
      </c>
      <c r="FP43" s="193">
        <v>13</v>
      </c>
      <c r="FQ43" s="206">
        <v>2</v>
      </c>
      <c r="FR43" s="204">
        <v>33</v>
      </c>
      <c r="FS43" s="204">
        <v>16</v>
      </c>
      <c r="FT43" s="206">
        <v>51</v>
      </c>
      <c r="FU43" s="203">
        <v>86</v>
      </c>
      <c r="FV43" s="204" t="s">
        <v>585</v>
      </c>
      <c r="FW43" s="202">
        <v>86</v>
      </c>
      <c r="FX43" s="206" t="s">
        <v>585</v>
      </c>
      <c r="FY43" s="203">
        <v>19</v>
      </c>
      <c r="FZ43" s="204">
        <v>27</v>
      </c>
      <c r="GA43" s="204">
        <v>8</v>
      </c>
      <c r="GB43" s="202">
        <v>54</v>
      </c>
      <c r="GC43" s="206">
        <v>42</v>
      </c>
      <c r="GD43" s="203" t="s">
        <v>585</v>
      </c>
      <c r="GE43" s="204" t="s">
        <v>585</v>
      </c>
      <c r="GF43" s="204" t="s">
        <v>585</v>
      </c>
      <c r="GG43" s="204" t="s">
        <v>585</v>
      </c>
      <c r="GH43" s="202" t="s">
        <v>585</v>
      </c>
      <c r="GI43" s="193">
        <v>130736</v>
      </c>
      <c r="GJ43" s="368">
        <f>130736/45058286</f>
        <v>2.9014863104202412E-3</v>
      </c>
      <c r="GK43" s="382"/>
    </row>
    <row r="44" spans="2:193" ht="12" customHeight="1" x14ac:dyDescent="0.2">
      <c r="B44" s="359" t="s">
        <v>216</v>
      </c>
      <c r="C44" s="203">
        <v>21</v>
      </c>
      <c r="D44" s="204" t="s">
        <v>585</v>
      </c>
      <c r="E44" s="204" t="s">
        <v>585</v>
      </c>
      <c r="F44" s="204" t="s">
        <v>585</v>
      </c>
      <c r="G44" s="202">
        <v>21</v>
      </c>
      <c r="H44" s="193" t="s">
        <v>585</v>
      </c>
      <c r="I44" s="206" t="s">
        <v>585</v>
      </c>
      <c r="J44" s="204" t="s">
        <v>585</v>
      </c>
      <c r="K44" s="206" t="s">
        <v>585</v>
      </c>
      <c r="L44" s="193">
        <v>1</v>
      </c>
      <c r="M44" s="193">
        <v>294</v>
      </c>
      <c r="N44" s="206">
        <v>7</v>
      </c>
      <c r="O44" s="204">
        <v>9</v>
      </c>
      <c r="P44" s="204">
        <v>146</v>
      </c>
      <c r="Q44" s="204">
        <v>2</v>
      </c>
      <c r="R44" s="204">
        <v>26</v>
      </c>
      <c r="S44" s="204" t="s">
        <v>585</v>
      </c>
      <c r="T44" s="204" t="s">
        <v>585</v>
      </c>
      <c r="U44" s="206">
        <v>190</v>
      </c>
      <c r="V44" s="203">
        <v>6</v>
      </c>
      <c r="W44" s="204">
        <v>0</v>
      </c>
      <c r="X44" s="202">
        <v>6</v>
      </c>
      <c r="Y44" s="206">
        <v>31</v>
      </c>
      <c r="Z44" s="204" t="s">
        <v>585</v>
      </c>
      <c r="AA44" s="204" t="s">
        <v>585</v>
      </c>
      <c r="AB44" s="206">
        <v>31</v>
      </c>
      <c r="AC44" s="203">
        <v>624</v>
      </c>
      <c r="AD44" s="204">
        <v>2</v>
      </c>
      <c r="AE44" s="204" t="s">
        <v>585</v>
      </c>
      <c r="AF44" s="202">
        <v>626</v>
      </c>
      <c r="AG44" s="206">
        <v>3</v>
      </c>
      <c r="AH44" s="204" t="s">
        <v>585</v>
      </c>
      <c r="AI44" s="204" t="s">
        <v>585</v>
      </c>
      <c r="AJ44" s="204" t="s">
        <v>585</v>
      </c>
      <c r="AK44" s="206">
        <v>3</v>
      </c>
      <c r="AL44" s="193" t="s">
        <v>585</v>
      </c>
      <c r="AM44" s="193" t="s">
        <v>585</v>
      </c>
      <c r="AN44" s="206" t="s">
        <v>585</v>
      </c>
      <c r="AO44" s="204" t="s">
        <v>585</v>
      </c>
      <c r="AP44" s="206" t="s">
        <v>585</v>
      </c>
      <c r="AQ44" s="203">
        <v>1</v>
      </c>
      <c r="AR44" s="204" t="s">
        <v>585</v>
      </c>
      <c r="AS44" s="204" t="s">
        <v>585</v>
      </c>
      <c r="AT44" s="204" t="s">
        <v>585</v>
      </c>
      <c r="AU44" s="204" t="s">
        <v>585</v>
      </c>
      <c r="AV44" s="204" t="s">
        <v>585</v>
      </c>
      <c r="AW44" s="204" t="s">
        <v>585</v>
      </c>
      <c r="AX44" s="202">
        <v>1</v>
      </c>
      <c r="AY44" s="206" t="s">
        <v>585</v>
      </c>
      <c r="AZ44" s="193" t="s">
        <v>585</v>
      </c>
      <c r="BA44" s="206">
        <v>4</v>
      </c>
      <c r="BB44" s="377">
        <v>138</v>
      </c>
      <c r="BC44" s="206">
        <v>69</v>
      </c>
      <c r="BD44" s="206">
        <v>24</v>
      </c>
      <c r="BE44" s="378" t="s">
        <v>585</v>
      </c>
      <c r="BF44" s="206">
        <v>235</v>
      </c>
      <c r="BG44" s="193" t="s">
        <v>585</v>
      </c>
      <c r="BH44" s="193" t="s">
        <v>585</v>
      </c>
      <c r="BI44" s="193">
        <v>6</v>
      </c>
      <c r="BJ44" s="193" t="s">
        <v>585</v>
      </c>
      <c r="BK44" s="206">
        <v>1</v>
      </c>
      <c r="BL44" s="204" t="s">
        <v>585</v>
      </c>
      <c r="BM44" s="206">
        <v>1</v>
      </c>
      <c r="BN44" s="193" t="s">
        <v>585</v>
      </c>
      <c r="BO44" s="206" t="s">
        <v>585</v>
      </c>
      <c r="BP44" s="204" t="s">
        <v>585</v>
      </c>
      <c r="BQ44" s="206" t="s">
        <v>585</v>
      </c>
      <c r="BR44" s="203" t="s">
        <v>585</v>
      </c>
      <c r="BS44" s="204">
        <v>3</v>
      </c>
      <c r="BT44" s="204" t="s">
        <v>585</v>
      </c>
      <c r="BU44" s="204">
        <v>1</v>
      </c>
      <c r="BV44" s="204" t="s">
        <v>585</v>
      </c>
      <c r="BW44" s="204" t="s">
        <v>585</v>
      </c>
      <c r="BX44" s="204" t="s">
        <v>585</v>
      </c>
      <c r="BY44" s="204">
        <v>2</v>
      </c>
      <c r="BZ44" s="204" t="s">
        <v>585</v>
      </c>
      <c r="CA44" s="204" t="s">
        <v>585</v>
      </c>
      <c r="CB44" s="204" t="s">
        <v>585</v>
      </c>
      <c r="CC44" s="204" t="s">
        <v>585</v>
      </c>
      <c r="CD44" s="204" t="s">
        <v>585</v>
      </c>
      <c r="CE44" s="204" t="s">
        <v>585</v>
      </c>
      <c r="CF44" s="202">
        <v>6</v>
      </c>
      <c r="CG44" s="206" t="s">
        <v>585</v>
      </c>
      <c r="CH44" s="204" t="s">
        <v>585</v>
      </c>
      <c r="CI44" s="206" t="s">
        <v>585</v>
      </c>
      <c r="CJ44" s="193" t="s">
        <v>585</v>
      </c>
      <c r="CK44" s="206">
        <v>5401</v>
      </c>
      <c r="CL44" s="204">
        <v>1</v>
      </c>
      <c r="CM44" s="204">
        <v>24429</v>
      </c>
      <c r="CN44" s="204">
        <v>3326</v>
      </c>
      <c r="CO44" s="204">
        <v>8</v>
      </c>
      <c r="CP44" s="204" t="s">
        <v>585</v>
      </c>
      <c r="CQ44" s="204">
        <v>0</v>
      </c>
      <c r="CR44" s="204" t="s">
        <v>585</v>
      </c>
      <c r="CS44" s="204">
        <v>1</v>
      </c>
      <c r="CT44" s="204" t="s">
        <v>585</v>
      </c>
      <c r="CU44" s="204" t="s">
        <v>585</v>
      </c>
      <c r="CV44" s="206">
        <v>33166</v>
      </c>
      <c r="CW44" s="203">
        <v>89</v>
      </c>
      <c r="CX44" s="204">
        <v>1</v>
      </c>
      <c r="CY44" s="204">
        <v>14</v>
      </c>
      <c r="CZ44" s="204">
        <v>3</v>
      </c>
      <c r="DA44" s="204" t="s">
        <v>585</v>
      </c>
      <c r="DB44" s="204" t="s">
        <v>585</v>
      </c>
      <c r="DC44" s="204" t="s">
        <v>585</v>
      </c>
      <c r="DD44" s="202">
        <v>107</v>
      </c>
      <c r="DE44" s="206" t="s">
        <v>585</v>
      </c>
      <c r="DF44" s="203" t="s">
        <v>585</v>
      </c>
      <c r="DG44" s="204" t="s">
        <v>585</v>
      </c>
      <c r="DH44" s="202" t="s">
        <v>585</v>
      </c>
      <c r="DI44" s="206" t="s">
        <v>585</v>
      </c>
      <c r="DJ44" s="204" t="s">
        <v>585</v>
      </c>
      <c r="DK44" s="206" t="s">
        <v>585</v>
      </c>
      <c r="DL44" s="193">
        <v>3</v>
      </c>
      <c r="DM44" s="206" t="s">
        <v>585</v>
      </c>
      <c r="DN44" s="204" t="s">
        <v>585</v>
      </c>
      <c r="DO44" s="206" t="s">
        <v>585</v>
      </c>
      <c r="DP44" s="203">
        <v>4</v>
      </c>
      <c r="DQ44" s="204" t="s">
        <v>585</v>
      </c>
      <c r="DR44" s="202">
        <v>4</v>
      </c>
      <c r="DS44" s="206" t="s">
        <v>585</v>
      </c>
      <c r="DT44" s="193" t="s">
        <v>585</v>
      </c>
      <c r="DU44" s="206">
        <v>12</v>
      </c>
      <c r="DV44" s="204" t="s">
        <v>585</v>
      </c>
      <c r="DW44" s="206">
        <v>12</v>
      </c>
      <c r="DX44" s="193" t="s">
        <v>585</v>
      </c>
      <c r="DY44" s="193" t="s">
        <v>585</v>
      </c>
      <c r="DZ44" s="206">
        <v>16</v>
      </c>
      <c r="EA44" s="204" t="s">
        <v>585</v>
      </c>
      <c r="EB44" s="204">
        <v>1</v>
      </c>
      <c r="EC44" s="204" t="s">
        <v>585</v>
      </c>
      <c r="ED44" s="204" t="s">
        <v>585</v>
      </c>
      <c r="EE44" s="204" t="s">
        <v>585</v>
      </c>
      <c r="EF44" s="204">
        <v>1</v>
      </c>
      <c r="EG44" s="206">
        <v>18</v>
      </c>
      <c r="EH44" s="203">
        <v>30</v>
      </c>
      <c r="EI44" s="204">
        <v>38</v>
      </c>
      <c r="EJ44" s="204">
        <v>3</v>
      </c>
      <c r="EK44" s="204">
        <v>8</v>
      </c>
      <c r="EL44" s="204">
        <v>28</v>
      </c>
      <c r="EM44" s="204">
        <v>30</v>
      </c>
      <c r="EN44" s="204">
        <v>9</v>
      </c>
      <c r="EO44" s="204" t="s">
        <v>585</v>
      </c>
      <c r="EP44" s="204">
        <v>31</v>
      </c>
      <c r="EQ44" s="204">
        <v>5</v>
      </c>
      <c r="ER44" s="204" t="s">
        <v>585</v>
      </c>
      <c r="ES44" s="204" t="s">
        <v>585</v>
      </c>
      <c r="ET44" s="204" t="s">
        <v>585</v>
      </c>
      <c r="EU44" s="202">
        <v>182</v>
      </c>
      <c r="EV44" s="206" t="s">
        <v>585</v>
      </c>
      <c r="EW44" s="193">
        <v>2</v>
      </c>
      <c r="EX44" s="206" t="s">
        <v>585</v>
      </c>
      <c r="EY44" s="204" t="s">
        <v>585</v>
      </c>
      <c r="EZ44" s="204" t="s">
        <v>585</v>
      </c>
      <c r="FA44" s="206" t="s">
        <v>585</v>
      </c>
      <c r="FB44" s="193" t="s">
        <v>585</v>
      </c>
      <c r="FC44" s="206" t="s">
        <v>585</v>
      </c>
      <c r="FD44" s="203">
        <v>1</v>
      </c>
      <c r="FE44" s="204" t="s">
        <v>585</v>
      </c>
      <c r="FF44" s="204">
        <v>1</v>
      </c>
      <c r="FG44" s="204" t="s">
        <v>585</v>
      </c>
      <c r="FH44" s="202">
        <v>2</v>
      </c>
      <c r="FI44" s="206" t="s">
        <v>585</v>
      </c>
      <c r="FJ44" s="204" t="s">
        <v>585</v>
      </c>
      <c r="FK44" s="206" t="s">
        <v>585</v>
      </c>
      <c r="FL44" s="203" t="s">
        <v>585</v>
      </c>
      <c r="FM44" s="204" t="s">
        <v>585</v>
      </c>
      <c r="FN44" s="202" t="s">
        <v>585</v>
      </c>
      <c r="FO44" s="206" t="s">
        <v>585</v>
      </c>
      <c r="FP44" s="193">
        <v>3</v>
      </c>
      <c r="FQ44" s="206" t="s">
        <v>585</v>
      </c>
      <c r="FR44" s="204">
        <v>1</v>
      </c>
      <c r="FS44" s="204" t="s">
        <v>585</v>
      </c>
      <c r="FT44" s="206">
        <v>1</v>
      </c>
      <c r="FU44" s="203">
        <v>3</v>
      </c>
      <c r="FV44" s="204" t="s">
        <v>585</v>
      </c>
      <c r="FW44" s="202">
        <v>3</v>
      </c>
      <c r="FX44" s="206" t="s">
        <v>585</v>
      </c>
      <c r="FY44" s="203" t="s">
        <v>585</v>
      </c>
      <c r="FZ44" s="204">
        <v>1</v>
      </c>
      <c r="GA44" s="204">
        <v>1</v>
      </c>
      <c r="GB44" s="202">
        <v>2</v>
      </c>
      <c r="GC44" s="206" t="s">
        <v>585</v>
      </c>
      <c r="GD44" s="203">
        <v>4</v>
      </c>
      <c r="GE44" s="204" t="s">
        <v>585</v>
      </c>
      <c r="GF44" s="204" t="s">
        <v>585</v>
      </c>
      <c r="GG44" s="204" t="s">
        <v>585</v>
      </c>
      <c r="GH44" s="202">
        <v>4</v>
      </c>
      <c r="GI44" s="193">
        <v>34930</v>
      </c>
      <c r="GJ44" s="368">
        <f>34930/45058286</f>
        <v>7.7521812525225664E-4</v>
      </c>
      <c r="GK44" s="382"/>
    </row>
    <row r="45" spans="2:193" ht="12" customHeight="1" x14ac:dyDescent="0.2">
      <c r="B45" s="359" t="s">
        <v>232</v>
      </c>
      <c r="C45" s="203">
        <v>59</v>
      </c>
      <c r="D45" s="204">
        <v>9</v>
      </c>
      <c r="E45" s="204">
        <v>30</v>
      </c>
      <c r="F45" s="204" t="s">
        <v>585</v>
      </c>
      <c r="G45" s="202">
        <v>98</v>
      </c>
      <c r="H45" s="193" t="s">
        <v>585</v>
      </c>
      <c r="I45" s="206">
        <v>1</v>
      </c>
      <c r="J45" s="204" t="s">
        <v>585</v>
      </c>
      <c r="K45" s="206">
        <v>1</v>
      </c>
      <c r="L45" s="193" t="s">
        <v>585</v>
      </c>
      <c r="M45" s="193">
        <v>1729</v>
      </c>
      <c r="N45" s="206" t="s">
        <v>585</v>
      </c>
      <c r="O45" s="204">
        <v>19</v>
      </c>
      <c r="P45" s="204">
        <v>1190</v>
      </c>
      <c r="Q45" s="204">
        <v>38</v>
      </c>
      <c r="R45" s="204">
        <v>2</v>
      </c>
      <c r="S45" s="204" t="s">
        <v>585</v>
      </c>
      <c r="T45" s="204" t="s">
        <v>585</v>
      </c>
      <c r="U45" s="206">
        <v>1249</v>
      </c>
      <c r="V45" s="203">
        <v>2</v>
      </c>
      <c r="W45" s="204">
        <v>1</v>
      </c>
      <c r="X45" s="202">
        <v>3</v>
      </c>
      <c r="Y45" s="206">
        <v>153</v>
      </c>
      <c r="Z45" s="204" t="s">
        <v>585</v>
      </c>
      <c r="AA45" s="204" t="s">
        <v>585</v>
      </c>
      <c r="AB45" s="206">
        <v>153</v>
      </c>
      <c r="AC45" s="203">
        <v>50</v>
      </c>
      <c r="AD45" s="204" t="s">
        <v>585</v>
      </c>
      <c r="AE45" s="204" t="s">
        <v>585</v>
      </c>
      <c r="AF45" s="202">
        <v>50</v>
      </c>
      <c r="AG45" s="206">
        <v>5</v>
      </c>
      <c r="AH45" s="204" t="s">
        <v>585</v>
      </c>
      <c r="AI45" s="204" t="s">
        <v>585</v>
      </c>
      <c r="AJ45" s="204">
        <v>26</v>
      </c>
      <c r="AK45" s="206">
        <v>31</v>
      </c>
      <c r="AL45" s="193" t="s">
        <v>585</v>
      </c>
      <c r="AM45" s="193" t="s">
        <v>585</v>
      </c>
      <c r="AN45" s="206">
        <v>10</v>
      </c>
      <c r="AO45" s="204" t="s">
        <v>585</v>
      </c>
      <c r="AP45" s="206">
        <v>10</v>
      </c>
      <c r="AQ45" s="203">
        <v>48</v>
      </c>
      <c r="AR45" s="204" t="s">
        <v>585</v>
      </c>
      <c r="AS45" s="204">
        <v>1</v>
      </c>
      <c r="AT45" s="204" t="s">
        <v>585</v>
      </c>
      <c r="AU45" s="204">
        <v>4</v>
      </c>
      <c r="AV45" s="204" t="s">
        <v>585</v>
      </c>
      <c r="AW45" s="204" t="s">
        <v>585</v>
      </c>
      <c r="AX45" s="202">
        <v>53</v>
      </c>
      <c r="AY45" s="206" t="s">
        <v>585</v>
      </c>
      <c r="AZ45" s="193" t="s">
        <v>585</v>
      </c>
      <c r="BA45" s="206">
        <v>3</v>
      </c>
      <c r="BB45" s="377">
        <v>11</v>
      </c>
      <c r="BC45" s="206">
        <v>48</v>
      </c>
      <c r="BD45" s="206">
        <v>6</v>
      </c>
      <c r="BE45" s="378">
        <v>7</v>
      </c>
      <c r="BF45" s="206">
        <v>75</v>
      </c>
      <c r="BG45" s="193" t="s">
        <v>585</v>
      </c>
      <c r="BH45" s="193" t="s">
        <v>585</v>
      </c>
      <c r="BI45" s="193" t="s">
        <v>585</v>
      </c>
      <c r="BJ45" s="193">
        <v>1</v>
      </c>
      <c r="BK45" s="206">
        <v>2</v>
      </c>
      <c r="BL45" s="204" t="s">
        <v>585</v>
      </c>
      <c r="BM45" s="206">
        <v>2</v>
      </c>
      <c r="BN45" s="193" t="s">
        <v>585</v>
      </c>
      <c r="BO45" s="206" t="s">
        <v>585</v>
      </c>
      <c r="BP45" s="204" t="s">
        <v>585</v>
      </c>
      <c r="BQ45" s="206" t="s">
        <v>585</v>
      </c>
      <c r="BR45" s="203">
        <v>1</v>
      </c>
      <c r="BS45" s="204">
        <v>203</v>
      </c>
      <c r="BT45" s="204">
        <v>18</v>
      </c>
      <c r="BU45" s="204">
        <v>20</v>
      </c>
      <c r="BV45" s="204">
        <v>1</v>
      </c>
      <c r="BW45" s="204" t="s">
        <v>585</v>
      </c>
      <c r="BX45" s="204" t="s">
        <v>585</v>
      </c>
      <c r="BY45" s="204">
        <v>21</v>
      </c>
      <c r="BZ45" s="204">
        <v>26</v>
      </c>
      <c r="CA45" s="204">
        <v>38</v>
      </c>
      <c r="CB45" s="204" t="s">
        <v>585</v>
      </c>
      <c r="CC45" s="204" t="s">
        <v>585</v>
      </c>
      <c r="CD45" s="204" t="s">
        <v>585</v>
      </c>
      <c r="CE45" s="204" t="s">
        <v>585</v>
      </c>
      <c r="CF45" s="202">
        <v>328</v>
      </c>
      <c r="CG45" s="206" t="s">
        <v>585</v>
      </c>
      <c r="CH45" s="204" t="s">
        <v>585</v>
      </c>
      <c r="CI45" s="206" t="s">
        <v>585</v>
      </c>
      <c r="CJ45" s="193" t="s">
        <v>585</v>
      </c>
      <c r="CK45" s="206">
        <v>8157</v>
      </c>
      <c r="CL45" s="204">
        <v>20</v>
      </c>
      <c r="CM45" s="204">
        <v>43034</v>
      </c>
      <c r="CN45" s="204">
        <v>5410</v>
      </c>
      <c r="CO45" s="204">
        <v>5</v>
      </c>
      <c r="CP45" s="204">
        <v>8</v>
      </c>
      <c r="CQ45" s="204">
        <v>48</v>
      </c>
      <c r="CR45" s="204" t="s">
        <v>585</v>
      </c>
      <c r="CS45" s="204">
        <v>49</v>
      </c>
      <c r="CT45" s="204" t="s">
        <v>585</v>
      </c>
      <c r="CU45" s="204" t="s">
        <v>585</v>
      </c>
      <c r="CV45" s="206">
        <v>56731</v>
      </c>
      <c r="CW45" s="203">
        <v>357</v>
      </c>
      <c r="CX45" s="204">
        <v>94</v>
      </c>
      <c r="CY45" s="204">
        <v>4</v>
      </c>
      <c r="CZ45" s="204">
        <v>17</v>
      </c>
      <c r="DA45" s="204" t="s">
        <v>585</v>
      </c>
      <c r="DB45" s="204" t="s">
        <v>585</v>
      </c>
      <c r="DC45" s="204" t="s">
        <v>585</v>
      </c>
      <c r="DD45" s="202">
        <v>472</v>
      </c>
      <c r="DE45" s="206" t="s">
        <v>585</v>
      </c>
      <c r="DF45" s="203" t="s">
        <v>585</v>
      </c>
      <c r="DG45" s="204" t="s">
        <v>585</v>
      </c>
      <c r="DH45" s="202" t="s">
        <v>585</v>
      </c>
      <c r="DI45" s="206" t="s">
        <v>585</v>
      </c>
      <c r="DJ45" s="204" t="s">
        <v>585</v>
      </c>
      <c r="DK45" s="206" t="s">
        <v>585</v>
      </c>
      <c r="DL45" s="193">
        <v>11</v>
      </c>
      <c r="DM45" s="206" t="s">
        <v>585</v>
      </c>
      <c r="DN45" s="204" t="s">
        <v>585</v>
      </c>
      <c r="DO45" s="206" t="s">
        <v>585</v>
      </c>
      <c r="DP45" s="203">
        <v>195</v>
      </c>
      <c r="DQ45" s="204" t="s">
        <v>585</v>
      </c>
      <c r="DR45" s="202">
        <v>195</v>
      </c>
      <c r="DS45" s="206">
        <v>1</v>
      </c>
      <c r="DT45" s="193" t="s">
        <v>585</v>
      </c>
      <c r="DU45" s="206">
        <v>4</v>
      </c>
      <c r="DV45" s="204" t="s">
        <v>585</v>
      </c>
      <c r="DW45" s="206">
        <v>4</v>
      </c>
      <c r="DX45" s="193" t="s">
        <v>585</v>
      </c>
      <c r="DY45" s="193" t="s">
        <v>585</v>
      </c>
      <c r="DZ45" s="206">
        <v>124</v>
      </c>
      <c r="EA45" s="204">
        <v>2</v>
      </c>
      <c r="EB45" s="204">
        <v>28</v>
      </c>
      <c r="EC45" s="204">
        <v>141</v>
      </c>
      <c r="ED45" s="204" t="s">
        <v>585</v>
      </c>
      <c r="EE45" s="204" t="s">
        <v>585</v>
      </c>
      <c r="EF45" s="204" t="s">
        <v>585</v>
      </c>
      <c r="EG45" s="206">
        <v>295</v>
      </c>
      <c r="EH45" s="203">
        <v>45</v>
      </c>
      <c r="EI45" s="204">
        <v>249</v>
      </c>
      <c r="EJ45" s="204" t="s">
        <v>585</v>
      </c>
      <c r="EK45" s="204">
        <v>6</v>
      </c>
      <c r="EL45" s="204">
        <v>35</v>
      </c>
      <c r="EM45" s="204">
        <v>143</v>
      </c>
      <c r="EN45" s="204">
        <v>3</v>
      </c>
      <c r="EO45" s="204">
        <v>11</v>
      </c>
      <c r="EP45" s="204">
        <v>17</v>
      </c>
      <c r="EQ45" s="204" t="s">
        <v>585</v>
      </c>
      <c r="ER45" s="204">
        <v>9</v>
      </c>
      <c r="ES45" s="204" t="s">
        <v>585</v>
      </c>
      <c r="ET45" s="204" t="s">
        <v>585</v>
      </c>
      <c r="EU45" s="202">
        <v>518</v>
      </c>
      <c r="EV45" s="206" t="s">
        <v>585</v>
      </c>
      <c r="EW45" s="193" t="s">
        <v>585</v>
      </c>
      <c r="EX45" s="206" t="s">
        <v>585</v>
      </c>
      <c r="EY45" s="204" t="s">
        <v>585</v>
      </c>
      <c r="EZ45" s="204" t="s">
        <v>585</v>
      </c>
      <c r="FA45" s="206" t="s">
        <v>585</v>
      </c>
      <c r="FB45" s="193" t="s">
        <v>585</v>
      </c>
      <c r="FC45" s="206" t="s">
        <v>585</v>
      </c>
      <c r="FD45" s="203" t="s">
        <v>585</v>
      </c>
      <c r="FE45" s="204">
        <v>1</v>
      </c>
      <c r="FF45" s="204" t="s">
        <v>585</v>
      </c>
      <c r="FG45" s="204" t="s">
        <v>585</v>
      </c>
      <c r="FH45" s="202">
        <v>1</v>
      </c>
      <c r="FI45" s="206" t="s">
        <v>585</v>
      </c>
      <c r="FJ45" s="204" t="s">
        <v>585</v>
      </c>
      <c r="FK45" s="206" t="s">
        <v>585</v>
      </c>
      <c r="FL45" s="203" t="s">
        <v>585</v>
      </c>
      <c r="FM45" s="204" t="s">
        <v>585</v>
      </c>
      <c r="FN45" s="202" t="s">
        <v>585</v>
      </c>
      <c r="FO45" s="206" t="s">
        <v>585</v>
      </c>
      <c r="FP45" s="193">
        <v>4</v>
      </c>
      <c r="FQ45" s="206">
        <v>1</v>
      </c>
      <c r="FR45" s="204" t="s">
        <v>585</v>
      </c>
      <c r="FS45" s="204" t="s">
        <v>585</v>
      </c>
      <c r="FT45" s="206">
        <v>1</v>
      </c>
      <c r="FU45" s="203">
        <v>6</v>
      </c>
      <c r="FV45" s="204" t="s">
        <v>585</v>
      </c>
      <c r="FW45" s="202">
        <v>6</v>
      </c>
      <c r="FX45" s="206" t="s">
        <v>585</v>
      </c>
      <c r="FY45" s="203" t="s">
        <v>585</v>
      </c>
      <c r="FZ45" s="204">
        <v>6</v>
      </c>
      <c r="GA45" s="204" t="s">
        <v>585</v>
      </c>
      <c r="GB45" s="202">
        <v>6</v>
      </c>
      <c r="GC45" s="206">
        <v>88</v>
      </c>
      <c r="GD45" s="203">
        <v>76</v>
      </c>
      <c r="GE45" s="204" t="s">
        <v>585</v>
      </c>
      <c r="GF45" s="204" t="s">
        <v>585</v>
      </c>
      <c r="GG45" s="204" t="s">
        <v>585</v>
      </c>
      <c r="GH45" s="202">
        <v>76</v>
      </c>
      <c r="GI45" s="193">
        <v>62192</v>
      </c>
      <c r="GJ45" s="368">
        <f>62192/45058286</f>
        <v>1.3802566746546907E-3</v>
      </c>
      <c r="GK45" s="382"/>
    </row>
    <row r="46" spans="2:193" ht="12.75" customHeight="1" thickBot="1" x14ac:dyDescent="0.25">
      <c r="B46" s="359" t="s">
        <v>545</v>
      </c>
      <c r="C46" s="203">
        <v>87</v>
      </c>
      <c r="D46" s="204">
        <v>10</v>
      </c>
      <c r="E46" s="204">
        <v>6</v>
      </c>
      <c r="F46" s="204">
        <v>8</v>
      </c>
      <c r="G46" s="202">
        <v>111</v>
      </c>
      <c r="H46" s="193" t="s">
        <v>585</v>
      </c>
      <c r="I46" s="206">
        <v>1725</v>
      </c>
      <c r="J46" s="204" t="s">
        <v>585</v>
      </c>
      <c r="K46" s="206">
        <v>1725</v>
      </c>
      <c r="L46" s="193" t="s">
        <v>585</v>
      </c>
      <c r="M46" s="193">
        <v>8599</v>
      </c>
      <c r="N46" s="206">
        <v>6</v>
      </c>
      <c r="O46" s="204">
        <v>108</v>
      </c>
      <c r="P46" s="204">
        <v>6997</v>
      </c>
      <c r="Q46" s="204">
        <v>107</v>
      </c>
      <c r="R46" s="204">
        <v>30</v>
      </c>
      <c r="S46" s="204" t="s">
        <v>585</v>
      </c>
      <c r="T46" s="204" t="s">
        <v>585</v>
      </c>
      <c r="U46" s="206">
        <v>7248</v>
      </c>
      <c r="V46" s="203">
        <v>11</v>
      </c>
      <c r="W46" s="204">
        <v>20</v>
      </c>
      <c r="X46" s="202">
        <v>31</v>
      </c>
      <c r="Y46" s="206">
        <v>132</v>
      </c>
      <c r="Z46" s="204">
        <v>6</v>
      </c>
      <c r="AA46" s="204" t="s">
        <v>585</v>
      </c>
      <c r="AB46" s="206">
        <v>138</v>
      </c>
      <c r="AC46" s="203">
        <v>1121</v>
      </c>
      <c r="AD46" s="204" t="s">
        <v>585</v>
      </c>
      <c r="AE46" s="204" t="s">
        <v>585</v>
      </c>
      <c r="AF46" s="202">
        <v>1121</v>
      </c>
      <c r="AG46" s="206">
        <v>43</v>
      </c>
      <c r="AH46" s="204">
        <v>3</v>
      </c>
      <c r="AI46" s="204">
        <v>3</v>
      </c>
      <c r="AJ46" s="204">
        <v>13</v>
      </c>
      <c r="AK46" s="206">
        <v>62</v>
      </c>
      <c r="AL46" s="193">
        <v>9</v>
      </c>
      <c r="AM46" s="193" t="s">
        <v>585</v>
      </c>
      <c r="AN46" s="206">
        <v>63</v>
      </c>
      <c r="AO46" s="204" t="s">
        <v>585</v>
      </c>
      <c r="AP46" s="206">
        <v>63</v>
      </c>
      <c r="AQ46" s="203">
        <v>19</v>
      </c>
      <c r="AR46" s="204" t="s">
        <v>585</v>
      </c>
      <c r="AS46" s="204">
        <v>4</v>
      </c>
      <c r="AT46" s="204" t="s">
        <v>585</v>
      </c>
      <c r="AU46" s="204" t="s">
        <v>585</v>
      </c>
      <c r="AV46" s="204" t="s">
        <v>585</v>
      </c>
      <c r="AW46" s="204" t="s">
        <v>585</v>
      </c>
      <c r="AX46" s="202">
        <v>23</v>
      </c>
      <c r="AY46" s="206">
        <v>336</v>
      </c>
      <c r="AZ46" s="193">
        <v>3</v>
      </c>
      <c r="BA46" s="206">
        <v>33</v>
      </c>
      <c r="BB46" s="377">
        <v>469</v>
      </c>
      <c r="BC46" s="206">
        <v>998</v>
      </c>
      <c r="BD46" s="206">
        <v>49</v>
      </c>
      <c r="BE46" s="378">
        <v>12</v>
      </c>
      <c r="BF46" s="206">
        <v>1561</v>
      </c>
      <c r="BG46" s="193">
        <v>2</v>
      </c>
      <c r="BH46" s="193" t="s">
        <v>585</v>
      </c>
      <c r="BI46" s="193" t="s">
        <v>585</v>
      </c>
      <c r="BJ46" s="193">
        <v>2</v>
      </c>
      <c r="BK46" s="206">
        <v>32</v>
      </c>
      <c r="BL46" s="204" t="s">
        <v>585</v>
      </c>
      <c r="BM46" s="206">
        <v>32</v>
      </c>
      <c r="BN46" s="193">
        <v>11</v>
      </c>
      <c r="BO46" s="206">
        <v>95</v>
      </c>
      <c r="BP46" s="204">
        <v>1</v>
      </c>
      <c r="BQ46" s="206">
        <v>96</v>
      </c>
      <c r="BR46" s="203">
        <v>189</v>
      </c>
      <c r="BS46" s="204">
        <v>237</v>
      </c>
      <c r="BT46" s="204">
        <v>59</v>
      </c>
      <c r="BU46" s="204">
        <v>34</v>
      </c>
      <c r="BV46" s="204">
        <v>12</v>
      </c>
      <c r="BW46" s="204" t="s">
        <v>585</v>
      </c>
      <c r="BX46" s="204" t="s">
        <v>585</v>
      </c>
      <c r="BY46" s="204">
        <v>10</v>
      </c>
      <c r="BZ46" s="204">
        <v>66</v>
      </c>
      <c r="CA46" s="204">
        <v>66</v>
      </c>
      <c r="CB46" s="204" t="s">
        <v>585</v>
      </c>
      <c r="CC46" s="204" t="s">
        <v>585</v>
      </c>
      <c r="CD46" s="204" t="s">
        <v>585</v>
      </c>
      <c r="CE46" s="204" t="s">
        <v>585</v>
      </c>
      <c r="CF46" s="202">
        <v>673</v>
      </c>
      <c r="CG46" s="206">
        <v>5</v>
      </c>
      <c r="CH46" s="204" t="s">
        <v>585</v>
      </c>
      <c r="CI46" s="206">
        <v>5</v>
      </c>
      <c r="CJ46" s="193">
        <v>62</v>
      </c>
      <c r="CK46" s="206">
        <v>45938</v>
      </c>
      <c r="CL46" s="204">
        <v>19</v>
      </c>
      <c r="CM46" s="204">
        <v>149002</v>
      </c>
      <c r="CN46" s="204">
        <v>37135</v>
      </c>
      <c r="CO46" s="204">
        <v>18</v>
      </c>
      <c r="CP46" s="204">
        <v>1</v>
      </c>
      <c r="CQ46" s="204">
        <v>64</v>
      </c>
      <c r="CR46" s="204" t="s">
        <v>585</v>
      </c>
      <c r="CS46" s="204">
        <v>22</v>
      </c>
      <c r="CT46" s="204" t="s">
        <v>585</v>
      </c>
      <c r="CU46" s="204" t="s">
        <v>585</v>
      </c>
      <c r="CV46" s="206">
        <v>232199</v>
      </c>
      <c r="CW46" s="203">
        <v>958</v>
      </c>
      <c r="CX46" s="204">
        <v>418</v>
      </c>
      <c r="CY46" s="204">
        <v>140</v>
      </c>
      <c r="CZ46" s="204">
        <v>188</v>
      </c>
      <c r="DA46" s="204">
        <v>4</v>
      </c>
      <c r="DB46" s="204" t="s">
        <v>585</v>
      </c>
      <c r="DC46" s="204" t="s">
        <v>585</v>
      </c>
      <c r="DD46" s="202">
        <v>1708</v>
      </c>
      <c r="DE46" s="206" t="s">
        <v>585</v>
      </c>
      <c r="DF46" s="203" t="s">
        <v>585</v>
      </c>
      <c r="DG46" s="204" t="s">
        <v>585</v>
      </c>
      <c r="DH46" s="202" t="s">
        <v>585</v>
      </c>
      <c r="DI46" s="206" t="s">
        <v>585</v>
      </c>
      <c r="DJ46" s="204" t="s">
        <v>585</v>
      </c>
      <c r="DK46" s="206" t="s">
        <v>585</v>
      </c>
      <c r="DL46" s="193">
        <v>39</v>
      </c>
      <c r="DM46" s="206" t="s">
        <v>585</v>
      </c>
      <c r="DN46" s="204" t="s">
        <v>585</v>
      </c>
      <c r="DO46" s="206" t="s">
        <v>585</v>
      </c>
      <c r="DP46" s="203">
        <v>1148</v>
      </c>
      <c r="DQ46" s="204" t="s">
        <v>585</v>
      </c>
      <c r="DR46" s="202">
        <v>1148</v>
      </c>
      <c r="DS46" s="206">
        <v>23</v>
      </c>
      <c r="DT46" s="193">
        <v>2</v>
      </c>
      <c r="DU46" s="206">
        <v>79</v>
      </c>
      <c r="DV46" s="204" t="s">
        <v>585</v>
      </c>
      <c r="DW46" s="206">
        <v>79</v>
      </c>
      <c r="DX46" s="193">
        <v>1</v>
      </c>
      <c r="DY46" s="193" t="s">
        <v>585</v>
      </c>
      <c r="DZ46" s="206">
        <v>2165</v>
      </c>
      <c r="EA46" s="204">
        <v>2</v>
      </c>
      <c r="EB46" s="204">
        <v>2</v>
      </c>
      <c r="EC46" s="204">
        <v>34</v>
      </c>
      <c r="ED46" s="204" t="s">
        <v>585</v>
      </c>
      <c r="EE46" s="204" t="s">
        <v>585</v>
      </c>
      <c r="EF46" s="204" t="s">
        <v>585</v>
      </c>
      <c r="EG46" s="206">
        <v>2203</v>
      </c>
      <c r="EH46" s="203">
        <v>90</v>
      </c>
      <c r="EI46" s="204">
        <v>214</v>
      </c>
      <c r="EJ46" s="204">
        <v>10</v>
      </c>
      <c r="EK46" s="204">
        <v>57</v>
      </c>
      <c r="EL46" s="204">
        <v>366</v>
      </c>
      <c r="EM46" s="204">
        <v>267</v>
      </c>
      <c r="EN46" s="204">
        <v>3</v>
      </c>
      <c r="EO46" s="204">
        <v>13</v>
      </c>
      <c r="EP46" s="204">
        <v>81</v>
      </c>
      <c r="EQ46" s="204">
        <v>4</v>
      </c>
      <c r="ER46" s="204">
        <v>3</v>
      </c>
      <c r="ES46" s="204" t="s">
        <v>585</v>
      </c>
      <c r="ET46" s="204" t="s">
        <v>585</v>
      </c>
      <c r="EU46" s="202">
        <v>1108</v>
      </c>
      <c r="EV46" s="206" t="s">
        <v>585</v>
      </c>
      <c r="EW46" s="193">
        <v>1</v>
      </c>
      <c r="EX46" s="206">
        <v>1</v>
      </c>
      <c r="EY46" s="204">
        <v>1</v>
      </c>
      <c r="EZ46" s="204" t="s">
        <v>585</v>
      </c>
      <c r="FA46" s="206">
        <v>2</v>
      </c>
      <c r="FB46" s="193" t="s">
        <v>585</v>
      </c>
      <c r="FC46" s="206">
        <v>1</v>
      </c>
      <c r="FD46" s="203">
        <v>77</v>
      </c>
      <c r="FE46" s="204">
        <v>10</v>
      </c>
      <c r="FF46" s="204">
        <v>17</v>
      </c>
      <c r="FG46" s="204">
        <v>25</v>
      </c>
      <c r="FH46" s="202">
        <v>129</v>
      </c>
      <c r="FI46" s="206" t="s">
        <v>585</v>
      </c>
      <c r="FJ46" s="204" t="s">
        <v>585</v>
      </c>
      <c r="FK46" s="206" t="s">
        <v>585</v>
      </c>
      <c r="FL46" s="203" t="s">
        <v>585</v>
      </c>
      <c r="FM46" s="204" t="s">
        <v>585</v>
      </c>
      <c r="FN46" s="202" t="s">
        <v>585</v>
      </c>
      <c r="FO46" s="206">
        <v>249</v>
      </c>
      <c r="FP46" s="193">
        <v>37</v>
      </c>
      <c r="FQ46" s="206" t="s">
        <v>585</v>
      </c>
      <c r="FR46" s="204">
        <v>188</v>
      </c>
      <c r="FS46" s="204">
        <v>12</v>
      </c>
      <c r="FT46" s="206">
        <v>200</v>
      </c>
      <c r="FU46" s="203">
        <v>185</v>
      </c>
      <c r="FV46" s="204" t="s">
        <v>585</v>
      </c>
      <c r="FW46" s="202">
        <v>185</v>
      </c>
      <c r="FX46" s="206" t="s">
        <v>585</v>
      </c>
      <c r="FY46" s="203">
        <v>1</v>
      </c>
      <c r="FZ46" s="204">
        <v>106</v>
      </c>
      <c r="GA46" s="204">
        <v>45</v>
      </c>
      <c r="GB46" s="202">
        <v>152</v>
      </c>
      <c r="GC46" s="206">
        <v>57</v>
      </c>
      <c r="GD46" s="203">
        <v>161</v>
      </c>
      <c r="GE46" s="204">
        <v>30</v>
      </c>
      <c r="GF46" s="204" t="s">
        <v>585</v>
      </c>
      <c r="GG46" s="204" t="s">
        <v>585</v>
      </c>
      <c r="GH46" s="202">
        <v>191</v>
      </c>
      <c r="GI46" s="193">
        <v>261627</v>
      </c>
      <c r="GJ46" s="368">
        <f>261627/45058286</f>
        <v>5.8064126096585211E-3</v>
      </c>
      <c r="GK46" s="382"/>
    </row>
    <row r="47" spans="2:193" s="76" customFormat="1" ht="12.75" customHeight="1" thickBot="1" x14ac:dyDescent="0.25">
      <c r="B47" s="363" t="s">
        <v>548</v>
      </c>
      <c r="C47" s="266">
        <v>5157</v>
      </c>
      <c r="D47" s="264">
        <v>229</v>
      </c>
      <c r="E47" s="264">
        <v>604</v>
      </c>
      <c r="F47" s="264">
        <v>765</v>
      </c>
      <c r="G47" s="267">
        <v>6755</v>
      </c>
      <c r="H47" s="265" t="s">
        <v>585</v>
      </c>
      <c r="I47" s="263">
        <v>399011</v>
      </c>
      <c r="J47" s="264">
        <v>2</v>
      </c>
      <c r="K47" s="263">
        <v>399013</v>
      </c>
      <c r="L47" s="265">
        <v>1</v>
      </c>
      <c r="M47" s="265">
        <v>85660</v>
      </c>
      <c r="N47" s="263">
        <v>70</v>
      </c>
      <c r="O47" s="264">
        <v>2097</v>
      </c>
      <c r="P47" s="264">
        <v>98055</v>
      </c>
      <c r="Q47" s="264">
        <v>2810</v>
      </c>
      <c r="R47" s="264">
        <v>144</v>
      </c>
      <c r="S47" s="264">
        <v>5</v>
      </c>
      <c r="T47" s="264" t="s">
        <v>585</v>
      </c>
      <c r="U47" s="263">
        <v>103181</v>
      </c>
      <c r="V47" s="266">
        <v>17440</v>
      </c>
      <c r="W47" s="264">
        <v>6588</v>
      </c>
      <c r="X47" s="267">
        <v>24028</v>
      </c>
      <c r="Y47" s="263">
        <v>27391</v>
      </c>
      <c r="Z47" s="264">
        <v>38</v>
      </c>
      <c r="AA47" s="264" t="s">
        <v>585</v>
      </c>
      <c r="AB47" s="263">
        <v>27429</v>
      </c>
      <c r="AC47" s="266">
        <v>5675</v>
      </c>
      <c r="AD47" s="264">
        <v>31</v>
      </c>
      <c r="AE47" s="264">
        <v>7</v>
      </c>
      <c r="AF47" s="267">
        <v>5713</v>
      </c>
      <c r="AG47" s="263">
        <v>122</v>
      </c>
      <c r="AH47" s="264">
        <v>11</v>
      </c>
      <c r="AI47" s="264">
        <v>152</v>
      </c>
      <c r="AJ47" s="264">
        <v>393</v>
      </c>
      <c r="AK47" s="263">
        <v>678</v>
      </c>
      <c r="AL47" s="265">
        <v>64</v>
      </c>
      <c r="AM47" s="265" t="s">
        <v>585</v>
      </c>
      <c r="AN47" s="263">
        <v>3774</v>
      </c>
      <c r="AO47" s="264">
        <v>7</v>
      </c>
      <c r="AP47" s="263">
        <v>3781</v>
      </c>
      <c r="AQ47" s="266">
        <v>612</v>
      </c>
      <c r="AR47" s="264" t="s">
        <v>585</v>
      </c>
      <c r="AS47" s="264">
        <v>8</v>
      </c>
      <c r="AT47" s="264">
        <v>15</v>
      </c>
      <c r="AU47" s="264">
        <v>265</v>
      </c>
      <c r="AV47" s="264" t="s">
        <v>585</v>
      </c>
      <c r="AW47" s="264">
        <v>23</v>
      </c>
      <c r="AX47" s="267">
        <v>923</v>
      </c>
      <c r="AY47" s="263">
        <v>58742</v>
      </c>
      <c r="AZ47" s="265">
        <v>44</v>
      </c>
      <c r="BA47" s="263">
        <v>1322</v>
      </c>
      <c r="BB47" s="379">
        <v>3177</v>
      </c>
      <c r="BC47" s="263">
        <v>11766</v>
      </c>
      <c r="BD47" s="263">
        <v>456</v>
      </c>
      <c r="BE47" s="380">
        <v>90</v>
      </c>
      <c r="BF47" s="263">
        <v>16811</v>
      </c>
      <c r="BG47" s="265">
        <v>5</v>
      </c>
      <c r="BH47" s="265" t="s">
        <v>585</v>
      </c>
      <c r="BI47" s="265">
        <v>40</v>
      </c>
      <c r="BJ47" s="265">
        <v>9</v>
      </c>
      <c r="BK47" s="263">
        <v>195</v>
      </c>
      <c r="BL47" s="264" t="s">
        <v>585</v>
      </c>
      <c r="BM47" s="263">
        <v>195</v>
      </c>
      <c r="BN47" s="265">
        <v>1165</v>
      </c>
      <c r="BO47" s="263">
        <v>86806</v>
      </c>
      <c r="BP47" s="264">
        <v>414</v>
      </c>
      <c r="BQ47" s="263">
        <v>87220</v>
      </c>
      <c r="BR47" s="266">
        <v>322</v>
      </c>
      <c r="BS47" s="264">
        <v>8551</v>
      </c>
      <c r="BT47" s="264">
        <v>1690</v>
      </c>
      <c r="BU47" s="264">
        <v>1745</v>
      </c>
      <c r="BV47" s="264">
        <v>304</v>
      </c>
      <c r="BW47" s="264">
        <v>32</v>
      </c>
      <c r="BX47" s="264">
        <v>382</v>
      </c>
      <c r="BY47" s="264">
        <v>978</v>
      </c>
      <c r="BZ47" s="264">
        <v>1145</v>
      </c>
      <c r="CA47" s="264">
        <v>2130</v>
      </c>
      <c r="CB47" s="264" t="s">
        <v>585</v>
      </c>
      <c r="CC47" s="264" t="s">
        <v>585</v>
      </c>
      <c r="CD47" s="264">
        <v>66</v>
      </c>
      <c r="CE47" s="264">
        <v>73</v>
      </c>
      <c r="CF47" s="267">
        <v>17418</v>
      </c>
      <c r="CG47" s="263">
        <v>3429</v>
      </c>
      <c r="CH47" s="264" t="s">
        <v>585</v>
      </c>
      <c r="CI47" s="263">
        <v>3429</v>
      </c>
      <c r="CJ47" s="265">
        <v>34000</v>
      </c>
      <c r="CK47" s="263">
        <v>458269</v>
      </c>
      <c r="CL47" s="264">
        <v>3010</v>
      </c>
      <c r="CM47" s="264">
        <v>1524434</v>
      </c>
      <c r="CN47" s="264">
        <v>228263</v>
      </c>
      <c r="CO47" s="264">
        <v>273</v>
      </c>
      <c r="CP47" s="264">
        <v>211</v>
      </c>
      <c r="CQ47" s="264">
        <v>5919</v>
      </c>
      <c r="CR47" s="264">
        <v>13</v>
      </c>
      <c r="CS47" s="264">
        <v>4778</v>
      </c>
      <c r="CT47" s="264">
        <v>672</v>
      </c>
      <c r="CU47" s="264">
        <v>16</v>
      </c>
      <c r="CV47" s="263">
        <v>2225858</v>
      </c>
      <c r="CW47" s="266">
        <v>69711</v>
      </c>
      <c r="CX47" s="264">
        <v>11670</v>
      </c>
      <c r="CY47" s="264">
        <v>1059</v>
      </c>
      <c r="CZ47" s="264">
        <v>5764</v>
      </c>
      <c r="DA47" s="264">
        <v>7</v>
      </c>
      <c r="DB47" s="264">
        <v>209</v>
      </c>
      <c r="DC47" s="264">
        <v>1</v>
      </c>
      <c r="DD47" s="267">
        <v>88421</v>
      </c>
      <c r="DE47" s="263" t="s">
        <v>585</v>
      </c>
      <c r="DF47" s="266" t="s">
        <v>585</v>
      </c>
      <c r="DG47" s="264" t="s">
        <v>585</v>
      </c>
      <c r="DH47" s="267" t="s">
        <v>585</v>
      </c>
      <c r="DI47" s="263">
        <v>30</v>
      </c>
      <c r="DJ47" s="264">
        <v>1</v>
      </c>
      <c r="DK47" s="263">
        <v>31</v>
      </c>
      <c r="DL47" s="265">
        <v>439</v>
      </c>
      <c r="DM47" s="263" t="s">
        <v>585</v>
      </c>
      <c r="DN47" s="264" t="s">
        <v>585</v>
      </c>
      <c r="DO47" s="263" t="s">
        <v>585</v>
      </c>
      <c r="DP47" s="266">
        <v>34340</v>
      </c>
      <c r="DQ47" s="264">
        <v>2</v>
      </c>
      <c r="DR47" s="267">
        <v>34342</v>
      </c>
      <c r="DS47" s="263">
        <v>1085</v>
      </c>
      <c r="DT47" s="265">
        <v>4</v>
      </c>
      <c r="DU47" s="263">
        <v>791</v>
      </c>
      <c r="DV47" s="264" t="s">
        <v>585</v>
      </c>
      <c r="DW47" s="263">
        <v>791</v>
      </c>
      <c r="DX47" s="265">
        <v>1</v>
      </c>
      <c r="DY47" s="265" t="s">
        <v>585</v>
      </c>
      <c r="DZ47" s="263">
        <v>31025</v>
      </c>
      <c r="EA47" s="264">
        <v>214</v>
      </c>
      <c r="EB47" s="264">
        <v>1254</v>
      </c>
      <c r="EC47" s="264">
        <v>3974</v>
      </c>
      <c r="ED47" s="264">
        <v>42</v>
      </c>
      <c r="EE47" s="264" t="s">
        <v>585</v>
      </c>
      <c r="EF47" s="264">
        <v>1</v>
      </c>
      <c r="EG47" s="263">
        <v>36510</v>
      </c>
      <c r="EH47" s="266">
        <v>651</v>
      </c>
      <c r="EI47" s="264">
        <v>3324</v>
      </c>
      <c r="EJ47" s="264">
        <v>46</v>
      </c>
      <c r="EK47" s="264">
        <v>248</v>
      </c>
      <c r="EL47" s="264">
        <v>9815</v>
      </c>
      <c r="EM47" s="264">
        <v>3508</v>
      </c>
      <c r="EN47" s="264">
        <v>78</v>
      </c>
      <c r="EO47" s="264">
        <v>278</v>
      </c>
      <c r="EP47" s="264">
        <v>1927</v>
      </c>
      <c r="EQ47" s="264">
        <v>51</v>
      </c>
      <c r="ER47" s="264">
        <v>59</v>
      </c>
      <c r="ES47" s="264" t="s">
        <v>585</v>
      </c>
      <c r="ET47" s="264">
        <v>56</v>
      </c>
      <c r="EU47" s="267">
        <v>20041</v>
      </c>
      <c r="EV47" s="263">
        <v>1</v>
      </c>
      <c r="EW47" s="265">
        <v>21</v>
      </c>
      <c r="EX47" s="263">
        <v>338</v>
      </c>
      <c r="EY47" s="264">
        <v>12</v>
      </c>
      <c r="EZ47" s="264">
        <v>29</v>
      </c>
      <c r="FA47" s="263">
        <v>379</v>
      </c>
      <c r="FB47" s="265">
        <v>1</v>
      </c>
      <c r="FC47" s="263">
        <v>242</v>
      </c>
      <c r="FD47" s="266">
        <v>2957</v>
      </c>
      <c r="FE47" s="264">
        <v>22</v>
      </c>
      <c r="FF47" s="264">
        <v>617</v>
      </c>
      <c r="FG47" s="264">
        <v>356</v>
      </c>
      <c r="FH47" s="267">
        <v>3952</v>
      </c>
      <c r="FI47" s="263">
        <v>2</v>
      </c>
      <c r="FJ47" s="264" t="s">
        <v>585</v>
      </c>
      <c r="FK47" s="263">
        <v>2</v>
      </c>
      <c r="FL47" s="266">
        <v>1</v>
      </c>
      <c r="FM47" s="264" t="s">
        <v>585</v>
      </c>
      <c r="FN47" s="267">
        <v>1</v>
      </c>
      <c r="FO47" s="263">
        <v>249</v>
      </c>
      <c r="FP47" s="265">
        <v>16318</v>
      </c>
      <c r="FQ47" s="263">
        <v>33</v>
      </c>
      <c r="FR47" s="264">
        <v>4876</v>
      </c>
      <c r="FS47" s="264">
        <v>1121</v>
      </c>
      <c r="FT47" s="263">
        <v>6030</v>
      </c>
      <c r="FU47" s="266">
        <v>1725</v>
      </c>
      <c r="FV47" s="264">
        <v>1000</v>
      </c>
      <c r="FW47" s="267">
        <v>2725</v>
      </c>
      <c r="FX47" s="263" t="s">
        <v>585</v>
      </c>
      <c r="FY47" s="266">
        <v>20</v>
      </c>
      <c r="FZ47" s="264">
        <v>317593</v>
      </c>
      <c r="GA47" s="264">
        <v>9580</v>
      </c>
      <c r="GB47" s="267">
        <v>327193</v>
      </c>
      <c r="GC47" s="263">
        <v>3683</v>
      </c>
      <c r="GD47" s="266">
        <v>4054</v>
      </c>
      <c r="GE47" s="264">
        <v>1023</v>
      </c>
      <c r="GF47" s="264">
        <v>238</v>
      </c>
      <c r="GG47" s="264">
        <v>5</v>
      </c>
      <c r="GH47" s="267">
        <v>5320</v>
      </c>
      <c r="GI47" s="265">
        <v>3649944</v>
      </c>
      <c r="GJ47" s="369">
        <f>3649944/45058286</f>
        <v>8.1004945461085665E-2</v>
      </c>
      <c r="GK47" s="383"/>
    </row>
    <row r="48" spans="2:193" s="76" customFormat="1" ht="12.75" customHeight="1" thickBot="1" x14ac:dyDescent="0.25">
      <c r="B48" s="363" t="s">
        <v>547</v>
      </c>
      <c r="C48" s="266">
        <v>66793</v>
      </c>
      <c r="D48" s="264">
        <v>229</v>
      </c>
      <c r="E48" s="264">
        <v>620</v>
      </c>
      <c r="F48" s="264">
        <v>765</v>
      </c>
      <c r="G48" s="267">
        <v>68407</v>
      </c>
      <c r="H48" s="265" t="s">
        <v>585</v>
      </c>
      <c r="I48" s="263">
        <v>399147</v>
      </c>
      <c r="J48" s="264">
        <v>2</v>
      </c>
      <c r="K48" s="263">
        <v>399149</v>
      </c>
      <c r="L48" s="265">
        <v>1</v>
      </c>
      <c r="M48" s="265">
        <v>297033</v>
      </c>
      <c r="N48" s="263">
        <v>3062</v>
      </c>
      <c r="O48" s="264">
        <v>2392</v>
      </c>
      <c r="P48" s="264">
        <v>510913</v>
      </c>
      <c r="Q48" s="264">
        <v>3056</v>
      </c>
      <c r="R48" s="264">
        <v>526</v>
      </c>
      <c r="S48" s="264">
        <v>214</v>
      </c>
      <c r="T48" s="264">
        <v>11</v>
      </c>
      <c r="U48" s="263">
        <v>520174</v>
      </c>
      <c r="V48" s="266">
        <v>17506</v>
      </c>
      <c r="W48" s="264">
        <v>6667</v>
      </c>
      <c r="X48" s="267">
        <v>24173</v>
      </c>
      <c r="Y48" s="263">
        <v>54259</v>
      </c>
      <c r="Z48" s="264">
        <v>66</v>
      </c>
      <c r="AA48" s="264">
        <v>23</v>
      </c>
      <c r="AB48" s="263">
        <v>54348</v>
      </c>
      <c r="AC48" s="266">
        <v>6485</v>
      </c>
      <c r="AD48" s="264">
        <v>46</v>
      </c>
      <c r="AE48" s="264">
        <v>14</v>
      </c>
      <c r="AF48" s="267">
        <v>6545</v>
      </c>
      <c r="AG48" s="263">
        <v>310</v>
      </c>
      <c r="AH48" s="264">
        <v>27</v>
      </c>
      <c r="AI48" s="264">
        <v>153</v>
      </c>
      <c r="AJ48" s="264">
        <v>397</v>
      </c>
      <c r="AK48" s="263">
        <v>887</v>
      </c>
      <c r="AL48" s="265">
        <v>81</v>
      </c>
      <c r="AM48" s="265" t="s">
        <v>585</v>
      </c>
      <c r="AN48" s="263">
        <v>3900</v>
      </c>
      <c r="AO48" s="264">
        <v>1015</v>
      </c>
      <c r="AP48" s="263">
        <v>4915</v>
      </c>
      <c r="AQ48" s="266">
        <v>621</v>
      </c>
      <c r="AR48" s="264">
        <v>5</v>
      </c>
      <c r="AS48" s="264">
        <v>12</v>
      </c>
      <c r="AT48" s="264">
        <v>15</v>
      </c>
      <c r="AU48" s="264">
        <v>265</v>
      </c>
      <c r="AV48" s="264">
        <v>899</v>
      </c>
      <c r="AW48" s="264">
        <v>23</v>
      </c>
      <c r="AX48" s="267">
        <v>1840</v>
      </c>
      <c r="AY48" s="263">
        <v>58803</v>
      </c>
      <c r="AZ48" s="265">
        <v>8263</v>
      </c>
      <c r="BA48" s="263">
        <v>2128</v>
      </c>
      <c r="BB48" s="379">
        <v>4860</v>
      </c>
      <c r="BC48" s="263">
        <v>19214</v>
      </c>
      <c r="BD48" s="263">
        <v>566</v>
      </c>
      <c r="BE48" s="380">
        <v>177</v>
      </c>
      <c r="BF48" s="263">
        <v>26945</v>
      </c>
      <c r="BG48" s="265">
        <v>11</v>
      </c>
      <c r="BH48" s="265" t="s">
        <v>585</v>
      </c>
      <c r="BI48" s="265">
        <v>40</v>
      </c>
      <c r="BJ48" s="265">
        <v>31</v>
      </c>
      <c r="BK48" s="263">
        <v>28706</v>
      </c>
      <c r="BL48" s="264">
        <v>46649</v>
      </c>
      <c r="BM48" s="263">
        <v>75355</v>
      </c>
      <c r="BN48" s="265">
        <v>1183</v>
      </c>
      <c r="BO48" s="263">
        <v>87225</v>
      </c>
      <c r="BP48" s="264">
        <v>27849</v>
      </c>
      <c r="BQ48" s="263">
        <v>115074</v>
      </c>
      <c r="BR48" s="266">
        <v>25380</v>
      </c>
      <c r="BS48" s="264">
        <v>10279</v>
      </c>
      <c r="BT48" s="264">
        <v>2055</v>
      </c>
      <c r="BU48" s="264">
        <v>2019</v>
      </c>
      <c r="BV48" s="264">
        <v>310</v>
      </c>
      <c r="BW48" s="264">
        <v>146098</v>
      </c>
      <c r="BX48" s="264" t="s">
        <v>585</v>
      </c>
      <c r="BY48" s="264" t="s">
        <v>585</v>
      </c>
      <c r="BZ48" s="264" t="s">
        <v>585</v>
      </c>
      <c r="CA48" s="264">
        <v>2377</v>
      </c>
      <c r="CB48" s="264">
        <v>7115</v>
      </c>
      <c r="CC48" s="264">
        <v>346</v>
      </c>
      <c r="CD48" s="264">
        <v>66</v>
      </c>
      <c r="CE48" s="264">
        <v>73</v>
      </c>
      <c r="CF48" s="267">
        <v>198774</v>
      </c>
      <c r="CG48" s="263">
        <v>3438</v>
      </c>
      <c r="CH48" s="264" t="s">
        <v>585</v>
      </c>
      <c r="CI48" s="263">
        <v>3438</v>
      </c>
      <c r="CJ48" s="265">
        <v>34047</v>
      </c>
      <c r="CK48" s="263">
        <v>878886</v>
      </c>
      <c r="CL48" s="264">
        <v>3034</v>
      </c>
      <c r="CM48" s="264">
        <v>3092769</v>
      </c>
      <c r="CN48" s="264">
        <v>1249945</v>
      </c>
      <c r="CO48" s="264">
        <v>292</v>
      </c>
      <c r="CP48" s="264">
        <v>216</v>
      </c>
      <c r="CQ48" s="264">
        <v>6312</v>
      </c>
      <c r="CR48" s="264">
        <v>16</v>
      </c>
      <c r="CS48" s="264">
        <v>4799</v>
      </c>
      <c r="CT48" s="264">
        <v>682</v>
      </c>
      <c r="CU48" s="264">
        <v>16</v>
      </c>
      <c r="CV48" s="263">
        <v>5236967</v>
      </c>
      <c r="CW48" s="266">
        <v>115627</v>
      </c>
      <c r="CX48" s="264">
        <v>11773</v>
      </c>
      <c r="CY48" s="264">
        <v>1892</v>
      </c>
      <c r="CZ48" s="264">
        <v>5802</v>
      </c>
      <c r="DA48" s="264">
        <v>63</v>
      </c>
      <c r="DB48" s="264">
        <v>216</v>
      </c>
      <c r="DC48" s="264">
        <v>6</v>
      </c>
      <c r="DD48" s="267">
        <v>135379</v>
      </c>
      <c r="DE48" s="263" t="s">
        <v>585</v>
      </c>
      <c r="DF48" s="266">
        <v>24</v>
      </c>
      <c r="DG48" s="264" t="s">
        <v>585</v>
      </c>
      <c r="DH48" s="267">
        <v>24</v>
      </c>
      <c r="DI48" s="263">
        <v>72</v>
      </c>
      <c r="DJ48" s="264">
        <v>1</v>
      </c>
      <c r="DK48" s="263">
        <v>73</v>
      </c>
      <c r="DL48" s="265">
        <v>534</v>
      </c>
      <c r="DM48" s="263">
        <v>137964</v>
      </c>
      <c r="DN48" s="264">
        <v>2</v>
      </c>
      <c r="DO48" s="263">
        <v>137966</v>
      </c>
      <c r="DP48" s="266">
        <v>35257</v>
      </c>
      <c r="DQ48" s="264">
        <v>60</v>
      </c>
      <c r="DR48" s="267">
        <v>35317</v>
      </c>
      <c r="DS48" s="263">
        <v>1297</v>
      </c>
      <c r="DT48" s="265">
        <v>11</v>
      </c>
      <c r="DU48" s="263">
        <v>1655</v>
      </c>
      <c r="DV48" s="264" t="s">
        <v>585</v>
      </c>
      <c r="DW48" s="263">
        <v>1655</v>
      </c>
      <c r="DX48" s="265">
        <v>6</v>
      </c>
      <c r="DY48" s="265">
        <v>6</v>
      </c>
      <c r="DZ48" s="263">
        <v>35231</v>
      </c>
      <c r="EA48" s="264">
        <v>4750</v>
      </c>
      <c r="EB48" s="264">
        <v>7222</v>
      </c>
      <c r="EC48" s="264">
        <v>4027</v>
      </c>
      <c r="ED48" s="264">
        <v>42</v>
      </c>
      <c r="EE48" s="264">
        <v>32</v>
      </c>
      <c r="EF48" s="264">
        <v>4</v>
      </c>
      <c r="EG48" s="263">
        <v>51308</v>
      </c>
      <c r="EH48" s="266">
        <v>6289</v>
      </c>
      <c r="EI48" s="264">
        <v>82127</v>
      </c>
      <c r="EJ48" s="264">
        <v>159</v>
      </c>
      <c r="EK48" s="264">
        <v>511</v>
      </c>
      <c r="EL48" s="264">
        <v>21969</v>
      </c>
      <c r="EM48" s="264">
        <v>45849</v>
      </c>
      <c r="EN48" s="264">
        <v>308</v>
      </c>
      <c r="EO48" s="264">
        <v>400</v>
      </c>
      <c r="EP48" s="264">
        <v>4351</v>
      </c>
      <c r="EQ48" s="264">
        <v>432</v>
      </c>
      <c r="ER48" s="264">
        <v>167</v>
      </c>
      <c r="ES48" s="264" t="s">
        <v>585</v>
      </c>
      <c r="ET48" s="264">
        <v>56</v>
      </c>
      <c r="EU48" s="267">
        <v>162618</v>
      </c>
      <c r="EV48" s="263">
        <v>147</v>
      </c>
      <c r="EW48" s="265">
        <v>30</v>
      </c>
      <c r="EX48" s="263">
        <v>381</v>
      </c>
      <c r="EY48" s="264">
        <v>3161</v>
      </c>
      <c r="EZ48" s="264">
        <v>53</v>
      </c>
      <c r="FA48" s="263">
        <v>3595</v>
      </c>
      <c r="FB48" s="265">
        <v>1</v>
      </c>
      <c r="FC48" s="263">
        <v>294</v>
      </c>
      <c r="FD48" s="266">
        <v>4017</v>
      </c>
      <c r="FE48" s="264">
        <v>21462</v>
      </c>
      <c r="FF48" s="264">
        <v>816</v>
      </c>
      <c r="FG48" s="264">
        <v>361</v>
      </c>
      <c r="FH48" s="267">
        <v>26656</v>
      </c>
      <c r="FI48" s="263">
        <v>4</v>
      </c>
      <c r="FJ48" s="264">
        <v>3</v>
      </c>
      <c r="FK48" s="263">
        <v>7</v>
      </c>
      <c r="FL48" s="266">
        <v>1</v>
      </c>
      <c r="FM48" s="264" t="s">
        <v>585</v>
      </c>
      <c r="FN48" s="267">
        <v>1</v>
      </c>
      <c r="FO48" s="263">
        <v>249</v>
      </c>
      <c r="FP48" s="265">
        <v>446288</v>
      </c>
      <c r="FQ48" s="263">
        <v>476</v>
      </c>
      <c r="FR48" s="264">
        <v>4944</v>
      </c>
      <c r="FS48" s="264">
        <v>1130</v>
      </c>
      <c r="FT48" s="263">
        <v>6550</v>
      </c>
      <c r="FU48" s="266">
        <v>167807</v>
      </c>
      <c r="FV48" s="264">
        <v>1028</v>
      </c>
      <c r="FW48" s="267">
        <v>168835</v>
      </c>
      <c r="FX48" s="263" t="s">
        <v>585</v>
      </c>
      <c r="FY48" s="266">
        <v>20</v>
      </c>
      <c r="FZ48" s="264">
        <v>317734</v>
      </c>
      <c r="GA48" s="264">
        <v>9585</v>
      </c>
      <c r="GB48" s="267">
        <v>327339</v>
      </c>
      <c r="GC48" s="263">
        <v>3880</v>
      </c>
      <c r="GD48" s="266">
        <v>4054</v>
      </c>
      <c r="GE48" s="264">
        <v>1024</v>
      </c>
      <c r="GF48" s="264">
        <v>245</v>
      </c>
      <c r="GG48" s="264">
        <v>5</v>
      </c>
      <c r="GH48" s="267">
        <v>5328</v>
      </c>
      <c r="GI48" s="265">
        <v>8651878</v>
      </c>
      <c r="GJ48" s="369">
        <f>8651878/45058286</f>
        <v>0.1920152488712065</v>
      </c>
      <c r="GK48" s="383"/>
    </row>
    <row r="49" spans="2:193" ht="12" customHeight="1" x14ac:dyDescent="0.2">
      <c r="B49" s="359" t="s">
        <v>21</v>
      </c>
      <c r="C49" s="203">
        <v>47448</v>
      </c>
      <c r="D49" s="204" t="s">
        <v>585</v>
      </c>
      <c r="E49" s="204" t="s">
        <v>585</v>
      </c>
      <c r="F49" s="204" t="s">
        <v>585</v>
      </c>
      <c r="G49" s="202">
        <v>47448</v>
      </c>
      <c r="H49" s="193" t="s">
        <v>585</v>
      </c>
      <c r="I49" s="206">
        <v>382</v>
      </c>
      <c r="J49" s="204" t="s">
        <v>585</v>
      </c>
      <c r="K49" s="206">
        <v>382</v>
      </c>
      <c r="L49" s="193">
        <v>14</v>
      </c>
      <c r="M49" s="193">
        <v>91830</v>
      </c>
      <c r="N49" s="206">
        <v>476</v>
      </c>
      <c r="O49" s="204">
        <v>3</v>
      </c>
      <c r="P49" s="204">
        <v>2654243</v>
      </c>
      <c r="Q49" s="204">
        <v>16098</v>
      </c>
      <c r="R49" s="204">
        <v>2217</v>
      </c>
      <c r="S49" s="204">
        <v>21</v>
      </c>
      <c r="T49" s="204">
        <v>5</v>
      </c>
      <c r="U49" s="206">
        <v>2673063</v>
      </c>
      <c r="V49" s="203">
        <v>450</v>
      </c>
      <c r="W49" s="204">
        <v>276</v>
      </c>
      <c r="X49" s="202">
        <v>726</v>
      </c>
      <c r="Y49" s="206">
        <v>5423</v>
      </c>
      <c r="Z49" s="204">
        <v>34</v>
      </c>
      <c r="AA49" s="204">
        <v>4</v>
      </c>
      <c r="AB49" s="206">
        <v>5461</v>
      </c>
      <c r="AC49" s="203">
        <v>6690</v>
      </c>
      <c r="AD49" s="204">
        <v>184</v>
      </c>
      <c r="AE49" s="204">
        <v>7</v>
      </c>
      <c r="AF49" s="202">
        <v>6881</v>
      </c>
      <c r="AG49" s="206">
        <v>1853</v>
      </c>
      <c r="AH49" s="204">
        <v>8</v>
      </c>
      <c r="AI49" s="204" t="s">
        <v>585</v>
      </c>
      <c r="AJ49" s="204">
        <v>5</v>
      </c>
      <c r="AK49" s="206">
        <v>1866</v>
      </c>
      <c r="AL49" s="193">
        <v>1</v>
      </c>
      <c r="AM49" s="193" t="s">
        <v>585</v>
      </c>
      <c r="AN49" s="206">
        <v>27</v>
      </c>
      <c r="AO49" s="204">
        <v>52</v>
      </c>
      <c r="AP49" s="206">
        <v>79</v>
      </c>
      <c r="AQ49" s="203">
        <v>86</v>
      </c>
      <c r="AR49" s="204">
        <v>32</v>
      </c>
      <c r="AS49" s="204">
        <v>290</v>
      </c>
      <c r="AT49" s="204">
        <v>2</v>
      </c>
      <c r="AU49" s="204" t="s">
        <v>585</v>
      </c>
      <c r="AV49" s="204">
        <v>5</v>
      </c>
      <c r="AW49" s="204" t="s">
        <v>585</v>
      </c>
      <c r="AX49" s="202">
        <v>415</v>
      </c>
      <c r="AY49" s="206">
        <v>18</v>
      </c>
      <c r="AZ49" s="193">
        <v>15199</v>
      </c>
      <c r="BA49" s="206">
        <v>5626</v>
      </c>
      <c r="BB49" s="377">
        <v>41277</v>
      </c>
      <c r="BC49" s="206">
        <v>254656</v>
      </c>
      <c r="BD49" s="206">
        <v>2167</v>
      </c>
      <c r="BE49" s="378">
        <v>8087</v>
      </c>
      <c r="BF49" s="206">
        <v>311813</v>
      </c>
      <c r="BG49" s="193">
        <v>8056</v>
      </c>
      <c r="BH49" s="193">
        <v>14</v>
      </c>
      <c r="BI49" s="193">
        <v>5</v>
      </c>
      <c r="BJ49" s="193">
        <v>91</v>
      </c>
      <c r="BK49" s="206">
        <v>25469</v>
      </c>
      <c r="BL49" s="204">
        <v>2</v>
      </c>
      <c r="BM49" s="206">
        <v>25471</v>
      </c>
      <c r="BN49" s="193" t="s">
        <v>585</v>
      </c>
      <c r="BO49" s="206">
        <v>75</v>
      </c>
      <c r="BP49" s="204">
        <v>31</v>
      </c>
      <c r="BQ49" s="206">
        <v>106</v>
      </c>
      <c r="BR49" s="203">
        <v>256</v>
      </c>
      <c r="BS49" s="204">
        <v>4</v>
      </c>
      <c r="BT49" s="204">
        <v>1</v>
      </c>
      <c r="BU49" s="204">
        <v>1</v>
      </c>
      <c r="BV49" s="204">
        <v>1</v>
      </c>
      <c r="BW49" s="204" t="s">
        <v>585</v>
      </c>
      <c r="BX49" s="204" t="s">
        <v>585</v>
      </c>
      <c r="BY49" s="204" t="s">
        <v>585</v>
      </c>
      <c r="BZ49" s="204" t="s">
        <v>585</v>
      </c>
      <c r="CA49" s="204">
        <v>2</v>
      </c>
      <c r="CB49" s="204" t="s">
        <v>585</v>
      </c>
      <c r="CC49" s="204" t="s">
        <v>585</v>
      </c>
      <c r="CD49" s="204" t="s">
        <v>585</v>
      </c>
      <c r="CE49" s="204" t="s">
        <v>585</v>
      </c>
      <c r="CF49" s="202">
        <v>265</v>
      </c>
      <c r="CG49" s="206">
        <v>100</v>
      </c>
      <c r="CH49" s="204" t="s">
        <v>585</v>
      </c>
      <c r="CI49" s="206">
        <v>100</v>
      </c>
      <c r="CJ49" s="193">
        <v>11</v>
      </c>
      <c r="CK49" s="206">
        <v>147006</v>
      </c>
      <c r="CL49" s="204">
        <v>79</v>
      </c>
      <c r="CM49" s="204">
        <v>569337</v>
      </c>
      <c r="CN49" s="204">
        <v>394045</v>
      </c>
      <c r="CO49" s="204">
        <v>1004</v>
      </c>
      <c r="CP49" s="204">
        <v>21</v>
      </c>
      <c r="CQ49" s="204">
        <v>12</v>
      </c>
      <c r="CR49" s="204">
        <v>17</v>
      </c>
      <c r="CS49" s="204">
        <v>33</v>
      </c>
      <c r="CT49" s="204">
        <v>7</v>
      </c>
      <c r="CU49" s="204" t="s">
        <v>585</v>
      </c>
      <c r="CV49" s="206">
        <v>1111561</v>
      </c>
      <c r="CW49" s="203">
        <v>409366</v>
      </c>
      <c r="CX49" s="204">
        <v>69</v>
      </c>
      <c r="CY49" s="204">
        <v>4117</v>
      </c>
      <c r="CZ49" s="204">
        <v>174</v>
      </c>
      <c r="DA49" s="204">
        <v>540</v>
      </c>
      <c r="DB49" s="204">
        <v>2</v>
      </c>
      <c r="DC49" s="204">
        <v>2</v>
      </c>
      <c r="DD49" s="202">
        <v>414270</v>
      </c>
      <c r="DE49" s="206">
        <v>5</v>
      </c>
      <c r="DF49" s="203" t="s">
        <v>585</v>
      </c>
      <c r="DG49" s="204" t="s">
        <v>585</v>
      </c>
      <c r="DH49" s="202" t="s">
        <v>585</v>
      </c>
      <c r="DI49" s="206" t="s">
        <v>585</v>
      </c>
      <c r="DJ49" s="204">
        <v>40</v>
      </c>
      <c r="DK49" s="206">
        <v>40</v>
      </c>
      <c r="DL49" s="193">
        <v>39581</v>
      </c>
      <c r="DM49" s="206">
        <v>4</v>
      </c>
      <c r="DN49" s="204" t="s">
        <v>585</v>
      </c>
      <c r="DO49" s="206">
        <v>4</v>
      </c>
      <c r="DP49" s="203">
        <v>145</v>
      </c>
      <c r="DQ49" s="204">
        <v>12</v>
      </c>
      <c r="DR49" s="202">
        <v>157</v>
      </c>
      <c r="DS49" s="206">
        <v>2470</v>
      </c>
      <c r="DT49" s="193">
        <v>3104</v>
      </c>
      <c r="DU49" s="206">
        <v>3502</v>
      </c>
      <c r="DV49" s="204" t="s">
        <v>585</v>
      </c>
      <c r="DW49" s="206">
        <v>3502</v>
      </c>
      <c r="DX49" s="193">
        <v>1742</v>
      </c>
      <c r="DY49" s="193">
        <v>1</v>
      </c>
      <c r="DZ49" s="206">
        <v>294</v>
      </c>
      <c r="EA49" s="204">
        <v>154</v>
      </c>
      <c r="EB49" s="204">
        <v>384</v>
      </c>
      <c r="EC49" s="204">
        <v>5</v>
      </c>
      <c r="ED49" s="204" t="s">
        <v>585</v>
      </c>
      <c r="EE49" s="204" t="s">
        <v>585</v>
      </c>
      <c r="EF49" s="204">
        <v>4</v>
      </c>
      <c r="EG49" s="206">
        <v>841</v>
      </c>
      <c r="EH49" s="203">
        <v>42352</v>
      </c>
      <c r="EI49" s="204">
        <v>71675</v>
      </c>
      <c r="EJ49" s="204">
        <v>300</v>
      </c>
      <c r="EK49" s="204">
        <v>2309</v>
      </c>
      <c r="EL49" s="204">
        <v>9030</v>
      </c>
      <c r="EM49" s="204">
        <v>64554</v>
      </c>
      <c r="EN49" s="204">
        <v>2619</v>
      </c>
      <c r="EO49" s="204">
        <v>124</v>
      </c>
      <c r="EP49" s="204">
        <v>26424</v>
      </c>
      <c r="EQ49" s="204">
        <v>288</v>
      </c>
      <c r="ER49" s="204">
        <v>74</v>
      </c>
      <c r="ES49" s="204">
        <v>2</v>
      </c>
      <c r="ET49" s="204" t="s">
        <v>585</v>
      </c>
      <c r="EU49" s="202">
        <v>219751</v>
      </c>
      <c r="EV49" s="206" t="s">
        <v>585</v>
      </c>
      <c r="EW49" s="193">
        <v>33</v>
      </c>
      <c r="EX49" s="206" t="s">
        <v>585</v>
      </c>
      <c r="EY49" s="204">
        <v>2735</v>
      </c>
      <c r="EZ49" s="204" t="s">
        <v>585</v>
      </c>
      <c r="FA49" s="206">
        <v>2735</v>
      </c>
      <c r="FB49" s="193" t="s">
        <v>585</v>
      </c>
      <c r="FC49" s="206">
        <v>13</v>
      </c>
      <c r="FD49" s="203">
        <v>2</v>
      </c>
      <c r="FE49" s="204">
        <v>15451</v>
      </c>
      <c r="FF49" s="204">
        <v>1</v>
      </c>
      <c r="FG49" s="204" t="s">
        <v>585</v>
      </c>
      <c r="FH49" s="202">
        <v>15454</v>
      </c>
      <c r="FI49" s="206">
        <v>5</v>
      </c>
      <c r="FJ49" s="204" t="s">
        <v>585</v>
      </c>
      <c r="FK49" s="206">
        <v>5</v>
      </c>
      <c r="FL49" s="203" t="s">
        <v>585</v>
      </c>
      <c r="FM49" s="204">
        <v>2</v>
      </c>
      <c r="FN49" s="202">
        <v>2</v>
      </c>
      <c r="FO49" s="206">
        <v>5</v>
      </c>
      <c r="FP49" s="193">
        <v>8668</v>
      </c>
      <c r="FQ49" s="206">
        <v>239</v>
      </c>
      <c r="FR49" s="204">
        <v>3</v>
      </c>
      <c r="FS49" s="204">
        <v>4</v>
      </c>
      <c r="FT49" s="206">
        <v>246</v>
      </c>
      <c r="FU49" s="203">
        <v>12326</v>
      </c>
      <c r="FV49" s="204">
        <v>2</v>
      </c>
      <c r="FW49" s="202">
        <v>12328</v>
      </c>
      <c r="FX49" s="206">
        <v>3</v>
      </c>
      <c r="FY49" s="203" t="s">
        <v>585</v>
      </c>
      <c r="FZ49" s="204">
        <v>109</v>
      </c>
      <c r="GA49" s="204">
        <v>18</v>
      </c>
      <c r="GB49" s="202">
        <v>127</v>
      </c>
      <c r="GC49" s="206">
        <v>13</v>
      </c>
      <c r="GD49" s="203" t="s">
        <v>585</v>
      </c>
      <c r="GE49" s="204">
        <v>2</v>
      </c>
      <c r="GF49" s="204">
        <v>1</v>
      </c>
      <c r="GG49" s="204">
        <v>1493</v>
      </c>
      <c r="GH49" s="202">
        <v>1496</v>
      </c>
      <c r="GI49" s="193">
        <v>5027472</v>
      </c>
      <c r="GJ49" s="368">
        <f>5027472/45058286</f>
        <v>0.11157708040647618</v>
      </c>
      <c r="GK49" s="382"/>
    </row>
    <row r="50" spans="2:193" ht="12" customHeight="1" x14ac:dyDescent="0.2">
      <c r="B50" s="359" t="s">
        <v>32</v>
      </c>
      <c r="C50" s="203">
        <v>351</v>
      </c>
      <c r="D50" s="204" t="s">
        <v>585</v>
      </c>
      <c r="E50" s="204" t="s">
        <v>585</v>
      </c>
      <c r="F50" s="204" t="s">
        <v>585</v>
      </c>
      <c r="G50" s="202">
        <v>351</v>
      </c>
      <c r="H50" s="193" t="s">
        <v>585</v>
      </c>
      <c r="I50" s="206">
        <v>38</v>
      </c>
      <c r="J50" s="204" t="s">
        <v>585</v>
      </c>
      <c r="K50" s="206">
        <v>38</v>
      </c>
      <c r="L50" s="193">
        <v>1</v>
      </c>
      <c r="M50" s="193">
        <v>20861</v>
      </c>
      <c r="N50" s="206">
        <v>21</v>
      </c>
      <c r="O50" s="204">
        <v>1</v>
      </c>
      <c r="P50" s="204">
        <v>117877</v>
      </c>
      <c r="Q50" s="204">
        <v>221</v>
      </c>
      <c r="R50" s="204">
        <v>133</v>
      </c>
      <c r="S50" s="204">
        <v>8</v>
      </c>
      <c r="T50" s="204">
        <v>2</v>
      </c>
      <c r="U50" s="206">
        <v>118263</v>
      </c>
      <c r="V50" s="203">
        <v>42</v>
      </c>
      <c r="W50" s="204">
        <v>23</v>
      </c>
      <c r="X50" s="202">
        <v>65</v>
      </c>
      <c r="Y50" s="206">
        <v>759</v>
      </c>
      <c r="Z50" s="204" t="s">
        <v>585</v>
      </c>
      <c r="AA50" s="204" t="s">
        <v>585</v>
      </c>
      <c r="AB50" s="206">
        <v>759</v>
      </c>
      <c r="AC50" s="203">
        <v>495</v>
      </c>
      <c r="AD50" s="204">
        <v>26</v>
      </c>
      <c r="AE50" s="204">
        <v>1</v>
      </c>
      <c r="AF50" s="202">
        <v>522</v>
      </c>
      <c r="AG50" s="206">
        <v>144</v>
      </c>
      <c r="AH50" s="204">
        <v>5</v>
      </c>
      <c r="AI50" s="204" t="s">
        <v>585</v>
      </c>
      <c r="AJ50" s="204" t="s">
        <v>585</v>
      </c>
      <c r="AK50" s="206">
        <v>149</v>
      </c>
      <c r="AL50" s="193" t="s">
        <v>585</v>
      </c>
      <c r="AM50" s="193" t="s">
        <v>585</v>
      </c>
      <c r="AN50" s="206" t="s">
        <v>585</v>
      </c>
      <c r="AO50" s="204">
        <v>4</v>
      </c>
      <c r="AP50" s="206">
        <v>4</v>
      </c>
      <c r="AQ50" s="203" t="s">
        <v>585</v>
      </c>
      <c r="AR50" s="204" t="s">
        <v>585</v>
      </c>
      <c r="AS50" s="204">
        <v>51</v>
      </c>
      <c r="AT50" s="204" t="s">
        <v>585</v>
      </c>
      <c r="AU50" s="204" t="s">
        <v>585</v>
      </c>
      <c r="AV50" s="204">
        <v>1</v>
      </c>
      <c r="AW50" s="204" t="s">
        <v>585</v>
      </c>
      <c r="AX50" s="202">
        <v>52</v>
      </c>
      <c r="AY50" s="206">
        <v>3</v>
      </c>
      <c r="AZ50" s="193">
        <v>32</v>
      </c>
      <c r="BA50" s="206">
        <v>912</v>
      </c>
      <c r="BB50" s="377">
        <v>3658</v>
      </c>
      <c r="BC50" s="206">
        <v>59184</v>
      </c>
      <c r="BD50" s="206">
        <v>479</v>
      </c>
      <c r="BE50" s="378">
        <v>1058</v>
      </c>
      <c r="BF50" s="206">
        <v>65291</v>
      </c>
      <c r="BG50" s="193">
        <v>36</v>
      </c>
      <c r="BH50" s="193" t="s">
        <v>585</v>
      </c>
      <c r="BI50" s="193" t="s">
        <v>585</v>
      </c>
      <c r="BJ50" s="193">
        <v>11</v>
      </c>
      <c r="BK50" s="206">
        <v>654</v>
      </c>
      <c r="BL50" s="204" t="s">
        <v>585</v>
      </c>
      <c r="BM50" s="206">
        <v>654</v>
      </c>
      <c r="BN50" s="193" t="s">
        <v>585</v>
      </c>
      <c r="BO50" s="206">
        <v>5</v>
      </c>
      <c r="BP50" s="204">
        <v>2</v>
      </c>
      <c r="BQ50" s="206">
        <v>7</v>
      </c>
      <c r="BR50" s="203">
        <v>12</v>
      </c>
      <c r="BS50" s="204" t="s">
        <v>585</v>
      </c>
      <c r="BT50" s="204" t="s">
        <v>585</v>
      </c>
      <c r="BU50" s="204" t="s">
        <v>585</v>
      </c>
      <c r="BV50" s="204" t="s">
        <v>585</v>
      </c>
      <c r="BW50" s="204" t="s">
        <v>585</v>
      </c>
      <c r="BX50" s="204" t="s">
        <v>585</v>
      </c>
      <c r="BY50" s="204" t="s">
        <v>585</v>
      </c>
      <c r="BZ50" s="204" t="s">
        <v>585</v>
      </c>
      <c r="CA50" s="204" t="s">
        <v>585</v>
      </c>
      <c r="CB50" s="204" t="s">
        <v>585</v>
      </c>
      <c r="CC50" s="204" t="s">
        <v>585</v>
      </c>
      <c r="CD50" s="204" t="s">
        <v>585</v>
      </c>
      <c r="CE50" s="204" t="s">
        <v>585</v>
      </c>
      <c r="CF50" s="202">
        <v>12</v>
      </c>
      <c r="CG50" s="206">
        <v>22</v>
      </c>
      <c r="CH50" s="204" t="s">
        <v>585</v>
      </c>
      <c r="CI50" s="206">
        <v>22</v>
      </c>
      <c r="CJ50" s="193">
        <v>1</v>
      </c>
      <c r="CK50" s="206">
        <v>19854</v>
      </c>
      <c r="CL50" s="204" t="s">
        <v>585</v>
      </c>
      <c r="CM50" s="204">
        <v>73527</v>
      </c>
      <c r="CN50" s="204">
        <v>63694</v>
      </c>
      <c r="CO50" s="204">
        <v>48</v>
      </c>
      <c r="CP50" s="204">
        <v>2</v>
      </c>
      <c r="CQ50" s="204">
        <v>1</v>
      </c>
      <c r="CR50" s="204">
        <v>1</v>
      </c>
      <c r="CS50" s="204">
        <v>1</v>
      </c>
      <c r="CT50" s="204" t="s">
        <v>585</v>
      </c>
      <c r="CU50" s="204" t="s">
        <v>585</v>
      </c>
      <c r="CV50" s="206">
        <v>157128</v>
      </c>
      <c r="CW50" s="203">
        <v>20396</v>
      </c>
      <c r="CX50" s="204" t="s">
        <v>585</v>
      </c>
      <c r="CY50" s="204">
        <v>362</v>
      </c>
      <c r="CZ50" s="204" t="s">
        <v>585</v>
      </c>
      <c r="DA50" s="204">
        <v>12</v>
      </c>
      <c r="DB50" s="204" t="s">
        <v>585</v>
      </c>
      <c r="DC50" s="204" t="s">
        <v>585</v>
      </c>
      <c r="DD50" s="202">
        <v>20770</v>
      </c>
      <c r="DE50" s="206" t="s">
        <v>585</v>
      </c>
      <c r="DF50" s="203" t="s">
        <v>585</v>
      </c>
      <c r="DG50" s="204" t="s">
        <v>585</v>
      </c>
      <c r="DH50" s="202" t="s">
        <v>585</v>
      </c>
      <c r="DI50" s="206" t="s">
        <v>585</v>
      </c>
      <c r="DJ50" s="204" t="s">
        <v>585</v>
      </c>
      <c r="DK50" s="206" t="s">
        <v>585</v>
      </c>
      <c r="DL50" s="193">
        <v>3774</v>
      </c>
      <c r="DM50" s="206" t="s">
        <v>585</v>
      </c>
      <c r="DN50" s="204">
        <v>1</v>
      </c>
      <c r="DO50" s="206">
        <v>1</v>
      </c>
      <c r="DP50" s="203" t="s">
        <v>585</v>
      </c>
      <c r="DQ50" s="204">
        <v>5</v>
      </c>
      <c r="DR50" s="202">
        <v>5</v>
      </c>
      <c r="DS50" s="206">
        <v>138</v>
      </c>
      <c r="DT50" s="193">
        <v>1</v>
      </c>
      <c r="DU50" s="206">
        <v>379</v>
      </c>
      <c r="DV50" s="204" t="s">
        <v>585</v>
      </c>
      <c r="DW50" s="206">
        <v>379</v>
      </c>
      <c r="DX50" s="193">
        <v>2</v>
      </c>
      <c r="DY50" s="193" t="s">
        <v>585</v>
      </c>
      <c r="DZ50" s="206">
        <v>1</v>
      </c>
      <c r="EA50" s="204">
        <v>27</v>
      </c>
      <c r="EB50" s="204">
        <v>24</v>
      </c>
      <c r="EC50" s="204" t="s">
        <v>585</v>
      </c>
      <c r="ED50" s="204" t="s">
        <v>585</v>
      </c>
      <c r="EE50" s="204" t="s">
        <v>585</v>
      </c>
      <c r="EF50" s="204" t="s">
        <v>585</v>
      </c>
      <c r="EG50" s="206">
        <v>52</v>
      </c>
      <c r="EH50" s="203">
        <v>2572</v>
      </c>
      <c r="EI50" s="204">
        <v>3086</v>
      </c>
      <c r="EJ50" s="204">
        <v>66</v>
      </c>
      <c r="EK50" s="204">
        <v>192</v>
      </c>
      <c r="EL50" s="204">
        <v>716</v>
      </c>
      <c r="EM50" s="204">
        <v>1493</v>
      </c>
      <c r="EN50" s="204">
        <v>141</v>
      </c>
      <c r="EO50" s="204">
        <v>20</v>
      </c>
      <c r="EP50" s="204">
        <v>1587</v>
      </c>
      <c r="EQ50" s="204">
        <v>109</v>
      </c>
      <c r="ER50" s="204">
        <v>9</v>
      </c>
      <c r="ES50" s="204">
        <v>2</v>
      </c>
      <c r="ET50" s="204" t="s">
        <v>585</v>
      </c>
      <c r="EU50" s="202">
        <v>9993</v>
      </c>
      <c r="EV50" s="206" t="s">
        <v>585</v>
      </c>
      <c r="EW50" s="193">
        <v>9</v>
      </c>
      <c r="EX50" s="206" t="s">
        <v>585</v>
      </c>
      <c r="EY50" s="204">
        <v>120</v>
      </c>
      <c r="EZ50" s="204" t="s">
        <v>585</v>
      </c>
      <c r="FA50" s="206">
        <v>120</v>
      </c>
      <c r="FB50" s="193" t="s">
        <v>585</v>
      </c>
      <c r="FC50" s="206" t="s">
        <v>585</v>
      </c>
      <c r="FD50" s="203" t="s">
        <v>585</v>
      </c>
      <c r="FE50" s="204">
        <v>1470</v>
      </c>
      <c r="FF50" s="204" t="s">
        <v>585</v>
      </c>
      <c r="FG50" s="204" t="s">
        <v>585</v>
      </c>
      <c r="FH50" s="202">
        <v>1470</v>
      </c>
      <c r="FI50" s="206" t="s">
        <v>585</v>
      </c>
      <c r="FJ50" s="204" t="s">
        <v>585</v>
      </c>
      <c r="FK50" s="206" t="s">
        <v>585</v>
      </c>
      <c r="FL50" s="203" t="s">
        <v>585</v>
      </c>
      <c r="FM50" s="204" t="s">
        <v>585</v>
      </c>
      <c r="FN50" s="202" t="s">
        <v>585</v>
      </c>
      <c r="FO50" s="206">
        <v>4</v>
      </c>
      <c r="FP50" s="193">
        <v>218</v>
      </c>
      <c r="FQ50" s="206">
        <v>21</v>
      </c>
      <c r="FR50" s="204" t="s">
        <v>585</v>
      </c>
      <c r="FS50" s="204" t="s">
        <v>585</v>
      </c>
      <c r="FT50" s="206">
        <v>21</v>
      </c>
      <c r="FU50" s="203">
        <v>250</v>
      </c>
      <c r="FV50" s="204" t="s">
        <v>585</v>
      </c>
      <c r="FW50" s="202">
        <v>250</v>
      </c>
      <c r="FX50" s="206" t="s">
        <v>585</v>
      </c>
      <c r="FY50" s="203" t="s">
        <v>585</v>
      </c>
      <c r="FZ50" s="204">
        <v>2</v>
      </c>
      <c r="GA50" s="204">
        <v>1</v>
      </c>
      <c r="GB50" s="202">
        <v>3</v>
      </c>
      <c r="GC50" s="206" t="s">
        <v>585</v>
      </c>
      <c r="GD50" s="203" t="s">
        <v>585</v>
      </c>
      <c r="GE50" s="204">
        <v>1</v>
      </c>
      <c r="GF50" s="204">
        <v>2</v>
      </c>
      <c r="GG50" s="204" t="s">
        <v>585</v>
      </c>
      <c r="GH50" s="202">
        <v>3</v>
      </c>
      <c r="GI50" s="193">
        <v>401475</v>
      </c>
      <c r="GJ50" s="368">
        <f>401475/45058286</f>
        <v>8.9101258756269595E-3</v>
      </c>
      <c r="GK50" s="382"/>
    </row>
    <row r="51" spans="2:193" ht="12" customHeight="1" x14ac:dyDescent="0.2">
      <c r="B51" s="359" t="s">
        <v>42</v>
      </c>
      <c r="C51" s="203">
        <v>2630</v>
      </c>
      <c r="D51" s="204" t="s">
        <v>585</v>
      </c>
      <c r="E51" s="204" t="s">
        <v>585</v>
      </c>
      <c r="F51" s="204">
        <v>2</v>
      </c>
      <c r="G51" s="202">
        <v>2632</v>
      </c>
      <c r="H51" s="193" t="s">
        <v>585</v>
      </c>
      <c r="I51" s="206">
        <v>20</v>
      </c>
      <c r="J51" s="204" t="s">
        <v>585</v>
      </c>
      <c r="K51" s="206">
        <v>20</v>
      </c>
      <c r="L51" s="193">
        <v>1</v>
      </c>
      <c r="M51" s="193">
        <v>6677</v>
      </c>
      <c r="N51" s="206">
        <v>47</v>
      </c>
      <c r="O51" s="204" t="s">
        <v>585</v>
      </c>
      <c r="P51" s="204">
        <v>197723</v>
      </c>
      <c r="Q51" s="204">
        <v>1578</v>
      </c>
      <c r="R51" s="204">
        <v>333</v>
      </c>
      <c r="S51" s="204">
        <v>4</v>
      </c>
      <c r="T51" s="204" t="s">
        <v>585</v>
      </c>
      <c r="U51" s="206">
        <v>199685</v>
      </c>
      <c r="V51" s="203">
        <v>104</v>
      </c>
      <c r="W51" s="204">
        <v>25</v>
      </c>
      <c r="X51" s="202">
        <v>129</v>
      </c>
      <c r="Y51" s="206">
        <v>571</v>
      </c>
      <c r="Z51" s="204">
        <v>1</v>
      </c>
      <c r="AA51" s="204" t="s">
        <v>585</v>
      </c>
      <c r="AB51" s="206">
        <v>572</v>
      </c>
      <c r="AC51" s="203">
        <v>1926</v>
      </c>
      <c r="AD51" s="204">
        <v>38</v>
      </c>
      <c r="AE51" s="204">
        <v>44</v>
      </c>
      <c r="AF51" s="202">
        <v>2008</v>
      </c>
      <c r="AG51" s="206">
        <v>216</v>
      </c>
      <c r="AH51" s="204">
        <v>1</v>
      </c>
      <c r="AI51" s="204" t="s">
        <v>585</v>
      </c>
      <c r="AJ51" s="204" t="s">
        <v>585</v>
      </c>
      <c r="AK51" s="206">
        <v>217</v>
      </c>
      <c r="AL51" s="193" t="s">
        <v>585</v>
      </c>
      <c r="AM51" s="193" t="s">
        <v>585</v>
      </c>
      <c r="AN51" s="206">
        <v>5</v>
      </c>
      <c r="AO51" s="204">
        <v>2</v>
      </c>
      <c r="AP51" s="206">
        <v>7</v>
      </c>
      <c r="AQ51" s="203">
        <v>18</v>
      </c>
      <c r="AR51" s="204">
        <v>2</v>
      </c>
      <c r="AS51" s="204">
        <v>67</v>
      </c>
      <c r="AT51" s="204" t="s">
        <v>585</v>
      </c>
      <c r="AU51" s="204" t="s">
        <v>585</v>
      </c>
      <c r="AV51" s="204" t="s">
        <v>585</v>
      </c>
      <c r="AW51" s="204" t="s">
        <v>585</v>
      </c>
      <c r="AX51" s="202">
        <v>87</v>
      </c>
      <c r="AY51" s="206">
        <v>1</v>
      </c>
      <c r="AZ51" s="193">
        <v>506</v>
      </c>
      <c r="BA51" s="206">
        <v>965</v>
      </c>
      <c r="BB51" s="377">
        <v>6461</v>
      </c>
      <c r="BC51" s="206">
        <v>39286</v>
      </c>
      <c r="BD51" s="206">
        <v>199</v>
      </c>
      <c r="BE51" s="378">
        <v>1030</v>
      </c>
      <c r="BF51" s="206">
        <v>47941</v>
      </c>
      <c r="BG51" s="193">
        <v>372</v>
      </c>
      <c r="BH51" s="193" t="s">
        <v>585</v>
      </c>
      <c r="BI51" s="193" t="s">
        <v>585</v>
      </c>
      <c r="BJ51" s="193">
        <v>23746</v>
      </c>
      <c r="BK51" s="206">
        <v>828</v>
      </c>
      <c r="BL51" s="204" t="s">
        <v>585</v>
      </c>
      <c r="BM51" s="206">
        <v>828</v>
      </c>
      <c r="BN51" s="193" t="s">
        <v>585</v>
      </c>
      <c r="BO51" s="206">
        <v>11</v>
      </c>
      <c r="BP51" s="204">
        <v>15</v>
      </c>
      <c r="BQ51" s="206">
        <v>26</v>
      </c>
      <c r="BR51" s="203">
        <v>9</v>
      </c>
      <c r="BS51" s="204" t="s">
        <v>585</v>
      </c>
      <c r="BT51" s="204" t="s">
        <v>585</v>
      </c>
      <c r="BU51" s="204" t="s">
        <v>585</v>
      </c>
      <c r="BV51" s="204" t="s">
        <v>585</v>
      </c>
      <c r="BW51" s="204" t="s">
        <v>585</v>
      </c>
      <c r="BX51" s="204">
        <v>9</v>
      </c>
      <c r="BY51" s="204" t="s">
        <v>585</v>
      </c>
      <c r="BZ51" s="204" t="s">
        <v>585</v>
      </c>
      <c r="CA51" s="204">
        <v>2</v>
      </c>
      <c r="CB51" s="204" t="s">
        <v>585</v>
      </c>
      <c r="CC51" s="204" t="s">
        <v>585</v>
      </c>
      <c r="CD51" s="204" t="s">
        <v>585</v>
      </c>
      <c r="CE51" s="204" t="s">
        <v>585</v>
      </c>
      <c r="CF51" s="202">
        <v>20</v>
      </c>
      <c r="CG51" s="206">
        <v>3</v>
      </c>
      <c r="CH51" s="204" t="s">
        <v>585</v>
      </c>
      <c r="CI51" s="206">
        <v>3</v>
      </c>
      <c r="CJ51" s="193" t="s">
        <v>585</v>
      </c>
      <c r="CK51" s="206">
        <v>19198</v>
      </c>
      <c r="CL51" s="204">
        <v>1</v>
      </c>
      <c r="CM51" s="204">
        <v>56300</v>
      </c>
      <c r="CN51" s="204">
        <v>63954</v>
      </c>
      <c r="CO51" s="204">
        <v>153</v>
      </c>
      <c r="CP51" s="204" t="s">
        <v>585</v>
      </c>
      <c r="CQ51" s="204">
        <v>1</v>
      </c>
      <c r="CR51" s="204">
        <v>2</v>
      </c>
      <c r="CS51" s="204">
        <v>5</v>
      </c>
      <c r="CT51" s="204" t="s">
        <v>585</v>
      </c>
      <c r="CU51" s="204" t="s">
        <v>585</v>
      </c>
      <c r="CV51" s="206">
        <v>139614</v>
      </c>
      <c r="CW51" s="203">
        <v>46491</v>
      </c>
      <c r="CX51" s="204">
        <v>3</v>
      </c>
      <c r="CY51" s="204">
        <v>370</v>
      </c>
      <c r="CZ51" s="204">
        <v>6</v>
      </c>
      <c r="DA51" s="204">
        <v>25</v>
      </c>
      <c r="DB51" s="204">
        <v>1</v>
      </c>
      <c r="DC51" s="204" t="s">
        <v>585</v>
      </c>
      <c r="DD51" s="202">
        <v>46896</v>
      </c>
      <c r="DE51" s="206" t="s">
        <v>585</v>
      </c>
      <c r="DF51" s="203" t="s">
        <v>585</v>
      </c>
      <c r="DG51" s="204" t="s">
        <v>585</v>
      </c>
      <c r="DH51" s="202" t="s">
        <v>585</v>
      </c>
      <c r="DI51" s="206" t="s">
        <v>585</v>
      </c>
      <c r="DJ51" s="204">
        <v>1</v>
      </c>
      <c r="DK51" s="206">
        <v>1</v>
      </c>
      <c r="DL51" s="193">
        <v>10111</v>
      </c>
      <c r="DM51" s="206" t="s">
        <v>585</v>
      </c>
      <c r="DN51" s="204" t="s">
        <v>585</v>
      </c>
      <c r="DO51" s="206" t="s">
        <v>585</v>
      </c>
      <c r="DP51" s="203">
        <v>26</v>
      </c>
      <c r="DQ51" s="204" t="s">
        <v>585</v>
      </c>
      <c r="DR51" s="202">
        <v>26</v>
      </c>
      <c r="DS51" s="206">
        <v>354</v>
      </c>
      <c r="DT51" s="193">
        <v>153</v>
      </c>
      <c r="DU51" s="206">
        <v>416</v>
      </c>
      <c r="DV51" s="204" t="s">
        <v>585</v>
      </c>
      <c r="DW51" s="206">
        <v>416</v>
      </c>
      <c r="DX51" s="193">
        <v>81</v>
      </c>
      <c r="DY51" s="193" t="s">
        <v>585</v>
      </c>
      <c r="DZ51" s="206">
        <v>1</v>
      </c>
      <c r="EA51" s="204">
        <v>13</v>
      </c>
      <c r="EB51" s="204">
        <v>61</v>
      </c>
      <c r="EC51" s="204" t="s">
        <v>585</v>
      </c>
      <c r="ED51" s="204" t="s">
        <v>585</v>
      </c>
      <c r="EE51" s="204" t="s">
        <v>585</v>
      </c>
      <c r="EF51" s="204" t="s">
        <v>585</v>
      </c>
      <c r="EG51" s="206">
        <v>75</v>
      </c>
      <c r="EH51" s="203">
        <v>8585</v>
      </c>
      <c r="EI51" s="204">
        <v>13841</v>
      </c>
      <c r="EJ51" s="204">
        <v>39</v>
      </c>
      <c r="EK51" s="204">
        <v>372</v>
      </c>
      <c r="EL51" s="204">
        <v>2427</v>
      </c>
      <c r="EM51" s="204">
        <v>41098</v>
      </c>
      <c r="EN51" s="204">
        <v>804</v>
      </c>
      <c r="EO51" s="204">
        <v>35</v>
      </c>
      <c r="EP51" s="204">
        <v>3554</v>
      </c>
      <c r="EQ51" s="204">
        <v>79</v>
      </c>
      <c r="ER51" s="204">
        <v>25</v>
      </c>
      <c r="ES51" s="204" t="s">
        <v>585</v>
      </c>
      <c r="ET51" s="204" t="s">
        <v>585</v>
      </c>
      <c r="EU51" s="202">
        <v>70859</v>
      </c>
      <c r="EV51" s="206" t="s">
        <v>585</v>
      </c>
      <c r="EW51" s="193">
        <v>2</v>
      </c>
      <c r="EX51" s="206" t="s">
        <v>585</v>
      </c>
      <c r="EY51" s="204">
        <v>439</v>
      </c>
      <c r="EZ51" s="204" t="s">
        <v>585</v>
      </c>
      <c r="FA51" s="206">
        <v>439</v>
      </c>
      <c r="FB51" s="193" t="s">
        <v>585</v>
      </c>
      <c r="FC51" s="206">
        <v>4</v>
      </c>
      <c r="FD51" s="203" t="s">
        <v>585</v>
      </c>
      <c r="FE51" s="204">
        <v>800</v>
      </c>
      <c r="FF51" s="204" t="s">
        <v>585</v>
      </c>
      <c r="FG51" s="204" t="s">
        <v>585</v>
      </c>
      <c r="FH51" s="202">
        <v>800</v>
      </c>
      <c r="FI51" s="206" t="s">
        <v>585</v>
      </c>
      <c r="FJ51" s="204" t="s">
        <v>585</v>
      </c>
      <c r="FK51" s="206" t="s">
        <v>585</v>
      </c>
      <c r="FL51" s="203" t="s">
        <v>585</v>
      </c>
      <c r="FM51" s="204" t="s">
        <v>585</v>
      </c>
      <c r="FN51" s="202" t="s">
        <v>585</v>
      </c>
      <c r="FO51" s="206">
        <v>2</v>
      </c>
      <c r="FP51" s="193">
        <v>652</v>
      </c>
      <c r="FQ51" s="206">
        <v>12</v>
      </c>
      <c r="FR51" s="204" t="s">
        <v>585</v>
      </c>
      <c r="FS51" s="204" t="s">
        <v>585</v>
      </c>
      <c r="FT51" s="206">
        <v>12</v>
      </c>
      <c r="FU51" s="203">
        <v>1400</v>
      </c>
      <c r="FV51" s="204" t="s">
        <v>585</v>
      </c>
      <c r="FW51" s="202">
        <v>1400</v>
      </c>
      <c r="FX51" s="206" t="s">
        <v>585</v>
      </c>
      <c r="FY51" s="203" t="s">
        <v>585</v>
      </c>
      <c r="FZ51" s="204">
        <v>10</v>
      </c>
      <c r="GA51" s="204">
        <v>1</v>
      </c>
      <c r="GB51" s="202">
        <v>11</v>
      </c>
      <c r="GC51" s="206" t="s">
        <v>585</v>
      </c>
      <c r="GD51" s="203" t="s">
        <v>585</v>
      </c>
      <c r="GE51" s="204" t="s">
        <v>585</v>
      </c>
      <c r="GF51" s="204" t="s">
        <v>585</v>
      </c>
      <c r="GG51" s="204">
        <v>49</v>
      </c>
      <c r="GH51" s="202">
        <v>49</v>
      </c>
      <c r="GI51" s="193">
        <v>557435</v>
      </c>
      <c r="GJ51" s="368">
        <f>557435/45058286</f>
        <v>1.2371420430861485E-2</v>
      </c>
      <c r="GK51" s="382"/>
    </row>
    <row r="52" spans="2:193" ht="12" customHeight="1" x14ac:dyDescent="0.2">
      <c r="B52" s="359" t="s">
        <v>63</v>
      </c>
      <c r="C52" s="203">
        <v>31</v>
      </c>
      <c r="D52" s="204" t="s">
        <v>585</v>
      </c>
      <c r="E52" s="204" t="s">
        <v>585</v>
      </c>
      <c r="F52" s="204" t="s">
        <v>585</v>
      </c>
      <c r="G52" s="202">
        <v>31</v>
      </c>
      <c r="H52" s="193" t="s">
        <v>585</v>
      </c>
      <c r="I52" s="206">
        <v>25</v>
      </c>
      <c r="J52" s="204" t="s">
        <v>585</v>
      </c>
      <c r="K52" s="206">
        <v>25</v>
      </c>
      <c r="L52" s="193" t="s">
        <v>585</v>
      </c>
      <c r="M52" s="193">
        <v>557</v>
      </c>
      <c r="N52" s="206">
        <v>7</v>
      </c>
      <c r="O52" s="204" t="s">
        <v>585</v>
      </c>
      <c r="P52" s="204">
        <v>227599</v>
      </c>
      <c r="Q52" s="204">
        <v>191</v>
      </c>
      <c r="R52" s="204">
        <v>47</v>
      </c>
      <c r="S52" s="204" t="s">
        <v>585</v>
      </c>
      <c r="T52" s="204" t="s">
        <v>585</v>
      </c>
      <c r="U52" s="206">
        <v>227844</v>
      </c>
      <c r="V52" s="203">
        <v>77</v>
      </c>
      <c r="W52" s="204">
        <v>78</v>
      </c>
      <c r="X52" s="202">
        <v>155</v>
      </c>
      <c r="Y52" s="206">
        <v>405</v>
      </c>
      <c r="Z52" s="204" t="s">
        <v>585</v>
      </c>
      <c r="AA52" s="204" t="s">
        <v>585</v>
      </c>
      <c r="AB52" s="206">
        <v>405</v>
      </c>
      <c r="AC52" s="203">
        <v>364</v>
      </c>
      <c r="AD52" s="204">
        <v>83</v>
      </c>
      <c r="AE52" s="204" t="s">
        <v>585</v>
      </c>
      <c r="AF52" s="202">
        <v>447</v>
      </c>
      <c r="AG52" s="206">
        <v>22</v>
      </c>
      <c r="AH52" s="204" t="s">
        <v>585</v>
      </c>
      <c r="AI52" s="204">
        <v>1</v>
      </c>
      <c r="AJ52" s="204" t="s">
        <v>585</v>
      </c>
      <c r="AK52" s="206">
        <v>23</v>
      </c>
      <c r="AL52" s="193" t="s">
        <v>585</v>
      </c>
      <c r="AM52" s="193" t="s">
        <v>585</v>
      </c>
      <c r="AN52" s="206">
        <v>1</v>
      </c>
      <c r="AO52" s="204" t="s">
        <v>585</v>
      </c>
      <c r="AP52" s="206">
        <v>1</v>
      </c>
      <c r="AQ52" s="203">
        <v>0</v>
      </c>
      <c r="AR52" s="204">
        <v>33</v>
      </c>
      <c r="AS52" s="204">
        <v>7</v>
      </c>
      <c r="AT52" s="204" t="s">
        <v>585</v>
      </c>
      <c r="AU52" s="204" t="s">
        <v>585</v>
      </c>
      <c r="AV52" s="204" t="s">
        <v>585</v>
      </c>
      <c r="AW52" s="204" t="s">
        <v>585</v>
      </c>
      <c r="AX52" s="202">
        <v>40</v>
      </c>
      <c r="AY52" s="206" t="s">
        <v>585</v>
      </c>
      <c r="AZ52" s="193">
        <v>1</v>
      </c>
      <c r="BA52" s="206">
        <v>134</v>
      </c>
      <c r="BB52" s="377">
        <v>387</v>
      </c>
      <c r="BC52" s="206">
        <v>1888</v>
      </c>
      <c r="BD52" s="206">
        <v>75</v>
      </c>
      <c r="BE52" s="378">
        <v>51</v>
      </c>
      <c r="BF52" s="206">
        <v>2535</v>
      </c>
      <c r="BG52" s="193" t="s">
        <v>585</v>
      </c>
      <c r="BH52" s="193" t="s">
        <v>585</v>
      </c>
      <c r="BI52" s="193" t="s">
        <v>585</v>
      </c>
      <c r="BJ52" s="193">
        <v>1</v>
      </c>
      <c r="BK52" s="206">
        <v>4</v>
      </c>
      <c r="BL52" s="204" t="s">
        <v>585</v>
      </c>
      <c r="BM52" s="206">
        <v>4</v>
      </c>
      <c r="BN52" s="193" t="s">
        <v>585</v>
      </c>
      <c r="BO52" s="206">
        <v>2</v>
      </c>
      <c r="BP52" s="204" t="s">
        <v>585</v>
      </c>
      <c r="BQ52" s="206">
        <v>2</v>
      </c>
      <c r="BR52" s="203" t="s">
        <v>585</v>
      </c>
      <c r="BS52" s="204">
        <v>2</v>
      </c>
      <c r="BT52" s="204">
        <v>2</v>
      </c>
      <c r="BU52" s="204" t="s">
        <v>585</v>
      </c>
      <c r="BV52" s="204" t="s">
        <v>585</v>
      </c>
      <c r="BW52" s="204" t="s">
        <v>585</v>
      </c>
      <c r="BX52" s="204" t="s">
        <v>585</v>
      </c>
      <c r="BY52" s="204" t="s">
        <v>585</v>
      </c>
      <c r="BZ52" s="204">
        <v>1</v>
      </c>
      <c r="CA52" s="204">
        <v>1</v>
      </c>
      <c r="CB52" s="204" t="s">
        <v>585</v>
      </c>
      <c r="CC52" s="204" t="s">
        <v>585</v>
      </c>
      <c r="CD52" s="204" t="s">
        <v>585</v>
      </c>
      <c r="CE52" s="204" t="s">
        <v>585</v>
      </c>
      <c r="CF52" s="202">
        <v>6</v>
      </c>
      <c r="CG52" s="206">
        <v>6</v>
      </c>
      <c r="CH52" s="204" t="s">
        <v>585</v>
      </c>
      <c r="CI52" s="206">
        <v>6</v>
      </c>
      <c r="CJ52" s="193" t="s">
        <v>585</v>
      </c>
      <c r="CK52" s="206">
        <v>6286</v>
      </c>
      <c r="CL52" s="204" t="s">
        <v>585</v>
      </c>
      <c r="CM52" s="204">
        <v>19741</v>
      </c>
      <c r="CN52" s="204">
        <v>9231</v>
      </c>
      <c r="CO52" s="204">
        <v>74</v>
      </c>
      <c r="CP52" s="204">
        <v>1</v>
      </c>
      <c r="CQ52" s="204">
        <v>3</v>
      </c>
      <c r="CR52" s="204">
        <v>1</v>
      </c>
      <c r="CS52" s="204" t="s">
        <v>585</v>
      </c>
      <c r="CT52" s="204" t="s">
        <v>585</v>
      </c>
      <c r="CU52" s="204" t="s">
        <v>585</v>
      </c>
      <c r="CV52" s="206">
        <v>35337</v>
      </c>
      <c r="CW52" s="203">
        <v>9574</v>
      </c>
      <c r="CX52" s="204">
        <v>4</v>
      </c>
      <c r="CY52" s="204">
        <v>41</v>
      </c>
      <c r="CZ52" s="204" t="s">
        <v>585</v>
      </c>
      <c r="DA52" s="204">
        <v>4</v>
      </c>
      <c r="DB52" s="204" t="s">
        <v>585</v>
      </c>
      <c r="DC52" s="204" t="s">
        <v>585</v>
      </c>
      <c r="DD52" s="202">
        <v>9623</v>
      </c>
      <c r="DE52" s="206" t="s">
        <v>585</v>
      </c>
      <c r="DF52" s="203" t="s">
        <v>585</v>
      </c>
      <c r="DG52" s="204" t="s">
        <v>585</v>
      </c>
      <c r="DH52" s="202" t="s">
        <v>585</v>
      </c>
      <c r="DI52" s="206" t="s">
        <v>585</v>
      </c>
      <c r="DJ52" s="204" t="s">
        <v>585</v>
      </c>
      <c r="DK52" s="206" t="s">
        <v>585</v>
      </c>
      <c r="DL52" s="193">
        <v>21</v>
      </c>
      <c r="DM52" s="206" t="s">
        <v>585</v>
      </c>
      <c r="DN52" s="204" t="s">
        <v>585</v>
      </c>
      <c r="DO52" s="206" t="s">
        <v>585</v>
      </c>
      <c r="DP52" s="203">
        <v>2</v>
      </c>
      <c r="DQ52" s="204" t="s">
        <v>585</v>
      </c>
      <c r="DR52" s="202">
        <v>2</v>
      </c>
      <c r="DS52" s="206">
        <v>20</v>
      </c>
      <c r="DT52" s="193" t="s">
        <v>585</v>
      </c>
      <c r="DU52" s="206">
        <v>1602</v>
      </c>
      <c r="DV52" s="204" t="s">
        <v>585</v>
      </c>
      <c r="DW52" s="206">
        <v>1602</v>
      </c>
      <c r="DX52" s="193" t="s">
        <v>585</v>
      </c>
      <c r="DY52" s="193" t="s">
        <v>585</v>
      </c>
      <c r="DZ52" s="206" t="s">
        <v>585</v>
      </c>
      <c r="EA52" s="204">
        <v>3</v>
      </c>
      <c r="EB52" s="204">
        <v>12</v>
      </c>
      <c r="EC52" s="204">
        <v>4</v>
      </c>
      <c r="ED52" s="204" t="s">
        <v>585</v>
      </c>
      <c r="EE52" s="204" t="s">
        <v>585</v>
      </c>
      <c r="EF52" s="204" t="s">
        <v>585</v>
      </c>
      <c r="EG52" s="206">
        <v>19</v>
      </c>
      <c r="EH52" s="203">
        <v>2020</v>
      </c>
      <c r="EI52" s="204">
        <v>5983</v>
      </c>
      <c r="EJ52" s="204">
        <v>5</v>
      </c>
      <c r="EK52" s="204">
        <v>437</v>
      </c>
      <c r="EL52" s="204">
        <v>546</v>
      </c>
      <c r="EM52" s="204">
        <v>20908</v>
      </c>
      <c r="EN52" s="204">
        <v>453</v>
      </c>
      <c r="EO52" s="204">
        <v>3</v>
      </c>
      <c r="EP52" s="204">
        <v>2068</v>
      </c>
      <c r="EQ52" s="204">
        <v>11</v>
      </c>
      <c r="ER52" s="204">
        <v>4</v>
      </c>
      <c r="ES52" s="204" t="s">
        <v>585</v>
      </c>
      <c r="ET52" s="204" t="s">
        <v>585</v>
      </c>
      <c r="EU52" s="202">
        <v>32438</v>
      </c>
      <c r="EV52" s="206">
        <v>12</v>
      </c>
      <c r="EW52" s="193">
        <v>1</v>
      </c>
      <c r="EX52" s="206" t="s">
        <v>585</v>
      </c>
      <c r="EY52" s="204" t="s">
        <v>585</v>
      </c>
      <c r="EZ52" s="204" t="s">
        <v>585</v>
      </c>
      <c r="FA52" s="206" t="s">
        <v>585</v>
      </c>
      <c r="FB52" s="193" t="s">
        <v>585</v>
      </c>
      <c r="FC52" s="206" t="s">
        <v>585</v>
      </c>
      <c r="FD52" s="203" t="s">
        <v>585</v>
      </c>
      <c r="FE52" s="204">
        <v>6</v>
      </c>
      <c r="FF52" s="204" t="s">
        <v>585</v>
      </c>
      <c r="FG52" s="204" t="s">
        <v>585</v>
      </c>
      <c r="FH52" s="202">
        <v>6</v>
      </c>
      <c r="FI52" s="206" t="s">
        <v>585</v>
      </c>
      <c r="FJ52" s="204" t="s">
        <v>585</v>
      </c>
      <c r="FK52" s="206" t="s">
        <v>585</v>
      </c>
      <c r="FL52" s="203" t="s">
        <v>585</v>
      </c>
      <c r="FM52" s="204" t="s">
        <v>585</v>
      </c>
      <c r="FN52" s="202" t="s">
        <v>585</v>
      </c>
      <c r="FO52" s="206" t="s">
        <v>585</v>
      </c>
      <c r="FP52" s="193">
        <v>47</v>
      </c>
      <c r="FQ52" s="206">
        <v>3</v>
      </c>
      <c r="FR52" s="204">
        <v>4</v>
      </c>
      <c r="FS52" s="204" t="s">
        <v>585</v>
      </c>
      <c r="FT52" s="206">
        <v>7</v>
      </c>
      <c r="FU52" s="203">
        <v>125</v>
      </c>
      <c r="FV52" s="204">
        <v>8</v>
      </c>
      <c r="FW52" s="202">
        <v>133</v>
      </c>
      <c r="FX52" s="206" t="s">
        <v>585</v>
      </c>
      <c r="FY52" s="203" t="s">
        <v>585</v>
      </c>
      <c r="FZ52" s="204">
        <v>7</v>
      </c>
      <c r="GA52" s="204" t="s">
        <v>585</v>
      </c>
      <c r="GB52" s="202">
        <v>7</v>
      </c>
      <c r="GC52" s="206">
        <v>1</v>
      </c>
      <c r="GD52" s="203" t="s">
        <v>585</v>
      </c>
      <c r="GE52" s="204" t="s">
        <v>585</v>
      </c>
      <c r="GF52" s="204" t="s">
        <v>585</v>
      </c>
      <c r="GG52" s="204" t="s">
        <v>585</v>
      </c>
      <c r="GH52" s="202" t="s">
        <v>585</v>
      </c>
      <c r="GI52" s="193">
        <v>311359</v>
      </c>
      <c r="GJ52" s="368">
        <f>311359/45058286</f>
        <v>6.9101385702953723E-3</v>
      </c>
      <c r="GK52" s="382"/>
    </row>
    <row r="53" spans="2:193" ht="12" customHeight="1" x14ac:dyDescent="0.2">
      <c r="B53" s="359" t="s">
        <v>65</v>
      </c>
      <c r="C53" s="203">
        <v>76</v>
      </c>
      <c r="D53" s="204" t="s">
        <v>585</v>
      </c>
      <c r="E53" s="204" t="s">
        <v>585</v>
      </c>
      <c r="F53" s="204" t="s">
        <v>585</v>
      </c>
      <c r="G53" s="202">
        <v>76</v>
      </c>
      <c r="H53" s="193" t="s">
        <v>585</v>
      </c>
      <c r="I53" s="206">
        <v>17</v>
      </c>
      <c r="J53" s="204" t="s">
        <v>585</v>
      </c>
      <c r="K53" s="206">
        <v>17</v>
      </c>
      <c r="L53" s="193" t="s">
        <v>585</v>
      </c>
      <c r="M53" s="193">
        <v>2487</v>
      </c>
      <c r="N53" s="206">
        <v>44</v>
      </c>
      <c r="O53" s="204">
        <v>1</v>
      </c>
      <c r="P53" s="204">
        <v>159698</v>
      </c>
      <c r="Q53" s="204">
        <v>31140</v>
      </c>
      <c r="R53" s="204">
        <v>200</v>
      </c>
      <c r="S53" s="204" t="s">
        <v>585</v>
      </c>
      <c r="T53" s="204" t="s">
        <v>585</v>
      </c>
      <c r="U53" s="206">
        <v>191083</v>
      </c>
      <c r="V53" s="203">
        <v>32</v>
      </c>
      <c r="W53" s="204">
        <v>6</v>
      </c>
      <c r="X53" s="202">
        <v>38</v>
      </c>
      <c r="Y53" s="206">
        <v>201</v>
      </c>
      <c r="Z53" s="204">
        <v>1</v>
      </c>
      <c r="AA53" s="204" t="s">
        <v>585</v>
      </c>
      <c r="AB53" s="206">
        <v>202</v>
      </c>
      <c r="AC53" s="203">
        <v>439</v>
      </c>
      <c r="AD53" s="204">
        <v>3</v>
      </c>
      <c r="AE53" s="204">
        <v>1</v>
      </c>
      <c r="AF53" s="202">
        <v>443</v>
      </c>
      <c r="AG53" s="206">
        <v>88</v>
      </c>
      <c r="AH53" s="204" t="s">
        <v>585</v>
      </c>
      <c r="AI53" s="204" t="s">
        <v>585</v>
      </c>
      <c r="AJ53" s="204" t="s">
        <v>585</v>
      </c>
      <c r="AK53" s="206">
        <v>88</v>
      </c>
      <c r="AL53" s="193" t="s">
        <v>585</v>
      </c>
      <c r="AM53" s="193" t="s">
        <v>585</v>
      </c>
      <c r="AN53" s="206">
        <v>2</v>
      </c>
      <c r="AO53" s="204" t="s">
        <v>585</v>
      </c>
      <c r="AP53" s="206">
        <v>2</v>
      </c>
      <c r="AQ53" s="203">
        <v>35</v>
      </c>
      <c r="AR53" s="204">
        <v>8</v>
      </c>
      <c r="AS53" s="204">
        <v>9</v>
      </c>
      <c r="AT53" s="204">
        <v>3</v>
      </c>
      <c r="AU53" s="204" t="s">
        <v>585</v>
      </c>
      <c r="AV53" s="204">
        <v>1</v>
      </c>
      <c r="AW53" s="204" t="s">
        <v>585</v>
      </c>
      <c r="AX53" s="202">
        <v>56</v>
      </c>
      <c r="AY53" s="206" t="s">
        <v>585</v>
      </c>
      <c r="AZ53" s="193">
        <v>20</v>
      </c>
      <c r="BA53" s="206">
        <v>58</v>
      </c>
      <c r="BB53" s="377">
        <v>578</v>
      </c>
      <c r="BC53" s="206">
        <v>5168</v>
      </c>
      <c r="BD53" s="206">
        <v>172</v>
      </c>
      <c r="BE53" s="378">
        <v>138</v>
      </c>
      <c r="BF53" s="206">
        <v>6114</v>
      </c>
      <c r="BG53" s="193" t="s">
        <v>585</v>
      </c>
      <c r="BH53" s="193" t="s">
        <v>585</v>
      </c>
      <c r="BI53" s="193" t="s">
        <v>585</v>
      </c>
      <c r="BJ53" s="193">
        <v>4</v>
      </c>
      <c r="BK53" s="206">
        <v>24</v>
      </c>
      <c r="BL53" s="204" t="s">
        <v>585</v>
      </c>
      <c r="BM53" s="206">
        <v>24</v>
      </c>
      <c r="BN53" s="193" t="s">
        <v>585</v>
      </c>
      <c r="BO53" s="206">
        <v>7</v>
      </c>
      <c r="BP53" s="204">
        <v>4</v>
      </c>
      <c r="BQ53" s="206">
        <v>11</v>
      </c>
      <c r="BR53" s="203">
        <v>2</v>
      </c>
      <c r="BS53" s="204">
        <v>9</v>
      </c>
      <c r="BT53" s="204" t="s">
        <v>585</v>
      </c>
      <c r="BU53" s="204">
        <v>1</v>
      </c>
      <c r="BV53" s="204" t="s">
        <v>585</v>
      </c>
      <c r="BW53" s="204" t="s">
        <v>585</v>
      </c>
      <c r="BX53" s="204" t="s">
        <v>585</v>
      </c>
      <c r="BY53" s="204" t="s">
        <v>585</v>
      </c>
      <c r="BZ53" s="204" t="s">
        <v>585</v>
      </c>
      <c r="CA53" s="204" t="s">
        <v>585</v>
      </c>
      <c r="CB53" s="204" t="s">
        <v>585</v>
      </c>
      <c r="CC53" s="204" t="s">
        <v>585</v>
      </c>
      <c r="CD53" s="204" t="s">
        <v>585</v>
      </c>
      <c r="CE53" s="204" t="s">
        <v>585</v>
      </c>
      <c r="CF53" s="202">
        <v>12</v>
      </c>
      <c r="CG53" s="206">
        <v>5</v>
      </c>
      <c r="CH53" s="204" t="s">
        <v>585</v>
      </c>
      <c r="CI53" s="206">
        <v>5</v>
      </c>
      <c r="CJ53" s="193">
        <v>1</v>
      </c>
      <c r="CK53" s="206">
        <v>12283</v>
      </c>
      <c r="CL53" s="204">
        <v>4</v>
      </c>
      <c r="CM53" s="204">
        <v>44193</v>
      </c>
      <c r="CN53" s="204">
        <v>31816</v>
      </c>
      <c r="CO53" s="204">
        <v>36</v>
      </c>
      <c r="CP53" s="204">
        <v>4</v>
      </c>
      <c r="CQ53" s="204">
        <v>45</v>
      </c>
      <c r="CR53" s="204" t="s">
        <v>585</v>
      </c>
      <c r="CS53" s="204">
        <v>32</v>
      </c>
      <c r="CT53" s="204">
        <v>146</v>
      </c>
      <c r="CU53" s="204" t="s">
        <v>585</v>
      </c>
      <c r="CV53" s="206">
        <v>88559</v>
      </c>
      <c r="CW53" s="203">
        <v>9427</v>
      </c>
      <c r="CX53" s="204">
        <v>33</v>
      </c>
      <c r="CY53" s="204">
        <v>116</v>
      </c>
      <c r="CZ53" s="204">
        <v>6</v>
      </c>
      <c r="DA53" s="204">
        <v>8</v>
      </c>
      <c r="DB53" s="204" t="s">
        <v>585</v>
      </c>
      <c r="DC53" s="204" t="s">
        <v>585</v>
      </c>
      <c r="DD53" s="202">
        <v>9590</v>
      </c>
      <c r="DE53" s="206" t="s">
        <v>585</v>
      </c>
      <c r="DF53" s="203">
        <v>1</v>
      </c>
      <c r="DG53" s="204" t="s">
        <v>585</v>
      </c>
      <c r="DH53" s="202">
        <v>1</v>
      </c>
      <c r="DI53" s="206" t="s">
        <v>585</v>
      </c>
      <c r="DJ53" s="204" t="s">
        <v>585</v>
      </c>
      <c r="DK53" s="206" t="s">
        <v>585</v>
      </c>
      <c r="DL53" s="193">
        <v>552</v>
      </c>
      <c r="DM53" s="206" t="s">
        <v>585</v>
      </c>
      <c r="DN53" s="204" t="s">
        <v>585</v>
      </c>
      <c r="DO53" s="206" t="s">
        <v>585</v>
      </c>
      <c r="DP53" s="203">
        <v>74</v>
      </c>
      <c r="DQ53" s="204" t="s">
        <v>585</v>
      </c>
      <c r="DR53" s="202">
        <v>74</v>
      </c>
      <c r="DS53" s="206">
        <v>9802</v>
      </c>
      <c r="DT53" s="193">
        <v>13</v>
      </c>
      <c r="DU53" s="206">
        <v>202</v>
      </c>
      <c r="DV53" s="204" t="s">
        <v>585</v>
      </c>
      <c r="DW53" s="206">
        <v>202</v>
      </c>
      <c r="DX53" s="193">
        <v>4</v>
      </c>
      <c r="DY53" s="193" t="s">
        <v>585</v>
      </c>
      <c r="DZ53" s="206">
        <v>49</v>
      </c>
      <c r="EA53" s="204">
        <v>4</v>
      </c>
      <c r="EB53" s="204">
        <v>11</v>
      </c>
      <c r="EC53" s="204" t="s">
        <v>585</v>
      </c>
      <c r="ED53" s="204" t="s">
        <v>585</v>
      </c>
      <c r="EE53" s="204" t="s">
        <v>585</v>
      </c>
      <c r="EF53" s="204" t="s">
        <v>585</v>
      </c>
      <c r="EG53" s="206">
        <v>64</v>
      </c>
      <c r="EH53" s="203">
        <v>2113</v>
      </c>
      <c r="EI53" s="204">
        <v>3873</v>
      </c>
      <c r="EJ53" s="204">
        <v>28</v>
      </c>
      <c r="EK53" s="204">
        <v>61</v>
      </c>
      <c r="EL53" s="204">
        <v>2429</v>
      </c>
      <c r="EM53" s="204">
        <v>15997</v>
      </c>
      <c r="EN53" s="204">
        <v>187</v>
      </c>
      <c r="EO53" s="204">
        <v>5</v>
      </c>
      <c r="EP53" s="204">
        <v>1114</v>
      </c>
      <c r="EQ53" s="204">
        <v>37</v>
      </c>
      <c r="ER53" s="204">
        <v>2</v>
      </c>
      <c r="ES53" s="204" t="s">
        <v>585</v>
      </c>
      <c r="ET53" s="204" t="s">
        <v>585</v>
      </c>
      <c r="EU53" s="202">
        <v>25846</v>
      </c>
      <c r="EV53" s="206" t="s">
        <v>585</v>
      </c>
      <c r="EW53" s="193">
        <v>88</v>
      </c>
      <c r="EX53" s="206" t="s">
        <v>585</v>
      </c>
      <c r="EY53" s="204">
        <v>1</v>
      </c>
      <c r="EZ53" s="204" t="s">
        <v>585</v>
      </c>
      <c r="FA53" s="206">
        <v>1</v>
      </c>
      <c r="FB53" s="193" t="s">
        <v>585</v>
      </c>
      <c r="FC53" s="206" t="s">
        <v>585</v>
      </c>
      <c r="FD53" s="203" t="s">
        <v>585</v>
      </c>
      <c r="FE53" s="204">
        <v>9</v>
      </c>
      <c r="FF53" s="204" t="s">
        <v>585</v>
      </c>
      <c r="FG53" s="204" t="s">
        <v>585</v>
      </c>
      <c r="FH53" s="202">
        <v>9</v>
      </c>
      <c r="FI53" s="206">
        <v>1</v>
      </c>
      <c r="FJ53" s="204" t="s">
        <v>585</v>
      </c>
      <c r="FK53" s="206">
        <v>1</v>
      </c>
      <c r="FL53" s="203" t="s">
        <v>585</v>
      </c>
      <c r="FM53" s="204" t="s">
        <v>585</v>
      </c>
      <c r="FN53" s="202" t="s">
        <v>585</v>
      </c>
      <c r="FO53" s="206" t="s">
        <v>585</v>
      </c>
      <c r="FP53" s="193">
        <v>246</v>
      </c>
      <c r="FQ53" s="206">
        <v>6</v>
      </c>
      <c r="FR53" s="204">
        <v>11</v>
      </c>
      <c r="FS53" s="204" t="s">
        <v>585</v>
      </c>
      <c r="FT53" s="206">
        <v>17</v>
      </c>
      <c r="FU53" s="203">
        <v>16</v>
      </c>
      <c r="FV53" s="204" t="s">
        <v>585</v>
      </c>
      <c r="FW53" s="202">
        <v>16</v>
      </c>
      <c r="FX53" s="206" t="s">
        <v>585</v>
      </c>
      <c r="FY53" s="203">
        <v>3</v>
      </c>
      <c r="FZ53" s="204">
        <v>14</v>
      </c>
      <c r="GA53" s="204" t="s">
        <v>585</v>
      </c>
      <c r="GB53" s="202">
        <v>17</v>
      </c>
      <c r="GC53" s="206">
        <v>92</v>
      </c>
      <c r="GD53" s="203" t="s">
        <v>585</v>
      </c>
      <c r="GE53" s="204" t="s">
        <v>585</v>
      </c>
      <c r="GF53" s="204" t="s">
        <v>585</v>
      </c>
      <c r="GG53" s="204" t="s">
        <v>585</v>
      </c>
      <c r="GH53" s="202" t="s">
        <v>585</v>
      </c>
      <c r="GI53" s="193">
        <v>335877</v>
      </c>
      <c r="GJ53" s="368">
        <f>335877/45058286</f>
        <v>7.4542782208803946E-3</v>
      </c>
      <c r="GK53" s="382"/>
    </row>
    <row r="54" spans="2:193" ht="12" customHeight="1" x14ac:dyDescent="0.2">
      <c r="B54" s="359" t="s">
        <v>85</v>
      </c>
      <c r="C54" s="203">
        <v>7</v>
      </c>
      <c r="D54" s="204" t="s">
        <v>585</v>
      </c>
      <c r="E54" s="204" t="s">
        <v>585</v>
      </c>
      <c r="F54" s="204" t="s">
        <v>585</v>
      </c>
      <c r="G54" s="202">
        <v>7</v>
      </c>
      <c r="H54" s="193" t="s">
        <v>585</v>
      </c>
      <c r="I54" s="206">
        <v>6</v>
      </c>
      <c r="J54" s="204" t="s">
        <v>585</v>
      </c>
      <c r="K54" s="206">
        <v>6</v>
      </c>
      <c r="L54" s="193" t="s">
        <v>585</v>
      </c>
      <c r="M54" s="193">
        <v>473</v>
      </c>
      <c r="N54" s="206">
        <v>20</v>
      </c>
      <c r="O54" s="204" t="s">
        <v>585</v>
      </c>
      <c r="P54" s="204">
        <v>56645</v>
      </c>
      <c r="Q54" s="204">
        <v>32669</v>
      </c>
      <c r="R54" s="204">
        <v>120</v>
      </c>
      <c r="S54" s="204" t="s">
        <v>585</v>
      </c>
      <c r="T54" s="204" t="s">
        <v>585</v>
      </c>
      <c r="U54" s="206">
        <v>89454</v>
      </c>
      <c r="V54" s="203">
        <v>16</v>
      </c>
      <c r="W54" s="204">
        <v>2</v>
      </c>
      <c r="X54" s="202">
        <v>18</v>
      </c>
      <c r="Y54" s="206">
        <v>60</v>
      </c>
      <c r="Z54" s="204" t="s">
        <v>585</v>
      </c>
      <c r="AA54" s="204" t="s">
        <v>585</v>
      </c>
      <c r="AB54" s="206">
        <v>60</v>
      </c>
      <c r="AC54" s="203">
        <v>278</v>
      </c>
      <c r="AD54" s="204">
        <v>2</v>
      </c>
      <c r="AE54" s="204" t="s">
        <v>585</v>
      </c>
      <c r="AF54" s="202">
        <v>280</v>
      </c>
      <c r="AG54" s="206">
        <v>54</v>
      </c>
      <c r="AH54" s="204" t="s">
        <v>585</v>
      </c>
      <c r="AI54" s="204">
        <v>1</v>
      </c>
      <c r="AJ54" s="204" t="s">
        <v>585</v>
      </c>
      <c r="AK54" s="206">
        <v>55</v>
      </c>
      <c r="AL54" s="193" t="s">
        <v>585</v>
      </c>
      <c r="AM54" s="193" t="s">
        <v>585</v>
      </c>
      <c r="AN54" s="206">
        <v>2</v>
      </c>
      <c r="AO54" s="204" t="s">
        <v>585</v>
      </c>
      <c r="AP54" s="206">
        <v>2</v>
      </c>
      <c r="AQ54" s="203">
        <v>3</v>
      </c>
      <c r="AR54" s="204">
        <v>3</v>
      </c>
      <c r="AS54" s="204">
        <v>21</v>
      </c>
      <c r="AT54" s="204" t="s">
        <v>585</v>
      </c>
      <c r="AU54" s="204" t="s">
        <v>585</v>
      </c>
      <c r="AV54" s="204" t="s">
        <v>585</v>
      </c>
      <c r="AW54" s="204" t="s">
        <v>585</v>
      </c>
      <c r="AX54" s="202">
        <v>27</v>
      </c>
      <c r="AY54" s="206" t="s">
        <v>585</v>
      </c>
      <c r="AZ54" s="193">
        <v>8</v>
      </c>
      <c r="BA54" s="206">
        <v>105</v>
      </c>
      <c r="BB54" s="377">
        <v>236</v>
      </c>
      <c r="BC54" s="206">
        <v>926</v>
      </c>
      <c r="BD54" s="206">
        <v>89</v>
      </c>
      <c r="BE54" s="378">
        <v>46</v>
      </c>
      <c r="BF54" s="206">
        <v>1402</v>
      </c>
      <c r="BG54" s="193" t="s">
        <v>585</v>
      </c>
      <c r="BH54" s="193" t="s">
        <v>585</v>
      </c>
      <c r="BI54" s="193" t="s">
        <v>585</v>
      </c>
      <c r="BJ54" s="193">
        <v>4</v>
      </c>
      <c r="BK54" s="206">
        <v>28</v>
      </c>
      <c r="BL54" s="204" t="s">
        <v>585</v>
      </c>
      <c r="BM54" s="206">
        <v>28</v>
      </c>
      <c r="BN54" s="193" t="s">
        <v>585</v>
      </c>
      <c r="BO54" s="206">
        <v>9</v>
      </c>
      <c r="BP54" s="204">
        <v>3</v>
      </c>
      <c r="BQ54" s="206">
        <v>12</v>
      </c>
      <c r="BR54" s="203">
        <v>1</v>
      </c>
      <c r="BS54" s="204" t="s">
        <v>585</v>
      </c>
      <c r="BT54" s="204" t="s">
        <v>585</v>
      </c>
      <c r="BU54" s="204" t="s">
        <v>585</v>
      </c>
      <c r="BV54" s="204" t="s">
        <v>585</v>
      </c>
      <c r="BW54" s="204" t="s">
        <v>585</v>
      </c>
      <c r="BX54" s="204" t="s">
        <v>585</v>
      </c>
      <c r="BY54" s="204" t="s">
        <v>585</v>
      </c>
      <c r="BZ54" s="204" t="s">
        <v>585</v>
      </c>
      <c r="CA54" s="204" t="s">
        <v>585</v>
      </c>
      <c r="CB54" s="204" t="s">
        <v>585</v>
      </c>
      <c r="CC54" s="204" t="s">
        <v>585</v>
      </c>
      <c r="CD54" s="204" t="s">
        <v>585</v>
      </c>
      <c r="CE54" s="204" t="s">
        <v>585</v>
      </c>
      <c r="CF54" s="202">
        <v>1</v>
      </c>
      <c r="CG54" s="206">
        <v>2</v>
      </c>
      <c r="CH54" s="204" t="s">
        <v>585</v>
      </c>
      <c r="CI54" s="206">
        <v>2</v>
      </c>
      <c r="CJ54" s="193" t="s">
        <v>585</v>
      </c>
      <c r="CK54" s="206">
        <v>6703</v>
      </c>
      <c r="CL54" s="204" t="s">
        <v>585</v>
      </c>
      <c r="CM54" s="204">
        <v>20257</v>
      </c>
      <c r="CN54" s="204">
        <v>1793</v>
      </c>
      <c r="CO54" s="204">
        <v>4</v>
      </c>
      <c r="CP54" s="204">
        <v>18</v>
      </c>
      <c r="CQ54" s="204">
        <v>1</v>
      </c>
      <c r="CR54" s="204" t="s">
        <v>585</v>
      </c>
      <c r="CS54" s="204" t="s">
        <v>585</v>
      </c>
      <c r="CT54" s="204">
        <v>2</v>
      </c>
      <c r="CU54" s="204" t="s">
        <v>585</v>
      </c>
      <c r="CV54" s="206">
        <v>28778</v>
      </c>
      <c r="CW54" s="203">
        <v>2273</v>
      </c>
      <c r="CX54" s="204" t="s">
        <v>585</v>
      </c>
      <c r="CY54" s="204">
        <v>59</v>
      </c>
      <c r="CZ54" s="204" t="s">
        <v>585</v>
      </c>
      <c r="DA54" s="204" t="s">
        <v>585</v>
      </c>
      <c r="DB54" s="204" t="s">
        <v>585</v>
      </c>
      <c r="DC54" s="204" t="s">
        <v>585</v>
      </c>
      <c r="DD54" s="202">
        <v>2332</v>
      </c>
      <c r="DE54" s="206" t="s">
        <v>585</v>
      </c>
      <c r="DF54" s="203" t="s">
        <v>585</v>
      </c>
      <c r="DG54" s="204" t="s">
        <v>585</v>
      </c>
      <c r="DH54" s="202" t="s">
        <v>585</v>
      </c>
      <c r="DI54" s="206" t="s">
        <v>585</v>
      </c>
      <c r="DJ54" s="204" t="s">
        <v>585</v>
      </c>
      <c r="DK54" s="206" t="s">
        <v>585</v>
      </c>
      <c r="DL54" s="193">
        <v>7</v>
      </c>
      <c r="DM54" s="206" t="s">
        <v>585</v>
      </c>
      <c r="DN54" s="204" t="s">
        <v>585</v>
      </c>
      <c r="DO54" s="206" t="s">
        <v>585</v>
      </c>
      <c r="DP54" s="203">
        <v>2</v>
      </c>
      <c r="DQ54" s="204" t="s">
        <v>585</v>
      </c>
      <c r="DR54" s="202">
        <v>2</v>
      </c>
      <c r="DS54" s="206">
        <v>22</v>
      </c>
      <c r="DT54" s="193" t="s">
        <v>585</v>
      </c>
      <c r="DU54" s="206">
        <v>190</v>
      </c>
      <c r="DV54" s="204" t="s">
        <v>585</v>
      </c>
      <c r="DW54" s="206">
        <v>190</v>
      </c>
      <c r="DX54" s="193" t="s">
        <v>585</v>
      </c>
      <c r="DY54" s="193" t="s">
        <v>585</v>
      </c>
      <c r="DZ54" s="206" t="s">
        <v>585</v>
      </c>
      <c r="EA54" s="204">
        <v>2</v>
      </c>
      <c r="EB54" s="204">
        <v>4</v>
      </c>
      <c r="EC54" s="204" t="s">
        <v>585</v>
      </c>
      <c r="ED54" s="204" t="s">
        <v>585</v>
      </c>
      <c r="EE54" s="204" t="s">
        <v>585</v>
      </c>
      <c r="EF54" s="204" t="s">
        <v>585</v>
      </c>
      <c r="EG54" s="206">
        <v>6</v>
      </c>
      <c r="EH54" s="203">
        <v>1974</v>
      </c>
      <c r="EI54" s="204">
        <v>4350</v>
      </c>
      <c r="EJ54" s="204">
        <v>12</v>
      </c>
      <c r="EK54" s="204">
        <v>101</v>
      </c>
      <c r="EL54" s="204">
        <v>3939</v>
      </c>
      <c r="EM54" s="204">
        <v>211</v>
      </c>
      <c r="EN54" s="204">
        <v>48</v>
      </c>
      <c r="EO54" s="204">
        <v>9</v>
      </c>
      <c r="EP54" s="204">
        <v>981</v>
      </c>
      <c r="EQ54" s="204">
        <v>25</v>
      </c>
      <c r="ER54" s="204">
        <v>1</v>
      </c>
      <c r="ES54" s="204" t="s">
        <v>585</v>
      </c>
      <c r="ET54" s="204" t="s">
        <v>585</v>
      </c>
      <c r="EU54" s="202">
        <v>11651</v>
      </c>
      <c r="EV54" s="206" t="s">
        <v>585</v>
      </c>
      <c r="EW54" s="193" t="s">
        <v>585</v>
      </c>
      <c r="EX54" s="206" t="s">
        <v>585</v>
      </c>
      <c r="EY54" s="204" t="s">
        <v>585</v>
      </c>
      <c r="EZ54" s="204" t="s">
        <v>585</v>
      </c>
      <c r="FA54" s="206" t="s">
        <v>585</v>
      </c>
      <c r="FB54" s="193" t="s">
        <v>585</v>
      </c>
      <c r="FC54" s="206">
        <v>6</v>
      </c>
      <c r="FD54" s="203" t="s">
        <v>585</v>
      </c>
      <c r="FE54" s="204">
        <v>2</v>
      </c>
      <c r="FF54" s="204" t="s">
        <v>585</v>
      </c>
      <c r="FG54" s="204" t="s">
        <v>585</v>
      </c>
      <c r="FH54" s="202">
        <v>2</v>
      </c>
      <c r="FI54" s="206" t="s">
        <v>585</v>
      </c>
      <c r="FJ54" s="204" t="s">
        <v>585</v>
      </c>
      <c r="FK54" s="206" t="s">
        <v>585</v>
      </c>
      <c r="FL54" s="203" t="s">
        <v>585</v>
      </c>
      <c r="FM54" s="204" t="s">
        <v>585</v>
      </c>
      <c r="FN54" s="202" t="s">
        <v>585</v>
      </c>
      <c r="FO54" s="206" t="s">
        <v>585</v>
      </c>
      <c r="FP54" s="193">
        <v>341</v>
      </c>
      <c r="FQ54" s="206">
        <v>1</v>
      </c>
      <c r="FR54" s="204" t="s">
        <v>585</v>
      </c>
      <c r="FS54" s="204" t="s">
        <v>585</v>
      </c>
      <c r="FT54" s="206">
        <v>1</v>
      </c>
      <c r="FU54" s="203">
        <v>6</v>
      </c>
      <c r="FV54" s="204">
        <v>3</v>
      </c>
      <c r="FW54" s="202">
        <v>9</v>
      </c>
      <c r="FX54" s="206" t="s">
        <v>585</v>
      </c>
      <c r="FY54" s="203" t="s">
        <v>585</v>
      </c>
      <c r="FZ54" s="204">
        <v>4</v>
      </c>
      <c r="GA54" s="204" t="s">
        <v>585</v>
      </c>
      <c r="GB54" s="202">
        <v>4</v>
      </c>
      <c r="GC54" s="206">
        <v>1</v>
      </c>
      <c r="GD54" s="203" t="s">
        <v>585</v>
      </c>
      <c r="GE54" s="204">
        <v>1</v>
      </c>
      <c r="GF54" s="204" t="s">
        <v>585</v>
      </c>
      <c r="GG54" s="204" t="s">
        <v>585</v>
      </c>
      <c r="GH54" s="202">
        <v>1</v>
      </c>
      <c r="GI54" s="193">
        <v>135192</v>
      </c>
      <c r="GJ54" s="368">
        <f>135192/45058286</f>
        <v>3.0003804405697989E-3</v>
      </c>
      <c r="GK54" s="382"/>
    </row>
    <row r="55" spans="2:193" ht="12" customHeight="1" x14ac:dyDescent="0.2">
      <c r="B55" s="359" t="s">
        <v>86</v>
      </c>
      <c r="C55" s="203">
        <v>708</v>
      </c>
      <c r="D55" s="204" t="s">
        <v>585</v>
      </c>
      <c r="E55" s="204" t="s">
        <v>585</v>
      </c>
      <c r="F55" s="204" t="s">
        <v>585</v>
      </c>
      <c r="G55" s="202">
        <v>708</v>
      </c>
      <c r="H55" s="193" t="s">
        <v>585</v>
      </c>
      <c r="I55" s="206">
        <v>122</v>
      </c>
      <c r="J55" s="204" t="s">
        <v>585</v>
      </c>
      <c r="K55" s="206">
        <v>122</v>
      </c>
      <c r="L55" s="193" t="s">
        <v>585</v>
      </c>
      <c r="M55" s="193">
        <v>9461</v>
      </c>
      <c r="N55" s="206">
        <v>547</v>
      </c>
      <c r="O55" s="204">
        <v>164</v>
      </c>
      <c r="P55" s="204">
        <v>129870</v>
      </c>
      <c r="Q55" s="204">
        <v>524</v>
      </c>
      <c r="R55" s="204">
        <v>933</v>
      </c>
      <c r="S55" s="204">
        <v>47</v>
      </c>
      <c r="T55" s="204" t="s">
        <v>585</v>
      </c>
      <c r="U55" s="206">
        <v>132085</v>
      </c>
      <c r="V55" s="203">
        <v>141</v>
      </c>
      <c r="W55" s="204">
        <v>168</v>
      </c>
      <c r="X55" s="202">
        <v>309</v>
      </c>
      <c r="Y55" s="206">
        <v>1561</v>
      </c>
      <c r="Z55" s="204">
        <v>1</v>
      </c>
      <c r="AA55" s="204" t="s">
        <v>585</v>
      </c>
      <c r="AB55" s="206">
        <v>1562</v>
      </c>
      <c r="AC55" s="203">
        <v>5175</v>
      </c>
      <c r="AD55" s="204">
        <v>53</v>
      </c>
      <c r="AE55" s="204">
        <v>553</v>
      </c>
      <c r="AF55" s="202">
        <v>5781</v>
      </c>
      <c r="AG55" s="206">
        <v>576</v>
      </c>
      <c r="AH55" s="204" t="s">
        <v>585</v>
      </c>
      <c r="AI55" s="204" t="s">
        <v>585</v>
      </c>
      <c r="AJ55" s="204" t="s">
        <v>585</v>
      </c>
      <c r="AK55" s="206">
        <v>576</v>
      </c>
      <c r="AL55" s="193" t="s">
        <v>585</v>
      </c>
      <c r="AM55" s="193" t="s">
        <v>585</v>
      </c>
      <c r="AN55" s="206">
        <v>1</v>
      </c>
      <c r="AO55" s="204">
        <v>42</v>
      </c>
      <c r="AP55" s="206">
        <v>43</v>
      </c>
      <c r="AQ55" s="203">
        <v>179</v>
      </c>
      <c r="AR55" s="204">
        <v>22</v>
      </c>
      <c r="AS55" s="204">
        <v>67</v>
      </c>
      <c r="AT55" s="204" t="s">
        <v>585</v>
      </c>
      <c r="AU55" s="204" t="s">
        <v>585</v>
      </c>
      <c r="AV55" s="204" t="s">
        <v>585</v>
      </c>
      <c r="AW55" s="204" t="s">
        <v>585</v>
      </c>
      <c r="AX55" s="202">
        <v>268</v>
      </c>
      <c r="AY55" s="206">
        <v>2</v>
      </c>
      <c r="AZ55" s="193">
        <v>151</v>
      </c>
      <c r="BA55" s="206">
        <v>954</v>
      </c>
      <c r="BB55" s="377">
        <v>27575</v>
      </c>
      <c r="BC55" s="206">
        <v>65273</v>
      </c>
      <c r="BD55" s="206">
        <v>801</v>
      </c>
      <c r="BE55" s="378">
        <v>1222</v>
      </c>
      <c r="BF55" s="206">
        <v>95825</v>
      </c>
      <c r="BG55" s="193">
        <v>351</v>
      </c>
      <c r="BH55" s="193" t="s">
        <v>585</v>
      </c>
      <c r="BI55" s="193" t="s">
        <v>585</v>
      </c>
      <c r="BJ55" s="193">
        <v>1372</v>
      </c>
      <c r="BK55" s="206">
        <v>847</v>
      </c>
      <c r="BL55" s="204">
        <v>10</v>
      </c>
      <c r="BM55" s="206">
        <v>857</v>
      </c>
      <c r="BN55" s="193" t="s">
        <v>585</v>
      </c>
      <c r="BO55" s="206">
        <v>28</v>
      </c>
      <c r="BP55" s="204">
        <v>2</v>
      </c>
      <c r="BQ55" s="206">
        <v>30</v>
      </c>
      <c r="BR55" s="203">
        <v>79</v>
      </c>
      <c r="BS55" s="204">
        <v>2</v>
      </c>
      <c r="BT55" s="204" t="s">
        <v>585</v>
      </c>
      <c r="BU55" s="204" t="s">
        <v>585</v>
      </c>
      <c r="BV55" s="204" t="s">
        <v>585</v>
      </c>
      <c r="BW55" s="204">
        <v>2</v>
      </c>
      <c r="BX55" s="204" t="s">
        <v>585</v>
      </c>
      <c r="BY55" s="204" t="s">
        <v>585</v>
      </c>
      <c r="BZ55" s="204" t="s">
        <v>585</v>
      </c>
      <c r="CA55" s="204" t="s">
        <v>585</v>
      </c>
      <c r="CB55" s="204" t="s">
        <v>585</v>
      </c>
      <c r="CC55" s="204">
        <v>1</v>
      </c>
      <c r="CD55" s="204" t="s">
        <v>585</v>
      </c>
      <c r="CE55" s="204" t="s">
        <v>585</v>
      </c>
      <c r="CF55" s="202">
        <v>84</v>
      </c>
      <c r="CG55" s="206">
        <v>14</v>
      </c>
      <c r="CH55" s="204" t="s">
        <v>585</v>
      </c>
      <c r="CI55" s="206">
        <v>14</v>
      </c>
      <c r="CJ55" s="193">
        <v>9</v>
      </c>
      <c r="CK55" s="206">
        <v>62180</v>
      </c>
      <c r="CL55" s="204">
        <v>3</v>
      </c>
      <c r="CM55" s="204">
        <v>251369</v>
      </c>
      <c r="CN55" s="204">
        <v>194049</v>
      </c>
      <c r="CO55" s="204">
        <v>965</v>
      </c>
      <c r="CP55" s="204">
        <v>4</v>
      </c>
      <c r="CQ55" s="204">
        <v>5</v>
      </c>
      <c r="CR55" s="204" t="s">
        <v>585</v>
      </c>
      <c r="CS55" s="204">
        <v>90</v>
      </c>
      <c r="CT55" s="204">
        <v>4</v>
      </c>
      <c r="CU55" s="204" t="s">
        <v>585</v>
      </c>
      <c r="CV55" s="206">
        <v>508669</v>
      </c>
      <c r="CW55" s="203">
        <v>52905</v>
      </c>
      <c r="CX55" s="204">
        <v>6</v>
      </c>
      <c r="CY55" s="204">
        <v>1339</v>
      </c>
      <c r="CZ55" s="204">
        <v>2</v>
      </c>
      <c r="DA55" s="204">
        <v>63</v>
      </c>
      <c r="DB55" s="204">
        <v>1</v>
      </c>
      <c r="DC55" s="204" t="s">
        <v>585</v>
      </c>
      <c r="DD55" s="202">
        <v>54316</v>
      </c>
      <c r="DE55" s="206" t="s">
        <v>585</v>
      </c>
      <c r="DF55" s="203" t="s">
        <v>585</v>
      </c>
      <c r="DG55" s="204" t="s">
        <v>585</v>
      </c>
      <c r="DH55" s="202" t="s">
        <v>585</v>
      </c>
      <c r="DI55" s="206" t="s">
        <v>585</v>
      </c>
      <c r="DJ55" s="204" t="s">
        <v>585</v>
      </c>
      <c r="DK55" s="206" t="s">
        <v>585</v>
      </c>
      <c r="DL55" s="193">
        <v>3479</v>
      </c>
      <c r="DM55" s="206" t="s">
        <v>585</v>
      </c>
      <c r="DN55" s="204" t="s">
        <v>585</v>
      </c>
      <c r="DO55" s="206" t="s">
        <v>585</v>
      </c>
      <c r="DP55" s="203">
        <v>26</v>
      </c>
      <c r="DQ55" s="204">
        <v>2</v>
      </c>
      <c r="DR55" s="202">
        <v>28</v>
      </c>
      <c r="DS55" s="206">
        <v>300</v>
      </c>
      <c r="DT55" s="193">
        <v>19</v>
      </c>
      <c r="DU55" s="206">
        <v>1077</v>
      </c>
      <c r="DV55" s="204" t="s">
        <v>585</v>
      </c>
      <c r="DW55" s="206">
        <v>1077</v>
      </c>
      <c r="DX55" s="193">
        <v>18</v>
      </c>
      <c r="DY55" s="193">
        <v>1</v>
      </c>
      <c r="DZ55" s="206">
        <v>13</v>
      </c>
      <c r="EA55" s="204">
        <v>35</v>
      </c>
      <c r="EB55" s="204">
        <v>61</v>
      </c>
      <c r="EC55" s="204" t="s">
        <v>585</v>
      </c>
      <c r="ED55" s="204" t="s">
        <v>585</v>
      </c>
      <c r="EE55" s="204" t="s">
        <v>585</v>
      </c>
      <c r="EF55" s="204">
        <v>2</v>
      </c>
      <c r="EG55" s="206">
        <v>111</v>
      </c>
      <c r="EH55" s="203">
        <v>11766</v>
      </c>
      <c r="EI55" s="204">
        <v>4035</v>
      </c>
      <c r="EJ55" s="204">
        <v>418</v>
      </c>
      <c r="EK55" s="204">
        <v>675</v>
      </c>
      <c r="EL55" s="204">
        <v>3567</v>
      </c>
      <c r="EM55" s="204">
        <v>26401</v>
      </c>
      <c r="EN55" s="204">
        <v>1855</v>
      </c>
      <c r="EO55" s="204">
        <v>136</v>
      </c>
      <c r="EP55" s="204">
        <v>7299</v>
      </c>
      <c r="EQ55" s="204">
        <v>466</v>
      </c>
      <c r="ER55" s="204">
        <v>96</v>
      </c>
      <c r="ES55" s="204">
        <v>3</v>
      </c>
      <c r="ET55" s="204" t="s">
        <v>585</v>
      </c>
      <c r="EU55" s="202">
        <v>56717</v>
      </c>
      <c r="EV55" s="206" t="s">
        <v>585</v>
      </c>
      <c r="EW55" s="193">
        <v>4</v>
      </c>
      <c r="EX55" s="206" t="s">
        <v>585</v>
      </c>
      <c r="EY55" s="204">
        <v>54</v>
      </c>
      <c r="EZ55" s="204" t="s">
        <v>585</v>
      </c>
      <c r="FA55" s="206">
        <v>54</v>
      </c>
      <c r="FB55" s="193" t="s">
        <v>585</v>
      </c>
      <c r="FC55" s="206">
        <v>10</v>
      </c>
      <c r="FD55" s="203">
        <v>13</v>
      </c>
      <c r="FE55" s="204">
        <v>631</v>
      </c>
      <c r="FF55" s="204" t="s">
        <v>585</v>
      </c>
      <c r="FG55" s="204" t="s">
        <v>585</v>
      </c>
      <c r="FH55" s="202">
        <v>644</v>
      </c>
      <c r="FI55" s="206" t="s">
        <v>585</v>
      </c>
      <c r="FJ55" s="204" t="s">
        <v>585</v>
      </c>
      <c r="FK55" s="206" t="s">
        <v>585</v>
      </c>
      <c r="FL55" s="203" t="s">
        <v>585</v>
      </c>
      <c r="FM55" s="204" t="s">
        <v>585</v>
      </c>
      <c r="FN55" s="202" t="s">
        <v>585</v>
      </c>
      <c r="FO55" s="206" t="s">
        <v>585</v>
      </c>
      <c r="FP55" s="193">
        <v>347</v>
      </c>
      <c r="FQ55" s="206">
        <v>31</v>
      </c>
      <c r="FR55" s="204" t="s">
        <v>585</v>
      </c>
      <c r="FS55" s="204">
        <v>1</v>
      </c>
      <c r="FT55" s="206">
        <v>32</v>
      </c>
      <c r="FU55" s="203">
        <v>398</v>
      </c>
      <c r="FV55" s="204">
        <v>20</v>
      </c>
      <c r="FW55" s="202">
        <v>418</v>
      </c>
      <c r="FX55" s="206" t="s">
        <v>585</v>
      </c>
      <c r="FY55" s="203">
        <v>1</v>
      </c>
      <c r="FZ55" s="204">
        <v>61</v>
      </c>
      <c r="GA55" s="204">
        <v>14</v>
      </c>
      <c r="GB55" s="202">
        <v>76</v>
      </c>
      <c r="GC55" s="206">
        <v>25</v>
      </c>
      <c r="GD55" s="203" t="s">
        <v>585</v>
      </c>
      <c r="GE55" s="204" t="s">
        <v>585</v>
      </c>
      <c r="GF55" s="204" t="s">
        <v>585</v>
      </c>
      <c r="GG55" s="204">
        <v>2</v>
      </c>
      <c r="GH55" s="202">
        <v>2</v>
      </c>
      <c r="GI55" s="193">
        <v>875957</v>
      </c>
      <c r="GJ55" s="368">
        <f>875957/45058286</f>
        <v>1.9440530871502746E-2</v>
      </c>
      <c r="GK55" s="382"/>
    </row>
    <row r="56" spans="2:193" ht="12" customHeight="1" x14ac:dyDescent="0.2">
      <c r="B56" s="359" t="s">
        <v>108</v>
      </c>
      <c r="C56" s="203">
        <v>5962</v>
      </c>
      <c r="D56" s="204" t="s">
        <v>585</v>
      </c>
      <c r="E56" s="204">
        <v>2</v>
      </c>
      <c r="F56" s="204" t="s">
        <v>585</v>
      </c>
      <c r="G56" s="202">
        <v>5964</v>
      </c>
      <c r="H56" s="193" t="s">
        <v>585</v>
      </c>
      <c r="I56" s="206">
        <v>95</v>
      </c>
      <c r="J56" s="204" t="s">
        <v>585</v>
      </c>
      <c r="K56" s="206">
        <v>95</v>
      </c>
      <c r="L56" s="193" t="s">
        <v>585</v>
      </c>
      <c r="M56" s="193">
        <v>15809</v>
      </c>
      <c r="N56" s="206">
        <v>36</v>
      </c>
      <c r="O56" s="204">
        <v>234</v>
      </c>
      <c r="P56" s="204">
        <v>413555</v>
      </c>
      <c r="Q56" s="204">
        <v>20455</v>
      </c>
      <c r="R56" s="204">
        <v>469</v>
      </c>
      <c r="S56" s="204">
        <v>4</v>
      </c>
      <c r="T56" s="204">
        <v>1</v>
      </c>
      <c r="U56" s="206">
        <v>434754</v>
      </c>
      <c r="V56" s="203">
        <v>177</v>
      </c>
      <c r="W56" s="204">
        <v>63</v>
      </c>
      <c r="X56" s="202">
        <v>240</v>
      </c>
      <c r="Y56" s="206">
        <v>1736</v>
      </c>
      <c r="Z56" s="204">
        <v>3</v>
      </c>
      <c r="AA56" s="204">
        <v>4</v>
      </c>
      <c r="AB56" s="206">
        <v>1743</v>
      </c>
      <c r="AC56" s="203">
        <v>4039</v>
      </c>
      <c r="AD56" s="204">
        <v>30</v>
      </c>
      <c r="AE56" s="204">
        <v>3</v>
      </c>
      <c r="AF56" s="202">
        <v>4072</v>
      </c>
      <c r="AG56" s="206">
        <v>479</v>
      </c>
      <c r="AH56" s="204">
        <v>1</v>
      </c>
      <c r="AI56" s="204">
        <v>1</v>
      </c>
      <c r="AJ56" s="204">
        <v>6</v>
      </c>
      <c r="AK56" s="206">
        <v>487</v>
      </c>
      <c r="AL56" s="193">
        <v>6</v>
      </c>
      <c r="AM56" s="193">
        <v>1</v>
      </c>
      <c r="AN56" s="206">
        <v>25</v>
      </c>
      <c r="AO56" s="204">
        <v>2</v>
      </c>
      <c r="AP56" s="206">
        <v>27</v>
      </c>
      <c r="AQ56" s="203">
        <v>139</v>
      </c>
      <c r="AR56" s="204">
        <v>8</v>
      </c>
      <c r="AS56" s="204">
        <v>299</v>
      </c>
      <c r="AT56" s="204">
        <v>1</v>
      </c>
      <c r="AU56" s="204" t="s">
        <v>585</v>
      </c>
      <c r="AV56" s="204" t="s">
        <v>585</v>
      </c>
      <c r="AW56" s="204" t="s">
        <v>585</v>
      </c>
      <c r="AX56" s="202">
        <v>447</v>
      </c>
      <c r="AY56" s="206">
        <v>2</v>
      </c>
      <c r="AZ56" s="193">
        <v>1003</v>
      </c>
      <c r="BA56" s="206">
        <v>1892</v>
      </c>
      <c r="BB56" s="377">
        <v>7521</v>
      </c>
      <c r="BC56" s="206">
        <v>62108</v>
      </c>
      <c r="BD56" s="206">
        <v>507</v>
      </c>
      <c r="BE56" s="378">
        <v>1997</v>
      </c>
      <c r="BF56" s="206">
        <v>74025</v>
      </c>
      <c r="BG56" s="193">
        <v>839</v>
      </c>
      <c r="BH56" s="193" t="s">
        <v>585</v>
      </c>
      <c r="BI56" s="193" t="s">
        <v>585</v>
      </c>
      <c r="BJ56" s="193">
        <v>1997</v>
      </c>
      <c r="BK56" s="206">
        <v>2878</v>
      </c>
      <c r="BL56" s="204" t="s">
        <v>585</v>
      </c>
      <c r="BM56" s="206">
        <v>2878</v>
      </c>
      <c r="BN56" s="193" t="s">
        <v>585</v>
      </c>
      <c r="BO56" s="206">
        <v>20</v>
      </c>
      <c r="BP56" s="204">
        <v>27</v>
      </c>
      <c r="BQ56" s="206">
        <v>47</v>
      </c>
      <c r="BR56" s="203">
        <v>37</v>
      </c>
      <c r="BS56" s="204">
        <v>53</v>
      </c>
      <c r="BT56" s="204" t="s">
        <v>585</v>
      </c>
      <c r="BU56" s="204">
        <v>5</v>
      </c>
      <c r="BV56" s="204" t="s">
        <v>585</v>
      </c>
      <c r="BW56" s="204">
        <v>1</v>
      </c>
      <c r="BX56" s="204">
        <v>5</v>
      </c>
      <c r="BY56" s="204">
        <v>1</v>
      </c>
      <c r="BZ56" s="204">
        <v>3</v>
      </c>
      <c r="CA56" s="204">
        <v>9</v>
      </c>
      <c r="CB56" s="204" t="s">
        <v>585</v>
      </c>
      <c r="CC56" s="204" t="s">
        <v>585</v>
      </c>
      <c r="CD56" s="204" t="s">
        <v>585</v>
      </c>
      <c r="CE56" s="204" t="s">
        <v>585</v>
      </c>
      <c r="CF56" s="202">
        <v>114</v>
      </c>
      <c r="CG56" s="206">
        <v>13</v>
      </c>
      <c r="CH56" s="204" t="s">
        <v>585</v>
      </c>
      <c r="CI56" s="206">
        <v>13</v>
      </c>
      <c r="CJ56" s="193">
        <v>3</v>
      </c>
      <c r="CK56" s="206">
        <v>43069</v>
      </c>
      <c r="CL56" s="204">
        <v>32</v>
      </c>
      <c r="CM56" s="204">
        <v>132846</v>
      </c>
      <c r="CN56" s="204">
        <v>118267</v>
      </c>
      <c r="CO56" s="204">
        <v>115</v>
      </c>
      <c r="CP56" s="204">
        <v>25</v>
      </c>
      <c r="CQ56" s="204">
        <v>57</v>
      </c>
      <c r="CR56" s="204">
        <v>3</v>
      </c>
      <c r="CS56" s="204">
        <v>30</v>
      </c>
      <c r="CT56" s="204">
        <v>7</v>
      </c>
      <c r="CU56" s="204" t="s">
        <v>585</v>
      </c>
      <c r="CV56" s="206">
        <v>294451</v>
      </c>
      <c r="CW56" s="203">
        <v>80068</v>
      </c>
      <c r="CX56" s="204">
        <v>13</v>
      </c>
      <c r="CY56" s="204">
        <v>820</v>
      </c>
      <c r="CZ56" s="204">
        <v>90</v>
      </c>
      <c r="DA56" s="204">
        <v>55</v>
      </c>
      <c r="DB56" s="204">
        <v>14</v>
      </c>
      <c r="DC56" s="204">
        <v>4</v>
      </c>
      <c r="DD56" s="202">
        <v>81064</v>
      </c>
      <c r="DE56" s="206" t="s">
        <v>585</v>
      </c>
      <c r="DF56" s="203" t="s">
        <v>585</v>
      </c>
      <c r="DG56" s="204" t="s">
        <v>585</v>
      </c>
      <c r="DH56" s="202" t="s">
        <v>585</v>
      </c>
      <c r="DI56" s="206" t="s">
        <v>585</v>
      </c>
      <c r="DJ56" s="204" t="s">
        <v>585</v>
      </c>
      <c r="DK56" s="206" t="s">
        <v>585</v>
      </c>
      <c r="DL56" s="193">
        <v>26284</v>
      </c>
      <c r="DM56" s="206" t="s">
        <v>585</v>
      </c>
      <c r="DN56" s="204" t="s">
        <v>585</v>
      </c>
      <c r="DO56" s="206" t="s">
        <v>585</v>
      </c>
      <c r="DP56" s="203">
        <v>161</v>
      </c>
      <c r="DQ56" s="204">
        <v>2</v>
      </c>
      <c r="DR56" s="202">
        <v>163</v>
      </c>
      <c r="DS56" s="206">
        <v>7197</v>
      </c>
      <c r="DT56" s="193">
        <v>83</v>
      </c>
      <c r="DU56" s="206">
        <v>616</v>
      </c>
      <c r="DV56" s="204" t="s">
        <v>585</v>
      </c>
      <c r="DW56" s="206">
        <v>616</v>
      </c>
      <c r="DX56" s="193">
        <v>147</v>
      </c>
      <c r="DY56" s="193" t="s">
        <v>585</v>
      </c>
      <c r="DZ56" s="206">
        <v>69</v>
      </c>
      <c r="EA56" s="204">
        <v>25</v>
      </c>
      <c r="EB56" s="204">
        <v>35</v>
      </c>
      <c r="EC56" s="204">
        <v>147</v>
      </c>
      <c r="ED56" s="204">
        <v>3</v>
      </c>
      <c r="EE56" s="204" t="s">
        <v>585</v>
      </c>
      <c r="EF56" s="204" t="s">
        <v>585</v>
      </c>
      <c r="EG56" s="206">
        <v>279</v>
      </c>
      <c r="EH56" s="203">
        <v>22226</v>
      </c>
      <c r="EI56" s="204">
        <v>49949</v>
      </c>
      <c r="EJ56" s="204">
        <v>169</v>
      </c>
      <c r="EK56" s="204">
        <v>471</v>
      </c>
      <c r="EL56" s="204">
        <v>6013</v>
      </c>
      <c r="EM56" s="204">
        <v>63986</v>
      </c>
      <c r="EN56" s="204">
        <v>1176</v>
      </c>
      <c r="EO56" s="204">
        <v>89</v>
      </c>
      <c r="EP56" s="204">
        <v>7472</v>
      </c>
      <c r="EQ56" s="204">
        <v>590</v>
      </c>
      <c r="ER56" s="204">
        <v>20</v>
      </c>
      <c r="ES56" s="204">
        <v>1</v>
      </c>
      <c r="ET56" s="204">
        <v>2</v>
      </c>
      <c r="EU56" s="202">
        <v>152164</v>
      </c>
      <c r="EV56" s="206" t="s">
        <v>585</v>
      </c>
      <c r="EW56" s="193">
        <v>2</v>
      </c>
      <c r="EX56" s="206">
        <v>82</v>
      </c>
      <c r="EY56" s="204">
        <v>600</v>
      </c>
      <c r="EZ56" s="204" t="s">
        <v>585</v>
      </c>
      <c r="FA56" s="206">
        <v>682</v>
      </c>
      <c r="FB56" s="193" t="s">
        <v>585</v>
      </c>
      <c r="FC56" s="206">
        <v>5</v>
      </c>
      <c r="FD56" s="203">
        <v>7</v>
      </c>
      <c r="FE56" s="204">
        <v>2931</v>
      </c>
      <c r="FF56" s="204">
        <v>3</v>
      </c>
      <c r="FG56" s="204" t="s">
        <v>585</v>
      </c>
      <c r="FH56" s="202">
        <v>2941</v>
      </c>
      <c r="FI56" s="206" t="s">
        <v>585</v>
      </c>
      <c r="FJ56" s="204" t="s">
        <v>585</v>
      </c>
      <c r="FK56" s="206" t="s">
        <v>585</v>
      </c>
      <c r="FL56" s="203" t="s">
        <v>585</v>
      </c>
      <c r="FM56" s="204" t="s">
        <v>585</v>
      </c>
      <c r="FN56" s="202" t="s">
        <v>585</v>
      </c>
      <c r="FO56" s="206" t="s">
        <v>585</v>
      </c>
      <c r="FP56" s="193">
        <v>3815</v>
      </c>
      <c r="FQ56" s="206">
        <v>29</v>
      </c>
      <c r="FR56" s="204">
        <v>28</v>
      </c>
      <c r="FS56" s="204" t="s">
        <v>585</v>
      </c>
      <c r="FT56" s="206">
        <v>57</v>
      </c>
      <c r="FU56" s="203">
        <v>2648</v>
      </c>
      <c r="FV56" s="204">
        <v>2</v>
      </c>
      <c r="FW56" s="202">
        <v>2650</v>
      </c>
      <c r="FX56" s="206">
        <v>1</v>
      </c>
      <c r="FY56" s="203" t="s">
        <v>585</v>
      </c>
      <c r="FZ56" s="204">
        <v>28</v>
      </c>
      <c r="GA56" s="204">
        <v>7</v>
      </c>
      <c r="GB56" s="202">
        <v>35</v>
      </c>
      <c r="GC56" s="206">
        <v>55</v>
      </c>
      <c r="GD56" s="203">
        <v>2</v>
      </c>
      <c r="GE56" s="204">
        <v>13</v>
      </c>
      <c r="GF56" s="204">
        <v>3</v>
      </c>
      <c r="GG56" s="204">
        <v>15</v>
      </c>
      <c r="GH56" s="202">
        <v>33</v>
      </c>
      <c r="GI56" s="193">
        <v>1117290</v>
      </c>
      <c r="GJ56" s="368">
        <f>1117290/45058286</f>
        <v>2.4796549074236868E-2</v>
      </c>
      <c r="GK56" s="382"/>
    </row>
    <row r="57" spans="2:193" ht="12" customHeight="1" x14ac:dyDescent="0.2">
      <c r="B57" s="359" t="s">
        <v>113</v>
      </c>
      <c r="C57" s="203">
        <v>923</v>
      </c>
      <c r="D57" s="204" t="s">
        <v>585</v>
      </c>
      <c r="E57" s="204" t="s">
        <v>585</v>
      </c>
      <c r="F57" s="204">
        <v>5</v>
      </c>
      <c r="G57" s="202">
        <v>928</v>
      </c>
      <c r="H57" s="193" t="s">
        <v>585</v>
      </c>
      <c r="I57" s="206">
        <v>39</v>
      </c>
      <c r="J57" s="204" t="s">
        <v>585</v>
      </c>
      <c r="K57" s="206">
        <v>39</v>
      </c>
      <c r="L57" s="193" t="s">
        <v>585</v>
      </c>
      <c r="M57" s="193">
        <v>9759</v>
      </c>
      <c r="N57" s="206">
        <v>9682</v>
      </c>
      <c r="O57" s="204">
        <v>110</v>
      </c>
      <c r="P57" s="204">
        <v>702527</v>
      </c>
      <c r="Q57" s="204">
        <v>1043</v>
      </c>
      <c r="R57" s="204">
        <v>5681</v>
      </c>
      <c r="S57" s="204">
        <v>41</v>
      </c>
      <c r="T57" s="204">
        <v>3</v>
      </c>
      <c r="U57" s="206">
        <v>719087</v>
      </c>
      <c r="V57" s="203">
        <v>96</v>
      </c>
      <c r="W57" s="204">
        <v>43</v>
      </c>
      <c r="X57" s="202">
        <v>139</v>
      </c>
      <c r="Y57" s="206">
        <v>893</v>
      </c>
      <c r="Z57" s="204">
        <v>15</v>
      </c>
      <c r="AA57" s="204" t="s">
        <v>585</v>
      </c>
      <c r="AB57" s="206">
        <v>908</v>
      </c>
      <c r="AC57" s="203">
        <v>21688</v>
      </c>
      <c r="AD57" s="204">
        <v>294</v>
      </c>
      <c r="AE57" s="204">
        <v>15</v>
      </c>
      <c r="AF57" s="202">
        <v>21997</v>
      </c>
      <c r="AG57" s="206">
        <v>853</v>
      </c>
      <c r="AH57" s="204">
        <v>1</v>
      </c>
      <c r="AI57" s="204" t="s">
        <v>585</v>
      </c>
      <c r="AJ57" s="204">
        <v>1</v>
      </c>
      <c r="AK57" s="206">
        <v>855</v>
      </c>
      <c r="AL57" s="193" t="s">
        <v>585</v>
      </c>
      <c r="AM57" s="193">
        <v>1</v>
      </c>
      <c r="AN57" s="206">
        <v>1</v>
      </c>
      <c r="AO57" s="204">
        <v>15</v>
      </c>
      <c r="AP57" s="206">
        <v>16</v>
      </c>
      <c r="AQ57" s="203">
        <v>272</v>
      </c>
      <c r="AR57" s="204">
        <v>8</v>
      </c>
      <c r="AS57" s="204">
        <v>245</v>
      </c>
      <c r="AT57" s="204" t="s">
        <v>585</v>
      </c>
      <c r="AU57" s="204" t="s">
        <v>585</v>
      </c>
      <c r="AV57" s="204">
        <v>20</v>
      </c>
      <c r="AW57" s="204" t="s">
        <v>585</v>
      </c>
      <c r="AX57" s="202">
        <v>545</v>
      </c>
      <c r="AY57" s="206">
        <v>3</v>
      </c>
      <c r="AZ57" s="193">
        <v>76</v>
      </c>
      <c r="BA57" s="206">
        <v>987</v>
      </c>
      <c r="BB57" s="377">
        <v>4553</v>
      </c>
      <c r="BC57" s="206">
        <v>17316</v>
      </c>
      <c r="BD57" s="206">
        <v>1132</v>
      </c>
      <c r="BE57" s="378">
        <v>464</v>
      </c>
      <c r="BF57" s="206">
        <v>24452</v>
      </c>
      <c r="BG57" s="193">
        <v>16</v>
      </c>
      <c r="BH57" s="193" t="s">
        <v>585</v>
      </c>
      <c r="BI57" s="193" t="s">
        <v>585</v>
      </c>
      <c r="BJ57" s="193">
        <v>5</v>
      </c>
      <c r="BK57" s="206">
        <v>2677</v>
      </c>
      <c r="BL57" s="204" t="s">
        <v>585</v>
      </c>
      <c r="BM57" s="206">
        <v>2677</v>
      </c>
      <c r="BN57" s="193" t="s">
        <v>585</v>
      </c>
      <c r="BO57" s="206">
        <v>18</v>
      </c>
      <c r="BP57" s="204">
        <v>37</v>
      </c>
      <c r="BQ57" s="206">
        <v>55</v>
      </c>
      <c r="BR57" s="203">
        <v>121</v>
      </c>
      <c r="BS57" s="204">
        <v>6</v>
      </c>
      <c r="BT57" s="204">
        <v>5</v>
      </c>
      <c r="BU57" s="204" t="s">
        <v>585</v>
      </c>
      <c r="BV57" s="204" t="s">
        <v>585</v>
      </c>
      <c r="BW57" s="204" t="s">
        <v>585</v>
      </c>
      <c r="BX57" s="204">
        <v>1</v>
      </c>
      <c r="BY57" s="204" t="s">
        <v>585</v>
      </c>
      <c r="BZ57" s="204" t="s">
        <v>585</v>
      </c>
      <c r="CA57" s="204">
        <v>1</v>
      </c>
      <c r="CB57" s="204" t="s">
        <v>585</v>
      </c>
      <c r="CC57" s="204" t="s">
        <v>585</v>
      </c>
      <c r="CD57" s="204">
        <v>1</v>
      </c>
      <c r="CE57" s="204" t="s">
        <v>585</v>
      </c>
      <c r="CF57" s="202">
        <v>135</v>
      </c>
      <c r="CG57" s="206">
        <v>12</v>
      </c>
      <c r="CH57" s="204" t="s">
        <v>585</v>
      </c>
      <c r="CI57" s="206">
        <v>12</v>
      </c>
      <c r="CJ57" s="193">
        <v>5</v>
      </c>
      <c r="CK57" s="206">
        <v>76398</v>
      </c>
      <c r="CL57" s="204">
        <v>9</v>
      </c>
      <c r="CM57" s="204">
        <v>264273</v>
      </c>
      <c r="CN57" s="204">
        <v>147930</v>
      </c>
      <c r="CO57" s="204">
        <v>1031</v>
      </c>
      <c r="CP57" s="204">
        <v>34</v>
      </c>
      <c r="CQ57" s="204">
        <v>67</v>
      </c>
      <c r="CR57" s="204">
        <v>5</v>
      </c>
      <c r="CS57" s="204">
        <v>43</v>
      </c>
      <c r="CT57" s="204">
        <v>6</v>
      </c>
      <c r="CU57" s="204" t="s">
        <v>585</v>
      </c>
      <c r="CV57" s="206">
        <v>489796</v>
      </c>
      <c r="CW57" s="203">
        <v>119452</v>
      </c>
      <c r="CX57" s="204">
        <v>27</v>
      </c>
      <c r="CY57" s="204">
        <v>1186</v>
      </c>
      <c r="CZ57" s="204">
        <v>20</v>
      </c>
      <c r="DA57" s="204">
        <v>89</v>
      </c>
      <c r="DB57" s="204">
        <v>4</v>
      </c>
      <c r="DC57" s="204">
        <v>1</v>
      </c>
      <c r="DD57" s="202">
        <v>120779</v>
      </c>
      <c r="DE57" s="206" t="s">
        <v>585</v>
      </c>
      <c r="DF57" s="203" t="s">
        <v>585</v>
      </c>
      <c r="DG57" s="204" t="s">
        <v>585</v>
      </c>
      <c r="DH57" s="202" t="s">
        <v>585</v>
      </c>
      <c r="DI57" s="206" t="s">
        <v>585</v>
      </c>
      <c r="DJ57" s="204" t="s">
        <v>585</v>
      </c>
      <c r="DK57" s="206" t="s">
        <v>585</v>
      </c>
      <c r="DL57" s="193">
        <v>203</v>
      </c>
      <c r="DM57" s="206">
        <v>3</v>
      </c>
      <c r="DN57" s="204" t="s">
        <v>585</v>
      </c>
      <c r="DO57" s="206">
        <v>3</v>
      </c>
      <c r="DP57" s="203">
        <v>84</v>
      </c>
      <c r="DQ57" s="204">
        <v>6</v>
      </c>
      <c r="DR57" s="202">
        <v>90</v>
      </c>
      <c r="DS57" s="206">
        <v>28</v>
      </c>
      <c r="DT57" s="193">
        <v>5</v>
      </c>
      <c r="DU57" s="206">
        <v>1501</v>
      </c>
      <c r="DV57" s="204" t="s">
        <v>585</v>
      </c>
      <c r="DW57" s="206">
        <v>1501</v>
      </c>
      <c r="DX57" s="193">
        <v>10</v>
      </c>
      <c r="DY57" s="193" t="s">
        <v>585</v>
      </c>
      <c r="DZ57" s="206">
        <v>86</v>
      </c>
      <c r="EA57" s="204">
        <v>138</v>
      </c>
      <c r="EB57" s="204">
        <v>312</v>
      </c>
      <c r="EC57" s="204">
        <v>1</v>
      </c>
      <c r="ED57" s="204" t="s">
        <v>585</v>
      </c>
      <c r="EE57" s="204">
        <v>1</v>
      </c>
      <c r="EF57" s="204">
        <v>2</v>
      </c>
      <c r="EG57" s="206">
        <v>540</v>
      </c>
      <c r="EH57" s="203">
        <v>29206</v>
      </c>
      <c r="EI57" s="204">
        <v>868718</v>
      </c>
      <c r="EJ57" s="204">
        <v>441</v>
      </c>
      <c r="EK57" s="204">
        <v>7605</v>
      </c>
      <c r="EL57" s="204">
        <v>31190</v>
      </c>
      <c r="EM57" s="204">
        <v>210817</v>
      </c>
      <c r="EN57" s="204">
        <v>2392</v>
      </c>
      <c r="EO57" s="204">
        <v>682</v>
      </c>
      <c r="EP57" s="204">
        <v>8808</v>
      </c>
      <c r="EQ57" s="204">
        <v>411</v>
      </c>
      <c r="ER57" s="204">
        <v>480</v>
      </c>
      <c r="ES57" s="204" t="s">
        <v>585</v>
      </c>
      <c r="ET57" s="204" t="s">
        <v>585</v>
      </c>
      <c r="EU57" s="202">
        <v>1160750</v>
      </c>
      <c r="EV57" s="206" t="s">
        <v>585</v>
      </c>
      <c r="EW57" s="193">
        <v>25</v>
      </c>
      <c r="EX57" s="206" t="s">
        <v>585</v>
      </c>
      <c r="EY57" s="204">
        <v>1</v>
      </c>
      <c r="EZ57" s="204" t="s">
        <v>585</v>
      </c>
      <c r="FA57" s="206">
        <v>1</v>
      </c>
      <c r="FB57" s="193" t="s">
        <v>585</v>
      </c>
      <c r="FC57" s="206">
        <v>2</v>
      </c>
      <c r="FD57" s="203">
        <v>2</v>
      </c>
      <c r="FE57" s="204">
        <v>30</v>
      </c>
      <c r="FF57" s="204" t="s">
        <v>585</v>
      </c>
      <c r="FG57" s="204" t="s">
        <v>585</v>
      </c>
      <c r="FH57" s="202">
        <v>32</v>
      </c>
      <c r="FI57" s="206">
        <v>6</v>
      </c>
      <c r="FJ57" s="204" t="s">
        <v>585</v>
      </c>
      <c r="FK57" s="206">
        <v>6</v>
      </c>
      <c r="FL57" s="203">
        <v>4</v>
      </c>
      <c r="FM57" s="204" t="s">
        <v>585</v>
      </c>
      <c r="FN57" s="202">
        <v>4</v>
      </c>
      <c r="FO57" s="206" t="s">
        <v>585</v>
      </c>
      <c r="FP57" s="193">
        <v>6249</v>
      </c>
      <c r="FQ57" s="206">
        <v>30</v>
      </c>
      <c r="FR57" s="204">
        <v>12</v>
      </c>
      <c r="FS57" s="204">
        <v>1</v>
      </c>
      <c r="FT57" s="206">
        <v>43</v>
      </c>
      <c r="FU57" s="203">
        <v>200</v>
      </c>
      <c r="FV57" s="204">
        <v>17</v>
      </c>
      <c r="FW57" s="202">
        <v>217</v>
      </c>
      <c r="FX57" s="206" t="s">
        <v>585</v>
      </c>
      <c r="FY57" s="203" t="s">
        <v>585</v>
      </c>
      <c r="FZ57" s="204">
        <v>7</v>
      </c>
      <c r="GA57" s="204" t="s">
        <v>585</v>
      </c>
      <c r="GB57" s="202">
        <v>7</v>
      </c>
      <c r="GC57" s="206">
        <v>57</v>
      </c>
      <c r="GD57" s="203" t="s">
        <v>585</v>
      </c>
      <c r="GE57" s="204">
        <v>1</v>
      </c>
      <c r="GF57" s="204">
        <v>1</v>
      </c>
      <c r="GG57" s="204" t="s">
        <v>585</v>
      </c>
      <c r="GH57" s="202">
        <v>6</v>
      </c>
      <c r="GI57" s="193">
        <v>2562064</v>
      </c>
      <c r="GJ57" s="368">
        <f>2562064/45058286</f>
        <v>5.686110652322638E-2</v>
      </c>
      <c r="GK57" s="382"/>
    </row>
    <row r="58" spans="2:193" ht="12" customHeight="1" x14ac:dyDescent="0.2">
      <c r="B58" s="359" t="s">
        <v>115</v>
      </c>
      <c r="C58" s="203">
        <v>23</v>
      </c>
      <c r="D58" s="204" t="s">
        <v>585</v>
      </c>
      <c r="E58" s="204" t="s">
        <v>585</v>
      </c>
      <c r="F58" s="204" t="s">
        <v>585</v>
      </c>
      <c r="G58" s="202">
        <v>23</v>
      </c>
      <c r="H58" s="193" t="s">
        <v>585</v>
      </c>
      <c r="I58" s="206">
        <v>2</v>
      </c>
      <c r="J58" s="204" t="s">
        <v>585</v>
      </c>
      <c r="K58" s="206">
        <v>2</v>
      </c>
      <c r="L58" s="193" t="s">
        <v>585</v>
      </c>
      <c r="M58" s="193">
        <v>196</v>
      </c>
      <c r="N58" s="206">
        <v>118</v>
      </c>
      <c r="O58" s="204">
        <v>1</v>
      </c>
      <c r="P58" s="204">
        <v>10600</v>
      </c>
      <c r="Q58" s="204">
        <v>170</v>
      </c>
      <c r="R58" s="204">
        <v>166</v>
      </c>
      <c r="S58" s="204" t="s">
        <v>585</v>
      </c>
      <c r="T58" s="204" t="s">
        <v>585</v>
      </c>
      <c r="U58" s="206">
        <v>11055</v>
      </c>
      <c r="V58" s="203">
        <v>6</v>
      </c>
      <c r="W58" s="204">
        <v>3</v>
      </c>
      <c r="X58" s="202">
        <v>9</v>
      </c>
      <c r="Y58" s="206">
        <v>54</v>
      </c>
      <c r="Z58" s="204" t="s">
        <v>585</v>
      </c>
      <c r="AA58" s="204" t="s">
        <v>585</v>
      </c>
      <c r="AB58" s="206">
        <v>54</v>
      </c>
      <c r="AC58" s="203">
        <v>1358</v>
      </c>
      <c r="AD58" s="204">
        <v>11</v>
      </c>
      <c r="AE58" s="204">
        <v>0</v>
      </c>
      <c r="AF58" s="202">
        <v>1369</v>
      </c>
      <c r="AG58" s="206">
        <v>34</v>
      </c>
      <c r="AH58" s="204" t="s">
        <v>585</v>
      </c>
      <c r="AI58" s="204" t="s">
        <v>585</v>
      </c>
      <c r="AJ58" s="204" t="s">
        <v>585</v>
      </c>
      <c r="AK58" s="206">
        <v>34</v>
      </c>
      <c r="AL58" s="193" t="s">
        <v>585</v>
      </c>
      <c r="AM58" s="193" t="s">
        <v>585</v>
      </c>
      <c r="AN58" s="206" t="s">
        <v>585</v>
      </c>
      <c r="AO58" s="204" t="s">
        <v>585</v>
      </c>
      <c r="AP58" s="206" t="s">
        <v>585</v>
      </c>
      <c r="AQ58" s="203">
        <v>11</v>
      </c>
      <c r="AR58" s="204">
        <v>9</v>
      </c>
      <c r="AS58" s="204">
        <v>16</v>
      </c>
      <c r="AT58" s="204" t="s">
        <v>585</v>
      </c>
      <c r="AU58" s="204" t="s">
        <v>585</v>
      </c>
      <c r="AV58" s="204" t="s">
        <v>585</v>
      </c>
      <c r="AW58" s="204" t="s">
        <v>585</v>
      </c>
      <c r="AX58" s="202">
        <v>36</v>
      </c>
      <c r="AY58" s="206">
        <v>1</v>
      </c>
      <c r="AZ58" s="193">
        <v>1</v>
      </c>
      <c r="BA58" s="206">
        <v>43</v>
      </c>
      <c r="BB58" s="377">
        <v>105</v>
      </c>
      <c r="BC58" s="206">
        <v>203</v>
      </c>
      <c r="BD58" s="206">
        <v>128</v>
      </c>
      <c r="BE58" s="378">
        <v>11</v>
      </c>
      <c r="BF58" s="206">
        <v>490</v>
      </c>
      <c r="BG58" s="193" t="s">
        <v>585</v>
      </c>
      <c r="BH58" s="193" t="s">
        <v>585</v>
      </c>
      <c r="BI58" s="193" t="s">
        <v>585</v>
      </c>
      <c r="BJ58" s="193" t="s">
        <v>585</v>
      </c>
      <c r="BK58" s="206">
        <v>23</v>
      </c>
      <c r="BL58" s="204">
        <v>2</v>
      </c>
      <c r="BM58" s="206">
        <v>25</v>
      </c>
      <c r="BN58" s="193" t="s">
        <v>585</v>
      </c>
      <c r="BO58" s="206">
        <v>1</v>
      </c>
      <c r="BP58" s="204" t="s">
        <v>585</v>
      </c>
      <c r="BQ58" s="206">
        <v>1</v>
      </c>
      <c r="BR58" s="203">
        <v>2</v>
      </c>
      <c r="BS58" s="204">
        <v>6</v>
      </c>
      <c r="BT58" s="204" t="s">
        <v>585</v>
      </c>
      <c r="BU58" s="204" t="s">
        <v>585</v>
      </c>
      <c r="BV58" s="204" t="s">
        <v>585</v>
      </c>
      <c r="BW58" s="204" t="s">
        <v>585</v>
      </c>
      <c r="BX58" s="204" t="s">
        <v>585</v>
      </c>
      <c r="BY58" s="204" t="s">
        <v>585</v>
      </c>
      <c r="BZ58" s="204" t="s">
        <v>585</v>
      </c>
      <c r="CA58" s="204" t="s">
        <v>585</v>
      </c>
      <c r="CB58" s="204" t="s">
        <v>585</v>
      </c>
      <c r="CC58" s="204" t="s">
        <v>585</v>
      </c>
      <c r="CD58" s="204" t="s">
        <v>585</v>
      </c>
      <c r="CE58" s="204" t="s">
        <v>585</v>
      </c>
      <c r="CF58" s="202">
        <v>8</v>
      </c>
      <c r="CG58" s="206">
        <v>1</v>
      </c>
      <c r="CH58" s="204" t="s">
        <v>585</v>
      </c>
      <c r="CI58" s="206">
        <v>1</v>
      </c>
      <c r="CJ58" s="193" t="s">
        <v>585</v>
      </c>
      <c r="CK58" s="206">
        <v>6470</v>
      </c>
      <c r="CL58" s="204" t="s">
        <v>585</v>
      </c>
      <c r="CM58" s="204">
        <v>24465</v>
      </c>
      <c r="CN58" s="204">
        <v>3695</v>
      </c>
      <c r="CO58" s="204">
        <v>57</v>
      </c>
      <c r="CP58" s="204">
        <v>6</v>
      </c>
      <c r="CQ58" s="204">
        <v>27</v>
      </c>
      <c r="CR58" s="204" t="s">
        <v>585</v>
      </c>
      <c r="CS58" s="204" t="s">
        <v>585</v>
      </c>
      <c r="CT58" s="204" t="s">
        <v>585</v>
      </c>
      <c r="CU58" s="204" t="s">
        <v>585</v>
      </c>
      <c r="CV58" s="206">
        <v>34720</v>
      </c>
      <c r="CW58" s="203">
        <v>19236</v>
      </c>
      <c r="CX58" s="204">
        <v>2</v>
      </c>
      <c r="CY58" s="204">
        <v>91</v>
      </c>
      <c r="CZ58" s="204" t="s">
        <v>585</v>
      </c>
      <c r="DA58" s="204">
        <v>5</v>
      </c>
      <c r="DB58" s="204" t="s">
        <v>585</v>
      </c>
      <c r="DC58" s="204" t="s">
        <v>585</v>
      </c>
      <c r="DD58" s="202">
        <v>19334</v>
      </c>
      <c r="DE58" s="206" t="s">
        <v>585</v>
      </c>
      <c r="DF58" s="203" t="s">
        <v>585</v>
      </c>
      <c r="DG58" s="204" t="s">
        <v>585</v>
      </c>
      <c r="DH58" s="202" t="s">
        <v>585</v>
      </c>
      <c r="DI58" s="206" t="s">
        <v>585</v>
      </c>
      <c r="DJ58" s="204" t="s">
        <v>585</v>
      </c>
      <c r="DK58" s="206" t="s">
        <v>585</v>
      </c>
      <c r="DL58" s="193">
        <v>14</v>
      </c>
      <c r="DM58" s="206" t="s">
        <v>585</v>
      </c>
      <c r="DN58" s="204" t="s">
        <v>585</v>
      </c>
      <c r="DO58" s="206" t="s">
        <v>585</v>
      </c>
      <c r="DP58" s="203">
        <v>1</v>
      </c>
      <c r="DQ58" s="204" t="s">
        <v>585</v>
      </c>
      <c r="DR58" s="202">
        <v>1</v>
      </c>
      <c r="DS58" s="206">
        <v>1</v>
      </c>
      <c r="DT58" s="193" t="s">
        <v>585</v>
      </c>
      <c r="DU58" s="206">
        <v>228</v>
      </c>
      <c r="DV58" s="204" t="s">
        <v>585</v>
      </c>
      <c r="DW58" s="206">
        <v>228</v>
      </c>
      <c r="DX58" s="193" t="s">
        <v>585</v>
      </c>
      <c r="DY58" s="193" t="s">
        <v>585</v>
      </c>
      <c r="DZ58" s="206">
        <v>1</v>
      </c>
      <c r="EA58" s="204">
        <v>5</v>
      </c>
      <c r="EB58" s="204">
        <v>5</v>
      </c>
      <c r="EC58" s="204" t="s">
        <v>585</v>
      </c>
      <c r="ED58" s="204" t="s">
        <v>585</v>
      </c>
      <c r="EE58" s="204" t="s">
        <v>585</v>
      </c>
      <c r="EF58" s="204" t="s">
        <v>585</v>
      </c>
      <c r="EG58" s="206">
        <v>11</v>
      </c>
      <c r="EH58" s="203">
        <v>1598</v>
      </c>
      <c r="EI58" s="204">
        <v>16988</v>
      </c>
      <c r="EJ58" s="204">
        <v>19</v>
      </c>
      <c r="EK58" s="204">
        <v>213</v>
      </c>
      <c r="EL58" s="204">
        <v>1215</v>
      </c>
      <c r="EM58" s="204">
        <v>8548</v>
      </c>
      <c r="EN58" s="204">
        <v>120</v>
      </c>
      <c r="EO58" s="204">
        <v>63</v>
      </c>
      <c r="EP58" s="204">
        <v>360</v>
      </c>
      <c r="EQ58" s="204">
        <v>32</v>
      </c>
      <c r="ER58" s="204">
        <v>33</v>
      </c>
      <c r="ES58" s="204" t="s">
        <v>585</v>
      </c>
      <c r="ET58" s="204" t="s">
        <v>585</v>
      </c>
      <c r="EU58" s="202">
        <v>29189</v>
      </c>
      <c r="EV58" s="206" t="s">
        <v>585</v>
      </c>
      <c r="EW58" s="193">
        <v>1</v>
      </c>
      <c r="EX58" s="206" t="s">
        <v>585</v>
      </c>
      <c r="EY58" s="204" t="s">
        <v>585</v>
      </c>
      <c r="EZ58" s="204" t="s">
        <v>585</v>
      </c>
      <c r="FA58" s="206" t="s">
        <v>585</v>
      </c>
      <c r="FB58" s="193" t="s">
        <v>585</v>
      </c>
      <c r="FC58" s="206">
        <v>6</v>
      </c>
      <c r="FD58" s="203" t="s">
        <v>585</v>
      </c>
      <c r="FE58" s="204">
        <v>1</v>
      </c>
      <c r="FF58" s="204" t="s">
        <v>585</v>
      </c>
      <c r="FG58" s="204" t="s">
        <v>585</v>
      </c>
      <c r="FH58" s="202">
        <v>1</v>
      </c>
      <c r="FI58" s="206" t="s">
        <v>585</v>
      </c>
      <c r="FJ58" s="204" t="s">
        <v>585</v>
      </c>
      <c r="FK58" s="206" t="s">
        <v>585</v>
      </c>
      <c r="FL58" s="203" t="s">
        <v>585</v>
      </c>
      <c r="FM58" s="204" t="s">
        <v>585</v>
      </c>
      <c r="FN58" s="202" t="s">
        <v>585</v>
      </c>
      <c r="FO58" s="206" t="s">
        <v>585</v>
      </c>
      <c r="FP58" s="193">
        <v>53</v>
      </c>
      <c r="FQ58" s="206">
        <v>3</v>
      </c>
      <c r="FR58" s="204" t="s">
        <v>585</v>
      </c>
      <c r="FS58" s="204" t="s">
        <v>585</v>
      </c>
      <c r="FT58" s="206">
        <v>3</v>
      </c>
      <c r="FU58" s="203">
        <v>11</v>
      </c>
      <c r="FV58" s="204">
        <v>6</v>
      </c>
      <c r="FW58" s="202">
        <v>17</v>
      </c>
      <c r="FX58" s="206" t="s">
        <v>585</v>
      </c>
      <c r="FY58" s="203" t="s">
        <v>585</v>
      </c>
      <c r="FZ58" s="204" t="s">
        <v>585</v>
      </c>
      <c r="GA58" s="204">
        <v>1</v>
      </c>
      <c r="GB58" s="202">
        <v>1</v>
      </c>
      <c r="GC58" s="206">
        <v>1</v>
      </c>
      <c r="GD58" s="203" t="s">
        <v>585</v>
      </c>
      <c r="GE58" s="204" t="s">
        <v>585</v>
      </c>
      <c r="GF58" s="204" t="s">
        <v>585</v>
      </c>
      <c r="GG58" s="204" t="s">
        <v>585</v>
      </c>
      <c r="GH58" s="202" t="s">
        <v>585</v>
      </c>
      <c r="GI58" s="193">
        <v>96886</v>
      </c>
      <c r="GJ58" s="368">
        <f>96886/45058286</f>
        <v>2.1502371395130298E-3</v>
      </c>
      <c r="GK58" s="382"/>
    </row>
    <row r="59" spans="2:193" ht="12" customHeight="1" x14ac:dyDescent="0.2">
      <c r="B59" s="359" t="s">
        <v>116</v>
      </c>
      <c r="C59" s="203">
        <v>56</v>
      </c>
      <c r="D59" s="204" t="s">
        <v>585</v>
      </c>
      <c r="E59" s="204" t="s">
        <v>585</v>
      </c>
      <c r="F59" s="204">
        <v>15</v>
      </c>
      <c r="G59" s="202">
        <v>71</v>
      </c>
      <c r="H59" s="193" t="s">
        <v>585</v>
      </c>
      <c r="I59" s="206">
        <v>21</v>
      </c>
      <c r="J59" s="204" t="s">
        <v>585</v>
      </c>
      <c r="K59" s="206">
        <v>21</v>
      </c>
      <c r="L59" s="193" t="s">
        <v>585</v>
      </c>
      <c r="M59" s="193">
        <v>747</v>
      </c>
      <c r="N59" s="206">
        <v>24</v>
      </c>
      <c r="O59" s="204">
        <v>221</v>
      </c>
      <c r="P59" s="204">
        <v>6826</v>
      </c>
      <c r="Q59" s="204">
        <v>58</v>
      </c>
      <c r="R59" s="204">
        <v>331</v>
      </c>
      <c r="S59" s="204" t="s">
        <v>585</v>
      </c>
      <c r="T59" s="204">
        <v>2</v>
      </c>
      <c r="U59" s="206">
        <v>7462</v>
      </c>
      <c r="V59" s="203">
        <v>24</v>
      </c>
      <c r="W59" s="204">
        <v>33</v>
      </c>
      <c r="X59" s="202">
        <v>57</v>
      </c>
      <c r="Y59" s="206">
        <v>158</v>
      </c>
      <c r="Z59" s="204" t="s">
        <v>585</v>
      </c>
      <c r="AA59" s="204" t="s">
        <v>585</v>
      </c>
      <c r="AB59" s="206">
        <v>158</v>
      </c>
      <c r="AC59" s="203">
        <v>6726</v>
      </c>
      <c r="AD59" s="204">
        <v>10</v>
      </c>
      <c r="AE59" s="204">
        <v>26</v>
      </c>
      <c r="AF59" s="202">
        <v>6762</v>
      </c>
      <c r="AG59" s="206">
        <v>203</v>
      </c>
      <c r="AH59" s="204">
        <v>1</v>
      </c>
      <c r="AI59" s="204" t="s">
        <v>585</v>
      </c>
      <c r="AJ59" s="204" t="s">
        <v>585</v>
      </c>
      <c r="AK59" s="206">
        <v>204</v>
      </c>
      <c r="AL59" s="193">
        <v>1</v>
      </c>
      <c r="AM59" s="193" t="s">
        <v>585</v>
      </c>
      <c r="AN59" s="206">
        <v>25</v>
      </c>
      <c r="AO59" s="204">
        <v>7</v>
      </c>
      <c r="AP59" s="206">
        <v>32</v>
      </c>
      <c r="AQ59" s="203">
        <v>78</v>
      </c>
      <c r="AR59" s="204">
        <v>9</v>
      </c>
      <c r="AS59" s="204">
        <v>10</v>
      </c>
      <c r="AT59" s="204" t="s">
        <v>585</v>
      </c>
      <c r="AU59" s="204" t="s">
        <v>585</v>
      </c>
      <c r="AV59" s="204" t="s">
        <v>585</v>
      </c>
      <c r="AW59" s="204" t="s">
        <v>585</v>
      </c>
      <c r="AX59" s="202">
        <v>97</v>
      </c>
      <c r="AY59" s="206">
        <v>1</v>
      </c>
      <c r="AZ59" s="193">
        <v>4</v>
      </c>
      <c r="BA59" s="206">
        <v>157</v>
      </c>
      <c r="BB59" s="377">
        <v>1055</v>
      </c>
      <c r="BC59" s="206">
        <v>1136</v>
      </c>
      <c r="BD59" s="206">
        <v>909</v>
      </c>
      <c r="BE59" s="378">
        <v>85</v>
      </c>
      <c r="BF59" s="206">
        <v>3342</v>
      </c>
      <c r="BG59" s="193">
        <v>9</v>
      </c>
      <c r="BH59" s="193" t="s">
        <v>585</v>
      </c>
      <c r="BI59" s="193" t="s">
        <v>585</v>
      </c>
      <c r="BJ59" s="193">
        <v>4</v>
      </c>
      <c r="BK59" s="206">
        <v>26</v>
      </c>
      <c r="BL59" s="204" t="s">
        <v>585</v>
      </c>
      <c r="BM59" s="206">
        <v>26</v>
      </c>
      <c r="BN59" s="193" t="s">
        <v>585</v>
      </c>
      <c r="BO59" s="206">
        <v>2</v>
      </c>
      <c r="BP59" s="204" t="s">
        <v>585</v>
      </c>
      <c r="BQ59" s="206">
        <v>2</v>
      </c>
      <c r="BR59" s="203">
        <v>12</v>
      </c>
      <c r="BS59" s="204">
        <v>9</v>
      </c>
      <c r="BT59" s="204" t="s">
        <v>585</v>
      </c>
      <c r="BU59" s="204">
        <v>1</v>
      </c>
      <c r="BV59" s="204" t="s">
        <v>585</v>
      </c>
      <c r="BW59" s="204" t="s">
        <v>585</v>
      </c>
      <c r="BX59" s="204">
        <v>1</v>
      </c>
      <c r="BY59" s="204" t="s">
        <v>585</v>
      </c>
      <c r="BZ59" s="204" t="s">
        <v>585</v>
      </c>
      <c r="CA59" s="204">
        <v>1</v>
      </c>
      <c r="CB59" s="204">
        <v>1</v>
      </c>
      <c r="CC59" s="204" t="s">
        <v>585</v>
      </c>
      <c r="CD59" s="204">
        <v>5</v>
      </c>
      <c r="CE59" s="204" t="s">
        <v>585</v>
      </c>
      <c r="CF59" s="202">
        <v>30</v>
      </c>
      <c r="CG59" s="206">
        <v>1</v>
      </c>
      <c r="CH59" s="204" t="s">
        <v>585</v>
      </c>
      <c r="CI59" s="206">
        <v>1</v>
      </c>
      <c r="CJ59" s="193">
        <v>1</v>
      </c>
      <c r="CK59" s="206">
        <v>31076</v>
      </c>
      <c r="CL59" s="204" t="s">
        <v>585</v>
      </c>
      <c r="CM59" s="204">
        <v>129750</v>
      </c>
      <c r="CN59" s="204">
        <v>49672</v>
      </c>
      <c r="CO59" s="204">
        <v>194</v>
      </c>
      <c r="CP59" s="204" t="s">
        <v>585</v>
      </c>
      <c r="CQ59" s="204">
        <v>12</v>
      </c>
      <c r="CR59" s="204">
        <v>1</v>
      </c>
      <c r="CS59" s="204">
        <v>24</v>
      </c>
      <c r="CT59" s="204">
        <v>4</v>
      </c>
      <c r="CU59" s="204" t="s">
        <v>585</v>
      </c>
      <c r="CV59" s="206">
        <v>210733</v>
      </c>
      <c r="CW59" s="203">
        <v>1839</v>
      </c>
      <c r="CX59" s="204">
        <v>4</v>
      </c>
      <c r="CY59" s="204">
        <v>783</v>
      </c>
      <c r="CZ59" s="204">
        <v>15</v>
      </c>
      <c r="DA59" s="204">
        <v>14</v>
      </c>
      <c r="DB59" s="204" t="s">
        <v>585</v>
      </c>
      <c r="DC59" s="204" t="s">
        <v>585</v>
      </c>
      <c r="DD59" s="202">
        <v>2655</v>
      </c>
      <c r="DE59" s="206" t="s">
        <v>585</v>
      </c>
      <c r="DF59" s="203" t="s">
        <v>585</v>
      </c>
      <c r="DG59" s="204" t="s">
        <v>585</v>
      </c>
      <c r="DH59" s="202" t="s">
        <v>585</v>
      </c>
      <c r="DI59" s="206" t="s">
        <v>585</v>
      </c>
      <c r="DJ59" s="204" t="s">
        <v>585</v>
      </c>
      <c r="DK59" s="206" t="s">
        <v>585</v>
      </c>
      <c r="DL59" s="193">
        <v>65</v>
      </c>
      <c r="DM59" s="206" t="s">
        <v>585</v>
      </c>
      <c r="DN59" s="204" t="s">
        <v>585</v>
      </c>
      <c r="DO59" s="206" t="s">
        <v>585</v>
      </c>
      <c r="DP59" s="203">
        <v>91</v>
      </c>
      <c r="DQ59" s="204" t="s">
        <v>585</v>
      </c>
      <c r="DR59" s="202">
        <v>91</v>
      </c>
      <c r="DS59" s="206">
        <v>66</v>
      </c>
      <c r="DT59" s="193">
        <v>2</v>
      </c>
      <c r="DU59" s="206">
        <v>324</v>
      </c>
      <c r="DV59" s="204" t="s">
        <v>585</v>
      </c>
      <c r="DW59" s="206">
        <v>324</v>
      </c>
      <c r="DX59" s="193">
        <v>1</v>
      </c>
      <c r="DY59" s="193" t="s">
        <v>585</v>
      </c>
      <c r="DZ59" s="206">
        <v>6</v>
      </c>
      <c r="EA59" s="204">
        <v>2</v>
      </c>
      <c r="EB59" s="204">
        <v>8</v>
      </c>
      <c r="EC59" s="204" t="s">
        <v>585</v>
      </c>
      <c r="ED59" s="204" t="s">
        <v>585</v>
      </c>
      <c r="EE59" s="204" t="s">
        <v>585</v>
      </c>
      <c r="EF59" s="204" t="s">
        <v>585</v>
      </c>
      <c r="EG59" s="206">
        <v>16</v>
      </c>
      <c r="EH59" s="203">
        <v>799</v>
      </c>
      <c r="EI59" s="204">
        <v>738</v>
      </c>
      <c r="EJ59" s="204">
        <v>173</v>
      </c>
      <c r="EK59" s="204">
        <v>155</v>
      </c>
      <c r="EL59" s="204">
        <v>20404</v>
      </c>
      <c r="EM59" s="204">
        <v>928</v>
      </c>
      <c r="EN59" s="204">
        <v>174</v>
      </c>
      <c r="EO59" s="204">
        <v>118</v>
      </c>
      <c r="EP59" s="204">
        <v>326</v>
      </c>
      <c r="EQ59" s="204">
        <v>341</v>
      </c>
      <c r="ER59" s="204">
        <v>28</v>
      </c>
      <c r="ES59" s="204">
        <v>1</v>
      </c>
      <c r="ET59" s="204" t="s">
        <v>585</v>
      </c>
      <c r="EU59" s="202">
        <v>24185</v>
      </c>
      <c r="EV59" s="206" t="s">
        <v>585</v>
      </c>
      <c r="EW59" s="193">
        <v>4</v>
      </c>
      <c r="EX59" s="206" t="s">
        <v>585</v>
      </c>
      <c r="EY59" s="204" t="s">
        <v>585</v>
      </c>
      <c r="EZ59" s="204" t="s">
        <v>585</v>
      </c>
      <c r="FA59" s="206" t="s">
        <v>585</v>
      </c>
      <c r="FB59" s="193" t="s">
        <v>585</v>
      </c>
      <c r="FC59" s="206">
        <v>2</v>
      </c>
      <c r="FD59" s="203" t="s">
        <v>585</v>
      </c>
      <c r="FE59" s="204">
        <v>6</v>
      </c>
      <c r="FF59" s="204" t="s">
        <v>585</v>
      </c>
      <c r="FG59" s="204" t="s">
        <v>585</v>
      </c>
      <c r="FH59" s="202">
        <v>6</v>
      </c>
      <c r="FI59" s="206">
        <v>1</v>
      </c>
      <c r="FJ59" s="204" t="s">
        <v>585</v>
      </c>
      <c r="FK59" s="206">
        <v>1</v>
      </c>
      <c r="FL59" s="203" t="s">
        <v>585</v>
      </c>
      <c r="FM59" s="204" t="s">
        <v>585</v>
      </c>
      <c r="FN59" s="202" t="s">
        <v>585</v>
      </c>
      <c r="FO59" s="206" t="s">
        <v>585</v>
      </c>
      <c r="FP59" s="193">
        <v>29</v>
      </c>
      <c r="FQ59" s="206">
        <v>21</v>
      </c>
      <c r="FR59" s="204">
        <v>2</v>
      </c>
      <c r="FS59" s="204">
        <v>2</v>
      </c>
      <c r="FT59" s="206">
        <v>25</v>
      </c>
      <c r="FU59" s="203">
        <v>93</v>
      </c>
      <c r="FV59" s="204" t="s">
        <v>585</v>
      </c>
      <c r="FW59" s="202">
        <v>93</v>
      </c>
      <c r="FX59" s="206" t="s">
        <v>585</v>
      </c>
      <c r="FY59" s="203">
        <v>1</v>
      </c>
      <c r="FZ59" s="204">
        <v>8</v>
      </c>
      <c r="GA59" s="204">
        <v>2</v>
      </c>
      <c r="GB59" s="202">
        <v>11</v>
      </c>
      <c r="GC59" s="206">
        <v>1</v>
      </c>
      <c r="GD59" s="203" t="s">
        <v>585</v>
      </c>
      <c r="GE59" s="204" t="s">
        <v>585</v>
      </c>
      <c r="GF59" s="204" t="s">
        <v>585</v>
      </c>
      <c r="GG59" s="204" t="s">
        <v>585</v>
      </c>
      <c r="GH59" s="202" t="s">
        <v>585</v>
      </c>
      <c r="GI59" s="193">
        <v>257342</v>
      </c>
      <c r="GJ59" s="368">
        <f>257342/45058286</f>
        <v>5.7113135639469291E-3</v>
      </c>
      <c r="GK59" s="382"/>
    </row>
    <row r="60" spans="2:193" ht="12" customHeight="1" x14ac:dyDescent="0.2">
      <c r="B60" s="359" t="s">
        <v>118</v>
      </c>
      <c r="C60" s="203">
        <v>133</v>
      </c>
      <c r="D60" s="204" t="s">
        <v>585</v>
      </c>
      <c r="E60" s="204" t="s">
        <v>585</v>
      </c>
      <c r="F60" s="204" t="s">
        <v>585</v>
      </c>
      <c r="G60" s="202">
        <v>133</v>
      </c>
      <c r="H60" s="193" t="s">
        <v>585</v>
      </c>
      <c r="I60" s="206">
        <v>54</v>
      </c>
      <c r="J60" s="204" t="s">
        <v>585</v>
      </c>
      <c r="K60" s="206">
        <v>54</v>
      </c>
      <c r="L60" s="193" t="s">
        <v>585</v>
      </c>
      <c r="M60" s="193">
        <v>6153</v>
      </c>
      <c r="N60" s="206">
        <v>32</v>
      </c>
      <c r="O60" s="204">
        <v>1</v>
      </c>
      <c r="P60" s="204">
        <v>192655</v>
      </c>
      <c r="Q60" s="204">
        <v>15176</v>
      </c>
      <c r="R60" s="204">
        <v>208</v>
      </c>
      <c r="S60" s="204">
        <v>5</v>
      </c>
      <c r="T60" s="204">
        <v>2</v>
      </c>
      <c r="U60" s="206">
        <v>208079</v>
      </c>
      <c r="V60" s="203">
        <v>27</v>
      </c>
      <c r="W60" s="204">
        <v>14</v>
      </c>
      <c r="X60" s="202">
        <v>41</v>
      </c>
      <c r="Y60" s="206">
        <v>276</v>
      </c>
      <c r="Z60" s="204" t="s">
        <v>585</v>
      </c>
      <c r="AA60" s="204" t="s">
        <v>585</v>
      </c>
      <c r="AB60" s="206">
        <v>276</v>
      </c>
      <c r="AC60" s="203">
        <v>572</v>
      </c>
      <c r="AD60" s="204">
        <v>18</v>
      </c>
      <c r="AE60" s="204">
        <v>5</v>
      </c>
      <c r="AF60" s="202">
        <v>595</v>
      </c>
      <c r="AG60" s="206">
        <v>122</v>
      </c>
      <c r="AH60" s="204" t="s">
        <v>585</v>
      </c>
      <c r="AI60" s="204" t="s">
        <v>585</v>
      </c>
      <c r="AJ60" s="204" t="s">
        <v>585</v>
      </c>
      <c r="AK60" s="206">
        <v>122</v>
      </c>
      <c r="AL60" s="193" t="s">
        <v>585</v>
      </c>
      <c r="AM60" s="193" t="s">
        <v>585</v>
      </c>
      <c r="AN60" s="206">
        <v>1</v>
      </c>
      <c r="AO60" s="204" t="s">
        <v>585</v>
      </c>
      <c r="AP60" s="206">
        <v>1</v>
      </c>
      <c r="AQ60" s="203">
        <v>2</v>
      </c>
      <c r="AR60" s="204">
        <v>6</v>
      </c>
      <c r="AS60" s="204">
        <v>7</v>
      </c>
      <c r="AT60" s="204">
        <v>1</v>
      </c>
      <c r="AU60" s="204" t="s">
        <v>585</v>
      </c>
      <c r="AV60" s="204">
        <v>4</v>
      </c>
      <c r="AW60" s="204" t="s">
        <v>585</v>
      </c>
      <c r="AX60" s="202">
        <v>20</v>
      </c>
      <c r="AY60" s="206">
        <v>4</v>
      </c>
      <c r="AZ60" s="193">
        <v>109</v>
      </c>
      <c r="BA60" s="206">
        <v>228</v>
      </c>
      <c r="BB60" s="377">
        <v>1390</v>
      </c>
      <c r="BC60" s="206">
        <v>8725</v>
      </c>
      <c r="BD60" s="206">
        <v>144</v>
      </c>
      <c r="BE60" s="378">
        <v>120</v>
      </c>
      <c r="BF60" s="206">
        <v>10607</v>
      </c>
      <c r="BG60" s="193" t="s">
        <v>585</v>
      </c>
      <c r="BH60" s="193" t="s">
        <v>585</v>
      </c>
      <c r="BI60" s="193" t="s">
        <v>585</v>
      </c>
      <c r="BJ60" s="193">
        <v>2</v>
      </c>
      <c r="BK60" s="206">
        <v>93</v>
      </c>
      <c r="BL60" s="204" t="s">
        <v>585</v>
      </c>
      <c r="BM60" s="206">
        <v>93</v>
      </c>
      <c r="BN60" s="193" t="s">
        <v>585</v>
      </c>
      <c r="BO60" s="206">
        <v>37</v>
      </c>
      <c r="BP60" s="204">
        <v>45</v>
      </c>
      <c r="BQ60" s="206">
        <v>82</v>
      </c>
      <c r="BR60" s="203">
        <v>19</v>
      </c>
      <c r="BS60" s="204" t="s">
        <v>585</v>
      </c>
      <c r="BT60" s="204" t="s">
        <v>585</v>
      </c>
      <c r="BU60" s="204" t="s">
        <v>585</v>
      </c>
      <c r="BV60" s="204" t="s">
        <v>585</v>
      </c>
      <c r="BW60" s="204" t="s">
        <v>585</v>
      </c>
      <c r="BX60" s="204" t="s">
        <v>585</v>
      </c>
      <c r="BY60" s="204" t="s">
        <v>585</v>
      </c>
      <c r="BZ60" s="204" t="s">
        <v>585</v>
      </c>
      <c r="CA60" s="204" t="s">
        <v>585</v>
      </c>
      <c r="CB60" s="204" t="s">
        <v>585</v>
      </c>
      <c r="CC60" s="204" t="s">
        <v>585</v>
      </c>
      <c r="CD60" s="204" t="s">
        <v>585</v>
      </c>
      <c r="CE60" s="204" t="s">
        <v>585</v>
      </c>
      <c r="CF60" s="202">
        <v>19</v>
      </c>
      <c r="CG60" s="206">
        <v>8</v>
      </c>
      <c r="CH60" s="204" t="s">
        <v>585</v>
      </c>
      <c r="CI60" s="206">
        <v>8</v>
      </c>
      <c r="CJ60" s="193">
        <v>1</v>
      </c>
      <c r="CK60" s="206">
        <v>23000</v>
      </c>
      <c r="CL60" s="204">
        <v>2</v>
      </c>
      <c r="CM60" s="204">
        <v>87226</v>
      </c>
      <c r="CN60" s="204">
        <v>60258</v>
      </c>
      <c r="CO60" s="204">
        <v>30</v>
      </c>
      <c r="CP60" s="204">
        <v>4</v>
      </c>
      <c r="CQ60" s="204">
        <v>7</v>
      </c>
      <c r="CR60" s="204" t="s">
        <v>585</v>
      </c>
      <c r="CS60" s="204">
        <v>4</v>
      </c>
      <c r="CT60" s="204">
        <v>22</v>
      </c>
      <c r="CU60" s="204" t="s">
        <v>585</v>
      </c>
      <c r="CV60" s="206">
        <v>170553</v>
      </c>
      <c r="CW60" s="203">
        <v>6596</v>
      </c>
      <c r="CX60" s="204">
        <v>7</v>
      </c>
      <c r="CY60" s="204">
        <v>194</v>
      </c>
      <c r="CZ60" s="204">
        <v>1</v>
      </c>
      <c r="DA60" s="204">
        <v>20</v>
      </c>
      <c r="DB60" s="204" t="s">
        <v>585</v>
      </c>
      <c r="DC60" s="204" t="s">
        <v>585</v>
      </c>
      <c r="DD60" s="202">
        <v>6818</v>
      </c>
      <c r="DE60" s="206" t="s">
        <v>585</v>
      </c>
      <c r="DF60" s="203" t="s">
        <v>585</v>
      </c>
      <c r="DG60" s="204" t="s">
        <v>585</v>
      </c>
      <c r="DH60" s="202" t="s">
        <v>585</v>
      </c>
      <c r="DI60" s="206" t="s">
        <v>585</v>
      </c>
      <c r="DJ60" s="204" t="s">
        <v>585</v>
      </c>
      <c r="DK60" s="206" t="s">
        <v>585</v>
      </c>
      <c r="DL60" s="193">
        <v>23</v>
      </c>
      <c r="DM60" s="206" t="s">
        <v>585</v>
      </c>
      <c r="DN60" s="204" t="s">
        <v>585</v>
      </c>
      <c r="DO60" s="206" t="s">
        <v>585</v>
      </c>
      <c r="DP60" s="203">
        <v>11</v>
      </c>
      <c r="DQ60" s="204" t="s">
        <v>585</v>
      </c>
      <c r="DR60" s="202">
        <v>11</v>
      </c>
      <c r="DS60" s="206">
        <v>2800</v>
      </c>
      <c r="DT60" s="193">
        <v>1</v>
      </c>
      <c r="DU60" s="206">
        <v>357</v>
      </c>
      <c r="DV60" s="204" t="s">
        <v>585</v>
      </c>
      <c r="DW60" s="206">
        <v>357</v>
      </c>
      <c r="DX60" s="193" t="s">
        <v>585</v>
      </c>
      <c r="DY60" s="193" t="s">
        <v>585</v>
      </c>
      <c r="DZ60" s="206">
        <v>2</v>
      </c>
      <c r="EA60" s="204">
        <v>14</v>
      </c>
      <c r="EB60" s="204">
        <v>39</v>
      </c>
      <c r="EC60" s="204" t="s">
        <v>585</v>
      </c>
      <c r="ED60" s="204" t="s">
        <v>585</v>
      </c>
      <c r="EE60" s="204" t="s">
        <v>585</v>
      </c>
      <c r="EF60" s="204" t="s">
        <v>585</v>
      </c>
      <c r="EG60" s="206">
        <v>55</v>
      </c>
      <c r="EH60" s="203">
        <v>3532</v>
      </c>
      <c r="EI60" s="204">
        <v>11872</v>
      </c>
      <c r="EJ60" s="204">
        <v>24</v>
      </c>
      <c r="EK60" s="204">
        <v>136</v>
      </c>
      <c r="EL60" s="204">
        <v>3975</v>
      </c>
      <c r="EM60" s="204">
        <v>12171</v>
      </c>
      <c r="EN60" s="204">
        <v>331</v>
      </c>
      <c r="EO60" s="204">
        <v>38</v>
      </c>
      <c r="EP60" s="204">
        <v>1300</v>
      </c>
      <c r="EQ60" s="204">
        <v>28</v>
      </c>
      <c r="ER60" s="204">
        <v>18</v>
      </c>
      <c r="ES60" s="204" t="s">
        <v>585</v>
      </c>
      <c r="ET60" s="204" t="s">
        <v>585</v>
      </c>
      <c r="EU60" s="202">
        <v>33425</v>
      </c>
      <c r="EV60" s="206" t="s">
        <v>585</v>
      </c>
      <c r="EW60" s="193">
        <v>16</v>
      </c>
      <c r="EX60" s="206" t="s">
        <v>585</v>
      </c>
      <c r="EY60" s="204">
        <v>1</v>
      </c>
      <c r="EZ60" s="204" t="s">
        <v>585</v>
      </c>
      <c r="FA60" s="206">
        <v>1</v>
      </c>
      <c r="FB60" s="193" t="s">
        <v>585</v>
      </c>
      <c r="FC60" s="206">
        <v>2</v>
      </c>
      <c r="FD60" s="203">
        <v>3</v>
      </c>
      <c r="FE60" s="204">
        <v>18</v>
      </c>
      <c r="FF60" s="204" t="s">
        <v>585</v>
      </c>
      <c r="FG60" s="204" t="s">
        <v>585</v>
      </c>
      <c r="FH60" s="202">
        <v>21</v>
      </c>
      <c r="FI60" s="206" t="s">
        <v>585</v>
      </c>
      <c r="FJ60" s="204" t="s">
        <v>585</v>
      </c>
      <c r="FK60" s="206" t="s">
        <v>585</v>
      </c>
      <c r="FL60" s="203" t="s">
        <v>585</v>
      </c>
      <c r="FM60" s="204" t="s">
        <v>585</v>
      </c>
      <c r="FN60" s="202" t="s">
        <v>585</v>
      </c>
      <c r="FO60" s="206" t="s">
        <v>585</v>
      </c>
      <c r="FP60" s="193">
        <v>3739</v>
      </c>
      <c r="FQ60" s="206">
        <v>4</v>
      </c>
      <c r="FR60" s="204" t="s">
        <v>585</v>
      </c>
      <c r="FS60" s="204" t="s">
        <v>585</v>
      </c>
      <c r="FT60" s="206">
        <v>4</v>
      </c>
      <c r="FU60" s="203">
        <v>30</v>
      </c>
      <c r="FV60" s="204">
        <v>3</v>
      </c>
      <c r="FW60" s="202">
        <v>33</v>
      </c>
      <c r="FX60" s="206" t="s">
        <v>585</v>
      </c>
      <c r="FY60" s="203" t="s">
        <v>585</v>
      </c>
      <c r="FZ60" s="204">
        <v>25</v>
      </c>
      <c r="GA60" s="204">
        <v>2</v>
      </c>
      <c r="GB60" s="202">
        <v>27</v>
      </c>
      <c r="GC60" s="206" t="s">
        <v>585</v>
      </c>
      <c r="GD60" s="203" t="s">
        <v>585</v>
      </c>
      <c r="GE60" s="204" t="s">
        <v>585</v>
      </c>
      <c r="GF60" s="204" t="s">
        <v>585</v>
      </c>
      <c r="GG60" s="204" t="s">
        <v>585</v>
      </c>
      <c r="GH60" s="202" t="s">
        <v>585</v>
      </c>
      <c r="GI60" s="193">
        <v>444285</v>
      </c>
      <c r="GJ60" s="368">
        <f>444285/45058286</f>
        <v>9.8602285936930673E-3</v>
      </c>
      <c r="GK60" s="382"/>
    </row>
    <row r="61" spans="2:193" ht="12" customHeight="1" x14ac:dyDescent="0.2">
      <c r="B61" s="359" t="s">
        <v>119</v>
      </c>
      <c r="C61" s="203">
        <v>132</v>
      </c>
      <c r="D61" s="204" t="s">
        <v>585</v>
      </c>
      <c r="E61" s="204" t="s">
        <v>585</v>
      </c>
      <c r="F61" s="204" t="s">
        <v>585</v>
      </c>
      <c r="G61" s="202">
        <v>132</v>
      </c>
      <c r="H61" s="193" t="s">
        <v>585</v>
      </c>
      <c r="I61" s="206">
        <v>71</v>
      </c>
      <c r="J61" s="204" t="s">
        <v>585</v>
      </c>
      <c r="K61" s="206">
        <v>71</v>
      </c>
      <c r="L61" s="193" t="s">
        <v>585</v>
      </c>
      <c r="M61" s="193">
        <v>956</v>
      </c>
      <c r="N61" s="206">
        <v>24</v>
      </c>
      <c r="O61" s="204" t="s">
        <v>585</v>
      </c>
      <c r="P61" s="204">
        <v>128868</v>
      </c>
      <c r="Q61" s="204">
        <v>35</v>
      </c>
      <c r="R61" s="204">
        <v>279</v>
      </c>
      <c r="S61" s="204">
        <v>6</v>
      </c>
      <c r="T61" s="204" t="s">
        <v>585</v>
      </c>
      <c r="U61" s="206">
        <v>129212</v>
      </c>
      <c r="V61" s="203">
        <v>75</v>
      </c>
      <c r="W61" s="204">
        <v>34</v>
      </c>
      <c r="X61" s="202">
        <v>109</v>
      </c>
      <c r="Y61" s="206">
        <v>459</v>
      </c>
      <c r="Z61" s="204">
        <v>2</v>
      </c>
      <c r="AA61" s="204" t="s">
        <v>585</v>
      </c>
      <c r="AB61" s="206">
        <v>461</v>
      </c>
      <c r="AC61" s="203">
        <v>636</v>
      </c>
      <c r="AD61" s="204">
        <v>64</v>
      </c>
      <c r="AE61" s="204">
        <v>18</v>
      </c>
      <c r="AF61" s="202">
        <v>718</v>
      </c>
      <c r="AG61" s="206">
        <v>162</v>
      </c>
      <c r="AH61" s="204">
        <v>1</v>
      </c>
      <c r="AI61" s="204" t="s">
        <v>585</v>
      </c>
      <c r="AJ61" s="204" t="s">
        <v>585</v>
      </c>
      <c r="AK61" s="206">
        <v>163</v>
      </c>
      <c r="AL61" s="193" t="s">
        <v>585</v>
      </c>
      <c r="AM61" s="193" t="s">
        <v>585</v>
      </c>
      <c r="AN61" s="206">
        <v>8</v>
      </c>
      <c r="AO61" s="204">
        <v>10</v>
      </c>
      <c r="AP61" s="206">
        <v>18</v>
      </c>
      <c r="AQ61" s="203">
        <v>4</v>
      </c>
      <c r="AR61" s="204">
        <v>5</v>
      </c>
      <c r="AS61" s="204">
        <v>30</v>
      </c>
      <c r="AT61" s="204" t="s">
        <v>585</v>
      </c>
      <c r="AU61" s="204" t="s">
        <v>585</v>
      </c>
      <c r="AV61" s="204" t="s">
        <v>585</v>
      </c>
      <c r="AW61" s="204" t="s">
        <v>585</v>
      </c>
      <c r="AX61" s="202">
        <v>39</v>
      </c>
      <c r="AY61" s="206">
        <v>7</v>
      </c>
      <c r="AZ61" s="193">
        <v>24</v>
      </c>
      <c r="BA61" s="206">
        <v>114</v>
      </c>
      <c r="BB61" s="377">
        <v>3746</v>
      </c>
      <c r="BC61" s="206">
        <v>4324</v>
      </c>
      <c r="BD61" s="206">
        <v>346</v>
      </c>
      <c r="BE61" s="378">
        <v>171</v>
      </c>
      <c r="BF61" s="206">
        <v>8701</v>
      </c>
      <c r="BG61" s="193">
        <v>9</v>
      </c>
      <c r="BH61" s="193" t="s">
        <v>585</v>
      </c>
      <c r="BI61" s="193">
        <v>2</v>
      </c>
      <c r="BJ61" s="193">
        <v>3</v>
      </c>
      <c r="BK61" s="206">
        <v>1251</v>
      </c>
      <c r="BL61" s="204" t="s">
        <v>585</v>
      </c>
      <c r="BM61" s="206">
        <v>1251</v>
      </c>
      <c r="BN61" s="193" t="s">
        <v>585</v>
      </c>
      <c r="BO61" s="206">
        <v>10</v>
      </c>
      <c r="BP61" s="204">
        <v>1</v>
      </c>
      <c r="BQ61" s="206">
        <v>11</v>
      </c>
      <c r="BR61" s="203">
        <v>6</v>
      </c>
      <c r="BS61" s="204" t="s">
        <v>585</v>
      </c>
      <c r="BT61" s="204" t="s">
        <v>585</v>
      </c>
      <c r="BU61" s="204" t="s">
        <v>585</v>
      </c>
      <c r="BV61" s="204" t="s">
        <v>585</v>
      </c>
      <c r="BW61" s="204" t="s">
        <v>585</v>
      </c>
      <c r="BX61" s="204" t="s">
        <v>585</v>
      </c>
      <c r="BY61" s="204" t="s">
        <v>585</v>
      </c>
      <c r="BZ61" s="204" t="s">
        <v>585</v>
      </c>
      <c r="CA61" s="204" t="s">
        <v>585</v>
      </c>
      <c r="CB61" s="204" t="s">
        <v>585</v>
      </c>
      <c r="CC61" s="204" t="s">
        <v>585</v>
      </c>
      <c r="CD61" s="204" t="s">
        <v>585</v>
      </c>
      <c r="CE61" s="204" t="s">
        <v>585</v>
      </c>
      <c r="CF61" s="202">
        <v>6</v>
      </c>
      <c r="CG61" s="206">
        <v>1</v>
      </c>
      <c r="CH61" s="204" t="s">
        <v>585</v>
      </c>
      <c r="CI61" s="206">
        <v>1</v>
      </c>
      <c r="CJ61" s="193" t="s">
        <v>585</v>
      </c>
      <c r="CK61" s="206">
        <v>17232</v>
      </c>
      <c r="CL61" s="204">
        <v>1</v>
      </c>
      <c r="CM61" s="204">
        <v>70990</v>
      </c>
      <c r="CN61" s="204">
        <v>47100</v>
      </c>
      <c r="CO61" s="204">
        <v>107</v>
      </c>
      <c r="CP61" s="204">
        <v>5</v>
      </c>
      <c r="CQ61" s="204">
        <v>3</v>
      </c>
      <c r="CR61" s="204">
        <v>1</v>
      </c>
      <c r="CS61" s="204">
        <v>4</v>
      </c>
      <c r="CT61" s="204" t="s">
        <v>585</v>
      </c>
      <c r="CU61" s="204" t="s">
        <v>585</v>
      </c>
      <c r="CV61" s="206">
        <v>135443</v>
      </c>
      <c r="CW61" s="203">
        <v>20813</v>
      </c>
      <c r="CX61" s="204">
        <v>2</v>
      </c>
      <c r="CY61" s="204">
        <v>403</v>
      </c>
      <c r="CZ61" s="204" t="s">
        <v>585</v>
      </c>
      <c r="DA61" s="204">
        <v>31</v>
      </c>
      <c r="DB61" s="204">
        <v>3</v>
      </c>
      <c r="DC61" s="204" t="s">
        <v>585</v>
      </c>
      <c r="DD61" s="202">
        <v>21252</v>
      </c>
      <c r="DE61" s="206">
        <v>4</v>
      </c>
      <c r="DF61" s="203" t="s">
        <v>585</v>
      </c>
      <c r="DG61" s="204" t="s">
        <v>585</v>
      </c>
      <c r="DH61" s="202" t="s">
        <v>585</v>
      </c>
      <c r="DI61" s="206" t="s">
        <v>585</v>
      </c>
      <c r="DJ61" s="204">
        <v>2</v>
      </c>
      <c r="DK61" s="206">
        <v>2</v>
      </c>
      <c r="DL61" s="193">
        <v>84</v>
      </c>
      <c r="DM61" s="206" t="s">
        <v>585</v>
      </c>
      <c r="DN61" s="204" t="s">
        <v>585</v>
      </c>
      <c r="DO61" s="206" t="s">
        <v>585</v>
      </c>
      <c r="DP61" s="203">
        <v>1</v>
      </c>
      <c r="DQ61" s="204" t="s">
        <v>585</v>
      </c>
      <c r="DR61" s="202">
        <v>1</v>
      </c>
      <c r="DS61" s="206">
        <v>34</v>
      </c>
      <c r="DT61" s="193">
        <v>1</v>
      </c>
      <c r="DU61" s="206">
        <v>198</v>
      </c>
      <c r="DV61" s="204" t="s">
        <v>585</v>
      </c>
      <c r="DW61" s="206">
        <v>198</v>
      </c>
      <c r="DX61" s="193" t="s">
        <v>585</v>
      </c>
      <c r="DY61" s="193" t="s">
        <v>585</v>
      </c>
      <c r="DZ61" s="206">
        <v>4</v>
      </c>
      <c r="EA61" s="204">
        <v>4</v>
      </c>
      <c r="EB61" s="204">
        <v>18</v>
      </c>
      <c r="EC61" s="204" t="s">
        <v>585</v>
      </c>
      <c r="ED61" s="204" t="s">
        <v>585</v>
      </c>
      <c r="EE61" s="204" t="s">
        <v>585</v>
      </c>
      <c r="EF61" s="204" t="s">
        <v>585</v>
      </c>
      <c r="EG61" s="206">
        <v>26</v>
      </c>
      <c r="EH61" s="203">
        <v>2537</v>
      </c>
      <c r="EI61" s="204">
        <v>1896</v>
      </c>
      <c r="EJ61" s="204">
        <v>97</v>
      </c>
      <c r="EK61" s="204">
        <v>213</v>
      </c>
      <c r="EL61" s="204">
        <v>572</v>
      </c>
      <c r="EM61" s="204">
        <v>4518</v>
      </c>
      <c r="EN61" s="204">
        <v>256</v>
      </c>
      <c r="EO61" s="204">
        <v>77</v>
      </c>
      <c r="EP61" s="204">
        <v>1187</v>
      </c>
      <c r="EQ61" s="204">
        <v>171</v>
      </c>
      <c r="ER61" s="204">
        <v>38</v>
      </c>
      <c r="ES61" s="204" t="s">
        <v>585</v>
      </c>
      <c r="ET61" s="204" t="s">
        <v>585</v>
      </c>
      <c r="EU61" s="202">
        <v>11562</v>
      </c>
      <c r="EV61" s="206" t="s">
        <v>585</v>
      </c>
      <c r="EW61" s="193">
        <v>10</v>
      </c>
      <c r="EX61" s="206" t="s">
        <v>585</v>
      </c>
      <c r="EY61" s="204">
        <v>9</v>
      </c>
      <c r="EZ61" s="204" t="s">
        <v>585</v>
      </c>
      <c r="FA61" s="206">
        <v>9</v>
      </c>
      <c r="FB61" s="193" t="s">
        <v>585</v>
      </c>
      <c r="FC61" s="206">
        <v>10</v>
      </c>
      <c r="FD61" s="203" t="s">
        <v>585</v>
      </c>
      <c r="FE61" s="204">
        <v>21</v>
      </c>
      <c r="FF61" s="204" t="s">
        <v>585</v>
      </c>
      <c r="FG61" s="204" t="s">
        <v>585</v>
      </c>
      <c r="FH61" s="202">
        <v>21</v>
      </c>
      <c r="FI61" s="206" t="s">
        <v>585</v>
      </c>
      <c r="FJ61" s="204" t="s">
        <v>585</v>
      </c>
      <c r="FK61" s="206" t="s">
        <v>585</v>
      </c>
      <c r="FL61" s="203">
        <v>1</v>
      </c>
      <c r="FM61" s="204" t="s">
        <v>585</v>
      </c>
      <c r="FN61" s="202">
        <v>1</v>
      </c>
      <c r="FO61" s="206" t="s">
        <v>585</v>
      </c>
      <c r="FP61" s="193">
        <v>372</v>
      </c>
      <c r="FQ61" s="206">
        <v>18</v>
      </c>
      <c r="FR61" s="204" t="s">
        <v>585</v>
      </c>
      <c r="FS61" s="204" t="s">
        <v>585</v>
      </c>
      <c r="FT61" s="206">
        <v>18</v>
      </c>
      <c r="FU61" s="203">
        <v>127</v>
      </c>
      <c r="FV61" s="204" t="s">
        <v>585</v>
      </c>
      <c r="FW61" s="202">
        <v>127</v>
      </c>
      <c r="FX61" s="206" t="s">
        <v>585</v>
      </c>
      <c r="FY61" s="203" t="s">
        <v>585</v>
      </c>
      <c r="FZ61" s="204">
        <v>17</v>
      </c>
      <c r="GA61" s="204">
        <v>20</v>
      </c>
      <c r="GB61" s="202">
        <v>37</v>
      </c>
      <c r="GC61" s="206" t="s">
        <v>585</v>
      </c>
      <c r="GD61" s="203" t="s">
        <v>585</v>
      </c>
      <c r="GE61" s="204">
        <v>1</v>
      </c>
      <c r="GF61" s="204" t="s">
        <v>585</v>
      </c>
      <c r="GG61" s="204" t="s">
        <v>585</v>
      </c>
      <c r="GH61" s="202">
        <v>1</v>
      </c>
      <c r="GI61" s="193">
        <v>311107</v>
      </c>
      <c r="GJ61" s="368">
        <f>311107/45058286</f>
        <v>6.9045458142815283E-3</v>
      </c>
      <c r="GK61" s="382"/>
    </row>
    <row r="62" spans="2:193" ht="12" customHeight="1" x14ac:dyDescent="0.2">
      <c r="B62" s="359" t="s">
        <v>120</v>
      </c>
      <c r="C62" s="203">
        <v>206</v>
      </c>
      <c r="D62" s="204" t="s">
        <v>585</v>
      </c>
      <c r="E62" s="204">
        <v>5</v>
      </c>
      <c r="F62" s="204">
        <v>14</v>
      </c>
      <c r="G62" s="202">
        <v>225</v>
      </c>
      <c r="H62" s="193" t="s">
        <v>585</v>
      </c>
      <c r="I62" s="206">
        <v>142</v>
      </c>
      <c r="J62" s="204" t="s">
        <v>585</v>
      </c>
      <c r="K62" s="206">
        <v>142</v>
      </c>
      <c r="L62" s="193" t="s">
        <v>585</v>
      </c>
      <c r="M62" s="193">
        <v>1863</v>
      </c>
      <c r="N62" s="206">
        <v>36</v>
      </c>
      <c r="O62" s="204">
        <v>29</v>
      </c>
      <c r="P62" s="204">
        <v>24094</v>
      </c>
      <c r="Q62" s="204">
        <v>171</v>
      </c>
      <c r="R62" s="204">
        <v>1845</v>
      </c>
      <c r="S62" s="204">
        <v>6</v>
      </c>
      <c r="T62" s="204" t="s">
        <v>585</v>
      </c>
      <c r="U62" s="206">
        <v>26181</v>
      </c>
      <c r="V62" s="203">
        <v>241</v>
      </c>
      <c r="W62" s="204">
        <v>118</v>
      </c>
      <c r="X62" s="202">
        <v>359</v>
      </c>
      <c r="Y62" s="206">
        <v>377</v>
      </c>
      <c r="Z62" s="204">
        <v>1</v>
      </c>
      <c r="AA62" s="204" t="s">
        <v>585</v>
      </c>
      <c r="AB62" s="206">
        <v>378</v>
      </c>
      <c r="AC62" s="203">
        <v>3016</v>
      </c>
      <c r="AD62" s="204">
        <v>46</v>
      </c>
      <c r="AE62" s="204">
        <v>12</v>
      </c>
      <c r="AF62" s="202">
        <v>3074</v>
      </c>
      <c r="AG62" s="206">
        <v>247</v>
      </c>
      <c r="AH62" s="204">
        <v>3</v>
      </c>
      <c r="AI62" s="204">
        <v>10</v>
      </c>
      <c r="AJ62" s="204" t="s">
        <v>585</v>
      </c>
      <c r="AK62" s="206">
        <v>260</v>
      </c>
      <c r="AL62" s="193" t="s">
        <v>585</v>
      </c>
      <c r="AM62" s="193" t="s">
        <v>585</v>
      </c>
      <c r="AN62" s="206">
        <v>383</v>
      </c>
      <c r="AO62" s="204">
        <v>28</v>
      </c>
      <c r="AP62" s="206">
        <v>411</v>
      </c>
      <c r="AQ62" s="203">
        <v>33</v>
      </c>
      <c r="AR62" s="204">
        <v>19</v>
      </c>
      <c r="AS62" s="204">
        <v>21</v>
      </c>
      <c r="AT62" s="204" t="s">
        <v>585</v>
      </c>
      <c r="AU62" s="204">
        <v>1</v>
      </c>
      <c r="AV62" s="204" t="s">
        <v>585</v>
      </c>
      <c r="AW62" s="204" t="s">
        <v>585</v>
      </c>
      <c r="AX62" s="202">
        <v>74</v>
      </c>
      <c r="AY62" s="206" t="s">
        <v>585</v>
      </c>
      <c r="AZ62" s="193">
        <v>15</v>
      </c>
      <c r="BA62" s="206">
        <v>313</v>
      </c>
      <c r="BB62" s="377">
        <v>4646</v>
      </c>
      <c r="BC62" s="206">
        <v>3260</v>
      </c>
      <c r="BD62" s="206">
        <v>479</v>
      </c>
      <c r="BE62" s="378">
        <v>268</v>
      </c>
      <c r="BF62" s="206">
        <v>8966</v>
      </c>
      <c r="BG62" s="193">
        <v>13</v>
      </c>
      <c r="BH62" s="193" t="s">
        <v>585</v>
      </c>
      <c r="BI62" s="193">
        <v>1</v>
      </c>
      <c r="BJ62" s="193">
        <v>6</v>
      </c>
      <c r="BK62" s="206">
        <v>118</v>
      </c>
      <c r="BL62" s="204" t="s">
        <v>585</v>
      </c>
      <c r="BM62" s="206">
        <v>118</v>
      </c>
      <c r="BN62" s="193" t="s">
        <v>585</v>
      </c>
      <c r="BO62" s="206">
        <v>10</v>
      </c>
      <c r="BP62" s="204" t="s">
        <v>585</v>
      </c>
      <c r="BQ62" s="206">
        <v>10</v>
      </c>
      <c r="BR62" s="203">
        <v>16</v>
      </c>
      <c r="BS62" s="204">
        <v>43</v>
      </c>
      <c r="BT62" s="204" t="s">
        <v>585</v>
      </c>
      <c r="BU62" s="204">
        <v>21</v>
      </c>
      <c r="BV62" s="204">
        <v>8</v>
      </c>
      <c r="BW62" s="204" t="s">
        <v>585</v>
      </c>
      <c r="BX62" s="204" t="s">
        <v>585</v>
      </c>
      <c r="BY62" s="204" t="s">
        <v>585</v>
      </c>
      <c r="BZ62" s="204">
        <v>2</v>
      </c>
      <c r="CA62" s="204">
        <v>6</v>
      </c>
      <c r="CB62" s="204" t="s">
        <v>585</v>
      </c>
      <c r="CC62" s="204" t="s">
        <v>585</v>
      </c>
      <c r="CD62" s="204" t="s">
        <v>585</v>
      </c>
      <c r="CE62" s="204" t="s">
        <v>585</v>
      </c>
      <c r="CF62" s="202">
        <v>96</v>
      </c>
      <c r="CG62" s="206">
        <v>8</v>
      </c>
      <c r="CH62" s="204" t="s">
        <v>585</v>
      </c>
      <c r="CI62" s="206">
        <v>8</v>
      </c>
      <c r="CJ62" s="193">
        <v>3</v>
      </c>
      <c r="CK62" s="206">
        <v>43386</v>
      </c>
      <c r="CL62" s="204">
        <v>43</v>
      </c>
      <c r="CM62" s="204">
        <v>144908</v>
      </c>
      <c r="CN62" s="204">
        <v>95135</v>
      </c>
      <c r="CO62" s="204">
        <v>426</v>
      </c>
      <c r="CP62" s="204">
        <v>2</v>
      </c>
      <c r="CQ62" s="204">
        <v>286</v>
      </c>
      <c r="CR62" s="204">
        <v>12</v>
      </c>
      <c r="CS62" s="204">
        <v>98</v>
      </c>
      <c r="CT62" s="204">
        <v>123</v>
      </c>
      <c r="CU62" s="204" t="s">
        <v>585</v>
      </c>
      <c r="CV62" s="206">
        <v>284419</v>
      </c>
      <c r="CW62" s="203">
        <v>4559</v>
      </c>
      <c r="CX62" s="204">
        <v>260</v>
      </c>
      <c r="CY62" s="204">
        <v>981</v>
      </c>
      <c r="CZ62" s="204">
        <v>80</v>
      </c>
      <c r="DA62" s="204">
        <v>60</v>
      </c>
      <c r="DB62" s="204">
        <v>8</v>
      </c>
      <c r="DC62" s="204">
        <v>2</v>
      </c>
      <c r="DD62" s="202">
        <v>5950</v>
      </c>
      <c r="DE62" s="206" t="s">
        <v>585</v>
      </c>
      <c r="DF62" s="203" t="s">
        <v>585</v>
      </c>
      <c r="DG62" s="204" t="s">
        <v>585</v>
      </c>
      <c r="DH62" s="202" t="s">
        <v>585</v>
      </c>
      <c r="DI62" s="206" t="s">
        <v>585</v>
      </c>
      <c r="DJ62" s="204" t="s">
        <v>585</v>
      </c>
      <c r="DK62" s="206" t="s">
        <v>585</v>
      </c>
      <c r="DL62" s="193">
        <v>98</v>
      </c>
      <c r="DM62" s="206" t="s">
        <v>585</v>
      </c>
      <c r="DN62" s="204" t="s">
        <v>585</v>
      </c>
      <c r="DO62" s="206" t="s">
        <v>585</v>
      </c>
      <c r="DP62" s="203">
        <v>615</v>
      </c>
      <c r="DQ62" s="204">
        <v>6</v>
      </c>
      <c r="DR62" s="202">
        <v>621</v>
      </c>
      <c r="DS62" s="206">
        <v>138</v>
      </c>
      <c r="DT62" s="193">
        <v>2</v>
      </c>
      <c r="DU62" s="206">
        <v>782</v>
      </c>
      <c r="DV62" s="204" t="s">
        <v>585</v>
      </c>
      <c r="DW62" s="206">
        <v>782</v>
      </c>
      <c r="DX62" s="193">
        <v>3</v>
      </c>
      <c r="DY62" s="193" t="s">
        <v>585</v>
      </c>
      <c r="DZ62" s="206">
        <v>227</v>
      </c>
      <c r="EA62" s="204">
        <v>34</v>
      </c>
      <c r="EB62" s="204">
        <v>1332</v>
      </c>
      <c r="EC62" s="204" t="s">
        <v>585</v>
      </c>
      <c r="ED62" s="204">
        <v>28</v>
      </c>
      <c r="EE62" s="204" t="s">
        <v>585</v>
      </c>
      <c r="EF62" s="204" t="s">
        <v>585</v>
      </c>
      <c r="EG62" s="206">
        <v>1621</v>
      </c>
      <c r="EH62" s="203">
        <v>16474</v>
      </c>
      <c r="EI62" s="204">
        <v>1725</v>
      </c>
      <c r="EJ62" s="204">
        <v>390</v>
      </c>
      <c r="EK62" s="204">
        <v>486</v>
      </c>
      <c r="EL62" s="204">
        <v>3613</v>
      </c>
      <c r="EM62" s="204">
        <v>10269</v>
      </c>
      <c r="EN62" s="204">
        <v>850</v>
      </c>
      <c r="EO62" s="204">
        <v>260</v>
      </c>
      <c r="EP62" s="204">
        <v>5674</v>
      </c>
      <c r="EQ62" s="204">
        <v>441</v>
      </c>
      <c r="ER62" s="204">
        <v>133</v>
      </c>
      <c r="ES62" s="204">
        <v>13</v>
      </c>
      <c r="ET62" s="204">
        <v>2</v>
      </c>
      <c r="EU62" s="202">
        <v>40330</v>
      </c>
      <c r="EV62" s="206" t="s">
        <v>585</v>
      </c>
      <c r="EW62" s="193">
        <v>4</v>
      </c>
      <c r="EX62" s="206" t="s">
        <v>585</v>
      </c>
      <c r="EY62" s="204">
        <v>1</v>
      </c>
      <c r="EZ62" s="204" t="s">
        <v>585</v>
      </c>
      <c r="FA62" s="206">
        <v>1</v>
      </c>
      <c r="FB62" s="193" t="s">
        <v>585</v>
      </c>
      <c r="FC62" s="206" t="s">
        <v>585</v>
      </c>
      <c r="FD62" s="203">
        <v>60</v>
      </c>
      <c r="FE62" s="204">
        <v>21</v>
      </c>
      <c r="FF62" s="204">
        <v>1</v>
      </c>
      <c r="FG62" s="204" t="s">
        <v>585</v>
      </c>
      <c r="FH62" s="202">
        <v>82</v>
      </c>
      <c r="FI62" s="206">
        <v>1</v>
      </c>
      <c r="FJ62" s="204" t="s">
        <v>585</v>
      </c>
      <c r="FK62" s="206">
        <v>1</v>
      </c>
      <c r="FL62" s="203" t="s">
        <v>585</v>
      </c>
      <c r="FM62" s="204" t="s">
        <v>585</v>
      </c>
      <c r="FN62" s="202" t="s">
        <v>585</v>
      </c>
      <c r="FO62" s="206" t="s">
        <v>585</v>
      </c>
      <c r="FP62" s="193">
        <v>129</v>
      </c>
      <c r="FQ62" s="206">
        <v>63</v>
      </c>
      <c r="FR62" s="204">
        <v>80</v>
      </c>
      <c r="FS62" s="204">
        <v>12</v>
      </c>
      <c r="FT62" s="206">
        <v>155</v>
      </c>
      <c r="FU62" s="203">
        <v>52</v>
      </c>
      <c r="FV62" s="204">
        <v>95</v>
      </c>
      <c r="FW62" s="202">
        <v>147</v>
      </c>
      <c r="FX62" s="206" t="s">
        <v>585</v>
      </c>
      <c r="FY62" s="203" t="s">
        <v>585</v>
      </c>
      <c r="FZ62" s="204">
        <v>19</v>
      </c>
      <c r="GA62" s="204">
        <v>3</v>
      </c>
      <c r="GB62" s="202">
        <v>22</v>
      </c>
      <c r="GC62" s="206">
        <v>287</v>
      </c>
      <c r="GD62" s="203" t="s">
        <v>585</v>
      </c>
      <c r="GE62" s="204">
        <v>16</v>
      </c>
      <c r="GF62" s="204" t="s">
        <v>585</v>
      </c>
      <c r="GG62" s="204" t="s">
        <v>585</v>
      </c>
      <c r="GH62" s="202">
        <v>16</v>
      </c>
      <c r="GI62" s="193">
        <v>377011</v>
      </c>
      <c r="GJ62" s="368">
        <f>377011/45058286</f>
        <v>8.3671846727591901E-3</v>
      </c>
      <c r="GK62" s="382"/>
    </row>
    <row r="63" spans="2:193" ht="12" customHeight="1" x14ac:dyDescent="0.2">
      <c r="B63" s="359" t="s">
        <v>121</v>
      </c>
      <c r="C63" s="203">
        <v>8</v>
      </c>
      <c r="D63" s="204" t="s">
        <v>585</v>
      </c>
      <c r="E63" s="204" t="s">
        <v>585</v>
      </c>
      <c r="F63" s="204" t="s">
        <v>585</v>
      </c>
      <c r="G63" s="202">
        <v>8</v>
      </c>
      <c r="H63" s="193" t="s">
        <v>585</v>
      </c>
      <c r="I63" s="206" t="s">
        <v>585</v>
      </c>
      <c r="J63" s="204" t="s">
        <v>585</v>
      </c>
      <c r="K63" s="206" t="s">
        <v>585</v>
      </c>
      <c r="L63" s="193" t="s">
        <v>585</v>
      </c>
      <c r="M63" s="193">
        <v>52</v>
      </c>
      <c r="N63" s="206" t="s">
        <v>585</v>
      </c>
      <c r="O63" s="204" t="s">
        <v>585</v>
      </c>
      <c r="P63" s="204">
        <v>1626</v>
      </c>
      <c r="Q63" s="204">
        <v>74</v>
      </c>
      <c r="R63" s="204">
        <v>3</v>
      </c>
      <c r="S63" s="204" t="s">
        <v>585</v>
      </c>
      <c r="T63" s="204" t="s">
        <v>585</v>
      </c>
      <c r="U63" s="206">
        <v>1703</v>
      </c>
      <c r="V63" s="203" t="s">
        <v>585</v>
      </c>
      <c r="W63" s="204" t="s">
        <v>585</v>
      </c>
      <c r="X63" s="202" t="s">
        <v>585</v>
      </c>
      <c r="Y63" s="206">
        <v>4</v>
      </c>
      <c r="Z63" s="204" t="s">
        <v>585</v>
      </c>
      <c r="AA63" s="204" t="s">
        <v>585</v>
      </c>
      <c r="AB63" s="206">
        <v>4</v>
      </c>
      <c r="AC63" s="203">
        <v>16</v>
      </c>
      <c r="AD63" s="204" t="s">
        <v>585</v>
      </c>
      <c r="AE63" s="204" t="s">
        <v>585</v>
      </c>
      <c r="AF63" s="202">
        <v>16</v>
      </c>
      <c r="AG63" s="206" t="s">
        <v>585</v>
      </c>
      <c r="AH63" s="204" t="s">
        <v>585</v>
      </c>
      <c r="AI63" s="204" t="s">
        <v>585</v>
      </c>
      <c r="AJ63" s="204" t="s">
        <v>585</v>
      </c>
      <c r="AK63" s="206" t="s">
        <v>585</v>
      </c>
      <c r="AL63" s="193" t="s">
        <v>585</v>
      </c>
      <c r="AM63" s="193" t="s">
        <v>585</v>
      </c>
      <c r="AN63" s="206" t="s">
        <v>585</v>
      </c>
      <c r="AO63" s="204" t="s">
        <v>585</v>
      </c>
      <c r="AP63" s="206" t="s">
        <v>585</v>
      </c>
      <c r="AQ63" s="203" t="s">
        <v>585</v>
      </c>
      <c r="AR63" s="204" t="s">
        <v>585</v>
      </c>
      <c r="AS63" s="204" t="s">
        <v>585</v>
      </c>
      <c r="AT63" s="204" t="s">
        <v>585</v>
      </c>
      <c r="AU63" s="204" t="s">
        <v>585</v>
      </c>
      <c r="AV63" s="204" t="s">
        <v>585</v>
      </c>
      <c r="AW63" s="204" t="s">
        <v>585</v>
      </c>
      <c r="AX63" s="202" t="s">
        <v>585</v>
      </c>
      <c r="AY63" s="206" t="s">
        <v>585</v>
      </c>
      <c r="AZ63" s="193" t="s">
        <v>585</v>
      </c>
      <c r="BA63" s="206">
        <v>2</v>
      </c>
      <c r="BB63" s="377">
        <v>7</v>
      </c>
      <c r="BC63" s="206">
        <v>15</v>
      </c>
      <c r="BD63" s="206">
        <v>1</v>
      </c>
      <c r="BE63" s="378">
        <v>4</v>
      </c>
      <c r="BF63" s="206">
        <v>29</v>
      </c>
      <c r="BG63" s="193" t="s">
        <v>585</v>
      </c>
      <c r="BH63" s="193" t="s">
        <v>585</v>
      </c>
      <c r="BI63" s="193" t="s">
        <v>585</v>
      </c>
      <c r="BJ63" s="193" t="s">
        <v>585</v>
      </c>
      <c r="BK63" s="206">
        <v>2</v>
      </c>
      <c r="BL63" s="204" t="s">
        <v>585</v>
      </c>
      <c r="BM63" s="206">
        <v>2</v>
      </c>
      <c r="BN63" s="193" t="s">
        <v>585</v>
      </c>
      <c r="BO63" s="206">
        <v>2</v>
      </c>
      <c r="BP63" s="204" t="s">
        <v>585</v>
      </c>
      <c r="BQ63" s="206">
        <v>2</v>
      </c>
      <c r="BR63" s="203" t="s">
        <v>585</v>
      </c>
      <c r="BS63" s="204" t="s">
        <v>585</v>
      </c>
      <c r="BT63" s="204" t="s">
        <v>585</v>
      </c>
      <c r="BU63" s="204" t="s">
        <v>585</v>
      </c>
      <c r="BV63" s="204" t="s">
        <v>585</v>
      </c>
      <c r="BW63" s="204" t="s">
        <v>585</v>
      </c>
      <c r="BX63" s="204" t="s">
        <v>585</v>
      </c>
      <c r="BY63" s="204" t="s">
        <v>585</v>
      </c>
      <c r="BZ63" s="204" t="s">
        <v>585</v>
      </c>
      <c r="CA63" s="204" t="s">
        <v>585</v>
      </c>
      <c r="CB63" s="204" t="s">
        <v>585</v>
      </c>
      <c r="CC63" s="204" t="s">
        <v>585</v>
      </c>
      <c r="CD63" s="204" t="s">
        <v>585</v>
      </c>
      <c r="CE63" s="204" t="s">
        <v>585</v>
      </c>
      <c r="CF63" s="202" t="s">
        <v>585</v>
      </c>
      <c r="CG63" s="206" t="s">
        <v>585</v>
      </c>
      <c r="CH63" s="204" t="s">
        <v>585</v>
      </c>
      <c r="CI63" s="206" t="s">
        <v>585</v>
      </c>
      <c r="CJ63" s="193" t="s">
        <v>585</v>
      </c>
      <c r="CK63" s="206">
        <v>228</v>
      </c>
      <c r="CL63" s="204" t="s">
        <v>585</v>
      </c>
      <c r="CM63" s="204">
        <v>839</v>
      </c>
      <c r="CN63" s="204">
        <v>388</v>
      </c>
      <c r="CO63" s="204">
        <v>3</v>
      </c>
      <c r="CP63" s="204" t="s">
        <v>585</v>
      </c>
      <c r="CQ63" s="204" t="s">
        <v>585</v>
      </c>
      <c r="CR63" s="204" t="s">
        <v>585</v>
      </c>
      <c r="CS63" s="204" t="s">
        <v>585</v>
      </c>
      <c r="CT63" s="204" t="s">
        <v>585</v>
      </c>
      <c r="CU63" s="204" t="s">
        <v>585</v>
      </c>
      <c r="CV63" s="206">
        <v>1458</v>
      </c>
      <c r="CW63" s="203">
        <v>94</v>
      </c>
      <c r="CX63" s="204" t="s">
        <v>585</v>
      </c>
      <c r="CY63" s="204">
        <v>4</v>
      </c>
      <c r="CZ63" s="204" t="s">
        <v>585</v>
      </c>
      <c r="DA63" s="204" t="s">
        <v>585</v>
      </c>
      <c r="DB63" s="204" t="s">
        <v>585</v>
      </c>
      <c r="DC63" s="204" t="s">
        <v>585</v>
      </c>
      <c r="DD63" s="202">
        <v>98</v>
      </c>
      <c r="DE63" s="206" t="s">
        <v>585</v>
      </c>
      <c r="DF63" s="203" t="s">
        <v>585</v>
      </c>
      <c r="DG63" s="204" t="s">
        <v>585</v>
      </c>
      <c r="DH63" s="202" t="s">
        <v>585</v>
      </c>
      <c r="DI63" s="206" t="s">
        <v>585</v>
      </c>
      <c r="DJ63" s="204" t="s">
        <v>585</v>
      </c>
      <c r="DK63" s="206" t="s">
        <v>585</v>
      </c>
      <c r="DL63" s="193">
        <v>1</v>
      </c>
      <c r="DM63" s="206" t="s">
        <v>585</v>
      </c>
      <c r="DN63" s="204" t="s">
        <v>585</v>
      </c>
      <c r="DO63" s="206" t="s">
        <v>585</v>
      </c>
      <c r="DP63" s="203" t="s">
        <v>585</v>
      </c>
      <c r="DQ63" s="204" t="s">
        <v>585</v>
      </c>
      <c r="DR63" s="202" t="s">
        <v>585</v>
      </c>
      <c r="DS63" s="206" t="s">
        <v>585</v>
      </c>
      <c r="DT63" s="193" t="s">
        <v>585</v>
      </c>
      <c r="DU63" s="206">
        <v>10</v>
      </c>
      <c r="DV63" s="204" t="s">
        <v>585</v>
      </c>
      <c r="DW63" s="206">
        <v>10</v>
      </c>
      <c r="DX63" s="193" t="s">
        <v>585</v>
      </c>
      <c r="DY63" s="193" t="s">
        <v>585</v>
      </c>
      <c r="DZ63" s="206" t="s">
        <v>585</v>
      </c>
      <c r="EA63" s="204" t="s">
        <v>585</v>
      </c>
      <c r="EB63" s="204" t="s">
        <v>585</v>
      </c>
      <c r="EC63" s="204" t="s">
        <v>585</v>
      </c>
      <c r="ED63" s="204" t="s">
        <v>585</v>
      </c>
      <c r="EE63" s="204" t="s">
        <v>585</v>
      </c>
      <c r="EF63" s="204" t="s">
        <v>585</v>
      </c>
      <c r="EG63" s="206" t="s">
        <v>585</v>
      </c>
      <c r="EH63" s="203">
        <v>79</v>
      </c>
      <c r="EI63" s="204">
        <v>249</v>
      </c>
      <c r="EJ63" s="204">
        <v>10</v>
      </c>
      <c r="EK63" s="204">
        <v>0</v>
      </c>
      <c r="EL63" s="204">
        <v>37</v>
      </c>
      <c r="EM63" s="204">
        <v>151</v>
      </c>
      <c r="EN63" s="204" t="s">
        <v>585</v>
      </c>
      <c r="EO63" s="204" t="s">
        <v>585</v>
      </c>
      <c r="EP63" s="204">
        <v>51</v>
      </c>
      <c r="EQ63" s="204" t="s">
        <v>585</v>
      </c>
      <c r="ER63" s="204" t="s">
        <v>585</v>
      </c>
      <c r="ES63" s="204" t="s">
        <v>585</v>
      </c>
      <c r="ET63" s="204" t="s">
        <v>585</v>
      </c>
      <c r="EU63" s="202">
        <v>577</v>
      </c>
      <c r="EV63" s="206" t="s">
        <v>585</v>
      </c>
      <c r="EW63" s="193">
        <v>1</v>
      </c>
      <c r="EX63" s="206" t="s">
        <v>585</v>
      </c>
      <c r="EY63" s="204" t="s">
        <v>585</v>
      </c>
      <c r="EZ63" s="204" t="s">
        <v>585</v>
      </c>
      <c r="FA63" s="206" t="s">
        <v>585</v>
      </c>
      <c r="FB63" s="193" t="s">
        <v>585</v>
      </c>
      <c r="FC63" s="206" t="s">
        <v>585</v>
      </c>
      <c r="FD63" s="203" t="s">
        <v>585</v>
      </c>
      <c r="FE63" s="204">
        <v>4</v>
      </c>
      <c r="FF63" s="204" t="s">
        <v>585</v>
      </c>
      <c r="FG63" s="204" t="s">
        <v>585</v>
      </c>
      <c r="FH63" s="202">
        <v>4</v>
      </c>
      <c r="FI63" s="206" t="s">
        <v>585</v>
      </c>
      <c r="FJ63" s="204" t="s">
        <v>585</v>
      </c>
      <c r="FK63" s="206" t="s">
        <v>585</v>
      </c>
      <c r="FL63" s="203" t="s">
        <v>585</v>
      </c>
      <c r="FM63" s="204" t="s">
        <v>585</v>
      </c>
      <c r="FN63" s="202" t="s">
        <v>585</v>
      </c>
      <c r="FO63" s="206" t="s">
        <v>585</v>
      </c>
      <c r="FP63" s="193" t="s">
        <v>585</v>
      </c>
      <c r="FQ63" s="206" t="s">
        <v>585</v>
      </c>
      <c r="FR63" s="204" t="s">
        <v>585</v>
      </c>
      <c r="FS63" s="204" t="s">
        <v>585</v>
      </c>
      <c r="FT63" s="206" t="s">
        <v>585</v>
      </c>
      <c r="FU63" s="203">
        <v>1</v>
      </c>
      <c r="FV63" s="204" t="s">
        <v>585</v>
      </c>
      <c r="FW63" s="202">
        <v>1</v>
      </c>
      <c r="FX63" s="206" t="s">
        <v>585</v>
      </c>
      <c r="FY63" s="203" t="s">
        <v>585</v>
      </c>
      <c r="FZ63" s="204" t="s">
        <v>585</v>
      </c>
      <c r="GA63" s="204" t="s">
        <v>585</v>
      </c>
      <c r="GB63" s="202" t="s">
        <v>585</v>
      </c>
      <c r="GC63" s="206" t="s">
        <v>585</v>
      </c>
      <c r="GD63" s="203" t="s">
        <v>585</v>
      </c>
      <c r="GE63" s="204" t="s">
        <v>585</v>
      </c>
      <c r="GF63" s="204" t="s">
        <v>585</v>
      </c>
      <c r="GG63" s="204" t="s">
        <v>585</v>
      </c>
      <c r="GH63" s="202" t="s">
        <v>585</v>
      </c>
      <c r="GI63" s="193">
        <v>3966</v>
      </c>
      <c r="GJ63" s="368">
        <f>3966/45058286</f>
        <v>8.8019326789305752E-5</v>
      </c>
      <c r="GK63" s="382"/>
    </row>
    <row r="64" spans="2:193" ht="12" customHeight="1" x14ac:dyDescent="0.2">
      <c r="B64" s="359" t="s">
        <v>153</v>
      </c>
      <c r="C64" s="203">
        <v>1</v>
      </c>
      <c r="D64" s="204" t="s">
        <v>585</v>
      </c>
      <c r="E64" s="204" t="s">
        <v>585</v>
      </c>
      <c r="F64" s="204" t="s">
        <v>585</v>
      </c>
      <c r="G64" s="202">
        <v>1</v>
      </c>
      <c r="H64" s="193" t="s">
        <v>585</v>
      </c>
      <c r="I64" s="206" t="s">
        <v>585</v>
      </c>
      <c r="J64" s="204" t="s">
        <v>585</v>
      </c>
      <c r="K64" s="206" t="s">
        <v>585</v>
      </c>
      <c r="L64" s="193" t="s">
        <v>585</v>
      </c>
      <c r="M64" s="193">
        <v>56</v>
      </c>
      <c r="N64" s="206" t="s">
        <v>585</v>
      </c>
      <c r="O64" s="204" t="s">
        <v>585</v>
      </c>
      <c r="P64" s="204">
        <v>6537</v>
      </c>
      <c r="Q64" s="204">
        <v>10</v>
      </c>
      <c r="R64" s="204">
        <v>20</v>
      </c>
      <c r="S64" s="204" t="s">
        <v>585</v>
      </c>
      <c r="T64" s="204" t="s">
        <v>585</v>
      </c>
      <c r="U64" s="206">
        <v>6567</v>
      </c>
      <c r="V64" s="203">
        <v>4</v>
      </c>
      <c r="W64" s="204">
        <v>0</v>
      </c>
      <c r="X64" s="202">
        <v>4</v>
      </c>
      <c r="Y64" s="206">
        <v>5</v>
      </c>
      <c r="Z64" s="204" t="s">
        <v>585</v>
      </c>
      <c r="AA64" s="204" t="s">
        <v>585</v>
      </c>
      <c r="AB64" s="206">
        <v>5</v>
      </c>
      <c r="AC64" s="203">
        <v>108</v>
      </c>
      <c r="AD64" s="204" t="s">
        <v>585</v>
      </c>
      <c r="AE64" s="204" t="s">
        <v>585</v>
      </c>
      <c r="AF64" s="202">
        <v>108</v>
      </c>
      <c r="AG64" s="206">
        <v>3</v>
      </c>
      <c r="AH64" s="204" t="s">
        <v>585</v>
      </c>
      <c r="AI64" s="204" t="s">
        <v>585</v>
      </c>
      <c r="AJ64" s="204" t="s">
        <v>585</v>
      </c>
      <c r="AK64" s="206">
        <v>3</v>
      </c>
      <c r="AL64" s="193" t="s">
        <v>585</v>
      </c>
      <c r="AM64" s="193" t="s">
        <v>585</v>
      </c>
      <c r="AN64" s="206" t="s">
        <v>585</v>
      </c>
      <c r="AO64" s="204" t="s">
        <v>585</v>
      </c>
      <c r="AP64" s="206" t="s">
        <v>585</v>
      </c>
      <c r="AQ64" s="203" t="s">
        <v>585</v>
      </c>
      <c r="AR64" s="204" t="s">
        <v>585</v>
      </c>
      <c r="AS64" s="204">
        <v>2</v>
      </c>
      <c r="AT64" s="204" t="s">
        <v>585</v>
      </c>
      <c r="AU64" s="204" t="s">
        <v>585</v>
      </c>
      <c r="AV64" s="204" t="s">
        <v>585</v>
      </c>
      <c r="AW64" s="204" t="s">
        <v>585</v>
      </c>
      <c r="AX64" s="202">
        <v>2</v>
      </c>
      <c r="AY64" s="206" t="s">
        <v>585</v>
      </c>
      <c r="AZ64" s="193">
        <v>3</v>
      </c>
      <c r="BA64" s="206">
        <v>6</v>
      </c>
      <c r="BB64" s="377">
        <v>49</v>
      </c>
      <c r="BC64" s="206">
        <v>73</v>
      </c>
      <c r="BD64" s="206">
        <v>4</v>
      </c>
      <c r="BE64" s="378">
        <v>2</v>
      </c>
      <c r="BF64" s="206">
        <v>134</v>
      </c>
      <c r="BG64" s="193">
        <v>1</v>
      </c>
      <c r="BH64" s="193" t="s">
        <v>585</v>
      </c>
      <c r="BI64" s="193" t="s">
        <v>585</v>
      </c>
      <c r="BJ64" s="193">
        <v>2</v>
      </c>
      <c r="BK64" s="206" t="s">
        <v>585</v>
      </c>
      <c r="BL64" s="204" t="s">
        <v>585</v>
      </c>
      <c r="BM64" s="206" t="s">
        <v>585</v>
      </c>
      <c r="BN64" s="193" t="s">
        <v>585</v>
      </c>
      <c r="BO64" s="206">
        <v>1</v>
      </c>
      <c r="BP64" s="204" t="s">
        <v>585</v>
      </c>
      <c r="BQ64" s="206">
        <v>1</v>
      </c>
      <c r="BR64" s="203" t="s">
        <v>585</v>
      </c>
      <c r="BS64" s="204" t="s">
        <v>585</v>
      </c>
      <c r="BT64" s="204" t="s">
        <v>585</v>
      </c>
      <c r="BU64" s="204" t="s">
        <v>585</v>
      </c>
      <c r="BV64" s="204" t="s">
        <v>585</v>
      </c>
      <c r="BW64" s="204" t="s">
        <v>585</v>
      </c>
      <c r="BX64" s="204" t="s">
        <v>585</v>
      </c>
      <c r="BY64" s="204" t="s">
        <v>585</v>
      </c>
      <c r="BZ64" s="204" t="s">
        <v>585</v>
      </c>
      <c r="CA64" s="204" t="s">
        <v>585</v>
      </c>
      <c r="CB64" s="204" t="s">
        <v>585</v>
      </c>
      <c r="CC64" s="204" t="s">
        <v>585</v>
      </c>
      <c r="CD64" s="204" t="s">
        <v>585</v>
      </c>
      <c r="CE64" s="204" t="s">
        <v>585</v>
      </c>
      <c r="CF64" s="202" t="s">
        <v>585</v>
      </c>
      <c r="CG64" s="206" t="s">
        <v>585</v>
      </c>
      <c r="CH64" s="204" t="s">
        <v>585</v>
      </c>
      <c r="CI64" s="206" t="s">
        <v>585</v>
      </c>
      <c r="CJ64" s="193" t="s">
        <v>585</v>
      </c>
      <c r="CK64" s="206">
        <v>521</v>
      </c>
      <c r="CL64" s="204" t="s">
        <v>585</v>
      </c>
      <c r="CM64" s="204">
        <v>2164</v>
      </c>
      <c r="CN64" s="204">
        <v>443</v>
      </c>
      <c r="CO64" s="204">
        <v>101</v>
      </c>
      <c r="CP64" s="204" t="s">
        <v>585</v>
      </c>
      <c r="CQ64" s="204" t="s">
        <v>585</v>
      </c>
      <c r="CR64" s="204" t="s">
        <v>585</v>
      </c>
      <c r="CS64" s="204">
        <v>2</v>
      </c>
      <c r="CT64" s="204" t="s">
        <v>585</v>
      </c>
      <c r="CU64" s="204" t="s">
        <v>585</v>
      </c>
      <c r="CV64" s="206">
        <v>3231</v>
      </c>
      <c r="CW64" s="203">
        <v>235</v>
      </c>
      <c r="CX64" s="204" t="s">
        <v>585</v>
      </c>
      <c r="CY64" s="204">
        <v>13</v>
      </c>
      <c r="CZ64" s="204" t="s">
        <v>585</v>
      </c>
      <c r="DA64" s="204">
        <v>2</v>
      </c>
      <c r="DB64" s="204" t="s">
        <v>585</v>
      </c>
      <c r="DC64" s="204" t="s">
        <v>585</v>
      </c>
      <c r="DD64" s="202">
        <v>250</v>
      </c>
      <c r="DE64" s="206" t="s">
        <v>585</v>
      </c>
      <c r="DF64" s="203" t="s">
        <v>585</v>
      </c>
      <c r="DG64" s="204" t="s">
        <v>585</v>
      </c>
      <c r="DH64" s="202" t="s">
        <v>585</v>
      </c>
      <c r="DI64" s="206" t="s">
        <v>585</v>
      </c>
      <c r="DJ64" s="204" t="s">
        <v>585</v>
      </c>
      <c r="DK64" s="206" t="s">
        <v>585</v>
      </c>
      <c r="DL64" s="193">
        <v>4</v>
      </c>
      <c r="DM64" s="206" t="s">
        <v>585</v>
      </c>
      <c r="DN64" s="204" t="s">
        <v>585</v>
      </c>
      <c r="DO64" s="206" t="s">
        <v>585</v>
      </c>
      <c r="DP64" s="203" t="s">
        <v>585</v>
      </c>
      <c r="DQ64" s="204">
        <v>3</v>
      </c>
      <c r="DR64" s="202">
        <v>3</v>
      </c>
      <c r="DS64" s="206" t="s">
        <v>585</v>
      </c>
      <c r="DT64" s="193" t="s">
        <v>585</v>
      </c>
      <c r="DU64" s="206">
        <v>12</v>
      </c>
      <c r="DV64" s="204" t="s">
        <v>585</v>
      </c>
      <c r="DW64" s="206">
        <v>12</v>
      </c>
      <c r="DX64" s="193" t="s">
        <v>585</v>
      </c>
      <c r="DY64" s="193" t="s">
        <v>585</v>
      </c>
      <c r="DZ64" s="206" t="s">
        <v>585</v>
      </c>
      <c r="EA64" s="204" t="s">
        <v>585</v>
      </c>
      <c r="EB64" s="204" t="s">
        <v>585</v>
      </c>
      <c r="EC64" s="204" t="s">
        <v>585</v>
      </c>
      <c r="ED64" s="204" t="s">
        <v>585</v>
      </c>
      <c r="EE64" s="204" t="s">
        <v>585</v>
      </c>
      <c r="EF64" s="204" t="s">
        <v>585</v>
      </c>
      <c r="EG64" s="206" t="s">
        <v>585</v>
      </c>
      <c r="EH64" s="203">
        <v>132</v>
      </c>
      <c r="EI64" s="204">
        <v>94</v>
      </c>
      <c r="EJ64" s="204">
        <v>5</v>
      </c>
      <c r="EK64" s="204">
        <v>11</v>
      </c>
      <c r="EL64" s="204">
        <v>91</v>
      </c>
      <c r="EM64" s="204">
        <v>123</v>
      </c>
      <c r="EN64" s="204">
        <v>11</v>
      </c>
      <c r="EO64" s="204" t="s">
        <v>585</v>
      </c>
      <c r="EP64" s="204">
        <v>86</v>
      </c>
      <c r="EQ64" s="204">
        <v>11</v>
      </c>
      <c r="ER64" s="204">
        <v>2</v>
      </c>
      <c r="ES64" s="204" t="s">
        <v>585</v>
      </c>
      <c r="ET64" s="204" t="s">
        <v>585</v>
      </c>
      <c r="EU64" s="202">
        <v>566</v>
      </c>
      <c r="EV64" s="206" t="s">
        <v>585</v>
      </c>
      <c r="EW64" s="193" t="s">
        <v>585</v>
      </c>
      <c r="EX64" s="206" t="s">
        <v>585</v>
      </c>
      <c r="EY64" s="204">
        <v>1</v>
      </c>
      <c r="EZ64" s="204" t="s">
        <v>585</v>
      </c>
      <c r="FA64" s="206">
        <v>1</v>
      </c>
      <c r="FB64" s="193" t="s">
        <v>585</v>
      </c>
      <c r="FC64" s="206" t="s">
        <v>585</v>
      </c>
      <c r="FD64" s="203" t="s">
        <v>585</v>
      </c>
      <c r="FE64" s="204" t="s">
        <v>585</v>
      </c>
      <c r="FF64" s="204" t="s">
        <v>585</v>
      </c>
      <c r="FG64" s="204" t="s">
        <v>585</v>
      </c>
      <c r="FH64" s="202" t="s">
        <v>585</v>
      </c>
      <c r="FI64" s="206" t="s">
        <v>585</v>
      </c>
      <c r="FJ64" s="204" t="s">
        <v>585</v>
      </c>
      <c r="FK64" s="206" t="s">
        <v>585</v>
      </c>
      <c r="FL64" s="203" t="s">
        <v>585</v>
      </c>
      <c r="FM64" s="204" t="s">
        <v>585</v>
      </c>
      <c r="FN64" s="202" t="s">
        <v>585</v>
      </c>
      <c r="FO64" s="206" t="s">
        <v>585</v>
      </c>
      <c r="FP64" s="193">
        <v>3</v>
      </c>
      <c r="FQ64" s="206" t="s">
        <v>585</v>
      </c>
      <c r="FR64" s="204" t="s">
        <v>585</v>
      </c>
      <c r="FS64" s="204" t="s">
        <v>585</v>
      </c>
      <c r="FT64" s="206" t="s">
        <v>585</v>
      </c>
      <c r="FU64" s="203" t="s">
        <v>585</v>
      </c>
      <c r="FV64" s="204" t="s">
        <v>585</v>
      </c>
      <c r="FW64" s="202" t="s">
        <v>585</v>
      </c>
      <c r="FX64" s="206" t="s">
        <v>585</v>
      </c>
      <c r="FY64" s="203" t="s">
        <v>585</v>
      </c>
      <c r="FZ64" s="204" t="s">
        <v>585</v>
      </c>
      <c r="GA64" s="204" t="s">
        <v>585</v>
      </c>
      <c r="GB64" s="202" t="s">
        <v>585</v>
      </c>
      <c r="GC64" s="206" t="s">
        <v>585</v>
      </c>
      <c r="GD64" s="203" t="s">
        <v>585</v>
      </c>
      <c r="GE64" s="204" t="s">
        <v>585</v>
      </c>
      <c r="GF64" s="204" t="s">
        <v>585</v>
      </c>
      <c r="GG64" s="204" t="s">
        <v>585</v>
      </c>
      <c r="GH64" s="202" t="s">
        <v>585</v>
      </c>
      <c r="GI64" s="193">
        <v>10957</v>
      </c>
      <c r="GJ64" s="368">
        <f>10957/45058286</f>
        <v>2.4317391922098412E-4</v>
      </c>
      <c r="GK64" s="382"/>
    </row>
    <row r="65" spans="2:193" ht="12" customHeight="1" x14ac:dyDescent="0.2">
      <c r="B65" s="359" t="s">
        <v>154</v>
      </c>
      <c r="C65" s="203">
        <v>33</v>
      </c>
      <c r="D65" s="204" t="s">
        <v>585</v>
      </c>
      <c r="E65" s="204" t="s">
        <v>585</v>
      </c>
      <c r="F65" s="204" t="s">
        <v>585</v>
      </c>
      <c r="G65" s="202">
        <v>33</v>
      </c>
      <c r="H65" s="193" t="s">
        <v>585</v>
      </c>
      <c r="I65" s="206">
        <v>16</v>
      </c>
      <c r="J65" s="204" t="s">
        <v>585</v>
      </c>
      <c r="K65" s="206">
        <v>16</v>
      </c>
      <c r="L65" s="193" t="s">
        <v>585</v>
      </c>
      <c r="M65" s="193">
        <v>211</v>
      </c>
      <c r="N65" s="206">
        <v>3</v>
      </c>
      <c r="O65" s="204">
        <v>2</v>
      </c>
      <c r="P65" s="204">
        <v>88108</v>
      </c>
      <c r="Q65" s="204">
        <v>117</v>
      </c>
      <c r="R65" s="204">
        <v>37</v>
      </c>
      <c r="S65" s="204" t="s">
        <v>585</v>
      </c>
      <c r="T65" s="204" t="s">
        <v>585</v>
      </c>
      <c r="U65" s="206">
        <v>88267</v>
      </c>
      <c r="V65" s="203">
        <v>27</v>
      </c>
      <c r="W65" s="204">
        <v>42</v>
      </c>
      <c r="X65" s="202">
        <v>69</v>
      </c>
      <c r="Y65" s="206">
        <v>161</v>
      </c>
      <c r="Z65" s="204" t="s">
        <v>585</v>
      </c>
      <c r="AA65" s="204" t="s">
        <v>585</v>
      </c>
      <c r="AB65" s="206">
        <v>161</v>
      </c>
      <c r="AC65" s="203">
        <v>180</v>
      </c>
      <c r="AD65" s="204" t="s">
        <v>585</v>
      </c>
      <c r="AE65" s="204" t="s">
        <v>585</v>
      </c>
      <c r="AF65" s="202">
        <v>180</v>
      </c>
      <c r="AG65" s="206">
        <v>23</v>
      </c>
      <c r="AH65" s="204" t="s">
        <v>585</v>
      </c>
      <c r="AI65" s="204" t="s">
        <v>585</v>
      </c>
      <c r="AJ65" s="204" t="s">
        <v>585</v>
      </c>
      <c r="AK65" s="206">
        <v>23</v>
      </c>
      <c r="AL65" s="193" t="s">
        <v>585</v>
      </c>
      <c r="AM65" s="193" t="s">
        <v>585</v>
      </c>
      <c r="AN65" s="206">
        <v>1</v>
      </c>
      <c r="AO65" s="204" t="s">
        <v>585</v>
      </c>
      <c r="AP65" s="206">
        <v>1</v>
      </c>
      <c r="AQ65" s="203">
        <v>1</v>
      </c>
      <c r="AR65" s="204" t="s">
        <v>585</v>
      </c>
      <c r="AS65" s="204" t="s">
        <v>585</v>
      </c>
      <c r="AT65" s="204" t="s">
        <v>585</v>
      </c>
      <c r="AU65" s="204" t="s">
        <v>585</v>
      </c>
      <c r="AV65" s="204" t="s">
        <v>585</v>
      </c>
      <c r="AW65" s="204" t="s">
        <v>585</v>
      </c>
      <c r="AX65" s="202">
        <v>1</v>
      </c>
      <c r="AY65" s="206" t="s">
        <v>585</v>
      </c>
      <c r="AZ65" s="193">
        <v>2</v>
      </c>
      <c r="BA65" s="206">
        <v>804</v>
      </c>
      <c r="BB65" s="377">
        <v>1340</v>
      </c>
      <c r="BC65" s="206">
        <v>9552</v>
      </c>
      <c r="BD65" s="206">
        <v>116</v>
      </c>
      <c r="BE65" s="378">
        <v>81</v>
      </c>
      <c r="BF65" s="206">
        <v>11893</v>
      </c>
      <c r="BG65" s="193">
        <v>5</v>
      </c>
      <c r="BH65" s="193" t="s">
        <v>585</v>
      </c>
      <c r="BI65" s="193" t="s">
        <v>585</v>
      </c>
      <c r="BJ65" s="193">
        <v>5</v>
      </c>
      <c r="BK65" s="206">
        <v>10</v>
      </c>
      <c r="BL65" s="204" t="s">
        <v>585</v>
      </c>
      <c r="BM65" s="206">
        <v>10</v>
      </c>
      <c r="BN65" s="193" t="s">
        <v>585</v>
      </c>
      <c r="BO65" s="206" t="s">
        <v>585</v>
      </c>
      <c r="BP65" s="204" t="s">
        <v>585</v>
      </c>
      <c r="BQ65" s="206" t="s">
        <v>585</v>
      </c>
      <c r="BR65" s="203">
        <v>4</v>
      </c>
      <c r="BS65" s="204">
        <v>4</v>
      </c>
      <c r="BT65" s="204">
        <v>1</v>
      </c>
      <c r="BU65" s="204" t="s">
        <v>585</v>
      </c>
      <c r="BV65" s="204" t="s">
        <v>585</v>
      </c>
      <c r="BW65" s="204" t="s">
        <v>585</v>
      </c>
      <c r="BX65" s="204" t="s">
        <v>585</v>
      </c>
      <c r="BY65" s="204" t="s">
        <v>585</v>
      </c>
      <c r="BZ65" s="204">
        <v>1</v>
      </c>
      <c r="CA65" s="204" t="s">
        <v>585</v>
      </c>
      <c r="CB65" s="204" t="s">
        <v>585</v>
      </c>
      <c r="CC65" s="204" t="s">
        <v>585</v>
      </c>
      <c r="CD65" s="204" t="s">
        <v>585</v>
      </c>
      <c r="CE65" s="204" t="s">
        <v>585</v>
      </c>
      <c r="CF65" s="202">
        <v>10</v>
      </c>
      <c r="CG65" s="206">
        <v>5</v>
      </c>
      <c r="CH65" s="204" t="s">
        <v>585</v>
      </c>
      <c r="CI65" s="206">
        <v>5</v>
      </c>
      <c r="CJ65" s="193" t="s">
        <v>585</v>
      </c>
      <c r="CK65" s="206">
        <v>7334</v>
      </c>
      <c r="CL65" s="204" t="s">
        <v>585</v>
      </c>
      <c r="CM65" s="204">
        <v>22779</v>
      </c>
      <c r="CN65" s="204">
        <v>12307</v>
      </c>
      <c r="CO65" s="204">
        <v>128</v>
      </c>
      <c r="CP65" s="204" t="s">
        <v>585</v>
      </c>
      <c r="CQ65" s="204">
        <v>2</v>
      </c>
      <c r="CR65" s="204" t="s">
        <v>585</v>
      </c>
      <c r="CS65" s="204">
        <v>4</v>
      </c>
      <c r="CT65" s="204">
        <v>7</v>
      </c>
      <c r="CU65" s="204" t="s">
        <v>585</v>
      </c>
      <c r="CV65" s="206">
        <v>42561</v>
      </c>
      <c r="CW65" s="203">
        <v>774</v>
      </c>
      <c r="CX65" s="204">
        <v>1</v>
      </c>
      <c r="CY65" s="204">
        <v>34</v>
      </c>
      <c r="CZ65" s="204" t="s">
        <v>585</v>
      </c>
      <c r="DA65" s="204">
        <v>4</v>
      </c>
      <c r="DB65" s="204" t="s">
        <v>585</v>
      </c>
      <c r="DC65" s="204" t="s">
        <v>585</v>
      </c>
      <c r="DD65" s="202">
        <v>813</v>
      </c>
      <c r="DE65" s="206" t="s">
        <v>585</v>
      </c>
      <c r="DF65" s="203" t="s">
        <v>585</v>
      </c>
      <c r="DG65" s="204" t="s">
        <v>585</v>
      </c>
      <c r="DH65" s="202" t="s">
        <v>585</v>
      </c>
      <c r="DI65" s="206" t="s">
        <v>585</v>
      </c>
      <c r="DJ65" s="204" t="s">
        <v>585</v>
      </c>
      <c r="DK65" s="206" t="s">
        <v>585</v>
      </c>
      <c r="DL65" s="193">
        <v>15</v>
      </c>
      <c r="DM65" s="206" t="s">
        <v>585</v>
      </c>
      <c r="DN65" s="204" t="s">
        <v>585</v>
      </c>
      <c r="DO65" s="206" t="s">
        <v>585</v>
      </c>
      <c r="DP65" s="203">
        <v>4</v>
      </c>
      <c r="DQ65" s="204" t="s">
        <v>585</v>
      </c>
      <c r="DR65" s="202">
        <v>4</v>
      </c>
      <c r="DS65" s="206">
        <v>5</v>
      </c>
      <c r="DT65" s="193">
        <v>1</v>
      </c>
      <c r="DU65" s="206">
        <v>1061</v>
      </c>
      <c r="DV65" s="204" t="s">
        <v>585</v>
      </c>
      <c r="DW65" s="206">
        <v>1061</v>
      </c>
      <c r="DX65" s="193">
        <v>1</v>
      </c>
      <c r="DY65" s="193" t="s">
        <v>585</v>
      </c>
      <c r="DZ65" s="206">
        <v>3</v>
      </c>
      <c r="EA65" s="204">
        <v>1</v>
      </c>
      <c r="EB65" s="204">
        <v>15</v>
      </c>
      <c r="EC65" s="204" t="s">
        <v>585</v>
      </c>
      <c r="ED65" s="204" t="s">
        <v>585</v>
      </c>
      <c r="EE65" s="204" t="s">
        <v>585</v>
      </c>
      <c r="EF65" s="204" t="s">
        <v>585</v>
      </c>
      <c r="EG65" s="206">
        <v>19</v>
      </c>
      <c r="EH65" s="203">
        <v>441</v>
      </c>
      <c r="EI65" s="204">
        <v>1154</v>
      </c>
      <c r="EJ65" s="204">
        <v>14</v>
      </c>
      <c r="EK65" s="204">
        <v>149</v>
      </c>
      <c r="EL65" s="204">
        <v>1564</v>
      </c>
      <c r="EM65" s="204">
        <v>520</v>
      </c>
      <c r="EN65" s="204">
        <v>35</v>
      </c>
      <c r="EO65" s="204">
        <v>15</v>
      </c>
      <c r="EP65" s="204">
        <v>188</v>
      </c>
      <c r="EQ65" s="204">
        <v>2</v>
      </c>
      <c r="ER65" s="204">
        <v>3</v>
      </c>
      <c r="ES65" s="204" t="s">
        <v>585</v>
      </c>
      <c r="ET65" s="204" t="s">
        <v>585</v>
      </c>
      <c r="EU65" s="202">
        <v>4085</v>
      </c>
      <c r="EV65" s="206" t="s">
        <v>585</v>
      </c>
      <c r="EW65" s="193" t="s">
        <v>585</v>
      </c>
      <c r="EX65" s="206" t="s">
        <v>585</v>
      </c>
      <c r="EY65" s="204">
        <v>1</v>
      </c>
      <c r="EZ65" s="204" t="s">
        <v>585</v>
      </c>
      <c r="FA65" s="206">
        <v>1</v>
      </c>
      <c r="FB65" s="193" t="s">
        <v>585</v>
      </c>
      <c r="FC65" s="206" t="s">
        <v>585</v>
      </c>
      <c r="FD65" s="203">
        <v>1</v>
      </c>
      <c r="FE65" s="204">
        <v>8</v>
      </c>
      <c r="FF65" s="204" t="s">
        <v>585</v>
      </c>
      <c r="FG65" s="204" t="s">
        <v>585</v>
      </c>
      <c r="FH65" s="202">
        <v>9</v>
      </c>
      <c r="FI65" s="206" t="s">
        <v>585</v>
      </c>
      <c r="FJ65" s="204" t="s">
        <v>585</v>
      </c>
      <c r="FK65" s="206" t="s">
        <v>585</v>
      </c>
      <c r="FL65" s="203" t="s">
        <v>585</v>
      </c>
      <c r="FM65" s="204" t="s">
        <v>585</v>
      </c>
      <c r="FN65" s="202" t="s">
        <v>585</v>
      </c>
      <c r="FO65" s="206" t="s">
        <v>585</v>
      </c>
      <c r="FP65" s="193">
        <v>37</v>
      </c>
      <c r="FQ65" s="206">
        <v>1</v>
      </c>
      <c r="FR65" s="204" t="s">
        <v>585</v>
      </c>
      <c r="FS65" s="204" t="s">
        <v>585</v>
      </c>
      <c r="FT65" s="206">
        <v>1</v>
      </c>
      <c r="FU65" s="203">
        <v>8</v>
      </c>
      <c r="FV65" s="204">
        <v>6</v>
      </c>
      <c r="FW65" s="202">
        <v>14</v>
      </c>
      <c r="FX65" s="206" t="s">
        <v>585</v>
      </c>
      <c r="FY65" s="203" t="s">
        <v>585</v>
      </c>
      <c r="FZ65" s="204" t="s">
        <v>585</v>
      </c>
      <c r="GA65" s="204">
        <v>1</v>
      </c>
      <c r="GB65" s="202">
        <v>1</v>
      </c>
      <c r="GC65" s="206">
        <v>3</v>
      </c>
      <c r="GD65" s="203" t="s">
        <v>585</v>
      </c>
      <c r="GE65" s="204" t="s">
        <v>585</v>
      </c>
      <c r="GF65" s="204" t="s">
        <v>585</v>
      </c>
      <c r="GG65" s="204" t="s">
        <v>585</v>
      </c>
      <c r="GH65" s="202" t="s">
        <v>585</v>
      </c>
      <c r="GI65" s="193">
        <v>149523</v>
      </c>
      <c r="GJ65" s="368">
        <f>149523/45058286</f>
        <v>3.3184351486428044E-3</v>
      </c>
      <c r="GK65" s="382"/>
    </row>
    <row r="66" spans="2:193" ht="12" customHeight="1" x14ac:dyDescent="0.2">
      <c r="B66" s="359" t="s">
        <v>187</v>
      </c>
      <c r="C66" s="203">
        <v>54</v>
      </c>
      <c r="D66" s="204" t="s">
        <v>585</v>
      </c>
      <c r="E66" s="204" t="s">
        <v>585</v>
      </c>
      <c r="F66" s="204" t="s">
        <v>585</v>
      </c>
      <c r="G66" s="202">
        <v>54</v>
      </c>
      <c r="H66" s="193" t="s">
        <v>585</v>
      </c>
      <c r="I66" s="206">
        <v>20</v>
      </c>
      <c r="J66" s="204" t="s">
        <v>585</v>
      </c>
      <c r="K66" s="206">
        <v>20</v>
      </c>
      <c r="L66" s="193" t="s">
        <v>585</v>
      </c>
      <c r="M66" s="193">
        <v>524</v>
      </c>
      <c r="N66" s="206">
        <v>67</v>
      </c>
      <c r="O66" s="204">
        <v>17</v>
      </c>
      <c r="P66" s="204">
        <v>123938</v>
      </c>
      <c r="Q66" s="204">
        <v>20889</v>
      </c>
      <c r="R66" s="204">
        <v>216</v>
      </c>
      <c r="S66" s="204">
        <v>3</v>
      </c>
      <c r="T66" s="204" t="s">
        <v>585</v>
      </c>
      <c r="U66" s="206">
        <v>145130</v>
      </c>
      <c r="V66" s="203">
        <v>7</v>
      </c>
      <c r="W66" s="204">
        <v>7</v>
      </c>
      <c r="X66" s="202">
        <v>14</v>
      </c>
      <c r="Y66" s="206">
        <v>65</v>
      </c>
      <c r="Z66" s="204" t="s">
        <v>585</v>
      </c>
      <c r="AA66" s="204" t="s">
        <v>585</v>
      </c>
      <c r="AB66" s="206">
        <v>65</v>
      </c>
      <c r="AC66" s="203">
        <v>293</v>
      </c>
      <c r="AD66" s="204">
        <v>2</v>
      </c>
      <c r="AE66" s="204" t="s">
        <v>585</v>
      </c>
      <c r="AF66" s="202">
        <v>295</v>
      </c>
      <c r="AG66" s="206">
        <v>50</v>
      </c>
      <c r="AH66" s="204" t="s">
        <v>585</v>
      </c>
      <c r="AI66" s="204" t="s">
        <v>585</v>
      </c>
      <c r="AJ66" s="204" t="s">
        <v>585</v>
      </c>
      <c r="AK66" s="206">
        <v>50</v>
      </c>
      <c r="AL66" s="193" t="s">
        <v>585</v>
      </c>
      <c r="AM66" s="193" t="s">
        <v>585</v>
      </c>
      <c r="AN66" s="206">
        <v>1</v>
      </c>
      <c r="AO66" s="204" t="s">
        <v>585</v>
      </c>
      <c r="AP66" s="206">
        <v>1</v>
      </c>
      <c r="AQ66" s="203">
        <v>3</v>
      </c>
      <c r="AR66" s="204" t="s">
        <v>585</v>
      </c>
      <c r="AS66" s="204">
        <v>18</v>
      </c>
      <c r="AT66" s="204" t="s">
        <v>585</v>
      </c>
      <c r="AU66" s="204" t="s">
        <v>585</v>
      </c>
      <c r="AV66" s="204" t="s">
        <v>585</v>
      </c>
      <c r="AW66" s="204" t="s">
        <v>585</v>
      </c>
      <c r="AX66" s="202">
        <v>21</v>
      </c>
      <c r="AY66" s="206" t="s">
        <v>585</v>
      </c>
      <c r="AZ66" s="193">
        <v>35</v>
      </c>
      <c r="BA66" s="206">
        <v>56</v>
      </c>
      <c r="BB66" s="377">
        <v>365</v>
      </c>
      <c r="BC66" s="206">
        <v>2015</v>
      </c>
      <c r="BD66" s="206">
        <v>73</v>
      </c>
      <c r="BE66" s="378">
        <v>63</v>
      </c>
      <c r="BF66" s="206">
        <v>2572</v>
      </c>
      <c r="BG66" s="193" t="s">
        <v>585</v>
      </c>
      <c r="BH66" s="193" t="s">
        <v>585</v>
      </c>
      <c r="BI66" s="193" t="s">
        <v>585</v>
      </c>
      <c r="BJ66" s="193">
        <v>5</v>
      </c>
      <c r="BK66" s="206">
        <v>33</v>
      </c>
      <c r="BL66" s="204" t="s">
        <v>585</v>
      </c>
      <c r="BM66" s="206">
        <v>33</v>
      </c>
      <c r="BN66" s="193" t="s">
        <v>585</v>
      </c>
      <c r="BO66" s="206">
        <v>10</v>
      </c>
      <c r="BP66" s="204">
        <v>17</v>
      </c>
      <c r="BQ66" s="206">
        <v>27</v>
      </c>
      <c r="BR66" s="203">
        <v>2</v>
      </c>
      <c r="BS66" s="204" t="s">
        <v>585</v>
      </c>
      <c r="BT66" s="204" t="s">
        <v>585</v>
      </c>
      <c r="BU66" s="204" t="s">
        <v>585</v>
      </c>
      <c r="BV66" s="204" t="s">
        <v>585</v>
      </c>
      <c r="BW66" s="204" t="s">
        <v>585</v>
      </c>
      <c r="BX66" s="204" t="s">
        <v>585</v>
      </c>
      <c r="BY66" s="204" t="s">
        <v>585</v>
      </c>
      <c r="BZ66" s="204" t="s">
        <v>585</v>
      </c>
      <c r="CA66" s="204" t="s">
        <v>585</v>
      </c>
      <c r="CB66" s="204" t="s">
        <v>585</v>
      </c>
      <c r="CC66" s="204" t="s">
        <v>585</v>
      </c>
      <c r="CD66" s="204" t="s">
        <v>585</v>
      </c>
      <c r="CE66" s="204" t="s">
        <v>585</v>
      </c>
      <c r="CF66" s="202">
        <v>2</v>
      </c>
      <c r="CG66" s="206" t="s">
        <v>585</v>
      </c>
      <c r="CH66" s="204" t="s">
        <v>585</v>
      </c>
      <c r="CI66" s="206" t="s">
        <v>585</v>
      </c>
      <c r="CJ66" s="193">
        <v>6</v>
      </c>
      <c r="CK66" s="206">
        <v>6877</v>
      </c>
      <c r="CL66" s="204" t="s">
        <v>585</v>
      </c>
      <c r="CM66" s="204">
        <v>23965</v>
      </c>
      <c r="CN66" s="204">
        <v>15827</v>
      </c>
      <c r="CO66" s="204">
        <v>80</v>
      </c>
      <c r="CP66" s="204">
        <v>4</v>
      </c>
      <c r="CQ66" s="204">
        <v>5</v>
      </c>
      <c r="CR66" s="204" t="s">
        <v>585</v>
      </c>
      <c r="CS66" s="204">
        <v>9</v>
      </c>
      <c r="CT66" s="204">
        <v>2</v>
      </c>
      <c r="CU66" s="204" t="s">
        <v>585</v>
      </c>
      <c r="CV66" s="206">
        <v>46769</v>
      </c>
      <c r="CW66" s="203">
        <v>3493</v>
      </c>
      <c r="CX66" s="204">
        <v>8</v>
      </c>
      <c r="CY66" s="204">
        <v>123</v>
      </c>
      <c r="CZ66" s="204">
        <v>2</v>
      </c>
      <c r="DA66" s="204">
        <v>9</v>
      </c>
      <c r="DB66" s="204">
        <v>4</v>
      </c>
      <c r="DC66" s="204" t="s">
        <v>585</v>
      </c>
      <c r="DD66" s="202">
        <v>3639</v>
      </c>
      <c r="DE66" s="206" t="s">
        <v>585</v>
      </c>
      <c r="DF66" s="203" t="s">
        <v>585</v>
      </c>
      <c r="DG66" s="204" t="s">
        <v>585</v>
      </c>
      <c r="DH66" s="202" t="s">
        <v>585</v>
      </c>
      <c r="DI66" s="206" t="s">
        <v>585</v>
      </c>
      <c r="DJ66" s="204" t="s">
        <v>585</v>
      </c>
      <c r="DK66" s="206" t="s">
        <v>585</v>
      </c>
      <c r="DL66" s="193">
        <v>5</v>
      </c>
      <c r="DM66" s="206" t="s">
        <v>585</v>
      </c>
      <c r="DN66" s="204" t="s">
        <v>585</v>
      </c>
      <c r="DO66" s="206" t="s">
        <v>585</v>
      </c>
      <c r="DP66" s="203">
        <v>11</v>
      </c>
      <c r="DQ66" s="204" t="s">
        <v>585</v>
      </c>
      <c r="DR66" s="202">
        <v>11</v>
      </c>
      <c r="DS66" s="206">
        <v>1509</v>
      </c>
      <c r="DT66" s="193">
        <v>2</v>
      </c>
      <c r="DU66" s="206">
        <v>160</v>
      </c>
      <c r="DV66" s="204" t="s">
        <v>585</v>
      </c>
      <c r="DW66" s="206">
        <v>160</v>
      </c>
      <c r="DX66" s="193" t="s">
        <v>585</v>
      </c>
      <c r="DY66" s="193" t="s">
        <v>585</v>
      </c>
      <c r="DZ66" s="206" t="s">
        <v>585</v>
      </c>
      <c r="EA66" s="204">
        <v>5</v>
      </c>
      <c r="EB66" s="204">
        <v>9</v>
      </c>
      <c r="EC66" s="204" t="s">
        <v>585</v>
      </c>
      <c r="ED66" s="204" t="s">
        <v>585</v>
      </c>
      <c r="EE66" s="204" t="s">
        <v>585</v>
      </c>
      <c r="EF66" s="204" t="s">
        <v>585</v>
      </c>
      <c r="EG66" s="206">
        <v>14</v>
      </c>
      <c r="EH66" s="203">
        <v>987</v>
      </c>
      <c r="EI66" s="204">
        <v>2475</v>
      </c>
      <c r="EJ66" s="204">
        <v>18</v>
      </c>
      <c r="EK66" s="204">
        <v>47</v>
      </c>
      <c r="EL66" s="204">
        <v>1695</v>
      </c>
      <c r="EM66" s="204">
        <v>294</v>
      </c>
      <c r="EN66" s="204">
        <v>53</v>
      </c>
      <c r="EO66" s="204">
        <v>8</v>
      </c>
      <c r="EP66" s="204">
        <v>321</v>
      </c>
      <c r="EQ66" s="204">
        <v>11</v>
      </c>
      <c r="ER66" s="204">
        <v>1</v>
      </c>
      <c r="ES66" s="204" t="s">
        <v>585</v>
      </c>
      <c r="ET66" s="204" t="s">
        <v>585</v>
      </c>
      <c r="EU66" s="202">
        <v>5910</v>
      </c>
      <c r="EV66" s="206" t="s">
        <v>585</v>
      </c>
      <c r="EW66" s="193">
        <v>6</v>
      </c>
      <c r="EX66" s="206" t="s">
        <v>585</v>
      </c>
      <c r="EY66" s="204" t="s">
        <v>585</v>
      </c>
      <c r="EZ66" s="204" t="s">
        <v>585</v>
      </c>
      <c r="FA66" s="206" t="s">
        <v>585</v>
      </c>
      <c r="FB66" s="193" t="s">
        <v>585</v>
      </c>
      <c r="FC66" s="206">
        <v>1</v>
      </c>
      <c r="FD66" s="203">
        <v>4</v>
      </c>
      <c r="FE66" s="204">
        <v>3</v>
      </c>
      <c r="FF66" s="204" t="s">
        <v>585</v>
      </c>
      <c r="FG66" s="204" t="s">
        <v>585</v>
      </c>
      <c r="FH66" s="202">
        <v>7</v>
      </c>
      <c r="FI66" s="206">
        <v>1</v>
      </c>
      <c r="FJ66" s="204" t="s">
        <v>585</v>
      </c>
      <c r="FK66" s="206">
        <v>1</v>
      </c>
      <c r="FL66" s="203" t="s">
        <v>585</v>
      </c>
      <c r="FM66" s="204" t="s">
        <v>585</v>
      </c>
      <c r="FN66" s="202" t="s">
        <v>585</v>
      </c>
      <c r="FO66" s="206" t="s">
        <v>585</v>
      </c>
      <c r="FP66" s="193">
        <v>1349</v>
      </c>
      <c r="FQ66" s="206">
        <v>12</v>
      </c>
      <c r="FR66" s="204">
        <v>5</v>
      </c>
      <c r="FS66" s="204" t="s">
        <v>585</v>
      </c>
      <c r="FT66" s="206">
        <v>17</v>
      </c>
      <c r="FU66" s="203">
        <v>15</v>
      </c>
      <c r="FV66" s="204">
        <v>8</v>
      </c>
      <c r="FW66" s="202">
        <v>23</v>
      </c>
      <c r="FX66" s="206" t="s">
        <v>585</v>
      </c>
      <c r="FY66" s="203" t="s">
        <v>585</v>
      </c>
      <c r="FZ66" s="204">
        <v>3</v>
      </c>
      <c r="GA66" s="204" t="s">
        <v>585</v>
      </c>
      <c r="GB66" s="202">
        <v>3</v>
      </c>
      <c r="GC66" s="206">
        <v>47</v>
      </c>
      <c r="GD66" s="203" t="s">
        <v>585</v>
      </c>
      <c r="GE66" s="204">
        <v>1</v>
      </c>
      <c r="GF66" s="204">
        <v>2</v>
      </c>
      <c r="GG66" s="204" t="s">
        <v>585</v>
      </c>
      <c r="GH66" s="202">
        <v>3</v>
      </c>
      <c r="GI66" s="193">
        <v>208330</v>
      </c>
      <c r="GJ66" s="368">
        <f>208330/45058286</f>
        <v>4.6235669062067736E-3</v>
      </c>
      <c r="GK66" s="382"/>
    </row>
    <row r="67" spans="2:193" ht="12" customHeight="1" x14ac:dyDescent="0.2">
      <c r="B67" s="359" t="s">
        <v>197</v>
      </c>
      <c r="C67" s="203">
        <v>159</v>
      </c>
      <c r="D67" s="204" t="s">
        <v>585</v>
      </c>
      <c r="E67" s="204">
        <v>12</v>
      </c>
      <c r="F67" s="204">
        <v>5</v>
      </c>
      <c r="G67" s="202">
        <v>176</v>
      </c>
      <c r="H67" s="193" t="s">
        <v>585</v>
      </c>
      <c r="I67" s="206">
        <v>42</v>
      </c>
      <c r="J67" s="204" t="s">
        <v>585</v>
      </c>
      <c r="K67" s="206">
        <v>42</v>
      </c>
      <c r="L67" s="193" t="s">
        <v>585</v>
      </c>
      <c r="M67" s="193">
        <v>1402</v>
      </c>
      <c r="N67" s="206">
        <v>42</v>
      </c>
      <c r="O67" s="204">
        <v>68</v>
      </c>
      <c r="P67" s="204">
        <v>554412</v>
      </c>
      <c r="Q67" s="204">
        <v>364</v>
      </c>
      <c r="R67" s="204">
        <v>109</v>
      </c>
      <c r="S67" s="204" t="s">
        <v>585</v>
      </c>
      <c r="T67" s="204" t="s">
        <v>585</v>
      </c>
      <c r="U67" s="206">
        <v>554995</v>
      </c>
      <c r="V67" s="203">
        <v>193</v>
      </c>
      <c r="W67" s="204">
        <v>57</v>
      </c>
      <c r="X67" s="202">
        <v>250</v>
      </c>
      <c r="Y67" s="206">
        <v>981</v>
      </c>
      <c r="Z67" s="204">
        <v>2</v>
      </c>
      <c r="AA67" s="204" t="s">
        <v>585</v>
      </c>
      <c r="AB67" s="206">
        <v>983</v>
      </c>
      <c r="AC67" s="203">
        <v>2138</v>
      </c>
      <c r="AD67" s="204">
        <v>82</v>
      </c>
      <c r="AE67" s="204">
        <v>1</v>
      </c>
      <c r="AF67" s="202">
        <v>2221</v>
      </c>
      <c r="AG67" s="206">
        <v>61</v>
      </c>
      <c r="AH67" s="204" t="s">
        <v>585</v>
      </c>
      <c r="AI67" s="204">
        <v>9</v>
      </c>
      <c r="AJ67" s="204">
        <v>43</v>
      </c>
      <c r="AK67" s="206">
        <v>113</v>
      </c>
      <c r="AL67" s="193">
        <v>2</v>
      </c>
      <c r="AM67" s="193" t="s">
        <v>585</v>
      </c>
      <c r="AN67" s="206">
        <v>187</v>
      </c>
      <c r="AO67" s="204">
        <v>1</v>
      </c>
      <c r="AP67" s="206">
        <v>188</v>
      </c>
      <c r="AQ67" s="203">
        <v>43</v>
      </c>
      <c r="AR67" s="204" t="s">
        <v>585</v>
      </c>
      <c r="AS67" s="204">
        <v>50</v>
      </c>
      <c r="AT67" s="204" t="s">
        <v>585</v>
      </c>
      <c r="AU67" s="204">
        <v>1</v>
      </c>
      <c r="AV67" s="204" t="s">
        <v>585</v>
      </c>
      <c r="AW67" s="204" t="s">
        <v>585</v>
      </c>
      <c r="AX67" s="202">
        <v>94</v>
      </c>
      <c r="AY67" s="206" t="s">
        <v>585</v>
      </c>
      <c r="AZ67" s="193">
        <v>12</v>
      </c>
      <c r="BA67" s="206">
        <v>1787</v>
      </c>
      <c r="BB67" s="377">
        <v>1968</v>
      </c>
      <c r="BC67" s="206">
        <v>9749</v>
      </c>
      <c r="BD67" s="206">
        <v>157</v>
      </c>
      <c r="BE67" s="378">
        <v>209</v>
      </c>
      <c r="BF67" s="206">
        <v>13870</v>
      </c>
      <c r="BG67" s="193">
        <v>14</v>
      </c>
      <c r="BH67" s="193" t="s">
        <v>585</v>
      </c>
      <c r="BI67" s="193" t="s">
        <v>585</v>
      </c>
      <c r="BJ67" s="193">
        <v>7</v>
      </c>
      <c r="BK67" s="206">
        <v>81</v>
      </c>
      <c r="BL67" s="204" t="s">
        <v>585</v>
      </c>
      <c r="BM67" s="206">
        <v>81</v>
      </c>
      <c r="BN67" s="193">
        <v>3</v>
      </c>
      <c r="BO67" s="206">
        <v>3</v>
      </c>
      <c r="BP67" s="204" t="s">
        <v>585</v>
      </c>
      <c r="BQ67" s="206">
        <v>3</v>
      </c>
      <c r="BR67" s="203">
        <v>4</v>
      </c>
      <c r="BS67" s="204">
        <v>124</v>
      </c>
      <c r="BT67" s="204">
        <v>15</v>
      </c>
      <c r="BU67" s="204">
        <v>30</v>
      </c>
      <c r="BV67" s="204">
        <v>9</v>
      </c>
      <c r="BW67" s="204" t="s">
        <v>585</v>
      </c>
      <c r="BX67" s="204" t="s">
        <v>585</v>
      </c>
      <c r="BY67" s="204">
        <v>9</v>
      </c>
      <c r="BZ67" s="204">
        <v>24</v>
      </c>
      <c r="CA67" s="204">
        <v>43</v>
      </c>
      <c r="CB67" s="204" t="s">
        <v>585</v>
      </c>
      <c r="CC67" s="204" t="s">
        <v>585</v>
      </c>
      <c r="CD67" s="204">
        <v>14</v>
      </c>
      <c r="CE67" s="204" t="s">
        <v>585</v>
      </c>
      <c r="CF67" s="202">
        <v>272</v>
      </c>
      <c r="CG67" s="206">
        <v>12</v>
      </c>
      <c r="CH67" s="204" t="s">
        <v>585</v>
      </c>
      <c r="CI67" s="206">
        <v>12</v>
      </c>
      <c r="CJ67" s="193" t="s">
        <v>585</v>
      </c>
      <c r="CK67" s="206">
        <v>12724</v>
      </c>
      <c r="CL67" s="204">
        <v>116</v>
      </c>
      <c r="CM67" s="204">
        <v>39042</v>
      </c>
      <c r="CN67" s="204">
        <v>8364</v>
      </c>
      <c r="CO67" s="204">
        <v>187</v>
      </c>
      <c r="CP67" s="204">
        <v>27</v>
      </c>
      <c r="CQ67" s="204">
        <v>155</v>
      </c>
      <c r="CR67" s="204">
        <v>1</v>
      </c>
      <c r="CS67" s="204">
        <v>149</v>
      </c>
      <c r="CT67" s="204">
        <v>133</v>
      </c>
      <c r="CU67" s="204" t="s">
        <v>585</v>
      </c>
      <c r="CV67" s="206">
        <v>60898</v>
      </c>
      <c r="CW67" s="203">
        <v>41035</v>
      </c>
      <c r="CX67" s="204">
        <v>255</v>
      </c>
      <c r="CY67" s="204">
        <v>121</v>
      </c>
      <c r="CZ67" s="204">
        <v>248</v>
      </c>
      <c r="DA67" s="204">
        <v>42</v>
      </c>
      <c r="DB67" s="204">
        <v>24</v>
      </c>
      <c r="DC67" s="204" t="s">
        <v>585</v>
      </c>
      <c r="DD67" s="202">
        <v>41725</v>
      </c>
      <c r="DE67" s="206" t="s">
        <v>585</v>
      </c>
      <c r="DF67" s="203" t="s">
        <v>585</v>
      </c>
      <c r="DG67" s="204" t="s">
        <v>585</v>
      </c>
      <c r="DH67" s="202" t="s">
        <v>585</v>
      </c>
      <c r="DI67" s="206" t="s">
        <v>585</v>
      </c>
      <c r="DJ67" s="204" t="s">
        <v>585</v>
      </c>
      <c r="DK67" s="206" t="s">
        <v>585</v>
      </c>
      <c r="DL67" s="193">
        <v>2499</v>
      </c>
      <c r="DM67" s="206" t="s">
        <v>585</v>
      </c>
      <c r="DN67" s="204" t="s">
        <v>585</v>
      </c>
      <c r="DO67" s="206" t="s">
        <v>585</v>
      </c>
      <c r="DP67" s="203">
        <v>845</v>
      </c>
      <c r="DQ67" s="204">
        <v>4</v>
      </c>
      <c r="DR67" s="202">
        <v>849</v>
      </c>
      <c r="DS67" s="206">
        <v>36</v>
      </c>
      <c r="DT67" s="193">
        <v>1</v>
      </c>
      <c r="DU67" s="206">
        <v>6130</v>
      </c>
      <c r="DV67" s="204" t="s">
        <v>585</v>
      </c>
      <c r="DW67" s="206">
        <v>6130</v>
      </c>
      <c r="DX67" s="193">
        <v>1</v>
      </c>
      <c r="DY67" s="193" t="s">
        <v>585</v>
      </c>
      <c r="DZ67" s="206">
        <v>961</v>
      </c>
      <c r="EA67" s="204">
        <v>5</v>
      </c>
      <c r="EB67" s="204">
        <v>33</v>
      </c>
      <c r="EC67" s="204">
        <v>86</v>
      </c>
      <c r="ED67" s="204" t="s">
        <v>585</v>
      </c>
      <c r="EE67" s="204" t="s">
        <v>585</v>
      </c>
      <c r="EF67" s="204" t="s">
        <v>585</v>
      </c>
      <c r="EG67" s="206">
        <v>1085</v>
      </c>
      <c r="EH67" s="203">
        <v>19634</v>
      </c>
      <c r="EI67" s="204">
        <v>25118</v>
      </c>
      <c r="EJ67" s="204">
        <v>7</v>
      </c>
      <c r="EK67" s="204">
        <v>396</v>
      </c>
      <c r="EL67" s="204">
        <v>5477</v>
      </c>
      <c r="EM67" s="204">
        <v>118703</v>
      </c>
      <c r="EN67" s="204">
        <v>4650</v>
      </c>
      <c r="EO67" s="204">
        <v>28</v>
      </c>
      <c r="EP67" s="204">
        <v>17943</v>
      </c>
      <c r="EQ67" s="204">
        <v>10</v>
      </c>
      <c r="ER67" s="204">
        <v>18</v>
      </c>
      <c r="ES67" s="204" t="s">
        <v>585</v>
      </c>
      <c r="ET67" s="204" t="s">
        <v>585</v>
      </c>
      <c r="EU67" s="202">
        <v>191984</v>
      </c>
      <c r="EV67" s="206" t="s">
        <v>585</v>
      </c>
      <c r="EW67" s="193" t="s">
        <v>585</v>
      </c>
      <c r="EX67" s="206" t="s">
        <v>585</v>
      </c>
      <c r="EY67" s="204">
        <v>5</v>
      </c>
      <c r="EZ67" s="204" t="s">
        <v>585</v>
      </c>
      <c r="FA67" s="206">
        <v>5</v>
      </c>
      <c r="FB67" s="193" t="s">
        <v>585</v>
      </c>
      <c r="FC67" s="206">
        <v>24</v>
      </c>
      <c r="FD67" s="203">
        <v>33</v>
      </c>
      <c r="FE67" s="204">
        <v>24</v>
      </c>
      <c r="FF67" s="204">
        <v>1</v>
      </c>
      <c r="FG67" s="204">
        <v>3</v>
      </c>
      <c r="FH67" s="202">
        <v>61</v>
      </c>
      <c r="FI67" s="206" t="s">
        <v>585</v>
      </c>
      <c r="FJ67" s="204" t="s">
        <v>585</v>
      </c>
      <c r="FK67" s="206" t="s">
        <v>585</v>
      </c>
      <c r="FL67" s="203" t="s">
        <v>585</v>
      </c>
      <c r="FM67" s="204" t="s">
        <v>585</v>
      </c>
      <c r="FN67" s="202" t="s">
        <v>585</v>
      </c>
      <c r="FO67" s="206" t="s">
        <v>585</v>
      </c>
      <c r="FP67" s="193">
        <v>76</v>
      </c>
      <c r="FQ67" s="206">
        <v>4</v>
      </c>
      <c r="FR67" s="204">
        <v>156</v>
      </c>
      <c r="FS67" s="204">
        <v>31</v>
      </c>
      <c r="FT67" s="206">
        <v>191</v>
      </c>
      <c r="FU67" s="203">
        <v>12</v>
      </c>
      <c r="FV67" s="204">
        <v>23</v>
      </c>
      <c r="FW67" s="202">
        <v>35</v>
      </c>
      <c r="FX67" s="206" t="s">
        <v>585</v>
      </c>
      <c r="FY67" s="203" t="s">
        <v>585</v>
      </c>
      <c r="FZ67" s="204">
        <v>9</v>
      </c>
      <c r="GA67" s="204" t="s">
        <v>585</v>
      </c>
      <c r="GB67" s="202">
        <v>9</v>
      </c>
      <c r="GC67" s="206">
        <v>144</v>
      </c>
      <c r="GD67" s="203">
        <v>264</v>
      </c>
      <c r="GE67" s="204">
        <v>47</v>
      </c>
      <c r="GF67" s="204">
        <v>33</v>
      </c>
      <c r="GG67" s="204">
        <v>2</v>
      </c>
      <c r="GH67" s="202">
        <v>346</v>
      </c>
      <c r="GI67" s="193">
        <v>880839</v>
      </c>
      <c r="GJ67" s="368">
        <f>880839/45058286</f>
        <v>1.9548879422532851E-2</v>
      </c>
      <c r="GK67" s="382"/>
    </row>
    <row r="68" spans="2:193" ht="12" customHeight="1" x14ac:dyDescent="0.2">
      <c r="B68" s="359" t="s">
        <v>198</v>
      </c>
      <c r="C68" s="203">
        <v>29</v>
      </c>
      <c r="D68" s="204" t="s">
        <v>585</v>
      </c>
      <c r="E68" s="204" t="s">
        <v>585</v>
      </c>
      <c r="F68" s="204">
        <v>1</v>
      </c>
      <c r="G68" s="202">
        <v>30</v>
      </c>
      <c r="H68" s="193" t="s">
        <v>585</v>
      </c>
      <c r="I68" s="206">
        <v>6</v>
      </c>
      <c r="J68" s="204" t="s">
        <v>585</v>
      </c>
      <c r="K68" s="206">
        <v>6</v>
      </c>
      <c r="L68" s="193" t="s">
        <v>585</v>
      </c>
      <c r="M68" s="193">
        <v>350</v>
      </c>
      <c r="N68" s="206">
        <v>6</v>
      </c>
      <c r="O68" s="204">
        <v>5</v>
      </c>
      <c r="P68" s="204">
        <v>6983</v>
      </c>
      <c r="Q68" s="204">
        <v>13</v>
      </c>
      <c r="R68" s="204">
        <v>57</v>
      </c>
      <c r="S68" s="204" t="s">
        <v>585</v>
      </c>
      <c r="T68" s="204" t="s">
        <v>585</v>
      </c>
      <c r="U68" s="206">
        <v>7064</v>
      </c>
      <c r="V68" s="203">
        <v>5</v>
      </c>
      <c r="W68" s="204">
        <v>5</v>
      </c>
      <c r="X68" s="202">
        <v>10</v>
      </c>
      <c r="Y68" s="206">
        <v>49</v>
      </c>
      <c r="Z68" s="204">
        <v>1</v>
      </c>
      <c r="AA68" s="204" t="s">
        <v>585</v>
      </c>
      <c r="AB68" s="206">
        <v>50</v>
      </c>
      <c r="AC68" s="203">
        <v>1187</v>
      </c>
      <c r="AD68" s="204">
        <v>1</v>
      </c>
      <c r="AE68" s="204" t="s">
        <v>585</v>
      </c>
      <c r="AF68" s="202">
        <v>1188</v>
      </c>
      <c r="AG68" s="206">
        <v>43</v>
      </c>
      <c r="AH68" s="204" t="s">
        <v>585</v>
      </c>
      <c r="AI68" s="204" t="s">
        <v>585</v>
      </c>
      <c r="AJ68" s="204" t="s">
        <v>585</v>
      </c>
      <c r="AK68" s="206">
        <v>43</v>
      </c>
      <c r="AL68" s="193" t="s">
        <v>585</v>
      </c>
      <c r="AM68" s="193" t="s">
        <v>585</v>
      </c>
      <c r="AN68" s="206" t="s">
        <v>585</v>
      </c>
      <c r="AO68" s="204" t="s">
        <v>585</v>
      </c>
      <c r="AP68" s="206" t="s">
        <v>585</v>
      </c>
      <c r="AQ68" s="203">
        <v>40</v>
      </c>
      <c r="AR68" s="204" t="s">
        <v>585</v>
      </c>
      <c r="AS68" s="204">
        <v>1</v>
      </c>
      <c r="AT68" s="204" t="s">
        <v>585</v>
      </c>
      <c r="AU68" s="204" t="s">
        <v>585</v>
      </c>
      <c r="AV68" s="204" t="s">
        <v>585</v>
      </c>
      <c r="AW68" s="204" t="s">
        <v>585</v>
      </c>
      <c r="AX68" s="202">
        <v>41</v>
      </c>
      <c r="AY68" s="206">
        <v>1</v>
      </c>
      <c r="AZ68" s="193">
        <v>1</v>
      </c>
      <c r="BA68" s="206">
        <v>24</v>
      </c>
      <c r="BB68" s="377">
        <v>318</v>
      </c>
      <c r="BC68" s="206">
        <v>365</v>
      </c>
      <c r="BD68" s="206">
        <v>212</v>
      </c>
      <c r="BE68" s="378">
        <v>28</v>
      </c>
      <c r="BF68" s="206">
        <v>947</v>
      </c>
      <c r="BG68" s="193" t="s">
        <v>585</v>
      </c>
      <c r="BH68" s="193" t="s">
        <v>585</v>
      </c>
      <c r="BI68" s="193">
        <v>1</v>
      </c>
      <c r="BJ68" s="193" t="s">
        <v>585</v>
      </c>
      <c r="BK68" s="206">
        <v>5</v>
      </c>
      <c r="BL68" s="204" t="s">
        <v>585</v>
      </c>
      <c r="BM68" s="206">
        <v>5</v>
      </c>
      <c r="BN68" s="193" t="s">
        <v>585</v>
      </c>
      <c r="BO68" s="206" t="s">
        <v>585</v>
      </c>
      <c r="BP68" s="204" t="s">
        <v>585</v>
      </c>
      <c r="BQ68" s="206" t="s">
        <v>585</v>
      </c>
      <c r="BR68" s="203">
        <v>5</v>
      </c>
      <c r="BS68" s="204" t="s">
        <v>585</v>
      </c>
      <c r="BT68" s="204" t="s">
        <v>585</v>
      </c>
      <c r="BU68" s="204" t="s">
        <v>585</v>
      </c>
      <c r="BV68" s="204" t="s">
        <v>585</v>
      </c>
      <c r="BW68" s="204" t="s">
        <v>585</v>
      </c>
      <c r="BX68" s="204" t="s">
        <v>585</v>
      </c>
      <c r="BY68" s="204" t="s">
        <v>585</v>
      </c>
      <c r="BZ68" s="204" t="s">
        <v>585</v>
      </c>
      <c r="CA68" s="204">
        <v>1</v>
      </c>
      <c r="CB68" s="204" t="s">
        <v>585</v>
      </c>
      <c r="CC68" s="204" t="s">
        <v>585</v>
      </c>
      <c r="CD68" s="204" t="s">
        <v>585</v>
      </c>
      <c r="CE68" s="204" t="s">
        <v>585</v>
      </c>
      <c r="CF68" s="202">
        <v>6</v>
      </c>
      <c r="CG68" s="206" t="s">
        <v>585</v>
      </c>
      <c r="CH68" s="204" t="s">
        <v>585</v>
      </c>
      <c r="CI68" s="206" t="s">
        <v>585</v>
      </c>
      <c r="CJ68" s="193">
        <v>1</v>
      </c>
      <c r="CK68" s="206">
        <v>6455</v>
      </c>
      <c r="CL68" s="204">
        <v>1</v>
      </c>
      <c r="CM68" s="204">
        <v>28212</v>
      </c>
      <c r="CN68" s="204">
        <v>4795</v>
      </c>
      <c r="CO68" s="204">
        <v>60</v>
      </c>
      <c r="CP68" s="204">
        <v>2</v>
      </c>
      <c r="CQ68" s="204">
        <v>2</v>
      </c>
      <c r="CR68" s="204" t="s">
        <v>585</v>
      </c>
      <c r="CS68" s="204">
        <v>2</v>
      </c>
      <c r="CT68" s="204" t="s">
        <v>585</v>
      </c>
      <c r="CU68" s="204" t="s">
        <v>585</v>
      </c>
      <c r="CV68" s="206">
        <v>39529</v>
      </c>
      <c r="CW68" s="203">
        <v>919</v>
      </c>
      <c r="CX68" s="204">
        <v>1</v>
      </c>
      <c r="CY68" s="204">
        <v>133</v>
      </c>
      <c r="CZ68" s="204">
        <v>1</v>
      </c>
      <c r="DA68" s="204">
        <v>10</v>
      </c>
      <c r="DB68" s="204">
        <v>10</v>
      </c>
      <c r="DC68" s="204" t="s">
        <v>585</v>
      </c>
      <c r="DD68" s="202">
        <v>1074</v>
      </c>
      <c r="DE68" s="206" t="s">
        <v>585</v>
      </c>
      <c r="DF68" s="203">
        <v>1</v>
      </c>
      <c r="DG68" s="204" t="s">
        <v>585</v>
      </c>
      <c r="DH68" s="202">
        <v>1</v>
      </c>
      <c r="DI68" s="206" t="s">
        <v>585</v>
      </c>
      <c r="DJ68" s="204" t="s">
        <v>585</v>
      </c>
      <c r="DK68" s="206" t="s">
        <v>585</v>
      </c>
      <c r="DL68" s="193">
        <v>21</v>
      </c>
      <c r="DM68" s="206" t="s">
        <v>585</v>
      </c>
      <c r="DN68" s="204" t="s">
        <v>585</v>
      </c>
      <c r="DO68" s="206" t="s">
        <v>585</v>
      </c>
      <c r="DP68" s="203">
        <v>14</v>
      </c>
      <c r="DQ68" s="204" t="s">
        <v>585</v>
      </c>
      <c r="DR68" s="202">
        <v>14</v>
      </c>
      <c r="DS68" s="206">
        <v>10</v>
      </c>
      <c r="DT68" s="193">
        <v>1</v>
      </c>
      <c r="DU68" s="206">
        <v>65</v>
      </c>
      <c r="DV68" s="204" t="s">
        <v>585</v>
      </c>
      <c r="DW68" s="206">
        <v>65</v>
      </c>
      <c r="DX68" s="193" t="s">
        <v>585</v>
      </c>
      <c r="DY68" s="193" t="s">
        <v>585</v>
      </c>
      <c r="DZ68" s="206">
        <v>3</v>
      </c>
      <c r="EA68" s="204">
        <v>7</v>
      </c>
      <c r="EB68" s="204">
        <v>11</v>
      </c>
      <c r="EC68" s="204">
        <v>1</v>
      </c>
      <c r="ED68" s="204" t="s">
        <v>585</v>
      </c>
      <c r="EE68" s="204" t="s">
        <v>585</v>
      </c>
      <c r="EF68" s="204" t="s">
        <v>585</v>
      </c>
      <c r="EG68" s="206">
        <v>22</v>
      </c>
      <c r="EH68" s="203">
        <v>385</v>
      </c>
      <c r="EI68" s="204">
        <v>631</v>
      </c>
      <c r="EJ68" s="204">
        <v>29</v>
      </c>
      <c r="EK68" s="204">
        <v>53</v>
      </c>
      <c r="EL68" s="204">
        <v>1513</v>
      </c>
      <c r="EM68" s="204">
        <v>581</v>
      </c>
      <c r="EN68" s="204">
        <v>65</v>
      </c>
      <c r="EO68" s="204">
        <v>33</v>
      </c>
      <c r="EP68" s="204">
        <v>234</v>
      </c>
      <c r="EQ68" s="204">
        <v>61</v>
      </c>
      <c r="ER68" s="204">
        <v>9</v>
      </c>
      <c r="ES68" s="204" t="s">
        <v>585</v>
      </c>
      <c r="ET68" s="204" t="s">
        <v>585</v>
      </c>
      <c r="EU68" s="202">
        <v>3594</v>
      </c>
      <c r="EV68" s="206" t="s">
        <v>585</v>
      </c>
      <c r="EW68" s="193">
        <v>6</v>
      </c>
      <c r="EX68" s="206" t="s">
        <v>585</v>
      </c>
      <c r="EY68" s="204" t="s">
        <v>585</v>
      </c>
      <c r="EZ68" s="204" t="s">
        <v>585</v>
      </c>
      <c r="FA68" s="206" t="s">
        <v>585</v>
      </c>
      <c r="FB68" s="193" t="s">
        <v>585</v>
      </c>
      <c r="FC68" s="206" t="s">
        <v>585</v>
      </c>
      <c r="FD68" s="203" t="s">
        <v>585</v>
      </c>
      <c r="FE68" s="204">
        <v>9</v>
      </c>
      <c r="FF68" s="204" t="s">
        <v>585</v>
      </c>
      <c r="FG68" s="204" t="s">
        <v>585</v>
      </c>
      <c r="FH68" s="202">
        <v>9</v>
      </c>
      <c r="FI68" s="206" t="s">
        <v>585</v>
      </c>
      <c r="FJ68" s="204" t="s">
        <v>585</v>
      </c>
      <c r="FK68" s="206" t="s">
        <v>585</v>
      </c>
      <c r="FL68" s="203" t="s">
        <v>585</v>
      </c>
      <c r="FM68" s="204" t="s">
        <v>585</v>
      </c>
      <c r="FN68" s="202" t="s">
        <v>585</v>
      </c>
      <c r="FO68" s="206" t="s">
        <v>585</v>
      </c>
      <c r="FP68" s="193">
        <v>13</v>
      </c>
      <c r="FQ68" s="206">
        <v>3</v>
      </c>
      <c r="FR68" s="204" t="s">
        <v>585</v>
      </c>
      <c r="FS68" s="204" t="s">
        <v>585</v>
      </c>
      <c r="FT68" s="206">
        <v>3</v>
      </c>
      <c r="FU68" s="203">
        <v>18</v>
      </c>
      <c r="FV68" s="204" t="s">
        <v>585</v>
      </c>
      <c r="FW68" s="202">
        <v>18</v>
      </c>
      <c r="FX68" s="206" t="s">
        <v>585</v>
      </c>
      <c r="FY68" s="203">
        <v>3</v>
      </c>
      <c r="FZ68" s="204">
        <v>1</v>
      </c>
      <c r="GA68" s="204" t="s">
        <v>585</v>
      </c>
      <c r="GB68" s="202">
        <v>4</v>
      </c>
      <c r="GC68" s="206">
        <v>1</v>
      </c>
      <c r="GD68" s="203">
        <v>1</v>
      </c>
      <c r="GE68" s="204" t="s">
        <v>585</v>
      </c>
      <c r="GF68" s="204" t="s">
        <v>585</v>
      </c>
      <c r="GG68" s="204" t="s">
        <v>585</v>
      </c>
      <c r="GH68" s="202">
        <v>1</v>
      </c>
      <c r="GI68" s="193">
        <v>54130</v>
      </c>
      <c r="GJ68" s="368">
        <f>54130/45058286</f>
        <v>1.2013328691641756E-3</v>
      </c>
      <c r="GK68" s="382"/>
    </row>
    <row r="69" spans="2:193" ht="12" customHeight="1" x14ac:dyDescent="0.2">
      <c r="B69" s="359" t="s">
        <v>217</v>
      </c>
      <c r="C69" s="203">
        <v>10</v>
      </c>
      <c r="D69" s="204" t="s">
        <v>585</v>
      </c>
      <c r="E69" s="204" t="s">
        <v>585</v>
      </c>
      <c r="F69" s="204" t="s">
        <v>585</v>
      </c>
      <c r="G69" s="202">
        <v>10</v>
      </c>
      <c r="H69" s="193" t="s">
        <v>585</v>
      </c>
      <c r="I69" s="206">
        <v>19</v>
      </c>
      <c r="J69" s="204" t="s">
        <v>585</v>
      </c>
      <c r="K69" s="206">
        <v>19</v>
      </c>
      <c r="L69" s="193" t="s">
        <v>585</v>
      </c>
      <c r="M69" s="193">
        <v>341</v>
      </c>
      <c r="N69" s="206">
        <v>2</v>
      </c>
      <c r="O69" s="204" t="s">
        <v>585</v>
      </c>
      <c r="P69" s="204">
        <v>170597</v>
      </c>
      <c r="Q69" s="204">
        <v>29</v>
      </c>
      <c r="R69" s="204">
        <v>18</v>
      </c>
      <c r="S69" s="204" t="s">
        <v>585</v>
      </c>
      <c r="T69" s="204" t="s">
        <v>585</v>
      </c>
      <c r="U69" s="206">
        <v>170646</v>
      </c>
      <c r="V69" s="203">
        <v>29</v>
      </c>
      <c r="W69" s="204">
        <v>10</v>
      </c>
      <c r="X69" s="202">
        <v>39</v>
      </c>
      <c r="Y69" s="206">
        <v>156</v>
      </c>
      <c r="Z69" s="204" t="s">
        <v>585</v>
      </c>
      <c r="AA69" s="204" t="s">
        <v>585</v>
      </c>
      <c r="AB69" s="206">
        <v>156</v>
      </c>
      <c r="AC69" s="203">
        <v>200</v>
      </c>
      <c r="AD69" s="204">
        <v>54</v>
      </c>
      <c r="AE69" s="204" t="s">
        <v>585</v>
      </c>
      <c r="AF69" s="202">
        <v>254</v>
      </c>
      <c r="AG69" s="206">
        <v>19</v>
      </c>
      <c r="AH69" s="204" t="s">
        <v>585</v>
      </c>
      <c r="AI69" s="204">
        <v>3</v>
      </c>
      <c r="AJ69" s="204" t="s">
        <v>585</v>
      </c>
      <c r="AK69" s="206">
        <v>22</v>
      </c>
      <c r="AL69" s="193" t="s">
        <v>585</v>
      </c>
      <c r="AM69" s="193" t="s">
        <v>585</v>
      </c>
      <c r="AN69" s="206" t="s">
        <v>585</v>
      </c>
      <c r="AO69" s="204" t="s">
        <v>585</v>
      </c>
      <c r="AP69" s="206" t="s">
        <v>585</v>
      </c>
      <c r="AQ69" s="203" t="s">
        <v>585</v>
      </c>
      <c r="AR69" s="204">
        <v>2</v>
      </c>
      <c r="AS69" s="204">
        <v>2</v>
      </c>
      <c r="AT69" s="204" t="s">
        <v>585</v>
      </c>
      <c r="AU69" s="204" t="s">
        <v>585</v>
      </c>
      <c r="AV69" s="204" t="s">
        <v>585</v>
      </c>
      <c r="AW69" s="204" t="s">
        <v>585</v>
      </c>
      <c r="AX69" s="202">
        <v>4</v>
      </c>
      <c r="AY69" s="206" t="s">
        <v>585</v>
      </c>
      <c r="AZ69" s="193">
        <v>3</v>
      </c>
      <c r="BA69" s="206">
        <v>149</v>
      </c>
      <c r="BB69" s="377">
        <v>374</v>
      </c>
      <c r="BC69" s="206">
        <v>1656</v>
      </c>
      <c r="BD69" s="206">
        <v>29</v>
      </c>
      <c r="BE69" s="378">
        <v>38</v>
      </c>
      <c r="BF69" s="206">
        <v>2246</v>
      </c>
      <c r="BG69" s="193">
        <v>1</v>
      </c>
      <c r="BH69" s="193" t="s">
        <v>585</v>
      </c>
      <c r="BI69" s="193" t="s">
        <v>585</v>
      </c>
      <c r="BJ69" s="193">
        <v>1</v>
      </c>
      <c r="BK69" s="206">
        <v>17</v>
      </c>
      <c r="BL69" s="204" t="s">
        <v>585</v>
      </c>
      <c r="BM69" s="206">
        <v>17</v>
      </c>
      <c r="BN69" s="193" t="s">
        <v>585</v>
      </c>
      <c r="BO69" s="206">
        <v>3</v>
      </c>
      <c r="BP69" s="204" t="s">
        <v>585</v>
      </c>
      <c r="BQ69" s="206">
        <v>3</v>
      </c>
      <c r="BR69" s="203" t="s">
        <v>585</v>
      </c>
      <c r="BS69" s="204">
        <v>5</v>
      </c>
      <c r="BT69" s="204">
        <v>1</v>
      </c>
      <c r="BU69" s="204" t="s">
        <v>585</v>
      </c>
      <c r="BV69" s="204" t="s">
        <v>585</v>
      </c>
      <c r="BW69" s="204" t="s">
        <v>585</v>
      </c>
      <c r="BX69" s="204" t="s">
        <v>585</v>
      </c>
      <c r="BY69" s="204" t="s">
        <v>585</v>
      </c>
      <c r="BZ69" s="204" t="s">
        <v>585</v>
      </c>
      <c r="CA69" s="204">
        <v>1</v>
      </c>
      <c r="CB69" s="204" t="s">
        <v>585</v>
      </c>
      <c r="CC69" s="204" t="s">
        <v>585</v>
      </c>
      <c r="CD69" s="204" t="s">
        <v>585</v>
      </c>
      <c r="CE69" s="204" t="s">
        <v>585</v>
      </c>
      <c r="CF69" s="202">
        <v>7</v>
      </c>
      <c r="CG69" s="206">
        <v>2</v>
      </c>
      <c r="CH69" s="204" t="s">
        <v>585</v>
      </c>
      <c r="CI69" s="206">
        <v>2</v>
      </c>
      <c r="CJ69" s="193" t="s">
        <v>585</v>
      </c>
      <c r="CK69" s="206">
        <v>3280</v>
      </c>
      <c r="CL69" s="204" t="s">
        <v>585</v>
      </c>
      <c r="CM69" s="204">
        <v>9276</v>
      </c>
      <c r="CN69" s="204">
        <v>6154</v>
      </c>
      <c r="CO69" s="204">
        <v>15</v>
      </c>
      <c r="CP69" s="204" t="s">
        <v>585</v>
      </c>
      <c r="CQ69" s="204">
        <v>1</v>
      </c>
      <c r="CR69" s="204" t="s">
        <v>585</v>
      </c>
      <c r="CS69" s="204" t="s">
        <v>585</v>
      </c>
      <c r="CT69" s="204">
        <v>2</v>
      </c>
      <c r="CU69" s="204" t="s">
        <v>585</v>
      </c>
      <c r="CV69" s="206">
        <v>18728</v>
      </c>
      <c r="CW69" s="203">
        <v>9370</v>
      </c>
      <c r="CX69" s="204" t="s">
        <v>585</v>
      </c>
      <c r="CY69" s="204">
        <v>20</v>
      </c>
      <c r="CZ69" s="204">
        <v>4</v>
      </c>
      <c r="DA69" s="204">
        <v>2</v>
      </c>
      <c r="DB69" s="204" t="s">
        <v>585</v>
      </c>
      <c r="DC69" s="204" t="s">
        <v>585</v>
      </c>
      <c r="DD69" s="202">
        <v>9396</v>
      </c>
      <c r="DE69" s="206" t="s">
        <v>585</v>
      </c>
      <c r="DF69" s="203" t="s">
        <v>585</v>
      </c>
      <c r="DG69" s="204" t="s">
        <v>585</v>
      </c>
      <c r="DH69" s="202" t="s">
        <v>585</v>
      </c>
      <c r="DI69" s="206" t="s">
        <v>585</v>
      </c>
      <c r="DJ69" s="204" t="s">
        <v>585</v>
      </c>
      <c r="DK69" s="206" t="s">
        <v>585</v>
      </c>
      <c r="DL69" s="193">
        <v>28</v>
      </c>
      <c r="DM69" s="206" t="s">
        <v>585</v>
      </c>
      <c r="DN69" s="204" t="s">
        <v>585</v>
      </c>
      <c r="DO69" s="206" t="s">
        <v>585</v>
      </c>
      <c r="DP69" s="203">
        <v>7</v>
      </c>
      <c r="DQ69" s="204" t="s">
        <v>585</v>
      </c>
      <c r="DR69" s="202">
        <v>7</v>
      </c>
      <c r="DS69" s="206" t="s">
        <v>585</v>
      </c>
      <c r="DT69" s="193" t="s">
        <v>585</v>
      </c>
      <c r="DU69" s="206">
        <v>851</v>
      </c>
      <c r="DV69" s="204" t="s">
        <v>585</v>
      </c>
      <c r="DW69" s="206">
        <v>851</v>
      </c>
      <c r="DX69" s="193">
        <v>1</v>
      </c>
      <c r="DY69" s="193" t="s">
        <v>585</v>
      </c>
      <c r="DZ69" s="206">
        <v>2</v>
      </c>
      <c r="EA69" s="204">
        <v>6</v>
      </c>
      <c r="EB69" s="204">
        <v>11</v>
      </c>
      <c r="EC69" s="204" t="s">
        <v>585</v>
      </c>
      <c r="ED69" s="204" t="s">
        <v>585</v>
      </c>
      <c r="EE69" s="204" t="s">
        <v>585</v>
      </c>
      <c r="EF69" s="204" t="s">
        <v>585</v>
      </c>
      <c r="EG69" s="206">
        <v>19</v>
      </c>
      <c r="EH69" s="203">
        <v>410</v>
      </c>
      <c r="EI69" s="204">
        <v>2437</v>
      </c>
      <c r="EJ69" s="204">
        <v>1</v>
      </c>
      <c r="EK69" s="204">
        <v>188</v>
      </c>
      <c r="EL69" s="204">
        <v>408</v>
      </c>
      <c r="EM69" s="204">
        <v>614</v>
      </c>
      <c r="EN69" s="204">
        <v>35</v>
      </c>
      <c r="EO69" s="204">
        <v>6</v>
      </c>
      <c r="EP69" s="204">
        <v>153</v>
      </c>
      <c r="EQ69" s="204">
        <v>2</v>
      </c>
      <c r="ER69" s="204" t="s">
        <v>585</v>
      </c>
      <c r="ES69" s="204" t="s">
        <v>585</v>
      </c>
      <c r="ET69" s="204" t="s">
        <v>585</v>
      </c>
      <c r="EU69" s="202">
        <v>4254</v>
      </c>
      <c r="EV69" s="206" t="s">
        <v>585</v>
      </c>
      <c r="EW69" s="193">
        <v>2</v>
      </c>
      <c r="EX69" s="206" t="s">
        <v>585</v>
      </c>
      <c r="EY69" s="204">
        <v>3</v>
      </c>
      <c r="EZ69" s="204" t="s">
        <v>585</v>
      </c>
      <c r="FA69" s="206">
        <v>3</v>
      </c>
      <c r="FB69" s="193" t="s">
        <v>585</v>
      </c>
      <c r="FC69" s="206" t="s">
        <v>585</v>
      </c>
      <c r="FD69" s="203">
        <v>1</v>
      </c>
      <c r="FE69" s="204">
        <v>5</v>
      </c>
      <c r="FF69" s="204" t="s">
        <v>585</v>
      </c>
      <c r="FG69" s="204" t="s">
        <v>585</v>
      </c>
      <c r="FH69" s="202">
        <v>6</v>
      </c>
      <c r="FI69" s="206" t="s">
        <v>585</v>
      </c>
      <c r="FJ69" s="204" t="s">
        <v>585</v>
      </c>
      <c r="FK69" s="206" t="s">
        <v>585</v>
      </c>
      <c r="FL69" s="203" t="s">
        <v>585</v>
      </c>
      <c r="FM69" s="204" t="s">
        <v>585</v>
      </c>
      <c r="FN69" s="202" t="s">
        <v>585</v>
      </c>
      <c r="FO69" s="206">
        <v>1</v>
      </c>
      <c r="FP69" s="193">
        <v>11</v>
      </c>
      <c r="FQ69" s="206">
        <v>9</v>
      </c>
      <c r="FR69" s="204" t="s">
        <v>585</v>
      </c>
      <c r="FS69" s="204" t="s">
        <v>585</v>
      </c>
      <c r="FT69" s="206">
        <v>9</v>
      </c>
      <c r="FU69" s="203">
        <v>8</v>
      </c>
      <c r="FV69" s="204" t="s">
        <v>585</v>
      </c>
      <c r="FW69" s="202">
        <v>8</v>
      </c>
      <c r="FX69" s="206" t="s">
        <v>585</v>
      </c>
      <c r="FY69" s="203">
        <v>6</v>
      </c>
      <c r="FZ69" s="204">
        <v>1</v>
      </c>
      <c r="GA69" s="204" t="s">
        <v>585</v>
      </c>
      <c r="GB69" s="202">
        <v>7</v>
      </c>
      <c r="GC69" s="206">
        <v>6</v>
      </c>
      <c r="GD69" s="203" t="s">
        <v>585</v>
      </c>
      <c r="GE69" s="204" t="s">
        <v>585</v>
      </c>
      <c r="GF69" s="204" t="s">
        <v>585</v>
      </c>
      <c r="GG69" s="204" t="s">
        <v>585</v>
      </c>
      <c r="GH69" s="202" t="s">
        <v>585</v>
      </c>
      <c r="GI69" s="193">
        <v>207108</v>
      </c>
      <c r="GJ69" s="368">
        <f>207108/45058286</f>
        <v>4.5964464782348802E-3</v>
      </c>
      <c r="GK69" s="382"/>
    </row>
    <row r="70" spans="2:193" ht="12" customHeight="1" x14ac:dyDescent="0.2">
      <c r="B70" s="359" t="s">
        <v>257</v>
      </c>
      <c r="C70" s="203">
        <v>85</v>
      </c>
      <c r="D70" s="204">
        <v>37</v>
      </c>
      <c r="E70" s="204">
        <v>30</v>
      </c>
      <c r="F70" s="204">
        <v>195</v>
      </c>
      <c r="G70" s="202">
        <v>347</v>
      </c>
      <c r="H70" s="193" t="s">
        <v>585</v>
      </c>
      <c r="I70" s="206">
        <v>7</v>
      </c>
      <c r="J70" s="204" t="s">
        <v>585</v>
      </c>
      <c r="K70" s="206">
        <v>7</v>
      </c>
      <c r="L70" s="193">
        <v>2</v>
      </c>
      <c r="M70" s="193">
        <v>363</v>
      </c>
      <c r="N70" s="206">
        <v>27</v>
      </c>
      <c r="O70" s="204">
        <v>46</v>
      </c>
      <c r="P70" s="204">
        <v>6482</v>
      </c>
      <c r="Q70" s="204">
        <v>43</v>
      </c>
      <c r="R70" s="204">
        <v>1856</v>
      </c>
      <c r="S70" s="204" t="s">
        <v>585</v>
      </c>
      <c r="T70" s="204" t="s">
        <v>585</v>
      </c>
      <c r="U70" s="206">
        <v>8454</v>
      </c>
      <c r="V70" s="203">
        <v>108</v>
      </c>
      <c r="W70" s="204">
        <v>429</v>
      </c>
      <c r="X70" s="202">
        <v>537</v>
      </c>
      <c r="Y70" s="206">
        <v>8691</v>
      </c>
      <c r="Z70" s="204">
        <v>8</v>
      </c>
      <c r="AA70" s="204" t="s">
        <v>585</v>
      </c>
      <c r="AB70" s="206">
        <v>8699</v>
      </c>
      <c r="AC70" s="203">
        <v>13063</v>
      </c>
      <c r="AD70" s="204">
        <v>13</v>
      </c>
      <c r="AE70" s="204">
        <v>1</v>
      </c>
      <c r="AF70" s="202">
        <v>13077</v>
      </c>
      <c r="AG70" s="206">
        <v>31313</v>
      </c>
      <c r="AH70" s="204" t="s">
        <v>585</v>
      </c>
      <c r="AI70" s="204" t="s">
        <v>585</v>
      </c>
      <c r="AJ70" s="204">
        <v>13</v>
      </c>
      <c r="AK70" s="206">
        <v>31326</v>
      </c>
      <c r="AL70" s="193" t="s">
        <v>585</v>
      </c>
      <c r="AM70" s="193" t="s">
        <v>585</v>
      </c>
      <c r="AN70" s="206">
        <v>94</v>
      </c>
      <c r="AO70" s="204">
        <v>1</v>
      </c>
      <c r="AP70" s="206">
        <v>95</v>
      </c>
      <c r="AQ70" s="203">
        <v>379</v>
      </c>
      <c r="AR70" s="204">
        <v>10</v>
      </c>
      <c r="AS70" s="204">
        <v>526</v>
      </c>
      <c r="AT70" s="204">
        <v>63</v>
      </c>
      <c r="AU70" s="204">
        <v>11</v>
      </c>
      <c r="AV70" s="204" t="s">
        <v>585</v>
      </c>
      <c r="AW70" s="204" t="s">
        <v>585</v>
      </c>
      <c r="AX70" s="202">
        <v>989</v>
      </c>
      <c r="AY70" s="206">
        <v>2</v>
      </c>
      <c r="AZ70" s="193">
        <v>4</v>
      </c>
      <c r="BA70" s="206">
        <v>326</v>
      </c>
      <c r="BB70" s="377">
        <v>347504</v>
      </c>
      <c r="BC70" s="206">
        <v>3629</v>
      </c>
      <c r="BD70" s="206">
        <v>53</v>
      </c>
      <c r="BE70" s="378">
        <v>218907</v>
      </c>
      <c r="BF70" s="206">
        <v>570419</v>
      </c>
      <c r="BG70" s="193">
        <v>4</v>
      </c>
      <c r="BH70" s="193" t="s">
        <v>585</v>
      </c>
      <c r="BI70" s="193" t="s">
        <v>585</v>
      </c>
      <c r="BJ70" s="193">
        <v>1</v>
      </c>
      <c r="BK70" s="206">
        <v>54</v>
      </c>
      <c r="BL70" s="204" t="s">
        <v>585</v>
      </c>
      <c r="BM70" s="206">
        <v>54</v>
      </c>
      <c r="BN70" s="193" t="s">
        <v>585</v>
      </c>
      <c r="BO70" s="206" t="s">
        <v>585</v>
      </c>
      <c r="BP70" s="204" t="s">
        <v>585</v>
      </c>
      <c r="BQ70" s="206" t="s">
        <v>585</v>
      </c>
      <c r="BR70" s="203">
        <v>12</v>
      </c>
      <c r="BS70" s="204">
        <v>236</v>
      </c>
      <c r="BT70" s="204">
        <v>127</v>
      </c>
      <c r="BU70" s="204">
        <v>28</v>
      </c>
      <c r="BV70" s="204" t="s">
        <v>585</v>
      </c>
      <c r="BW70" s="204" t="s">
        <v>585</v>
      </c>
      <c r="BX70" s="204">
        <v>6</v>
      </c>
      <c r="BY70" s="204">
        <v>19</v>
      </c>
      <c r="BZ70" s="204">
        <v>81</v>
      </c>
      <c r="CA70" s="204">
        <v>61</v>
      </c>
      <c r="CB70" s="204" t="s">
        <v>585</v>
      </c>
      <c r="CC70" s="204" t="s">
        <v>585</v>
      </c>
      <c r="CD70" s="204">
        <v>2</v>
      </c>
      <c r="CE70" s="204">
        <v>2</v>
      </c>
      <c r="CF70" s="202">
        <v>574</v>
      </c>
      <c r="CG70" s="206">
        <v>2</v>
      </c>
      <c r="CH70" s="204" t="s">
        <v>585</v>
      </c>
      <c r="CI70" s="206">
        <v>2</v>
      </c>
      <c r="CJ70" s="193">
        <v>1</v>
      </c>
      <c r="CK70" s="206">
        <v>25148</v>
      </c>
      <c r="CL70" s="204">
        <v>56</v>
      </c>
      <c r="CM70" s="204">
        <v>63554</v>
      </c>
      <c r="CN70" s="204">
        <v>21368</v>
      </c>
      <c r="CO70" s="204">
        <v>298</v>
      </c>
      <c r="CP70" s="204">
        <v>9</v>
      </c>
      <c r="CQ70" s="204">
        <v>230</v>
      </c>
      <c r="CR70" s="204">
        <v>4</v>
      </c>
      <c r="CS70" s="204">
        <v>485</v>
      </c>
      <c r="CT70" s="204" t="s">
        <v>585</v>
      </c>
      <c r="CU70" s="204" t="s">
        <v>585</v>
      </c>
      <c r="CV70" s="206">
        <v>111152</v>
      </c>
      <c r="CW70" s="203">
        <v>4785</v>
      </c>
      <c r="CX70" s="204">
        <v>492</v>
      </c>
      <c r="CY70" s="204">
        <v>27406</v>
      </c>
      <c r="CZ70" s="204">
        <v>132</v>
      </c>
      <c r="DA70" s="204">
        <v>170</v>
      </c>
      <c r="DB70" s="204">
        <v>938</v>
      </c>
      <c r="DC70" s="204">
        <v>1</v>
      </c>
      <c r="DD70" s="202">
        <v>33924</v>
      </c>
      <c r="DE70" s="206" t="s">
        <v>585</v>
      </c>
      <c r="DF70" s="203" t="s">
        <v>585</v>
      </c>
      <c r="DG70" s="204" t="s">
        <v>585</v>
      </c>
      <c r="DH70" s="202" t="s">
        <v>585</v>
      </c>
      <c r="DI70" s="206" t="s">
        <v>585</v>
      </c>
      <c r="DJ70" s="204" t="s">
        <v>585</v>
      </c>
      <c r="DK70" s="206" t="s">
        <v>585</v>
      </c>
      <c r="DL70" s="193">
        <v>199</v>
      </c>
      <c r="DM70" s="206" t="s">
        <v>585</v>
      </c>
      <c r="DN70" s="204" t="s">
        <v>585</v>
      </c>
      <c r="DO70" s="206" t="s">
        <v>585</v>
      </c>
      <c r="DP70" s="203">
        <v>634</v>
      </c>
      <c r="DQ70" s="204">
        <v>1</v>
      </c>
      <c r="DR70" s="202">
        <v>635</v>
      </c>
      <c r="DS70" s="206">
        <v>12</v>
      </c>
      <c r="DT70" s="193">
        <v>1</v>
      </c>
      <c r="DU70" s="206">
        <v>256</v>
      </c>
      <c r="DV70" s="204" t="s">
        <v>585</v>
      </c>
      <c r="DW70" s="206">
        <v>256</v>
      </c>
      <c r="DX70" s="193">
        <v>2</v>
      </c>
      <c r="DY70" s="193" t="s">
        <v>585</v>
      </c>
      <c r="DZ70" s="206">
        <v>712</v>
      </c>
      <c r="EA70" s="204">
        <v>173</v>
      </c>
      <c r="EB70" s="204">
        <v>211</v>
      </c>
      <c r="EC70" s="204">
        <v>173</v>
      </c>
      <c r="ED70" s="204" t="s">
        <v>585</v>
      </c>
      <c r="EE70" s="204" t="s">
        <v>585</v>
      </c>
      <c r="EF70" s="204" t="s">
        <v>585</v>
      </c>
      <c r="EG70" s="206">
        <v>1269</v>
      </c>
      <c r="EH70" s="203">
        <v>25997</v>
      </c>
      <c r="EI70" s="204">
        <v>257</v>
      </c>
      <c r="EJ70" s="204">
        <v>416</v>
      </c>
      <c r="EK70" s="204">
        <v>2651</v>
      </c>
      <c r="EL70" s="204">
        <v>17082</v>
      </c>
      <c r="EM70" s="204">
        <v>420</v>
      </c>
      <c r="EN70" s="204">
        <v>2077</v>
      </c>
      <c r="EO70" s="204">
        <v>236</v>
      </c>
      <c r="EP70" s="204">
        <v>4252</v>
      </c>
      <c r="EQ70" s="204">
        <v>89</v>
      </c>
      <c r="ER70" s="204">
        <v>68</v>
      </c>
      <c r="ES70" s="204" t="s">
        <v>585</v>
      </c>
      <c r="ET70" s="204">
        <v>3</v>
      </c>
      <c r="EU70" s="202">
        <v>53548</v>
      </c>
      <c r="EV70" s="206" t="s">
        <v>585</v>
      </c>
      <c r="EW70" s="193">
        <v>3</v>
      </c>
      <c r="EX70" s="206" t="s">
        <v>585</v>
      </c>
      <c r="EY70" s="204">
        <v>4</v>
      </c>
      <c r="EZ70" s="204" t="s">
        <v>585</v>
      </c>
      <c r="FA70" s="206">
        <v>4</v>
      </c>
      <c r="FB70" s="193" t="s">
        <v>585</v>
      </c>
      <c r="FC70" s="206">
        <v>5</v>
      </c>
      <c r="FD70" s="203">
        <v>39</v>
      </c>
      <c r="FE70" s="204">
        <v>13</v>
      </c>
      <c r="FF70" s="204">
        <v>7</v>
      </c>
      <c r="FG70" s="204">
        <v>2</v>
      </c>
      <c r="FH70" s="202">
        <v>61</v>
      </c>
      <c r="FI70" s="206">
        <v>1</v>
      </c>
      <c r="FJ70" s="204" t="s">
        <v>585</v>
      </c>
      <c r="FK70" s="206">
        <v>1</v>
      </c>
      <c r="FL70" s="203" t="s">
        <v>585</v>
      </c>
      <c r="FM70" s="204" t="s">
        <v>585</v>
      </c>
      <c r="FN70" s="202" t="s">
        <v>585</v>
      </c>
      <c r="FO70" s="206" t="s">
        <v>585</v>
      </c>
      <c r="FP70" s="193">
        <v>182</v>
      </c>
      <c r="FQ70" s="206">
        <v>10</v>
      </c>
      <c r="FR70" s="204">
        <v>96</v>
      </c>
      <c r="FS70" s="204">
        <v>1</v>
      </c>
      <c r="FT70" s="206">
        <v>107</v>
      </c>
      <c r="FU70" s="203">
        <v>96</v>
      </c>
      <c r="FV70" s="204">
        <v>29</v>
      </c>
      <c r="FW70" s="202">
        <v>125</v>
      </c>
      <c r="FX70" s="206" t="s">
        <v>585</v>
      </c>
      <c r="FY70" s="203">
        <v>2</v>
      </c>
      <c r="FZ70" s="204">
        <v>6</v>
      </c>
      <c r="GA70" s="204" t="s">
        <v>585</v>
      </c>
      <c r="GB70" s="202">
        <v>8</v>
      </c>
      <c r="GC70" s="206">
        <v>179</v>
      </c>
      <c r="GD70" s="203">
        <v>184</v>
      </c>
      <c r="GE70" s="204">
        <v>60</v>
      </c>
      <c r="GF70" s="204">
        <v>8</v>
      </c>
      <c r="GG70" s="204" t="s">
        <v>585</v>
      </c>
      <c r="GH70" s="202">
        <v>252</v>
      </c>
      <c r="GI70" s="193">
        <v>836882</v>
      </c>
      <c r="GJ70" s="368">
        <f>836882/45058286</f>
        <v>1.8573320787213254E-2</v>
      </c>
      <c r="GK70" s="382"/>
    </row>
    <row r="71" spans="2:193" ht="12.75" customHeight="1" thickBot="1" x14ac:dyDescent="0.25">
      <c r="B71" s="359" t="s">
        <v>550</v>
      </c>
      <c r="C71" s="203" t="s">
        <v>585</v>
      </c>
      <c r="D71" s="204" t="s">
        <v>585</v>
      </c>
      <c r="E71" s="204" t="s">
        <v>585</v>
      </c>
      <c r="F71" s="204" t="s">
        <v>585</v>
      </c>
      <c r="G71" s="202" t="s">
        <v>585</v>
      </c>
      <c r="H71" s="193" t="s">
        <v>585</v>
      </c>
      <c r="I71" s="206" t="s">
        <v>585</v>
      </c>
      <c r="J71" s="204" t="s">
        <v>585</v>
      </c>
      <c r="K71" s="206" t="s">
        <v>585</v>
      </c>
      <c r="L71" s="193" t="s">
        <v>585</v>
      </c>
      <c r="M71" s="193" t="s">
        <v>585</v>
      </c>
      <c r="N71" s="206" t="s">
        <v>585</v>
      </c>
      <c r="O71" s="204" t="s">
        <v>585</v>
      </c>
      <c r="P71" s="204" t="s">
        <v>585</v>
      </c>
      <c r="Q71" s="204" t="s">
        <v>585</v>
      </c>
      <c r="R71" s="204" t="s">
        <v>585</v>
      </c>
      <c r="S71" s="204" t="s">
        <v>585</v>
      </c>
      <c r="T71" s="204" t="s">
        <v>585</v>
      </c>
      <c r="U71" s="206" t="s">
        <v>585</v>
      </c>
      <c r="V71" s="203" t="s">
        <v>585</v>
      </c>
      <c r="W71" s="204" t="s">
        <v>585</v>
      </c>
      <c r="X71" s="202" t="s">
        <v>585</v>
      </c>
      <c r="Y71" s="206" t="s">
        <v>585</v>
      </c>
      <c r="Z71" s="204" t="s">
        <v>585</v>
      </c>
      <c r="AA71" s="204" t="s">
        <v>585</v>
      </c>
      <c r="AB71" s="206" t="s">
        <v>585</v>
      </c>
      <c r="AC71" s="203" t="s">
        <v>585</v>
      </c>
      <c r="AD71" s="204" t="s">
        <v>585</v>
      </c>
      <c r="AE71" s="204" t="s">
        <v>585</v>
      </c>
      <c r="AF71" s="202" t="s">
        <v>585</v>
      </c>
      <c r="AG71" s="206" t="s">
        <v>585</v>
      </c>
      <c r="AH71" s="204" t="s">
        <v>585</v>
      </c>
      <c r="AI71" s="204" t="s">
        <v>585</v>
      </c>
      <c r="AJ71" s="204" t="s">
        <v>585</v>
      </c>
      <c r="AK71" s="206" t="s">
        <v>585</v>
      </c>
      <c r="AL71" s="193" t="s">
        <v>585</v>
      </c>
      <c r="AM71" s="193" t="s">
        <v>585</v>
      </c>
      <c r="AN71" s="206" t="s">
        <v>585</v>
      </c>
      <c r="AO71" s="204" t="s">
        <v>585</v>
      </c>
      <c r="AP71" s="206" t="s">
        <v>585</v>
      </c>
      <c r="AQ71" s="203" t="s">
        <v>585</v>
      </c>
      <c r="AR71" s="204" t="s">
        <v>585</v>
      </c>
      <c r="AS71" s="204" t="s">
        <v>585</v>
      </c>
      <c r="AT71" s="204" t="s">
        <v>585</v>
      </c>
      <c r="AU71" s="204" t="s">
        <v>585</v>
      </c>
      <c r="AV71" s="204" t="s">
        <v>585</v>
      </c>
      <c r="AW71" s="204" t="s">
        <v>585</v>
      </c>
      <c r="AX71" s="202" t="s">
        <v>585</v>
      </c>
      <c r="AY71" s="206" t="s">
        <v>585</v>
      </c>
      <c r="AZ71" s="193" t="s">
        <v>585</v>
      </c>
      <c r="BA71" s="206" t="s">
        <v>585</v>
      </c>
      <c r="BB71" s="377" t="s">
        <v>585</v>
      </c>
      <c r="BC71" s="206" t="s">
        <v>585</v>
      </c>
      <c r="BD71" s="206" t="s">
        <v>585</v>
      </c>
      <c r="BE71" s="378" t="s">
        <v>585</v>
      </c>
      <c r="BF71" s="206" t="s">
        <v>585</v>
      </c>
      <c r="BG71" s="193" t="s">
        <v>585</v>
      </c>
      <c r="BH71" s="193" t="s">
        <v>585</v>
      </c>
      <c r="BI71" s="193" t="s">
        <v>585</v>
      </c>
      <c r="BJ71" s="193" t="s">
        <v>585</v>
      </c>
      <c r="BK71" s="206" t="s">
        <v>585</v>
      </c>
      <c r="BL71" s="204" t="s">
        <v>585</v>
      </c>
      <c r="BM71" s="206" t="s">
        <v>585</v>
      </c>
      <c r="BN71" s="193" t="s">
        <v>585</v>
      </c>
      <c r="BO71" s="206" t="s">
        <v>585</v>
      </c>
      <c r="BP71" s="204" t="s">
        <v>585</v>
      </c>
      <c r="BQ71" s="206" t="s">
        <v>585</v>
      </c>
      <c r="BR71" s="203" t="s">
        <v>585</v>
      </c>
      <c r="BS71" s="204" t="s">
        <v>585</v>
      </c>
      <c r="BT71" s="204" t="s">
        <v>585</v>
      </c>
      <c r="BU71" s="204" t="s">
        <v>585</v>
      </c>
      <c r="BV71" s="204" t="s">
        <v>585</v>
      </c>
      <c r="BW71" s="204" t="s">
        <v>585</v>
      </c>
      <c r="BX71" s="204" t="s">
        <v>585</v>
      </c>
      <c r="BY71" s="204" t="s">
        <v>585</v>
      </c>
      <c r="BZ71" s="204" t="s">
        <v>585</v>
      </c>
      <c r="CA71" s="204" t="s">
        <v>585</v>
      </c>
      <c r="CB71" s="204" t="s">
        <v>585</v>
      </c>
      <c r="CC71" s="204" t="s">
        <v>585</v>
      </c>
      <c r="CD71" s="204" t="s">
        <v>585</v>
      </c>
      <c r="CE71" s="204" t="s">
        <v>585</v>
      </c>
      <c r="CF71" s="202" t="s">
        <v>585</v>
      </c>
      <c r="CG71" s="206" t="s">
        <v>585</v>
      </c>
      <c r="CH71" s="204" t="s">
        <v>585</v>
      </c>
      <c r="CI71" s="206" t="s">
        <v>585</v>
      </c>
      <c r="CJ71" s="193" t="s">
        <v>585</v>
      </c>
      <c r="CK71" s="206" t="s">
        <v>585</v>
      </c>
      <c r="CL71" s="204" t="s">
        <v>585</v>
      </c>
      <c r="CM71" s="204" t="s">
        <v>585</v>
      </c>
      <c r="CN71" s="204" t="s">
        <v>585</v>
      </c>
      <c r="CO71" s="204" t="s">
        <v>585</v>
      </c>
      <c r="CP71" s="204" t="s">
        <v>585</v>
      </c>
      <c r="CQ71" s="204" t="s">
        <v>585</v>
      </c>
      <c r="CR71" s="204" t="s">
        <v>585</v>
      </c>
      <c r="CS71" s="204" t="s">
        <v>585</v>
      </c>
      <c r="CT71" s="204" t="s">
        <v>585</v>
      </c>
      <c r="CU71" s="204" t="s">
        <v>585</v>
      </c>
      <c r="CV71" s="206" t="s">
        <v>585</v>
      </c>
      <c r="CW71" s="203" t="s">
        <v>585</v>
      </c>
      <c r="CX71" s="204" t="s">
        <v>585</v>
      </c>
      <c r="CY71" s="204" t="s">
        <v>585</v>
      </c>
      <c r="CZ71" s="204" t="s">
        <v>585</v>
      </c>
      <c r="DA71" s="204" t="s">
        <v>585</v>
      </c>
      <c r="DB71" s="204" t="s">
        <v>585</v>
      </c>
      <c r="DC71" s="204" t="s">
        <v>585</v>
      </c>
      <c r="DD71" s="202" t="s">
        <v>585</v>
      </c>
      <c r="DE71" s="206" t="s">
        <v>585</v>
      </c>
      <c r="DF71" s="203" t="s">
        <v>585</v>
      </c>
      <c r="DG71" s="204" t="s">
        <v>585</v>
      </c>
      <c r="DH71" s="202" t="s">
        <v>585</v>
      </c>
      <c r="DI71" s="206" t="s">
        <v>585</v>
      </c>
      <c r="DJ71" s="204" t="s">
        <v>585</v>
      </c>
      <c r="DK71" s="206" t="s">
        <v>585</v>
      </c>
      <c r="DL71" s="193" t="s">
        <v>585</v>
      </c>
      <c r="DM71" s="206" t="s">
        <v>585</v>
      </c>
      <c r="DN71" s="204" t="s">
        <v>585</v>
      </c>
      <c r="DO71" s="206" t="s">
        <v>585</v>
      </c>
      <c r="DP71" s="203" t="s">
        <v>585</v>
      </c>
      <c r="DQ71" s="204" t="s">
        <v>585</v>
      </c>
      <c r="DR71" s="202" t="s">
        <v>585</v>
      </c>
      <c r="DS71" s="206" t="s">
        <v>585</v>
      </c>
      <c r="DT71" s="193" t="s">
        <v>585</v>
      </c>
      <c r="DU71" s="206" t="s">
        <v>585</v>
      </c>
      <c r="DV71" s="204" t="s">
        <v>585</v>
      </c>
      <c r="DW71" s="206" t="s">
        <v>585</v>
      </c>
      <c r="DX71" s="193" t="s">
        <v>585</v>
      </c>
      <c r="DY71" s="193" t="s">
        <v>585</v>
      </c>
      <c r="DZ71" s="206" t="s">
        <v>585</v>
      </c>
      <c r="EA71" s="204" t="s">
        <v>585</v>
      </c>
      <c r="EB71" s="204" t="s">
        <v>585</v>
      </c>
      <c r="EC71" s="204" t="s">
        <v>585</v>
      </c>
      <c r="ED71" s="204" t="s">
        <v>585</v>
      </c>
      <c r="EE71" s="204" t="s">
        <v>585</v>
      </c>
      <c r="EF71" s="204" t="s">
        <v>585</v>
      </c>
      <c r="EG71" s="206" t="s">
        <v>585</v>
      </c>
      <c r="EH71" s="203" t="s">
        <v>585</v>
      </c>
      <c r="EI71" s="204" t="s">
        <v>585</v>
      </c>
      <c r="EJ71" s="204" t="s">
        <v>585</v>
      </c>
      <c r="EK71" s="204" t="s">
        <v>585</v>
      </c>
      <c r="EL71" s="204" t="s">
        <v>585</v>
      </c>
      <c r="EM71" s="204" t="s">
        <v>585</v>
      </c>
      <c r="EN71" s="204" t="s">
        <v>585</v>
      </c>
      <c r="EO71" s="204" t="s">
        <v>585</v>
      </c>
      <c r="EP71" s="204" t="s">
        <v>585</v>
      </c>
      <c r="EQ71" s="204" t="s">
        <v>585</v>
      </c>
      <c r="ER71" s="204" t="s">
        <v>585</v>
      </c>
      <c r="ES71" s="204" t="s">
        <v>585</v>
      </c>
      <c r="ET71" s="204" t="s">
        <v>585</v>
      </c>
      <c r="EU71" s="202" t="s">
        <v>585</v>
      </c>
      <c r="EV71" s="206" t="s">
        <v>585</v>
      </c>
      <c r="EW71" s="193" t="s">
        <v>585</v>
      </c>
      <c r="EX71" s="206" t="s">
        <v>585</v>
      </c>
      <c r="EY71" s="204" t="s">
        <v>585</v>
      </c>
      <c r="EZ71" s="204" t="s">
        <v>585</v>
      </c>
      <c r="FA71" s="206" t="s">
        <v>585</v>
      </c>
      <c r="FB71" s="193" t="s">
        <v>585</v>
      </c>
      <c r="FC71" s="206" t="s">
        <v>585</v>
      </c>
      <c r="FD71" s="203" t="s">
        <v>585</v>
      </c>
      <c r="FE71" s="204" t="s">
        <v>585</v>
      </c>
      <c r="FF71" s="204" t="s">
        <v>585</v>
      </c>
      <c r="FG71" s="204" t="s">
        <v>585</v>
      </c>
      <c r="FH71" s="202" t="s">
        <v>585</v>
      </c>
      <c r="FI71" s="206" t="s">
        <v>585</v>
      </c>
      <c r="FJ71" s="204" t="s">
        <v>585</v>
      </c>
      <c r="FK71" s="206" t="s">
        <v>585</v>
      </c>
      <c r="FL71" s="203" t="s">
        <v>585</v>
      </c>
      <c r="FM71" s="204" t="s">
        <v>585</v>
      </c>
      <c r="FN71" s="202" t="s">
        <v>585</v>
      </c>
      <c r="FO71" s="206" t="s">
        <v>585</v>
      </c>
      <c r="FP71" s="193" t="s">
        <v>585</v>
      </c>
      <c r="FQ71" s="206" t="s">
        <v>585</v>
      </c>
      <c r="FR71" s="204" t="s">
        <v>585</v>
      </c>
      <c r="FS71" s="204" t="s">
        <v>585</v>
      </c>
      <c r="FT71" s="206" t="s">
        <v>585</v>
      </c>
      <c r="FU71" s="203" t="s">
        <v>585</v>
      </c>
      <c r="FV71" s="204" t="s">
        <v>585</v>
      </c>
      <c r="FW71" s="202" t="s">
        <v>585</v>
      </c>
      <c r="FX71" s="206" t="s">
        <v>585</v>
      </c>
      <c r="FY71" s="203" t="s">
        <v>585</v>
      </c>
      <c r="FZ71" s="204" t="s">
        <v>585</v>
      </c>
      <c r="GA71" s="204" t="s">
        <v>585</v>
      </c>
      <c r="GB71" s="202" t="s">
        <v>585</v>
      </c>
      <c r="GC71" s="206" t="s">
        <v>585</v>
      </c>
      <c r="GD71" s="203" t="s">
        <v>585</v>
      </c>
      <c r="GE71" s="204" t="s">
        <v>585</v>
      </c>
      <c r="GF71" s="204" t="s">
        <v>585</v>
      </c>
      <c r="GG71" s="204" t="s">
        <v>585</v>
      </c>
      <c r="GH71" s="202" t="s">
        <v>585</v>
      </c>
      <c r="GI71" s="193" t="s">
        <v>585</v>
      </c>
      <c r="GJ71" s="368" t="s">
        <v>585</v>
      </c>
      <c r="GK71" s="382"/>
    </row>
    <row r="72" spans="2:193" s="76" customFormat="1" ht="12.75" customHeight="1" thickBot="1" x14ac:dyDescent="0.25">
      <c r="B72" s="363" t="s">
        <v>549</v>
      </c>
      <c r="C72" s="266">
        <v>59065</v>
      </c>
      <c r="D72" s="264">
        <v>37</v>
      </c>
      <c r="E72" s="264">
        <v>49</v>
      </c>
      <c r="F72" s="264">
        <v>237</v>
      </c>
      <c r="G72" s="267">
        <v>59388</v>
      </c>
      <c r="H72" s="265" t="s">
        <v>585</v>
      </c>
      <c r="I72" s="263">
        <v>1144</v>
      </c>
      <c r="J72" s="264" t="s">
        <v>585</v>
      </c>
      <c r="K72" s="263">
        <v>1144</v>
      </c>
      <c r="L72" s="265">
        <v>18</v>
      </c>
      <c r="M72" s="265">
        <v>171128</v>
      </c>
      <c r="N72" s="263">
        <v>11261</v>
      </c>
      <c r="O72" s="264">
        <v>903</v>
      </c>
      <c r="P72" s="264">
        <v>5981463</v>
      </c>
      <c r="Q72" s="264">
        <v>141068</v>
      </c>
      <c r="R72" s="264">
        <v>15278</v>
      </c>
      <c r="S72" s="264">
        <v>145</v>
      </c>
      <c r="T72" s="264">
        <v>15</v>
      </c>
      <c r="U72" s="263">
        <v>6150133</v>
      </c>
      <c r="V72" s="266">
        <v>1881</v>
      </c>
      <c r="W72" s="264">
        <v>1436</v>
      </c>
      <c r="X72" s="267">
        <v>3317</v>
      </c>
      <c r="Y72" s="263">
        <v>23045</v>
      </c>
      <c r="Z72" s="264">
        <v>69</v>
      </c>
      <c r="AA72" s="264">
        <v>8</v>
      </c>
      <c r="AB72" s="263">
        <v>23122</v>
      </c>
      <c r="AC72" s="266">
        <v>70587</v>
      </c>
      <c r="AD72" s="264">
        <v>1014</v>
      </c>
      <c r="AE72" s="264">
        <v>687</v>
      </c>
      <c r="AF72" s="267">
        <v>72288</v>
      </c>
      <c r="AG72" s="263">
        <v>36565</v>
      </c>
      <c r="AH72" s="264">
        <v>21</v>
      </c>
      <c r="AI72" s="264">
        <v>25</v>
      </c>
      <c r="AJ72" s="264">
        <v>68</v>
      </c>
      <c r="AK72" s="263">
        <v>36679</v>
      </c>
      <c r="AL72" s="265">
        <v>10</v>
      </c>
      <c r="AM72" s="265">
        <v>2</v>
      </c>
      <c r="AN72" s="263">
        <v>764</v>
      </c>
      <c r="AO72" s="264">
        <v>164</v>
      </c>
      <c r="AP72" s="263">
        <v>928</v>
      </c>
      <c r="AQ72" s="266">
        <v>1326</v>
      </c>
      <c r="AR72" s="264">
        <v>176</v>
      </c>
      <c r="AS72" s="264">
        <v>1739</v>
      </c>
      <c r="AT72" s="264">
        <v>70</v>
      </c>
      <c r="AU72" s="264">
        <v>13</v>
      </c>
      <c r="AV72" s="264">
        <v>31</v>
      </c>
      <c r="AW72" s="264" t="s">
        <v>585</v>
      </c>
      <c r="AX72" s="267">
        <v>3355</v>
      </c>
      <c r="AY72" s="263">
        <v>45</v>
      </c>
      <c r="AZ72" s="265">
        <v>17209</v>
      </c>
      <c r="BA72" s="263">
        <v>15642</v>
      </c>
      <c r="BB72" s="379">
        <v>455113</v>
      </c>
      <c r="BC72" s="263">
        <v>550507</v>
      </c>
      <c r="BD72" s="263">
        <v>8272</v>
      </c>
      <c r="BE72" s="380">
        <v>234080</v>
      </c>
      <c r="BF72" s="263">
        <v>1263614</v>
      </c>
      <c r="BG72" s="265">
        <v>9726</v>
      </c>
      <c r="BH72" s="265">
        <v>14</v>
      </c>
      <c r="BI72" s="265">
        <v>9</v>
      </c>
      <c r="BJ72" s="265">
        <v>27267</v>
      </c>
      <c r="BK72" s="263">
        <v>35122</v>
      </c>
      <c r="BL72" s="264">
        <v>14</v>
      </c>
      <c r="BM72" s="263">
        <v>35136</v>
      </c>
      <c r="BN72" s="265">
        <v>3</v>
      </c>
      <c r="BO72" s="263">
        <v>254</v>
      </c>
      <c r="BP72" s="264">
        <v>184</v>
      </c>
      <c r="BQ72" s="263">
        <v>438</v>
      </c>
      <c r="BR72" s="266">
        <v>599</v>
      </c>
      <c r="BS72" s="264">
        <v>503</v>
      </c>
      <c r="BT72" s="264">
        <v>152</v>
      </c>
      <c r="BU72" s="264">
        <v>87</v>
      </c>
      <c r="BV72" s="264">
        <v>18</v>
      </c>
      <c r="BW72" s="264">
        <v>3</v>
      </c>
      <c r="BX72" s="264">
        <v>22</v>
      </c>
      <c r="BY72" s="264">
        <v>29</v>
      </c>
      <c r="BZ72" s="264">
        <v>112</v>
      </c>
      <c r="CA72" s="264">
        <v>128</v>
      </c>
      <c r="CB72" s="264">
        <v>1</v>
      </c>
      <c r="CC72" s="264">
        <v>1</v>
      </c>
      <c r="CD72" s="264">
        <v>22</v>
      </c>
      <c r="CE72" s="264">
        <v>2</v>
      </c>
      <c r="CF72" s="267">
        <v>1679</v>
      </c>
      <c r="CG72" s="263">
        <v>217</v>
      </c>
      <c r="CH72" s="264" t="s">
        <v>585</v>
      </c>
      <c r="CI72" s="263">
        <v>217</v>
      </c>
      <c r="CJ72" s="265">
        <v>43</v>
      </c>
      <c r="CK72" s="263">
        <v>576708</v>
      </c>
      <c r="CL72" s="264">
        <v>347</v>
      </c>
      <c r="CM72" s="264">
        <v>2079013</v>
      </c>
      <c r="CN72" s="264">
        <v>1350285</v>
      </c>
      <c r="CO72" s="264">
        <v>5116</v>
      </c>
      <c r="CP72" s="264">
        <v>168</v>
      </c>
      <c r="CQ72" s="264">
        <v>922</v>
      </c>
      <c r="CR72" s="264">
        <v>48</v>
      </c>
      <c r="CS72" s="264">
        <v>1015</v>
      </c>
      <c r="CT72" s="264">
        <v>465</v>
      </c>
      <c r="CU72" s="264" t="s">
        <v>585</v>
      </c>
      <c r="CV72" s="263">
        <v>4014087</v>
      </c>
      <c r="CW72" s="266">
        <v>863700</v>
      </c>
      <c r="CX72" s="264">
        <v>1187</v>
      </c>
      <c r="CY72" s="264">
        <v>38716</v>
      </c>
      <c r="CZ72" s="264">
        <v>781</v>
      </c>
      <c r="DA72" s="264">
        <v>1165</v>
      </c>
      <c r="DB72" s="264">
        <v>1009</v>
      </c>
      <c r="DC72" s="264">
        <v>10</v>
      </c>
      <c r="DD72" s="267">
        <v>906568</v>
      </c>
      <c r="DE72" s="263">
        <v>9</v>
      </c>
      <c r="DF72" s="266">
        <v>2</v>
      </c>
      <c r="DG72" s="264" t="s">
        <v>585</v>
      </c>
      <c r="DH72" s="267">
        <v>2</v>
      </c>
      <c r="DI72" s="263" t="s">
        <v>585</v>
      </c>
      <c r="DJ72" s="264">
        <v>43</v>
      </c>
      <c r="DK72" s="263">
        <v>43</v>
      </c>
      <c r="DL72" s="265">
        <v>87068</v>
      </c>
      <c r="DM72" s="263">
        <v>7</v>
      </c>
      <c r="DN72" s="264">
        <v>1</v>
      </c>
      <c r="DO72" s="263">
        <v>8</v>
      </c>
      <c r="DP72" s="266">
        <v>2754</v>
      </c>
      <c r="DQ72" s="264">
        <v>41</v>
      </c>
      <c r="DR72" s="267">
        <v>2795</v>
      </c>
      <c r="DS72" s="263">
        <v>24942</v>
      </c>
      <c r="DT72" s="265">
        <v>3390</v>
      </c>
      <c r="DU72" s="263">
        <v>19919</v>
      </c>
      <c r="DV72" s="264" t="s">
        <v>585</v>
      </c>
      <c r="DW72" s="263">
        <v>19919</v>
      </c>
      <c r="DX72" s="265">
        <v>2013</v>
      </c>
      <c r="DY72" s="265">
        <v>2</v>
      </c>
      <c r="DZ72" s="263">
        <v>2434</v>
      </c>
      <c r="EA72" s="264">
        <v>657</v>
      </c>
      <c r="EB72" s="264">
        <v>2596</v>
      </c>
      <c r="EC72" s="264">
        <v>417</v>
      </c>
      <c r="ED72" s="264">
        <v>31</v>
      </c>
      <c r="EE72" s="264">
        <v>1</v>
      </c>
      <c r="EF72" s="264">
        <v>8</v>
      </c>
      <c r="EG72" s="263">
        <v>6144</v>
      </c>
      <c r="EH72" s="266">
        <v>195819</v>
      </c>
      <c r="EI72" s="264">
        <v>1091144</v>
      </c>
      <c r="EJ72" s="264">
        <v>2681</v>
      </c>
      <c r="EK72" s="264">
        <v>16921</v>
      </c>
      <c r="EL72" s="264">
        <v>117503</v>
      </c>
      <c r="EM72" s="264">
        <v>603305</v>
      </c>
      <c r="EN72" s="264">
        <v>18332</v>
      </c>
      <c r="EO72" s="264">
        <v>1985</v>
      </c>
      <c r="EP72" s="264">
        <v>91382</v>
      </c>
      <c r="EQ72" s="264">
        <v>3215</v>
      </c>
      <c r="ER72" s="264">
        <v>1062</v>
      </c>
      <c r="ES72" s="264">
        <v>22</v>
      </c>
      <c r="ET72" s="264">
        <v>7</v>
      </c>
      <c r="EU72" s="267">
        <v>2143378</v>
      </c>
      <c r="EV72" s="263">
        <v>12</v>
      </c>
      <c r="EW72" s="265">
        <v>217</v>
      </c>
      <c r="EX72" s="263">
        <v>82</v>
      </c>
      <c r="EY72" s="264">
        <v>3975</v>
      </c>
      <c r="EZ72" s="264" t="s">
        <v>585</v>
      </c>
      <c r="FA72" s="263">
        <v>4057</v>
      </c>
      <c r="FB72" s="265" t="s">
        <v>585</v>
      </c>
      <c r="FC72" s="263">
        <v>90</v>
      </c>
      <c r="FD72" s="266">
        <v>165</v>
      </c>
      <c r="FE72" s="264">
        <v>21463</v>
      </c>
      <c r="FF72" s="264">
        <v>13</v>
      </c>
      <c r="FG72" s="264">
        <v>5</v>
      </c>
      <c r="FH72" s="267">
        <v>21646</v>
      </c>
      <c r="FI72" s="263">
        <v>16</v>
      </c>
      <c r="FJ72" s="264" t="s">
        <v>585</v>
      </c>
      <c r="FK72" s="263">
        <v>16</v>
      </c>
      <c r="FL72" s="266">
        <v>5</v>
      </c>
      <c r="FM72" s="264">
        <v>2</v>
      </c>
      <c r="FN72" s="267">
        <v>7</v>
      </c>
      <c r="FO72" s="263">
        <v>12</v>
      </c>
      <c r="FP72" s="265">
        <v>26576</v>
      </c>
      <c r="FQ72" s="263">
        <v>520</v>
      </c>
      <c r="FR72" s="264">
        <v>397</v>
      </c>
      <c r="FS72" s="264">
        <v>52</v>
      </c>
      <c r="FT72" s="263">
        <v>969</v>
      </c>
      <c r="FU72" s="266">
        <v>17840</v>
      </c>
      <c r="FV72" s="264">
        <v>222</v>
      </c>
      <c r="FW72" s="267">
        <v>18062</v>
      </c>
      <c r="FX72" s="263">
        <v>4</v>
      </c>
      <c r="FY72" s="266">
        <v>16</v>
      </c>
      <c r="FZ72" s="264">
        <v>331</v>
      </c>
      <c r="GA72" s="264">
        <v>70</v>
      </c>
      <c r="GB72" s="267">
        <v>417</v>
      </c>
      <c r="GC72" s="263">
        <v>913</v>
      </c>
      <c r="GD72" s="266">
        <v>455</v>
      </c>
      <c r="GE72" s="264">
        <v>143</v>
      </c>
      <c r="GF72" s="264">
        <v>50</v>
      </c>
      <c r="GG72" s="264">
        <v>1561</v>
      </c>
      <c r="GH72" s="267">
        <v>2209</v>
      </c>
      <c r="GI72" s="265">
        <v>15162487</v>
      </c>
      <c r="GJ72" s="369">
        <f>15162487/45058286</f>
        <v>0.33650829505587498</v>
      </c>
      <c r="GK72" s="383"/>
    </row>
    <row r="73" spans="2:193" ht="12" customHeight="1" x14ac:dyDescent="0.2">
      <c r="B73" s="359" t="s">
        <v>29</v>
      </c>
      <c r="C73" s="203">
        <v>11</v>
      </c>
      <c r="D73" s="204" t="s">
        <v>585</v>
      </c>
      <c r="E73" s="204">
        <v>27</v>
      </c>
      <c r="F73" s="204" t="s">
        <v>585</v>
      </c>
      <c r="G73" s="202">
        <v>38</v>
      </c>
      <c r="H73" s="193" t="s">
        <v>585</v>
      </c>
      <c r="I73" s="206">
        <v>9</v>
      </c>
      <c r="J73" s="204" t="s">
        <v>585</v>
      </c>
      <c r="K73" s="206">
        <v>9</v>
      </c>
      <c r="L73" s="193" t="s">
        <v>585</v>
      </c>
      <c r="M73" s="193">
        <v>73</v>
      </c>
      <c r="N73" s="206" t="s">
        <v>585</v>
      </c>
      <c r="O73" s="204">
        <v>13</v>
      </c>
      <c r="P73" s="204">
        <v>30540</v>
      </c>
      <c r="Q73" s="204">
        <v>27</v>
      </c>
      <c r="R73" s="204">
        <v>68</v>
      </c>
      <c r="S73" s="204" t="s">
        <v>585</v>
      </c>
      <c r="T73" s="204" t="s">
        <v>585</v>
      </c>
      <c r="U73" s="206">
        <v>30648</v>
      </c>
      <c r="V73" s="203">
        <v>2</v>
      </c>
      <c r="W73" s="204" t="s">
        <v>585</v>
      </c>
      <c r="X73" s="202">
        <v>2</v>
      </c>
      <c r="Y73" s="206">
        <v>50</v>
      </c>
      <c r="Z73" s="204" t="s">
        <v>585</v>
      </c>
      <c r="AA73" s="204" t="s">
        <v>585</v>
      </c>
      <c r="AB73" s="206">
        <v>50</v>
      </c>
      <c r="AC73" s="203">
        <v>469</v>
      </c>
      <c r="AD73" s="204" t="s">
        <v>585</v>
      </c>
      <c r="AE73" s="204" t="s">
        <v>585</v>
      </c>
      <c r="AF73" s="202">
        <v>469</v>
      </c>
      <c r="AG73" s="206">
        <v>893</v>
      </c>
      <c r="AH73" s="204" t="s">
        <v>585</v>
      </c>
      <c r="AI73" s="204" t="s">
        <v>585</v>
      </c>
      <c r="AJ73" s="204" t="s">
        <v>585</v>
      </c>
      <c r="AK73" s="206">
        <v>893</v>
      </c>
      <c r="AL73" s="193">
        <v>38</v>
      </c>
      <c r="AM73" s="193" t="s">
        <v>585</v>
      </c>
      <c r="AN73" s="206" t="s">
        <v>585</v>
      </c>
      <c r="AO73" s="204">
        <v>1</v>
      </c>
      <c r="AP73" s="206">
        <v>1</v>
      </c>
      <c r="AQ73" s="203" t="s">
        <v>585</v>
      </c>
      <c r="AR73" s="204" t="s">
        <v>585</v>
      </c>
      <c r="AS73" s="204">
        <v>7</v>
      </c>
      <c r="AT73" s="204" t="s">
        <v>585</v>
      </c>
      <c r="AU73" s="204" t="s">
        <v>585</v>
      </c>
      <c r="AV73" s="204" t="s">
        <v>585</v>
      </c>
      <c r="AW73" s="204" t="s">
        <v>585</v>
      </c>
      <c r="AX73" s="202">
        <v>7</v>
      </c>
      <c r="AY73" s="206" t="s">
        <v>585</v>
      </c>
      <c r="AZ73" s="193" t="s">
        <v>585</v>
      </c>
      <c r="BA73" s="206">
        <v>30</v>
      </c>
      <c r="BB73" s="377">
        <v>45440</v>
      </c>
      <c r="BC73" s="206">
        <v>1914</v>
      </c>
      <c r="BD73" s="206">
        <v>5</v>
      </c>
      <c r="BE73" s="378">
        <v>553</v>
      </c>
      <c r="BF73" s="206">
        <v>47942</v>
      </c>
      <c r="BG73" s="193" t="s">
        <v>585</v>
      </c>
      <c r="BH73" s="193" t="s">
        <v>585</v>
      </c>
      <c r="BI73" s="193" t="s">
        <v>585</v>
      </c>
      <c r="BJ73" s="193" t="s">
        <v>585</v>
      </c>
      <c r="BK73" s="206" t="s">
        <v>585</v>
      </c>
      <c r="BL73" s="204" t="s">
        <v>585</v>
      </c>
      <c r="BM73" s="206" t="s">
        <v>585</v>
      </c>
      <c r="BN73" s="193" t="s">
        <v>585</v>
      </c>
      <c r="BO73" s="206">
        <v>1</v>
      </c>
      <c r="BP73" s="204" t="s">
        <v>585</v>
      </c>
      <c r="BQ73" s="206">
        <v>1</v>
      </c>
      <c r="BR73" s="203">
        <v>1</v>
      </c>
      <c r="BS73" s="204">
        <v>93</v>
      </c>
      <c r="BT73" s="204">
        <v>58</v>
      </c>
      <c r="BU73" s="204">
        <v>25</v>
      </c>
      <c r="BV73" s="204" t="s">
        <v>585</v>
      </c>
      <c r="BW73" s="204" t="s">
        <v>585</v>
      </c>
      <c r="BX73" s="204" t="s">
        <v>585</v>
      </c>
      <c r="BY73" s="204">
        <v>23</v>
      </c>
      <c r="BZ73" s="204">
        <v>4</v>
      </c>
      <c r="CA73" s="204">
        <v>41</v>
      </c>
      <c r="CB73" s="204" t="s">
        <v>585</v>
      </c>
      <c r="CC73" s="204" t="s">
        <v>585</v>
      </c>
      <c r="CD73" s="204" t="s">
        <v>585</v>
      </c>
      <c r="CE73" s="204" t="s">
        <v>585</v>
      </c>
      <c r="CF73" s="202">
        <v>245</v>
      </c>
      <c r="CG73" s="206" t="s">
        <v>585</v>
      </c>
      <c r="CH73" s="204" t="s">
        <v>585</v>
      </c>
      <c r="CI73" s="206" t="s">
        <v>585</v>
      </c>
      <c r="CJ73" s="193" t="s">
        <v>585</v>
      </c>
      <c r="CK73" s="206">
        <v>7657</v>
      </c>
      <c r="CL73" s="204">
        <v>6</v>
      </c>
      <c r="CM73" s="204">
        <v>14925</v>
      </c>
      <c r="CN73" s="204">
        <v>26393</v>
      </c>
      <c r="CO73" s="204">
        <v>7</v>
      </c>
      <c r="CP73" s="204" t="s">
        <v>585</v>
      </c>
      <c r="CQ73" s="204">
        <v>1</v>
      </c>
      <c r="CR73" s="204" t="s">
        <v>585</v>
      </c>
      <c r="CS73" s="204">
        <v>11</v>
      </c>
      <c r="CT73" s="204" t="s">
        <v>585</v>
      </c>
      <c r="CU73" s="204" t="s">
        <v>585</v>
      </c>
      <c r="CV73" s="206">
        <v>49000</v>
      </c>
      <c r="CW73" s="203">
        <v>229</v>
      </c>
      <c r="CX73" s="204">
        <v>15</v>
      </c>
      <c r="CY73" s="204">
        <v>421</v>
      </c>
      <c r="CZ73" s="204">
        <v>84</v>
      </c>
      <c r="DA73" s="204">
        <v>6</v>
      </c>
      <c r="DB73" s="204">
        <v>39</v>
      </c>
      <c r="DC73" s="204" t="s">
        <v>585</v>
      </c>
      <c r="DD73" s="202">
        <v>794</v>
      </c>
      <c r="DE73" s="206" t="s">
        <v>585</v>
      </c>
      <c r="DF73" s="203" t="s">
        <v>585</v>
      </c>
      <c r="DG73" s="204" t="s">
        <v>585</v>
      </c>
      <c r="DH73" s="202" t="s">
        <v>585</v>
      </c>
      <c r="DI73" s="206" t="s">
        <v>585</v>
      </c>
      <c r="DJ73" s="204" t="s">
        <v>585</v>
      </c>
      <c r="DK73" s="206" t="s">
        <v>585</v>
      </c>
      <c r="DL73" s="193">
        <v>3</v>
      </c>
      <c r="DM73" s="206" t="s">
        <v>585</v>
      </c>
      <c r="DN73" s="204" t="s">
        <v>585</v>
      </c>
      <c r="DO73" s="206" t="s">
        <v>585</v>
      </c>
      <c r="DP73" s="203">
        <v>262</v>
      </c>
      <c r="DQ73" s="204" t="s">
        <v>585</v>
      </c>
      <c r="DR73" s="202">
        <v>262</v>
      </c>
      <c r="DS73" s="206">
        <v>1</v>
      </c>
      <c r="DT73" s="193" t="s">
        <v>585</v>
      </c>
      <c r="DU73" s="206">
        <v>57</v>
      </c>
      <c r="DV73" s="204" t="s">
        <v>585</v>
      </c>
      <c r="DW73" s="206">
        <v>57</v>
      </c>
      <c r="DX73" s="193">
        <v>1</v>
      </c>
      <c r="DY73" s="193" t="s">
        <v>585</v>
      </c>
      <c r="DZ73" s="206">
        <v>836</v>
      </c>
      <c r="EA73" s="204">
        <v>3</v>
      </c>
      <c r="EB73" s="204">
        <v>1</v>
      </c>
      <c r="EC73" s="204">
        <v>23</v>
      </c>
      <c r="ED73" s="204" t="s">
        <v>585</v>
      </c>
      <c r="EE73" s="204" t="s">
        <v>585</v>
      </c>
      <c r="EF73" s="204" t="s">
        <v>585</v>
      </c>
      <c r="EG73" s="206">
        <v>863</v>
      </c>
      <c r="EH73" s="203">
        <v>1472</v>
      </c>
      <c r="EI73" s="204">
        <v>102</v>
      </c>
      <c r="EJ73" s="204">
        <v>12</v>
      </c>
      <c r="EK73" s="204">
        <v>59</v>
      </c>
      <c r="EL73" s="204">
        <v>962</v>
      </c>
      <c r="EM73" s="204">
        <v>471</v>
      </c>
      <c r="EN73" s="204">
        <v>56</v>
      </c>
      <c r="EO73" s="204">
        <v>16</v>
      </c>
      <c r="EP73" s="204">
        <v>202</v>
      </c>
      <c r="EQ73" s="204">
        <v>1</v>
      </c>
      <c r="ER73" s="204" t="s">
        <v>585</v>
      </c>
      <c r="ES73" s="204" t="s">
        <v>585</v>
      </c>
      <c r="ET73" s="204">
        <v>2</v>
      </c>
      <c r="EU73" s="202">
        <v>3355</v>
      </c>
      <c r="EV73" s="206" t="s">
        <v>585</v>
      </c>
      <c r="EW73" s="193" t="s">
        <v>585</v>
      </c>
      <c r="EX73" s="206" t="s">
        <v>585</v>
      </c>
      <c r="EY73" s="204" t="s">
        <v>585</v>
      </c>
      <c r="EZ73" s="204" t="s">
        <v>585</v>
      </c>
      <c r="FA73" s="206" t="s">
        <v>585</v>
      </c>
      <c r="FB73" s="193" t="s">
        <v>585</v>
      </c>
      <c r="FC73" s="206">
        <v>27</v>
      </c>
      <c r="FD73" s="203">
        <v>7</v>
      </c>
      <c r="FE73" s="204">
        <v>1</v>
      </c>
      <c r="FF73" s="204" t="s">
        <v>585</v>
      </c>
      <c r="FG73" s="204">
        <v>5</v>
      </c>
      <c r="FH73" s="202">
        <v>13</v>
      </c>
      <c r="FI73" s="206" t="s">
        <v>585</v>
      </c>
      <c r="FJ73" s="204" t="s">
        <v>585</v>
      </c>
      <c r="FK73" s="206" t="s">
        <v>585</v>
      </c>
      <c r="FL73" s="203" t="s">
        <v>585</v>
      </c>
      <c r="FM73" s="204" t="s">
        <v>585</v>
      </c>
      <c r="FN73" s="202" t="s">
        <v>585</v>
      </c>
      <c r="FO73" s="206" t="s">
        <v>585</v>
      </c>
      <c r="FP73" s="193">
        <v>17</v>
      </c>
      <c r="FQ73" s="206" t="s">
        <v>585</v>
      </c>
      <c r="FR73" s="204">
        <v>32</v>
      </c>
      <c r="FS73" s="204" t="s">
        <v>585</v>
      </c>
      <c r="FT73" s="206">
        <v>32</v>
      </c>
      <c r="FU73" s="203">
        <v>1</v>
      </c>
      <c r="FV73" s="204" t="s">
        <v>585</v>
      </c>
      <c r="FW73" s="202">
        <v>1</v>
      </c>
      <c r="FX73" s="206" t="s">
        <v>585</v>
      </c>
      <c r="FY73" s="203" t="s">
        <v>585</v>
      </c>
      <c r="FZ73" s="204" t="s">
        <v>585</v>
      </c>
      <c r="GA73" s="204" t="s">
        <v>585</v>
      </c>
      <c r="GB73" s="202" t="s">
        <v>585</v>
      </c>
      <c r="GC73" s="206">
        <v>1</v>
      </c>
      <c r="GD73" s="203" t="s">
        <v>585</v>
      </c>
      <c r="GE73" s="204">
        <v>10</v>
      </c>
      <c r="GF73" s="204">
        <v>16</v>
      </c>
      <c r="GG73" s="204" t="s">
        <v>585</v>
      </c>
      <c r="GH73" s="202">
        <v>26</v>
      </c>
      <c r="GI73" s="193">
        <v>134869</v>
      </c>
      <c r="GJ73" s="368">
        <f>134869/45058286</f>
        <v>2.9932119477425307E-3</v>
      </c>
      <c r="GK73" s="382"/>
    </row>
    <row r="74" spans="2:193" ht="12" customHeight="1" x14ac:dyDescent="0.2">
      <c r="B74" s="359" t="s">
        <v>51</v>
      </c>
      <c r="C74" s="203">
        <v>19</v>
      </c>
      <c r="D74" s="204" t="s">
        <v>585</v>
      </c>
      <c r="E74" s="204" t="s">
        <v>585</v>
      </c>
      <c r="F74" s="204">
        <v>1</v>
      </c>
      <c r="G74" s="202">
        <v>20</v>
      </c>
      <c r="H74" s="193" t="s">
        <v>585</v>
      </c>
      <c r="I74" s="206">
        <v>2</v>
      </c>
      <c r="J74" s="204" t="s">
        <v>585</v>
      </c>
      <c r="K74" s="206">
        <v>2</v>
      </c>
      <c r="L74" s="193" t="s">
        <v>585</v>
      </c>
      <c r="M74" s="193">
        <v>119</v>
      </c>
      <c r="N74" s="206">
        <v>1</v>
      </c>
      <c r="O74" s="204">
        <v>2</v>
      </c>
      <c r="P74" s="204">
        <v>45242</v>
      </c>
      <c r="Q74" s="204">
        <v>337</v>
      </c>
      <c r="R74" s="204">
        <v>11</v>
      </c>
      <c r="S74" s="204" t="s">
        <v>585</v>
      </c>
      <c r="T74" s="204" t="s">
        <v>585</v>
      </c>
      <c r="U74" s="206">
        <v>45593</v>
      </c>
      <c r="V74" s="203">
        <v>54</v>
      </c>
      <c r="W74" s="204">
        <v>112</v>
      </c>
      <c r="X74" s="202">
        <v>166</v>
      </c>
      <c r="Y74" s="206">
        <v>35</v>
      </c>
      <c r="Z74" s="204">
        <v>1</v>
      </c>
      <c r="AA74" s="204" t="s">
        <v>585</v>
      </c>
      <c r="AB74" s="206">
        <v>36</v>
      </c>
      <c r="AC74" s="203">
        <v>61</v>
      </c>
      <c r="AD74" s="204" t="s">
        <v>585</v>
      </c>
      <c r="AE74" s="204" t="s">
        <v>585</v>
      </c>
      <c r="AF74" s="202">
        <v>61</v>
      </c>
      <c r="AG74" s="206">
        <v>155</v>
      </c>
      <c r="AH74" s="204" t="s">
        <v>585</v>
      </c>
      <c r="AI74" s="204" t="s">
        <v>585</v>
      </c>
      <c r="AJ74" s="204" t="s">
        <v>585</v>
      </c>
      <c r="AK74" s="206">
        <v>155</v>
      </c>
      <c r="AL74" s="193" t="s">
        <v>585</v>
      </c>
      <c r="AM74" s="193" t="s">
        <v>585</v>
      </c>
      <c r="AN74" s="206" t="s">
        <v>585</v>
      </c>
      <c r="AO74" s="204" t="s">
        <v>585</v>
      </c>
      <c r="AP74" s="206" t="s">
        <v>585</v>
      </c>
      <c r="AQ74" s="203">
        <v>2</v>
      </c>
      <c r="AR74" s="204" t="s">
        <v>585</v>
      </c>
      <c r="AS74" s="204">
        <v>1</v>
      </c>
      <c r="AT74" s="204" t="s">
        <v>585</v>
      </c>
      <c r="AU74" s="204" t="s">
        <v>585</v>
      </c>
      <c r="AV74" s="204" t="s">
        <v>585</v>
      </c>
      <c r="AW74" s="204" t="s">
        <v>585</v>
      </c>
      <c r="AX74" s="202">
        <v>3</v>
      </c>
      <c r="AY74" s="206" t="s">
        <v>585</v>
      </c>
      <c r="AZ74" s="193" t="s">
        <v>585</v>
      </c>
      <c r="BA74" s="206">
        <v>80</v>
      </c>
      <c r="BB74" s="377">
        <v>1111</v>
      </c>
      <c r="BC74" s="206">
        <v>39559</v>
      </c>
      <c r="BD74" s="206">
        <v>8</v>
      </c>
      <c r="BE74" s="378">
        <v>82</v>
      </c>
      <c r="BF74" s="206">
        <v>40840</v>
      </c>
      <c r="BG74" s="193">
        <v>1</v>
      </c>
      <c r="BH74" s="193" t="s">
        <v>585</v>
      </c>
      <c r="BI74" s="193" t="s">
        <v>585</v>
      </c>
      <c r="BJ74" s="193">
        <v>4</v>
      </c>
      <c r="BK74" s="206">
        <v>6</v>
      </c>
      <c r="BL74" s="204" t="s">
        <v>585</v>
      </c>
      <c r="BM74" s="206">
        <v>6</v>
      </c>
      <c r="BN74" s="193" t="s">
        <v>585</v>
      </c>
      <c r="BO74" s="206" t="s">
        <v>585</v>
      </c>
      <c r="BP74" s="204" t="s">
        <v>585</v>
      </c>
      <c r="BQ74" s="206" t="s">
        <v>585</v>
      </c>
      <c r="BR74" s="203" t="s">
        <v>585</v>
      </c>
      <c r="BS74" s="204" t="s">
        <v>585</v>
      </c>
      <c r="BT74" s="204" t="s">
        <v>585</v>
      </c>
      <c r="BU74" s="204" t="s">
        <v>585</v>
      </c>
      <c r="BV74" s="204" t="s">
        <v>585</v>
      </c>
      <c r="BW74" s="204" t="s">
        <v>585</v>
      </c>
      <c r="BX74" s="204" t="s">
        <v>585</v>
      </c>
      <c r="BY74" s="204" t="s">
        <v>585</v>
      </c>
      <c r="BZ74" s="204" t="s">
        <v>585</v>
      </c>
      <c r="CA74" s="204" t="s">
        <v>585</v>
      </c>
      <c r="CB74" s="204" t="s">
        <v>585</v>
      </c>
      <c r="CC74" s="204" t="s">
        <v>585</v>
      </c>
      <c r="CD74" s="204" t="s">
        <v>585</v>
      </c>
      <c r="CE74" s="204" t="s">
        <v>585</v>
      </c>
      <c r="CF74" s="202" t="s">
        <v>585</v>
      </c>
      <c r="CG74" s="206" t="s">
        <v>585</v>
      </c>
      <c r="CH74" s="204" t="s">
        <v>585</v>
      </c>
      <c r="CI74" s="206" t="s">
        <v>585</v>
      </c>
      <c r="CJ74" s="193" t="s">
        <v>585</v>
      </c>
      <c r="CK74" s="206">
        <v>10142</v>
      </c>
      <c r="CL74" s="204">
        <v>1</v>
      </c>
      <c r="CM74" s="204">
        <v>23960</v>
      </c>
      <c r="CN74" s="204">
        <v>20261</v>
      </c>
      <c r="CO74" s="204">
        <v>4</v>
      </c>
      <c r="CP74" s="204" t="s">
        <v>585</v>
      </c>
      <c r="CQ74" s="204" t="s">
        <v>585</v>
      </c>
      <c r="CR74" s="204" t="s">
        <v>585</v>
      </c>
      <c r="CS74" s="204">
        <v>2</v>
      </c>
      <c r="CT74" s="204" t="s">
        <v>585</v>
      </c>
      <c r="CU74" s="204" t="s">
        <v>585</v>
      </c>
      <c r="CV74" s="206">
        <v>54370</v>
      </c>
      <c r="CW74" s="203">
        <v>1214</v>
      </c>
      <c r="CX74" s="204" t="s">
        <v>585</v>
      </c>
      <c r="CY74" s="204">
        <v>26</v>
      </c>
      <c r="CZ74" s="204">
        <v>2</v>
      </c>
      <c r="DA74" s="204">
        <v>3</v>
      </c>
      <c r="DB74" s="204" t="s">
        <v>585</v>
      </c>
      <c r="DC74" s="204" t="s">
        <v>585</v>
      </c>
      <c r="DD74" s="202">
        <v>1245</v>
      </c>
      <c r="DE74" s="206" t="s">
        <v>585</v>
      </c>
      <c r="DF74" s="203" t="s">
        <v>585</v>
      </c>
      <c r="DG74" s="204" t="s">
        <v>585</v>
      </c>
      <c r="DH74" s="202" t="s">
        <v>585</v>
      </c>
      <c r="DI74" s="206" t="s">
        <v>585</v>
      </c>
      <c r="DJ74" s="204" t="s">
        <v>585</v>
      </c>
      <c r="DK74" s="206" t="s">
        <v>585</v>
      </c>
      <c r="DL74" s="193">
        <v>18</v>
      </c>
      <c r="DM74" s="206" t="s">
        <v>585</v>
      </c>
      <c r="DN74" s="204" t="s">
        <v>585</v>
      </c>
      <c r="DO74" s="206" t="s">
        <v>585</v>
      </c>
      <c r="DP74" s="203">
        <v>2</v>
      </c>
      <c r="DQ74" s="204" t="s">
        <v>585</v>
      </c>
      <c r="DR74" s="202">
        <v>2</v>
      </c>
      <c r="DS74" s="206" t="s">
        <v>585</v>
      </c>
      <c r="DT74" s="193">
        <v>1</v>
      </c>
      <c r="DU74" s="206">
        <v>188</v>
      </c>
      <c r="DV74" s="204" t="s">
        <v>585</v>
      </c>
      <c r="DW74" s="206">
        <v>188</v>
      </c>
      <c r="DX74" s="193">
        <v>3</v>
      </c>
      <c r="DY74" s="193" t="s">
        <v>585</v>
      </c>
      <c r="DZ74" s="206">
        <v>8</v>
      </c>
      <c r="EA74" s="204">
        <v>6</v>
      </c>
      <c r="EB74" s="204">
        <v>1</v>
      </c>
      <c r="EC74" s="204">
        <v>2</v>
      </c>
      <c r="ED74" s="204" t="s">
        <v>585</v>
      </c>
      <c r="EE74" s="204" t="s">
        <v>585</v>
      </c>
      <c r="EF74" s="204" t="s">
        <v>585</v>
      </c>
      <c r="EG74" s="206">
        <v>17</v>
      </c>
      <c r="EH74" s="203">
        <v>214</v>
      </c>
      <c r="EI74" s="204">
        <v>261</v>
      </c>
      <c r="EJ74" s="204">
        <v>0</v>
      </c>
      <c r="EK74" s="204">
        <v>20</v>
      </c>
      <c r="EL74" s="204">
        <v>195</v>
      </c>
      <c r="EM74" s="204">
        <v>715</v>
      </c>
      <c r="EN74" s="204">
        <v>28</v>
      </c>
      <c r="EO74" s="204">
        <v>2</v>
      </c>
      <c r="EP74" s="204">
        <v>136</v>
      </c>
      <c r="EQ74" s="204">
        <v>2</v>
      </c>
      <c r="ER74" s="204" t="s">
        <v>585</v>
      </c>
      <c r="ES74" s="204" t="s">
        <v>585</v>
      </c>
      <c r="ET74" s="204" t="s">
        <v>585</v>
      </c>
      <c r="EU74" s="202">
        <v>1573</v>
      </c>
      <c r="EV74" s="206" t="s">
        <v>585</v>
      </c>
      <c r="EW74" s="193" t="s">
        <v>585</v>
      </c>
      <c r="EX74" s="206" t="s">
        <v>585</v>
      </c>
      <c r="EY74" s="204" t="s">
        <v>585</v>
      </c>
      <c r="EZ74" s="204" t="s">
        <v>585</v>
      </c>
      <c r="FA74" s="206" t="s">
        <v>585</v>
      </c>
      <c r="FB74" s="193" t="s">
        <v>585</v>
      </c>
      <c r="FC74" s="206" t="s">
        <v>585</v>
      </c>
      <c r="FD74" s="203" t="s">
        <v>585</v>
      </c>
      <c r="FE74" s="204">
        <v>3</v>
      </c>
      <c r="FF74" s="204" t="s">
        <v>585</v>
      </c>
      <c r="FG74" s="204" t="s">
        <v>585</v>
      </c>
      <c r="FH74" s="202">
        <v>3</v>
      </c>
      <c r="FI74" s="206" t="s">
        <v>585</v>
      </c>
      <c r="FJ74" s="204" t="s">
        <v>585</v>
      </c>
      <c r="FK74" s="206" t="s">
        <v>585</v>
      </c>
      <c r="FL74" s="203" t="s">
        <v>585</v>
      </c>
      <c r="FM74" s="204" t="s">
        <v>585</v>
      </c>
      <c r="FN74" s="202" t="s">
        <v>585</v>
      </c>
      <c r="FO74" s="206" t="s">
        <v>585</v>
      </c>
      <c r="FP74" s="193">
        <v>4</v>
      </c>
      <c r="FQ74" s="206">
        <v>1</v>
      </c>
      <c r="FR74" s="204">
        <v>2</v>
      </c>
      <c r="FS74" s="204" t="s">
        <v>585</v>
      </c>
      <c r="FT74" s="206">
        <v>3</v>
      </c>
      <c r="FU74" s="203">
        <v>6</v>
      </c>
      <c r="FV74" s="204" t="s">
        <v>585</v>
      </c>
      <c r="FW74" s="202">
        <v>6</v>
      </c>
      <c r="FX74" s="206" t="s">
        <v>585</v>
      </c>
      <c r="FY74" s="203" t="s">
        <v>585</v>
      </c>
      <c r="FZ74" s="204">
        <v>2</v>
      </c>
      <c r="GA74" s="204">
        <v>1</v>
      </c>
      <c r="GB74" s="202">
        <v>3</v>
      </c>
      <c r="GC74" s="206" t="s">
        <v>585</v>
      </c>
      <c r="GD74" s="203">
        <v>3</v>
      </c>
      <c r="GE74" s="204" t="s">
        <v>585</v>
      </c>
      <c r="GF74" s="204" t="s">
        <v>585</v>
      </c>
      <c r="GG74" s="204" t="s">
        <v>585</v>
      </c>
      <c r="GH74" s="202">
        <v>3</v>
      </c>
      <c r="GI74" s="193">
        <v>144445</v>
      </c>
      <c r="GJ74" s="368">
        <f>144445/45058286</f>
        <v>3.2057366762686E-3</v>
      </c>
      <c r="GK74" s="382"/>
    </row>
    <row r="75" spans="2:193" ht="12" customHeight="1" x14ac:dyDescent="0.2">
      <c r="B75" s="359" t="s">
        <v>56</v>
      </c>
      <c r="C75" s="203">
        <v>145</v>
      </c>
      <c r="D75" s="204" t="s">
        <v>585</v>
      </c>
      <c r="E75" s="204">
        <v>4</v>
      </c>
      <c r="F75" s="204">
        <v>8</v>
      </c>
      <c r="G75" s="202">
        <v>157</v>
      </c>
      <c r="H75" s="193" t="s">
        <v>585</v>
      </c>
      <c r="I75" s="206">
        <v>28</v>
      </c>
      <c r="J75" s="204" t="s">
        <v>585</v>
      </c>
      <c r="K75" s="206">
        <v>28</v>
      </c>
      <c r="L75" s="193" t="s">
        <v>585</v>
      </c>
      <c r="M75" s="193">
        <v>768</v>
      </c>
      <c r="N75" s="206">
        <v>28</v>
      </c>
      <c r="O75" s="204">
        <v>14</v>
      </c>
      <c r="P75" s="204">
        <v>45295</v>
      </c>
      <c r="Q75" s="204">
        <v>54</v>
      </c>
      <c r="R75" s="204">
        <v>522</v>
      </c>
      <c r="S75" s="204" t="s">
        <v>585</v>
      </c>
      <c r="T75" s="204" t="s">
        <v>585</v>
      </c>
      <c r="U75" s="206">
        <v>45913</v>
      </c>
      <c r="V75" s="203">
        <v>701</v>
      </c>
      <c r="W75" s="204">
        <v>989</v>
      </c>
      <c r="X75" s="202">
        <v>1690</v>
      </c>
      <c r="Y75" s="206">
        <v>2631</v>
      </c>
      <c r="Z75" s="204">
        <v>8</v>
      </c>
      <c r="AA75" s="204" t="s">
        <v>585</v>
      </c>
      <c r="AB75" s="206">
        <v>2639</v>
      </c>
      <c r="AC75" s="203">
        <v>2785</v>
      </c>
      <c r="AD75" s="204">
        <v>21</v>
      </c>
      <c r="AE75" s="204" t="s">
        <v>585</v>
      </c>
      <c r="AF75" s="202">
        <v>2806</v>
      </c>
      <c r="AG75" s="206">
        <v>1738</v>
      </c>
      <c r="AH75" s="204">
        <v>9</v>
      </c>
      <c r="AI75" s="204" t="s">
        <v>585</v>
      </c>
      <c r="AJ75" s="204">
        <v>53</v>
      </c>
      <c r="AK75" s="206">
        <v>1800</v>
      </c>
      <c r="AL75" s="193">
        <v>1</v>
      </c>
      <c r="AM75" s="193" t="s">
        <v>585</v>
      </c>
      <c r="AN75" s="206">
        <v>130</v>
      </c>
      <c r="AO75" s="204">
        <v>8</v>
      </c>
      <c r="AP75" s="206">
        <v>138</v>
      </c>
      <c r="AQ75" s="203">
        <v>109</v>
      </c>
      <c r="AR75" s="204">
        <v>5</v>
      </c>
      <c r="AS75" s="204">
        <v>86</v>
      </c>
      <c r="AT75" s="204">
        <v>52</v>
      </c>
      <c r="AU75" s="204">
        <v>2</v>
      </c>
      <c r="AV75" s="204" t="s">
        <v>585</v>
      </c>
      <c r="AW75" s="204" t="s">
        <v>585</v>
      </c>
      <c r="AX75" s="202">
        <v>254</v>
      </c>
      <c r="AY75" s="206">
        <v>2</v>
      </c>
      <c r="AZ75" s="193">
        <v>9</v>
      </c>
      <c r="BA75" s="206">
        <v>465467</v>
      </c>
      <c r="BB75" s="377">
        <v>111452</v>
      </c>
      <c r="BC75" s="206">
        <v>1528904</v>
      </c>
      <c r="BD75" s="206">
        <v>7041</v>
      </c>
      <c r="BE75" s="378">
        <v>60653</v>
      </c>
      <c r="BF75" s="206">
        <v>2173517</v>
      </c>
      <c r="BG75" s="193">
        <v>19</v>
      </c>
      <c r="BH75" s="193" t="s">
        <v>585</v>
      </c>
      <c r="BI75" s="193" t="s">
        <v>585</v>
      </c>
      <c r="BJ75" s="193">
        <v>84</v>
      </c>
      <c r="BK75" s="206">
        <v>94</v>
      </c>
      <c r="BL75" s="204" t="s">
        <v>585</v>
      </c>
      <c r="BM75" s="206">
        <v>94</v>
      </c>
      <c r="BN75" s="193">
        <v>10</v>
      </c>
      <c r="BO75" s="206">
        <v>6</v>
      </c>
      <c r="BP75" s="204">
        <v>2</v>
      </c>
      <c r="BQ75" s="206">
        <v>8</v>
      </c>
      <c r="BR75" s="203">
        <v>17</v>
      </c>
      <c r="BS75" s="204">
        <v>72</v>
      </c>
      <c r="BT75" s="204">
        <v>3</v>
      </c>
      <c r="BU75" s="204">
        <v>12</v>
      </c>
      <c r="BV75" s="204">
        <v>5</v>
      </c>
      <c r="BW75" s="204" t="s">
        <v>585</v>
      </c>
      <c r="BX75" s="204" t="s">
        <v>585</v>
      </c>
      <c r="BY75" s="204">
        <v>6</v>
      </c>
      <c r="BZ75" s="204">
        <v>4</v>
      </c>
      <c r="CA75" s="204">
        <v>34</v>
      </c>
      <c r="CB75" s="204" t="s">
        <v>585</v>
      </c>
      <c r="CC75" s="204" t="s">
        <v>585</v>
      </c>
      <c r="CD75" s="204">
        <v>1</v>
      </c>
      <c r="CE75" s="204" t="s">
        <v>585</v>
      </c>
      <c r="CF75" s="202">
        <v>154</v>
      </c>
      <c r="CG75" s="206">
        <v>24</v>
      </c>
      <c r="CH75" s="204" t="s">
        <v>585</v>
      </c>
      <c r="CI75" s="206">
        <v>24</v>
      </c>
      <c r="CJ75" s="193" t="s">
        <v>585</v>
      </c>
      <c r="CK75" s="206">
        <v>17742</v>
      </c>
      <c r="CL75" s="204">
        <v>39</v>
      </c>
      <c r="CM75" s="204">
        <v>44939</v>
      </c>
      <c r="CN75" s="204">
        <v>29006</v>
      </c>
      <c r="CO75" s="204">
        <v>143</v>
      </c>
      <c r="CP75" s="204">
        <v>20</v>
      </c>
      <c r="CQ75" s="204">
        <v>69</v>
      </c>
      <c r="CR75" s="204">
        <v>15</v>
      </c>
      <c r="CS75" s="204">
        <v>393</v>
      </c>
      <c r="CT75" s="204">
        <v>6</v>
      </c>
      <c r="CU75" s="204" t="s">
        <v>585</v>
      </c>
      <c r="CV75" s="206">
        <v>92372</v>
      </c>
      <c r="CW75" s="203">
        <v>8324</v>
      </c>
      <c r="CX75" s="204">
        <v>155</v>
      </c>
      <c r="CY75" s="204">
        <v>1590</v>
      </c>
      <c r="CZ75" s="204">
        <v>48</v>
      </c>
      <c r="DA75" s="204">
        <v>114</v>
      </c>
      <c r="DB75" s="204">
        <v>34</v>
      </c>
      <c r="DC75" s="204" t="s">
        <v>585</v>
      </c>
      <c r="DD75" s="202">
        <v>10265</v>
      </c>
      <c r="DE75" s="206" t="s">
        <v>585</v>
      </c>
      <c r="DF75" s="203" t="s">
        <v>585</v>
      </c>
      <c r="DG75" s="204" t="s">
        <v>585</v>
      </c>
      <c r="DH75" s="202" t="s">
        <v>585</v>
      </c>
      <c r="DI75" s="206" t="s">
        <v>585</v>
      </c>
      <c r="DJ75" s="204" t="s">
        <v>585</v>
      </c>
      <c r="DK75" s="206" t="s">
        <v>585</v>
      </c>
      <c r="DL75" s="193">
        <v>105</v>
      </c>
      <c r="DM75" s="206" t="s">
        <v>585</v>
      </c>
      <c r="DN75" s="204" t="s">
        <v>585</v>
      </c>
      <c r="DO75" s="206" t="s">
        <v>585</v>
      </c>
      <c r="DP75" s="203">
        <v>937</v>
      </c>
      <c r="DQ75" s="204" t="s">
        <v>585</v>
      </c>
      <c r="DR75" s="202">
        <v>937</v>
      </c>
      <c r="DS75" s="206">
        <v>19</v>
      </c>
      <c r="DT75" s="193">
        <v>5</v>
      </c>
      <c r="DU75" s="206">
        <v>360594</v>
      </c>
      <c r="DV75" s="204">
        <v>46</v>
      </c>
      <c r="DW75" s="206">
        <v>360640</v>
      </c>
      <c r="DX75" s="193">
        <v>1</v>
      </c>
      <c r="DY75" s="193" t="s">
        <v>585</v>
      </c>
      <c r="DZ75" s="206">
        <v>328</v>
      </c>
      <c r="EA75" s="204">
        <v>112</v>
      </c>
      <c r="EB75" s="204">
        <v>217</v>
      </c>
      <c r="EC75" s="204">
        <v>5</v>
      </c>
      <c r="ED75" s="204" t="s">
        <v>585</v>
      </c>
      <c r="EE75" s="204" t="s">
        <v>585</v>
      </c>
      <c r="EF75" s="204" t="s">
        <v>585</v>
      </c>
      <c r="EG75" s="206">
        <v>662</v>
      </c>
      <c r="EH75" s="203">
        <v>1772</v>
      </c>
      <c r="EI75" s="204">
        <v>1491</v>
      </c>
      <c r="EJ75" s="204">
        <v>16</v>
      </c>
      <c r="EK75" s="204">
        <v>265</v>
      </c>
      <c r="EL75" s="204">
        <v>2273</v>
      </c>
      <c r="EM75" s="204">
        <v>10081</v>
      </c>
      <c r="EN75" s="204">
        <v>412</v>
      </c>
      <c r="EO75" s="204">
        <v>36</v>
      </c>
      <c r="EP75" s="204">
        <v>952</v>
      </c>
      <c r="EQ75" s="204">
        <v>28</v>
      </c>
      <c r="ER75" s="204">
        <v>22</v>
      </c>
      <c r="ES75" s="204" t="s">
        <v>585</v>
      </c>
      <c r="ET75" s="204" t="s">
        <v>585</v>
      </c>
      <c r="EU75" s="202">
        <v>17348</v>
      </c>
      <c r="EV75" s="206">
        <v>1</v>
      </c>
      <c r="EW75" s="193">
        <v>399</v>
      </c>
      <c r="EX75" s="206">
        <v>7</v>
      </c>
      <c r="EY75" s="204">
        <v>4</v>
      </c>
      <c r="EZ75" s="204" t="s">
        <v>585</v>
      </c>
      <c r="FA75" s="206">
        <v>11</v>
      </c>
      <c r="FB75" s="193" t="s">
        <v>585</v>
      </c>
      <c r="FC75" s="206">
        <v>44</v>
      </c>
      <c r="FD75" s="203">
        <v>36</v>
      </c>
      <c r="FE75" s="204">
        <v>18</v>
      </c>
      <c r="FF75" s="204">
        <v>3</v>
      </c>
      <c r="FG75" s="204">
        <v>2</v>
      </c>
      <c r="FH75" s="202">
        <v>59</v>
      </c>
      <c r="FI75" s="206" t="s">
        <v>585</v>
      </c>
      <c r="FJ75" s="204" t="s">
        <v>585</v>
      </c>
      <c r="FK75" s="206" t="s">
        <v>585</v>
      </c>
      <c r="FL75" s="203">
        <v>7</v>
      </c>
      <c r="FM75" s="204" t="s">
        <v>585</v>
      </c>
      <c r="FN75" s="202">
        <v>7</v>
      </c>
      <c r="FO75" s="206" t="s">
        <v>585</v>
      </c>
      <c r="FP75" s="193">
        <v>164</v>
      </c>
      <c r="FQ75" s="206">
        <v>12</v>
      </c>
      <c r="FR75" s="204">
        <v>135</v>
      </c>
      <c r="FS75" s="204" t="s">
        <v>585</v>
      </c>
      <c r="FT75" s="206">
        <v>147</v>
      </c>
      <c r="FU75" s="203">
        <v>20</v>
      </c>
      <c r="FV75" s="204">
        <v>43</v>
      </c>
      <c r="FW75" s="202">
        <v>63</v>
      </c>
      <c r="FX75" s="206" t="s">
        <v>585</v>
      </c>
      <c r="FY75" s="203" t="s">
        <v>585</v>
      </c>
      <c r="FZ75" s="204" t="s">
        <v>585</v>
      </c>
      <c r="GA75" s="204" t="s">
        <v>585</v>
      </c>
      <c r="GB75" s="202" t="s">
        <v>585</v>
      </c>
      <c r="GC75" s="206">
        <v>76</v>
      </c>
      <c r="GD75" s="203">
        <v>21</v>
      </c>
      <c r="GE75" s="204">
        <v>2</v>
      </c>
      <c r="GF75" s="204" t="s">
        <v>585</v>
      </c>
      <c r="GG75" s="204">
        <v>1</v>
      </c>
      <c r="GH75" s="202">
        <v>24</v>
      </c>
      <c r="GI75" s="193">
        <v>2713464</v>
      </c>
      <c r="GJ75" s="368">
        <f>2713464/45058286</f>
        <v>6.0221198826781827E-2</v>
      </c>
      <c r="GK75" s="382"/>
    </row>
    <row r="76" spans="2:193" ht="12" customHeight="1" x14ac:dyDescent="0.2">
      <c r="B76" s="359" t="s">
        <v>76</v>
      </c>
      <c r="C76" s="203">
        <v>4</v>
      </c>
      <c r="D76" s="204" t="s">
        <v>585</v>
      </c>
      <c r="E76" s="204">
        <v>1</v>
      </c>
      <c r="F76" s="204" t="s">
        <v>585</v>
      </c>
      <c r="G76" s="202">
        <v>5</v>
      </c>
      <c r="H76" s="193" t="s">
        <v>585</v>
      </c>
      <c r="I76" s="206" t="s">
        <v>585</v>
      </c>
      <c r="J76" s="204" t="s">
        <v>585</v>
      </c>
      <c r="K76" s="206" t="s">
        <v>585</v>
      </c>
      <c r="L76" s="193" t="s">
        <v>585</v>
      </c>
      <c r="M76" s="193">
        <v>106</v>
      </c>
      <c r="N76" s="206">
        <v>4</v>
      </c>
      <c r="O76" s="204" t="s">
        <v>585</v>
      </c>
      <c r="P76" s="204">
        <v>55001</v>
      </c>
      <c r="Q76" s="204">
        <v>2938</v>
      </c>
      <c r="R76" s="204">
        <v>106</v>
      </c>
      <c r="S76" s="204">
        <v>1</v>
      </c>
      <c r="T76" s="204" t="s">
        <v>585</v>
      </c>
      <c r="U76" s="206">
        <v>58050</v>
      </c>
      <c r="V76" s="203">
        <v>17</v>
      </c>
      <c r="W76" s="204">
        <v>20</v>
      </c>
      <c r="X76" s="202">
        <v>37</v>
      </c>
      <c r="Y76" s="206">
        <v>330</v>
      </c>
      <c r="Z76" s="204" t="s">
        <v>585</v>
      </c>
      <c r="AA76" s="204" t="s">
        <v>585</v>
      </c>
      <c r="AB76" s="206">
        <v>330</v>
      </c>
      <c r="AC76" s="203">
        <v>30</v>
      </c>
      <c r="AD76" s="204" t="s">
        <v>585</v>
      </c>
      <c r="AE76" s="204" t="s">
        <v>585</v>
      </c>
      <c r="AF76" s="202">
        <v>30</v>
      </c>
      <c r="AG76" s="206">
        <v>5</v>
      </c>
      <c r="AH76" s="204" t="s">
        <v>585</v>
      </c>
      <c r="AI76" s="204">
        <v>3</v>
      </c>
      <c r="AJ76" s="204" t="s">
        <v>585</v>
      </c>
      <c r="AK76" s="206">
        <v>8</v>
      </c>
      <c r="AL76" s="193" t="s">
        <v>585</v>
      </c>
      <c r="AM76" s="193" t="s">
        <v>585</v>
      </c>
      <c r="AN76" s="206">
        <v>5</v>
      </c>
      <c r="AO76" s="204" t="s">
        <v>585</v>
      </c>
      <c r="AP76" s="206">
        <v>5</v>
      </c>
      <c r="AQ76" s="203">
        <v>1</v>
      </c>
      <c r="AR76" s="204" t="s">
        <v>585</v>
      </c>
      <c r="AS76" s="204" t="s">
        <v>585</v>
      </c>
      <c r="AT76" s="204" t="s">
        <v>585</v>
      </c>
      <c r="AU76" s="204" t="s">
        <v>585</v>
      </c>
      <c r="AV76" s="204" t="s">
        <v>585</v>
      </c>
      <c r="AW76" s="204" t="s">
        <v>585</v>
      </c>
      <c r="AX76" s="202">
        <v>1</v>
      </c>
      <c r="AY76" s="206" t="s">
        <v>585</v>
      </c>
      <c r="AZ76" s="193" t="s">
        <v>585</v>
      </c>
      <c r="BA76" s="206">
        <v>39</v>
      </c>
      <c r="BB76" s="377">
        <v>48</v>
      </c>
      <c r="BC76" s="206">
        <v>147</v>
      </c>
      <c r="BD76" s="206">
        <v>4</v>
      </c>
      <c r="BE76" s="378">
        <v>1</v>
      </c>
      <c r="BF76" s="206">
        <v>239</v>
      </c>
      <c r="BG76" s="193" t="s">
        <v>585</v>
      </c>
      <c r="BH76" s="193" t="s">
        <v>585</v>
      </c>
      <c r="BI76" s="193" t="s">
        <v>585</v>
      </c>
      <c r="BJ76" s="193" t="s">
        <v>585</v>
      </c>
      <c r="BK76" s="206">
        <v>2</v>
      </c>
      <c r="BL76" s="204" t="s">
        <v>585</v>
      </c>
      <c r="BM76" s="206">
        <v>2</v>
      </c>
      <c r="BN76" s="193" t="s">
        <v>585</v>
      </c>
      <c r="BO76" s="206">
        <v>1</v>
      </c>
      <c r="BP76" s="204" t="s">
        <v>585</v>
      </c>
      <c r="BQ76" s="206">
        <v>1</v>
      </c>
      <c r="BR76" s="203">
        <v>2</v>
      </c>
      <c r="BS76" s="204">
        <v>1</v>
      </c>
      <c r="BT76" s="204">
        <v>3</v>
      </c>
      <c r="BU76" s="204">
        <v>1</v>
      </c>
      <c r="BV76" s="204">
        <v>1</v>
      </c>
      <c r="BW76" s="204" t="s">
        <v>585</v>
      </c>
      <c r="BX76" s="204">
        <v>3</v>
      </c>
      <c r="BY76" s="204" t="s">
        <v>585</v>
      </c>
      <c r="BZ76" s="204" t="s">
        <v>585</v>
      </c>
      <c r="CA76" s="204" t="s">
        <v>585</v>
      </c>
      <c r="CB76" s="204" t="s">
        <v>585</v>
      </c>
      <c r="CC76" s="204" t="s">
        <v>585</v>
      </c>
      <c r="CD76" s="204" t="s">
        <v>585</v>
      </c>
      <c r="CE76" s="204" t="s">
        <v>585</v>
      </c>
      <c r="CF76" s="202">
        <v>11</v>
      </c>
      <c r="CG76" s="206" t="s">
        <v>585</v>
      </c>
      <c r="CH76" s="204" t="s">
        <v>585</v>
      </c>
      <c r="CI76" s="206" t="s">
        <v>585</v>
      </c>
      <c r="CJ76" s="193" t="s">
        <v>585</v>
      </c>
      <c r="CK76" s="206">
        <v>3626</v>
      </c>
      <c r="CL76" s="204">
        <v>2</v>
      </c>
      <c r="CM76" s="204">
        <v>11070</v>
      </c>
      <c r="CN76" s="204">
        <v>643</v>
      </c>
      <c r="CO76" s="204">
        <v>2</v>
      </c>
      <c r="CP76" s="204">
        <v>5</v>
      </c>
      <c r="CQ76" s="204">
        <v>21</v>
      </c>
      <c r="CR76" s="204" t="s">
        <v>585</v>
      </c>
      <c r="CS76" s="204">
        <v>10</v>
      </c>
      <c r="CT76" s="204" t="s">
        <v>585</v>
      </c>
      <c r="CU76" s="204" t="s">
        <v>585</v>
      </c>
      <c r="CV76" s="206">
        <v>15379</v>
      </c>
      <c r="CW76" s="203">
        <v>182</v>
      </c>
      <c r="CX76" s="204">
        <v>5</v>
      </c>
      <c r="CY76" s="204">
        <v>11</v>
      </c>
      <c r="CZ76" s="204">
        <v>4</v>
      </c>
      <c r="DA76" s="204" t="s">
        <v>585</v>
      </c>
      <c r="DB76" s="204" t="s">
        <v>585</v>
      </c>
      <c r="DC76" s="204" t="s">
        <v>585</v>
      </c>
      <c r="DD76" s="202">
        <v>202</v>
      </c>
      <c r="DE76" s="206" t="s">
        <v>585</v>
      </c>
      <c r="DF76" s="203" t="s">
        <v>585</v>
      </c>
      <c r="DG76" s="204" t="s">
        <v>585</v>
      </c>
      <c r="DH76" s="202" t="s">
        <v>585</v>
      </c>
      <c r="DI76" s="206" t="s">
        <v>585</v>
      </c>
      <c r="DJ76" s="204" t="s">
        <v>585</v>
      </c>
      <c r="DK76" s="206" t="s">
        <v>585</v>
      </c>
      <c r="DL76" s="193">
        <v>3</v>
      </c>
      <c r="DM76" s="206" t="s">
        <v>585</v>
      </c>
      <c r="DN76" s="204" t="s">
        <v>585</v>
      </c>
      <c r="DO76" s="206" t="s">
        <v>585</v>
      </c>
      <c r="DP76" s="203">
        <v>37</v>
      </c>
      <c r="DQ76" s="204" t="s">
        <v>585</v>
      </c>
      <c r="DR76" s="202">
        <v>37</v>
      </c>
      <c r="DS76" s="206">
        <v>1</v>
      </c>
      <c r="DT76" s="193" t="s">
        <v>585</v>
      </c>
      <c r="DU76" s="206">
        <v>445</v>
      </c>
      <c r="DV76" s="204" t="s">
        <v>585</v>
      </c>
      <c r="DW76" s="206">
        <v>445</v>
      </c>
      <c r="DX76" s="193" t="s">
        <v>585</v>
      </c>
      <c r="DY76" s="193" t="s">
        <v>585</v>
      </c>
      <c r="DZ76" s="206">
        <v>21</v>
      </c>
      <c r="EA76" s="204">
        <v>1</v>
      </c>
      <c r="EB76" s="204">
        <v>4</v>
      </c>
      <c r="EC76" s="204" t="s">
        <v>585</v>
      </c>
      <c r="ED76" s="204" t="s">
        <v>585</v>
      </c>
      <c r="EE76" s="204" t="s">
        <v>585</v>
      </c>
      <c r="EF76" s="204" t="s">
        <v>585</v>
      </c>
      <c r="EG76" s="206">
        <v>26</v>
      </c>
      <c r="EH76" s="203">
        <v>457</v>
      </c>
      <c r="EI76" s="204">
        <v>243</v>
      </c>
      <c r="EJ76" s="204">
        <v>1</v>
      </c>
      <c r="EK76" s="204">
        <v>20</v>
      </c>
      <c r="EL76" s="204">
        <v>834</v>
      </c>
      <c r="EM76" s="204">
        <v>130</v>
      </c>
      <c r="EN76" s="204">
        <v>9</v>
      </c>
      <c r="EO76" s="204">
        <v>6</v>
      </c>
      <c r="EP76" s="204">
        <v>372</v>
      </c>
      <c r="EQ76" s="204">
        <v>17</v>
      </c>
      <c r="ER76" s="204">
        <v>3</v>
      </c>
      <c r="ES76" s="204" t="s">
        <v>585</v>
      </c>
      <c r="ET76" s="204" t="s">
        <v>585</v>
      </c>
      <c r="EU76" s="202">
        <v>2092</v>
      </c>
      <c r="EV76" s="206" t="s">
        <v>585</v>
      </c>
      <c r="EW76" s="193" t="s">
        <v>585</v>
      </c>
      <c r="EX76" s="206" t="s">
        <v>585</v>
      </c>
      <c r="EY76" s="204" t="s">
        <v>585</v>
      </c>
      <c r="EZ76" s="204" t="s">
        <v>585</v>
      </c>
      <c r="FA76" s="206" t="s">
        <v>585</v>
      </c>
      <c r="FB76" s="193" t="s">
        <v>585</v>
      </c>
      <c r="FC76" s="206">
        <v>9</v>
      </c>
      <c r="FD76" s="203" t="s">
        <v>585</v>
      </c>
      <c r="FE76" s="204">
        <v>1</v>
      </c>
      <c r="FF76" s="204" t="s">
        <v>585</v>
      </c>
      <c r="FG76" s="204" t="s">
        <v>585</v>
      </c>
      <c r="FH76" s="202">
        <v>1</v>
      </c>
      <c r="FI76" s="206" t="s">
        <v>585</v>
      </c>
      <c r="FJ76" s="204" t="s">
        <v>585</v>
      </c>
      <c r="FK76" s="206" t="s">
        <v>585</v>
      </c>
      <c r="FL76" s="203" t="s">
        <v>585</v>
      </c>
      <c r="FM76" s="204">
        <v>3</v>
      </c>
      <c r="FN76" s="202">
        <v>3</v>
      </c>
      <c r="FO76" s="206" t="s">
        <v>585</v>
      </c>
      <c r="FP76" s="193">
        <v>5</v>
      </c>
      <c r="FQ76" s="206" t="s">
        <v>585</v>
      </c>
      <c r="FR76" s="204" t="s">
        <v>585</v>
      </c>
      <c r="FS76" s="204" t="s">
        <v>585</v>
      </c>
      <c r="FT76" s="206" t="s">
        <v>585</v>
      </c>
      <c r="FU76" s="203" t="s">
        <v>585</v>
      </c>
      <c r="FV76" s="204">
        <v>1</v>
      </c>
      <c r="FW76" s="202">
        <v>1</v>
      </c>
      <c r="FX76" s="206" t="s">
        <v>585</v>
      </c>
      <c r="FY76" s="203" t="s">
        <v>585</v>
      </c>
      <c r="FZ76" s="204" t="s">
        <v>585</v>
      </c>
      <c r="GA76" s="204" t="s">
        <v>585</v>
      </c>
      <c r="GB76" s="202" t="s">
        <v>585</v>
      </c>
      <c r="GC76" s="206">
        <v>7</v>
      </c>
      <c r="GD76" s="203">
        <v>4</v>
      </c>
      <c r="GE76" s="204">
        <v>1</v>
      </c>
      <c r="GF76" s="204" t="s">
        <v>585</v>
      </c>
      <c r="GG76" s="204" t="s">
        <v>585</v>
      </c>
      <c r="GH76" s="202">
        <v>5</v>
      </c>
      <c r="GI76" s="193">
        <v>77041</v>
      </c>
      <c r="GJ76" s="368">
        <f>77041/45058286</f>
        <v>1.70980760342282E-3</v>
      </c>
      <c r="GK76" s="382"/>
    </row>
    <row r="77" spans="2:193" ht="12" customHeight="1" x14ac:dyDescent="0.2">
      <c r="B77" s="359" t="s">
        <v>101</v>
      </c>
      <c r="C77" s="203">
        <v>244</v>
      </c>
      <c r="D77" s="204" t="s">
        <v>585</v>
      </c>
      <c r="E77" s="204" t="s">
        <v>585</v>
      </c>
      <c r="F77" s="204" t="s">
        <v>585</v>
      </c>
      <c r="G77" s="202">
        <v>244</v>
      </c>
      <c r="H77" s="193" t="s">
        <v>585</v>
      </c>
      <c r="I77" s="206" t="s">
        <v>585</v>
      </c>
      <c r="J77" s="204" t="s">
        <v>585</v>
      </c>
      <c r="K77" s="206" t="s">
        <v>585</v>
      </c>
      <c r="L77" s="193" t="s">
        <v>585</v>
      </c>
      <c r="M77" s="193">
        <v>232</v>
      </c>
      <c r="N77" s="206">
        <v>23</v>
      </c>
      <c r="O77" s="204" t="s">
        <v>585</v>
      </c>
      <c r="P77" s="204">
        <v>769</v>
      </c>
      <c r="Q77" s="204" t="s">
        <v>585</v>
      </c>
      <c r="R77" s="204">
        <v>33</v>
      </c>
      <c r="S77" s="204" t="s">
        <v>585</v>
      </c>
      <c r="T77" s="204" t="s">
        <v>585</v>
      </c>
      <c r="U77" s="206">
        <v>825</v>
      </c>
      <c r="V77" s="203">
        <v>4</v>
      </c>
      <c r="W77" s="204">
        <v>7</v>
      </c>
      <c r="X77" s="202">
        <v>11</v>
      </c>
      <c r="Y77" s="206">
        <v>74</v>
      </c>
      <c r="Z77" s="204" t="s">
        <v>585</v>
      </c>
      <c r="AA77" s="204" t="s">
        <v>585</v>
      </c>
      <c r="AB77" s="206">
        <v>74</v>
      </c>
      <c r="AC77" s="203">
        <v>1090</v>
      </c>
      <c r="AD77" s="204" t="s">
        <v>585</v>
      </c>
      <c r="AE77" s="204" t="s">
        <v>585</v>
      </c>
      <c r="AF77" s="202">
        <v>1090</v>
      </c>
      <c r="AG77" s="206">
        <v>57</v>
      </c>
      <c r="AH77" s="204" t="s">
        <v>585</v>
      </c>
      <c r="AI77" s="204" t="s">
        <v>585</v>
      </c>
      <c r="AJ77" s="204" t="s">
        <v>585</v>
      </c>
      <c r="AK77" s="206">
        <v>57</v>
      </c>
      <c r="AL77" s="193" t="s">
        <v>585</v>
      </c>
      <c r="AM77" s="193" t="s">
        <v>585</v>
      </c>
      <c r="AN77" s="206" t="s">
        <v>585</v>
      </c>
      <c r="AO77" s="204" t="s">
        <v>585</v>
      </c>
      <c r="AP77" s="206" t="s">
        <v>585</v>
      </c>
      <c r="AQ77" s="203">
        <v>38</v>
      </c>
      <c r="AR77" s="204" t="s">
        <v>585</v>
      </c>
      <c r="AS77" s="204">
        <v>6</v>
      </c>
      <c r="AT77" s="204" t="s">
        <v>585</v>
      </c>
      <c r="AU77" s="204" t="s">
        <v>585</v>
      </c>
      <c r="AV77" s="204" t="s">
        <v>585</v>
      </c>
      <c r="AW77" s="204" t="s">
        <v>585</v>
      </c>
      <c r="AX77" s="202">
        <v>44</v>
      </c>
      <c r="AY77" s="206" t="s">
        <v>585</v>
      </c>
      <c r="AZ77" s="193" t="s">
        <v>585</v>
      </c>
      <c r="BA77" s="206">
        <v>23</v>
      </c>
      <c r="BB77" s="377">
        <v>401</v>
      </c>
      <c r="BC77" s="206">
        <v>251</v>
      </c>
      <c r="BD77" s="206">
        <v>7</v>
      </c>
      <c r="BE77" s="378">
        <v>76</v>
      </c>
      <c r="BF77" s="206">
        <v>758</v>
      </c>
      <c r="BG77" s="193" t="s">
        <v>585</v>
      </c>
      <c r="BH77" s="193" t="s">
        <v>585</v>
      </c>
      <c r="BI77" s="193" t="s">
        <v>585</v>
      </c>
      <c r="BJ77" s="193" t="s">
        <v>585</v>
      </c>
      <c r="BK77" s="206">
        <v>63</v>
      </c>
      <c r="BL77" s="204" t="s">
        <v>585</v>
      </c>
      <c r="BM77" s="206">
        <v>63</v>
      </c>
      <c r="BN77" s="193" t="s">
        <v>585</v>
      </c>
      <c r="BO77" s="206">
        <v>1</v>
      </c>
      <c r="BP77" s="204" t="s">
        <v>585</v>
      </c>
      <c r="BQ77" s="206">
        <v>1</v>
      </c>
      <c r="BR77" s="203">
        <v>46</v>
      </c>
      <c r="BS77" s="204" t="s">
        <v>585</v>
      </c>
      <c r="BT77" s="204" t="s">
        <v>585</v>
      </c>
      <c r="BU77" s="204" t="s">
        <v>585</v>
      </c>
      <c r="BV77" s="204" t="s">
        <v>585</v>
      </c>
      <c r="BW77" s="204" t="s">
        <v>585</v>
      </c>
      <c r="BX77" s="204" t="s">
        <v>585</v>
      </c>
      <c r="BY77" s="204" t="s">
        <v>585</v>
      </c>
      <c r="BZ77" s="204" t="s">
        <v>585</v>
      </c>
      <c r="CA77" s="204" t="s">
        <v>585</v>
      </c>
      <c r="CB77" s="204" t="s">
        <v>585</v>
      </c>
      <c r="CC77" s="204" t="s">
        <v>585</v>
      </c>
      <c r="CD77" s="204" t="s">
        <v>585</v>
      </c>
      <c r="CE77" s="204" t="s">
        <v>585</v>
      </c>
      <c r="CF77" s="202">
        <v>46</v>
      </c>
      <c r="CG77" s="206" t="s">
        <v>585</v>
      </c>
      <c r="CH77" s="204" t="s">
        <v>585</v>
      </c>
      <c r="CI77" s="206" t="s">
        <v>585</v>
      </c>
      <c r="CJ77" s="193" t="s">
        <v>585</v>
      </c>
      <c r="CK77" s="206">
        <v>989</v>
      </c>
      <c r="CL77" s="204">
        <v>0</v>
      </c>
      <c r="CM77" s="204">
        <v>3227</v>
      </c>
      <c r="CN77" s="204">
        <v>3158</v>
      </c>
      <c r="CO77" s="204">
        <v>38</v>
      </c>
      <c r="CP77" s="204" t="s">
        <v>585</v>
      </c>
      <c r="CQ77" s="204" t="s">
        <v>585</v>
      </c>
      <c r="CR77" s="204" t="s">
        <v>585</v>
      </c>
      <c r="CS77" s="204">
        <v>1</v>
      </c>
      <c r="CT77" s="204" t="s">
        <v>585</v>
      </c>
      <c r="CU77" s="204" t="s">
        <v>585</v>
      </c>
      <c r="CV77" s="206">
        <v>7413</v>
      </c>
      <c r="CW77" s="203">
        <v>559</v>
      </c>
      <c r="CX77" s="204">
        <v>3</v>
      </c>
      <c r="CY77" s="204">
        <v>181</v>
      </c>
      <c r="CZ77" s="204" t="s">
        <v>585</v>
      </c>
      <c r="DA77" s="204">
        <v>4</v>
      </c>
      <c r="DB77" s="204">
        <v>5</v>
      </c>
      <c r="DC77" s="204" t="s">
        <v>585</v>
      </c>
      <c r="DD77" s="202">
        <v>752</v>
      </c>
      <c r="DE77" s="206" t="s">
        <v>585</v>
      </c>
      <c r="DF77" s="203" t="s">
        <v>585</v>
      </c>
      <c r="DG77" s="204" t="s">
        <v>585</v>
      </c>
      <c r="DH77" s="202" t="s">
        <v>585</v>
      </c>
      <c r="DI77" s="206" t="s">
        <v>585</v>
      </c>
      <c r="DJ77" s="204" t="s">
        <v>585</v>
      </c>
      <c r="DK77" s="206" t="s">
        <v>585</v>
      </c>
      <c r="DL77" s="193">
        <v>1</v>
      </c>
      <c r="DM77" s="206">
        <v>1</v>
      </c>
      <c r="DN77" s="204" t="s">
        <v>585</v>
      </c>
      <c r="DO77" s="206">
        <v>1</v>
      </c>
      <c r="DP77" s="203">
        <v>8</v>
      </c>
      <c r="DQ77" s="204" t="s">
        <v>585</v>
      </c>
      <c r="DR77" s="202">
        <v>8</v>
      </c>
      <c r="DS77" s="206">
        <v>3</v>
      </c>
      <c r="DT77" s="193" t="s">
        <v>585</v>
      </c>
      <c r="DU77" s="206">
        <v>83</v>
      </c>
      <c r="DV77" s="204" t="s">
        <v>585</v>
      </c>
      <c r="DW77" s="206">
        <v>83</v>
      </c>
      <c r="DX77" s="193" t="s">
        <v>585</v>
      </c>
      <c r="DY77" s="193" t="s">
        <v>585</v>
      </c>
      <c r="DZ77" s="206">
        <v>12</v>
      </c>
      <c r="EA77" s="204">
        <v>37</v>
      </c>
      <c r="EB77" s="204">
        <v>100</v>
      </c>
      <c r="EC77" s="204">
        <v>2</v>
      </c>
      <c r="ED77" s="204" t="s">
        <v>585</v>
      </c>
      <c r="EE77" s="204" t="s">
        <v>585</v>
      </c>
      <c r="EF77" s="204" t="s">
        <v>585</v>
      </c>
      <c r="EG77" s="206">
        <v>151</v>
      </c>
      <c r="EH77" s="203">
        <v>145</v>
      </c>
      <c r="EI77" s="204">
        <v>62</v>
      </c>
      <c r="EJ77" s="204">
        <v>2</v>
      </c>
      <c r="EK77" s="204">
        <v>9</v>
      </c>
      <c r="EL77" s="204">
        <v>93</v>
      </c>
      <c r="EM77" s="204">
        <v>38</v>
      </c>
      <c r="EN77" s="204">
        <v>12</v>
      </c>
      <c r="EO77" s="204">
        <v>21</v>
      </c>
      <c r="EP77" s="204">
        <v>80</v>
      </c>
      <c r="EQ77" s="204">
        <v>1</v>
      </c>
      <c r="ER77" s="204">
        <v>8</v>
      </c>
      <c r="ES77" s="204" t="s">
        <v>585</v>
      </c>
      <c r="ET77" s="204" t="s">
        <v>585</v>
      </c>
      <c r="EU77" s="202">
        <v>471</v>
      </c>
      <c r="EV77" s="206" t="s">
        <v>585</v>
      </c>
      <c r="EW77" s="193" t="s">
        <v>585</v>
      </c>
      <c r="EX77" s="206" t="s">
        <v>585</v>
      </c>
      <c r="EY77" s="204" t="s">
        <v>585</v>
      </c>
      <c r="EZ77" s="204" t="s">
        <v>585</v>
      </c>
      <c r="FA77" s="206" t="s">
        <v>585</v>
      </c>
      <c r="FB77" s="193" t="s">
        <v>585</v>
      </c>
      <c r="FC77" s="206" t="s">
        <v>585</v>
      </c>
      <c r="FD77" s="203" t="s">
        <v>585</v>
      </c>
      <c r="FE77" s="204" t="s">
        <v>585</v>
      </c>
      <c r="FF77" s="204" t="s">
        <v>585</v>
      </c>
      <c r="FG77" s="204" t="s">
        <v>585</v>
      </c>
      <c r="FH77" s="202" t="s">
        <v>585</v>
      </c>
      <c r="FI77" s="206" t="s">
        <v>585</v>
      </c>
      <c r="FJ77" s="204" t="s">
        <v>585</v>
      </c>
      <c r="FK77" s="206" t="s">
        <v>585</v>
      </c>
      <c r="FL77" s="203" t="s">
        <v>585</v>
      </c>
      <c r="FM77" s="204" t="s">
        <v>585</v>
      </c>
      <c r="FN77" s="202" t="s">
        <v>585</v>
      </c>
      <c r="FO77" s="206" t="s">
        <v>585</v>
      </c>
      <c r="FP77" s="193">
        <v>17</v>
      </c>
      <c r="FQ77" s="206">
        <v>3</v>
      </c>
      <c r="FR77" s="204" t="s">
        <v>585</v>
      </c>
      <c r="FS77" s="204" t="s">
        <v>585</v>
      </c>
      <c r="FT77" s="206">
        <v>3</v>
      </c>
      <c r="FU77" s="203">
        <v>7</v>
      </c>
      <c r="FV77" s="204" t="s">
        <v>585</v>
      </c>
      <c r="FW77" s="202">
        <v>7</v>
      </c>
      <c r="FX77" s="206" t="s">
        <v>585</v>
      </c>
      <c r="FY77" s="203" t="s">
        <v>585</v>
      </c>
      <c r="FZ77" s="204" t="s">
        <v>585</v>
      </c>
      <c r="GA77" s="204" t="s">
        <v>585</v>
      </c>
      <c r="GB77" s="202" t="s">
        <v>585</v>
      </c>
      <c r="GC77" s="206" t="s">
        <v>585</v>
      </c>
      <c r="GD77" s="203" t="s">
        <v>585</v>
      </c>
      <c r="GE77" s="204" t="s">
        <v>585</v>
      </c>
      <c r="GF77" s="204" t="s">
        <v>585</v>
      </c>
      <c r="GG77" s="204" t="s">
        <v>585</v>
      </c>
      <c r="GH77" s="202" t="s">
        <v>585</v>
      </c>
      <c r="GI77" s="193">
        <v>12355</v>
      </c>
      <c r="GJ77" s="368">
        <f>12355/45058286</f>
        <v>2.7420039901207072E-4</v>
      </c>
      <c r="GK77" s="382"/>
    </row>
    <row r="78" spans="2:193" ht="12" customHeight="1" x14ac:dyDescent="0.2">
      <c r="B78" s="359" t="s">
        <v>106</v>
      </c>
      <c r="C78" s="203">
        <v>69</v>
      </c>
      <c r="D78" s="204" t="s">
        <v>585</v>
      </c>
      <c r="E78" s="204">
        <v>30</v>
      </c>
      <c r="F78" s="204">
        <v>18</v>
      </c>
      <c r="G78" s="202">
        <v>117</v>
      </c>
      <c r="H78" s="193" t="s">
        <v>585</v>
      </c>
      <c r="I78" s="206">
        <v>5</v>
      </c>
      <c r="J78" s="204" t="s">
        <v>585</v>
      </c>
      <c r="K78" s="206">
        <v>5</v>
      </c>
      <c r="L78" s="193" t="s">
        <v>585</v>
      </c>
      <c r="M78" s="193">
        <v>189</v>
      </c>
      <c r="N78" s="206">
        <v>7</v>
      </c>
      <c r="O78" s="204">
        <v>51</v>
      </c>
      <c r="P78" s="204">
        <v>11345</v>
      </c>
      <c r="Q78" s="204">
        <v>100</v>
      </c>
      <c r="R78" s="204">
        <v>11</v>
      </c>
      <c r="S78" s="204">
        <v>1</v>
      </c>
      <c r="T78" s="204" t="s">
        <v>585</v>
      </c>
      <c r="U78" s="206">
        <v>11515</v>
      </c>
      <c r="V78" s="203">
        <v>17</v>
      </c>
      <c r="W78" s="204">
        <v>19</v>
      </c>
      <c r="X78" s="202">
        <v>36</v>
      </c>
      <c r="Y78" s="206">
        <v>79</v>
      </c>
      <c r="Z78" s="204" t="s">
        <v>585</v>
      </c>
      <c r="AA78" s="204" t="s">
        <v>585</v>
      </c>
      <c r="AB78" s="206">
        <v>79</v>
      </c>
      <c r="AC78" s="203">
        <v>250</v>
      </c>
      <c r="AD78" s="204">
        <v>8</v>
      </c>
      <c r="AE78" s="204">
        <v>2</v>
      </c>
      <c r="AF78" s="202">
        <v>260</v>
      </c>
      <c r="AG78" s="206">
        <v>10</v>
      </c>
      <c r="AH78" s="204" t="s">
        <v>585</v>
      </c>
      <c r="AI78" s="204" t="s">
        <v>585</v>
      </c>
      <c r="AJ78" s="204">
        <v>19</v>
      </c>
      <c r="AK78" s="206">
        <v>29</v>
      </c>
      <c r="AL78" s="193" t="s">
        <v>585</v>
      </c>
      <c r="AM78" s="193" t="s">
        <v>585</v>
      </c>
      <c r="AN78" s="206">
        <v>39</v>
      </c>
      <c r="AO78" s="204">
        <v>1</v>
      </c>
      <c r="AP78" s="206">
        <v>40</v>
      </c>
      <c r="AQ78" s="203">
        <v>42</v>
      </c>
      <c r="AR78" s="204">
        <v>4</v>
      </c>
      <c r="AS78" s="204">
        <v>5</v>
      </c>
      <c r="AT78" s="204">
        <v>1</v>
      </c>
      <c r="AU78" s="204">
        <v>25</v>
      </c>
      <c r="AV78" s="204" t="s">
        <v>585</v>
      </c>
      <c r="AW78" s="204" t="s">
        <v>585</v>
      </c>
      <c r="AX78" s="202">
        <v>77</v>
      </c>
      <c r="AY78" s="206" t="s">
        <v>585</v>
      </c>
      <c r="AZ78" s="193">
        <v>4</v>
      </c>
      <c r="BA78" s="206">
        <v>23</v>
      </c>
      <c r="BB78" s="377">
        <v>406</v>
      </c>
      <c r="BC78" s="206">
        <v>5237</v>
      </c>
      <c r="BD78" s="206">
        <v>26</v>
      </c>
      <c r="BE78" s="378">
        <v>13</v>
      </c>
      <c r="BF78" s="206">
        <v>5705</v>
      </c>
      <c r="BG78" s="193">
        <v>2</v>
      </c>
      <c r="BH78" s="193" t="s">
        <v>585</v>
      </c>
      <c r="BI78" s="193" t="s">
        <v>585</v>
      </c>
      <c r="BJ78" s="193">
        <v>2</v>
      </c>
      <c r="BK78" s="206">
        <v>7</v>
      </c>
      <c r="BL78" s="204" t="s">
        <v>585</v>
      </c>
      <c r="BM78" s="206">
        <v>7</v>
      </c>
      <c r="BN78" s="193" t="s">
        <v>585</v>
      </c>
      <c r="BO78" s="206">
        <v>3</v>
      </c>
      <c r="BP78" s="204" t="s">
        <v>585</v>
      </c>
      <c r="BQ78" s="206">
        <v>3</v>
      </c>
      <c r="BR78" s="203" t="s">
        <v>585</v>
      </c>
      <c r="BS78" s="204">
        <v>245</v>
      </c>
      <c r="BT78" s="204">
        <v>7</v>
      </c>
      <c r="BU78" s="204">
        <v>18</v>
      </c>
      <c r="BV78" s="204">
        <v>3</v>
      </c>
      <c r="BW78" s="204" t="s">
        <v>585</v>
      </c>
      <c r="BX78" s="204">
        <v>3</v>
      </c>
      <c r="BY78" s="204">
        <v>14</v>
      </c>
      <c r="BZ78" s="204">
        <v>44</v>
      </c>
      <c r="CA78" s="204">
        <v>23</v>
      </c>
      <c r="CB78" s="204" t="s">
        <v>585</v>
      </c>
      <c r="CC78" s="204" t="s">
        <v>585</v>
      </c>
      <c r="CD78" s="204">
        <v>31</v>
      </c>
      <c r="CE78" s="204" t="s">
        <v>585</v>
      </c>
      <c r="CF78" s="202">
        <v>388</v>
      </c>
      <c r="CG78" s="206">
        <v>1</v>
      </c>
      <c r="CH78" s="204" t="s">
        <v>585</v>
      </c>
      <c r="CI78" s="206">
        <v>1</v>
      </c>
      <c r="CJ78" s="193" t="s">
        <v>585</v>
      </c>
      <c r="CK78" s="206">
        <v>8372</v>
      </c>
      <c r="CL78" s="204">
        <v>70</v>
      </c>
      <c r="CM78" s="204">
        <v>22045</v>
      </c>
      <c r="CN78" s="204">
        <v>3396</v>
      </c>
      <c r="CO78" s="204">
        <v>149</v>
      </c>
      <c r="CP78" s="204">
        <v>20</v>
      </c>
      <c r="CQ78" s="204">
        <v>86</v>
      </c>
      <c r="CR78" s="204">
        <v>6</v>
      </c>
      <c r="CS78" s="204">
        <v>110</v>
      </c>
      <c r="CT78" s="204" t="s">
        <v>585</v>
      </c>
      <c r="CU78" s="204" t="s">
        <v>585</v>
      </c>
      <c r="CV78" s="206">
        <v>34254</v>
      </c>
      <c r="CW78" s="203">
        <v>582</v>
      </c>
      <c r="CX78" s="204">
        <v>614</v>
      </c>
      <c r="CY78" s="204">
        <v>51</v>
      </c>
      <c r="CZ78" s="204">
        <v>71</v>
      </c>
      <c r="DA78" s="204">
        <v>4</v>
      </c>
      <c r="DB78" s="204" t="s">
        <v>585</v>
      </c>
      <c r="DC78" s="204" t="s">
        <v>585</v>
      </c>
      <c r="DD78" s="202">
        <v>1322</v>
      </c>
      <c r="DE78" s="206" t="s">
        <v>585</v>
      </c>
      <c r="DF78" s="203" t="s">
        <v>585</v>
      </c>
      <c r="DG78" s="204" t="s">
        <v>585</v>
      </c>
      <c r="DH78" s="202" t="s">
        <v>585</v>
      </c>
      <c r="DI78" s="206" t="s">
        <v>585</v>
      </c>
      <c r="DJ78" s="204" t="s">
        <v>585</v>
      </c>
      <c r="DK78" s="206" t="s">
        <v>585</v>
      </c>
      <c r="DL78" s="193">
        <v>20</v>
      </c>
      <c r="DM78" s="206" t="s">
        <v>585</v>
      </c>
      <c r="DN78" s="204" t="s">
        <v>585</v>
      </c>
      <c r="DO78" s="206" t="s">
        <v>585</v>
      </c>
      <c r="DP78" s="203">
        <v>406</v>
      </c>
      <c r="DQ78" s="204" t="s">
        <v>585</v>
      </c>
      <c r="DR78" s="202">
        <v>406</v>
      </c>
      <c r="DS78" s="206">
        <v>1</v>
      </c>
      <c r="DT78" s="193" t="s">
        <v>585</v>
      </c>
      <c r="DU78" s="206">
        <v>79</v>
      </c>
      <c r="DV78" s="204" t="s">
        <v>585</v>
      </c>
      <c r="DW78" s="206">
        <v>79</v>
      </c>
      <c r="DX78" s="193">
        <v>4</v>
      </c>
      <c r="DY78" s="193">
        <v>1</v>
      </c>
      <c r="DZ78" s="206">
        <v>372</v>
      </c>
      <c r="EA78" s="204">
        <v>2</v>
      </c>
      <c r="EB78" s="204">
        <v>67</v>
      </c>
      <c r="EC78" s="204">
        <v>18</v>
      </c>
      <c r="ED78" s="204">
        <v>1</v>
      </c>
      <c r="EE78" s="204" t="s">
        <v>585</v>
      </c>
      <c r="EF78" s="204" t="s">
        <v>585</v>
      </c>
      <c r="EG78" s="206">
        <v>460</v>
      </c>
      <c r="EH78" s="203">
        <v>261</v>
      </c>
      <c r="EI78" s="204">
        <v>129</v>
      </c>
      <c r="EJ78" s="204">
        <v>9</v>
      </c>
      <c r="EK78" s="204">
        <v>22</v>
      </c>
      <c r="EL78" s="204">
        <v>191</v>
      </c>
      <c r="EM78" s="204">
        <v>280</v>
      </c>
      <c r="EN78" s="204">
        <v>15</v>
      </c>
      <c r="EO78" s="204">
        <v>71</v>
      </c>
      <c r="EP78" s="204">
        <v>126</v>
      </c>
      <c r="EQ78" s="204">
        <v>8</v>
      </c>
      <c r="ER78" s="204">
        <v>75</v>
      </c>
      <c r="ES78" s="204" t="s">
        <v>585</v>
      </c>
      <c r="ET78" s="204" t="s">
        <v>585</v>
      </c>
      <c r="EU78" s="202">
        <v>1187</v>
      </c>
      <c r="EV78" s="206" t="s">
        <v>585</v>
      </c>
      <c r="EW78" s="193" t="s">
        <v>585</v>
      </c>
      <c r="EX78" s="206" t="s">
        <v>585</v>
      </c>
      <c r="EY78" s="204" t="s">
        <v>585</v>
      </c>
      <c r="EZ78" s="204" t="s">
        <v>585</v>
      </c>
      <c r="FA78" s="206" t="s">
        <v>585</v>
      </c>
      <c r="FB78" s="193" t="s">
        <v>585</v>
      </c>
      <c r="FC78" s="206">
        <v>3</v>
      </c>
      <c r="FD78" s="203">
        <v>59</v>
      </c>
      <c r="FE78" s="204">
        <v>9</v>
      </c>
      <c r="FF78" s="204">
        <v>5</v>
      </c>
      <c r="FG78" s="204" t="s">
        <v>585</v>
      </c>
      <c r="FH78" s="202">
        <v>73</v>
      </c>
      <c r="FI78" s="206" t="s">
        <v>585</v>
      </c>
      <c r="FJ78" s="204" t="s">
        <v>585</v>
      </c>
      <c r="FK78" s="206" t="s">
        <v>585</v>
      </c>
      <c r="FL78" s="203" t="s">
        <v>585</v>
      </c>
      <c r="FM78" s="204" t="s">
        <v>585</v>
      </c>
      <c r="FN78" s="202" t="s">
        <v>585</v>
      </c>
      <c r="FO78" s="206" t="s">
        <v>585</v>
      </c>
      <c r="FP78" s="193">
        <v>2</v>
      </c>
      <c r="FQ78" s="206">
        <v>3</v>
      </c>
      <c r="FR78" s="204">
        <v>44</v>
      </c>
      <c r="FS78" s="204">
        <v>20</v>
      </c>
      <c r="FT78" s="206">
        <v>67</v>
      </c>
      <c r="FU78" s="203">
        <v>4</v>
      </c>
      <c r="FV78" s="204">
        <v>37</v>
      </c>
      <c r="FW78" s="202">
        <v>41</v>
      </c>
      <c r="FX78" s="206" t="s">
        <v>585</v>
      </c>
      <c r="FY78" s="203" t="s">
        <v>585</v>
      </c>
      <c r="FZ78" s="204">
        <v>1</v>
      </c>
      <c r="GA78" s="204" t="s">
        <v>585</v>
      </c>
      <c r="GB78" s="202">
        <v>1</v>
      </c>
      <c r="GC78" s="206">
        <v>55</v>
      </c>
      <c r="GD78" s="203">
        <v>17</v>
      </c>
      <c r="GE78" s="204">
        <v>8</v>
      </c>
      <c r="GF78" s="204">
        <v>4</v>
      </c>
      <c r="GG78" s="204">
        <v>1</v>
      </c>
      <c r="GH78" s="202">
        <v>30</v>
      </c>
      <c r="GI78" s="193">
        <v>56465</v>
      </c>
      <c r="GJ78" s="368">
        <f>56465/45058286</f>
        <v>1.2531546361972134E-3</v>
      </c>
      <c r="GK78" s="382"/>
    </row>
    <row r="79" spans="2:193" ht="12" customHeight="1" x14ac:dyDescent="0.2">
      <c r="B79" s="359" t="s">
        <v>128</v>
      </c>
      <c r="C79" s="203">
        <v>8</v>
      </c>
      <c r="D79" s="204" t="s">
        <v>585</v>
      </c>
      <c r="E79" s="204">
        <v>2</v>
      </c>
      <c r="F79" s="204">
        <v>7</v>
      </c>
      <c r="G79" s="202">
        <v>17</v>
      </c>
      <c r="H79" s="193" t="s">
        <v>585</v>
      </c>
      <c r="I79" s="206" t="s">
        <v>585</v>
      </c>
      <c r="J79" s="204" t="s">
        <v>585</v>
      </c>
      <c r="K79" s="206" t="s">
        <v>585</v>
      </c>
      <c r="L79" s="193" t="s">
        <v>585</v>
      </c>
      <c r="M79" s="193">
        <v>39</v>
      </c>
      <c r="N79" s="206" t="s">
        <v>585</v>
      </c>
      <c r="O79" s="204">
        <v>30</v>
      </c>
      <c r="P79" s="204">
        <v>2187</v>
      </c>
      <c r="Q79" s="204">
        <v>29</v>
      </c>
      <c r="R79" s="204">
        <v>1</v>
      </c>
      <c r="S79" s="204" t="s">
        <v>585</v>
      </c>
      <c r="T79" s="204" t="s">
        <v>585</v>
      </c>
      <c r="U79" s="206">
        <v>2247</v>
      </c>
      <c r="V79" s="203" t="s">
        <v>585</v>
      </c>
      <c r="W79" s="204" t="s">
        <v>585</v>
      </c>
      <c r="X79" s="202" t="s">
        <v>585</v>
      </c>
      <c r="Y79" s="206">
        <v>16</v>
      </c>
      <c r="Z79" s="204">
        <v>5</v>
      </c>
      <c r="AA79" s="204" t="s">
        <v>585</v>
      </c>
      <c r="AB79" s="206">
        <v>21</v>
      </c>
      <c r="AC79" s="203">
        <v>54</v>
      </c>
      <c r="AD79" s="204">
        <v>1</v>
      </c>
      <c r="AE79" s="204">
        <v>5</v>
      </c>
      <c r="AF79" s="202">
        <v>60</v>
      </c>
      <c r="AG79" s="206">
        <v>5</v>
      </c>
      <c r="AH79" s="204">
        <v>1</v>
      </c>
      <c r="AI79" s="204" t="s">
        <v>585</v>
      </c>
      <c r="AJ79" s="204">
        <v>33</v>
      </c>
      <c r="AK79" s="206">
        <v>39</v>
      </c>
      <c r="AL79" s="193">
        <v>1</v>
      </c>
      <c r="AM79" s="193" t="s">
        <v>585</v>
      </c>
      <c r="AN79" s="206">
        <v>144</v>
      </c>
      <c r="AO79" s="204" t="s">
        <v>585</v>
      </c>
      <c r="AP79" s="206">
        <v>144</v>
      </c>
      <c r="AQ79" s="203">
        <v>3</v>
      </c>
      <c r="AR79" s="204">
        <v>1</v>
      </c>
      <c r="AS79" s="204">
        <v>1</v>
      </c>
      <c r="AT79" s="204" t="s">
        <v>585</v>
      </c>
      <c r="AU79" s="204">
        <v>3</v>
      </c>
      <c r="AV79" s="204" t="s">
        <v>585</v>
      </c>
      <c r="AW79" s="204" t="s">
        <v>585</v>
      </c>
      <c r="AX79" s="202">
        <v>8</v>
      </c>
      <c r="AY79" s="206" t="s">
        <v>585</v>
      </c>
      <c r="AZ79" s="193" t="s">
        <v>585</v>
      </c>
      <c r="BA79" s="206">
        <v>39</v>
      </c>
      <c r="BB79" s="377">
        <v>3473</v>
      </c>
      <c r="BC79" s="206">
        <v>5726</v>
      </c>
      <c r="BD79" s="206">
        <v>2</v>
      </c>
      <c r="BE79" s="378">
        <v>37</v>
      </c>
      <c r="BF79" s="206">
        <v>9277</v>
      </c>
      <c r="BG79" s="193">
        <v>1</v>
      </c>
      <c r="BH79" s="193" t="s">
        <v>585</v>
      </c>
      <c r="BI79" s="193" t="s">
        <v>585</v>
      </c>
      <c r="BJ79" s="193" t="s">
        <v>585</v>
      </c>
      <c r="BK79" s="206">
        <v>2</v>
      </c>
      <c r="BL79" s="204" t="s">
        <v>585</v>
      </c>
      <c r="BM79" s="206">
        <v>2</v>
      </c>
      <c r="BN79" s="193" t="s">
        <v>585</v>
      </c>
      <c r="BO79" s="206" t="s">
        <v>585</v>
      </c>
      <c r="BP79" s="204" t="s">
        <v>585</v>
      </c>
      <c r="BQ79" s="206" t="s">
        <v>585</v>
      </c>
      <c r="BR79" s="203" t="s">
        <v>585</v>
      </c>
      <c r="BS79" s="204">
        <v>85</v>
      </c>
      <c r="BT79" s="204">
        <v>3</v>
      </c>
      <c r="BU79" s="204">
        <v>34</v>
      </c>
      <c r="BV79" s="204">
        <v>6</v>
      </c>
      <c r="BW79" s="204" t="s">
        <v>585</v>
      </c>
      <c r="BX79" s="204" t="s">
        <v>585</v>
      </c>
      <c r="BY79" s="204">
        <v>11</v>
      </c>
      <c r="BZ79" s="204">
        <v>6</v>
      </c>
      <c r="CA79" s="204">
        <v>5</v>
      </c>
      <c r="CB79" s="204" t="s">
        <v>585</v>
      </c>
      <c r="CC79" s="204" t="s">
        <v>585</v>
      </c>
      <c r="CD79" s="204">
        <v>16</v>
      </c>
      <c r="CE79" s="204">
        <v>1</v>
      </c>
      <c r="CF79" s="202">
        <v>167</v>
      </c>
      <c r="CG79" s="206" t="s">
        <v>585</v>
      </c>
      <c r="CH79" s="204" t="s">
        <v>585</v>
      </c>
      <c r="CI79" s="206" t="s">
        <v>585</v>
      </c>
      <c r="CJ79" s="193" t="s">
        <v>585</v>
      </c>
      <c r="CK79" s="206">
        <v>3224</v>
      </c>
      <c r="CL79" s="204">
        <v>320</v>
      </c>
      <c r="CM79" s="204">
        <v>7578</v>
      </c>
      <c r="CN79" s="204">
        <v>1876</v>
      </c>
      <c r="CO79" s="204">
        <v>91</v>
      </c>
      <c r="CP79" s="204" t="s">
        <v>585</v>
      </c>
      <c r="CQ79" s="204">
        <v>203</v>
      </c>
      <c r="CR79" s="204" t="s">
        <v>585</v>
      </c>
      <c r="CS79" s="204">
        <v>67</v>
      </c>
      <c r="CT79" s="204" t="s">
        <v>585</v>
      </c>
      <c r="CU79" s="204" t="s">
        <v>585</v>
      </c>
      <c r="CV79" s="206">
        <v>13359</v>
      </c>
      <c r="CW79" s="203">
        <v>100</v>
      </c>
      <c r="CX79" s="204">
        <v>44</v>
      </c>
      <c r="CY79" s="204">
        <v>10</v>
      </c>
      <c r="CZ79" s="204">
        <v>232</v>
      </c>
      <c r="DA79" s="204" t="s">
        <v>585</v>
      </c>
      <c r="DB79" s="204" t="s">
        <v>585</v>
      </c>
      <c r="DC79" s="204" t="s">
        <v>585</v>
      </c>
      <c r="DD79" s="202">
        <v>386</v>
      </c>
      <c r="DE79" s="206" t="s">
        <v>585</v>
      </c>
      <c r="DF79" s="203" t="s">
        <v>585</v>
      </c>
      <c r="DG79" s="204" t="s">
        <v>585</v>
      </c>
      <c r="DH79" s="202" t="s">
        <v>585</v>
      </c>
      <c r="DI79" s="206" t="s">
        <v>585</v>
      </c>
      <c r="DJ79" s="204" t="s">
        <v>585</v>
      </c>
      <c r="DK79" s="206" t="s">
        <v>585</v>
      </c>
      <c r="DL79" s="193">
        <v>2</v>
      </c>
      <c r="DM79" s="206" t="s">
        <v>585</v>
      </c>
      <c r="DN79" s="204" t="s">
        <v>585</v>
      </c>
      <c r="DO79" s="206" t="s">
        <v>585</v>
      </c>
      <c r="DP79" s="203">
        <v>777</v>
      </c>
      <c r="DQ79" s="204" t="s">
        <v>585</v>
      </c>
      <c r="DR79" s="202">
        <v>777</v>
      </c>
      <c r="DS79" s="206" t="s">
        <v>585</v>
      </c>
      <c r="DT79" s="193" t="s">
        <v>585</v>
      </c>
      <c r="DU79" s="206">
        <v>11</v>
      </c>
      <c r="DV79" s="204" t="s">
        <v>585</v>
      </c>
      <c r="DW79" s="206">
        <v>11</v>
      </c>
      <c r="DX79" s="193">
        <v>3</v>
      </c>
      <c r="DY79" s="193" t="s">
        <v>585</v>
      </c>
      <c r="DZ79" s="206">
        <v>408</v>
      </c>
      <c r="EA79" s="204" t="s">
        <v>585</v>
      </c>
      <c r="EB79" s="204">
        <v>1</v>
      </c>
      <c r="EC79" s="204">
        <v>47</v>
      </c>
      <c r="ED79" s="204" t="s">
        <v>585</v>
      </c>
      <c r="EE79" s="204" t="s">
        <v>585</v>
      </c>
      <c r="EF79" s="204" t="s">
        <v>585</v>
      </c>
      <c r="EG79" s="206">
        <v>456</v>
      </c>
      <c r="EH79" s="203">
        <v>34</v>
      </c>
      <c r="EI79" s="204">
        <v>32</v>
      </c>
      <c r="EJ79" s="204">
        <v>2</v>
      </c>
      <c r="EK79" s="204">
        <v>5</v>
      </c>
      <c r="EL79" s="204">
        <v>66</v>
      </c>
      <c r="EM79" s="204">
        <v>95</v>
      </c>
      <c r="EN79" s="204">
        <v>7</v>
      </c>
      <c r="EO79" s="204">
        <v>14</v>
      </c>
      <c r="EP79" s="204">
        <v>19</v>
      </c>
      <c r="EQ79" s="204" t="s">
        <v>585</v>
      </c>
      <c r="ER79" s="204">
        <v>3</v>
      </c>
      <c r="ES79" s="204" t="s">
        <v>585</v>
      </c>
      <c r="ET79" s="204">
        <v>2</v>
      </c>
      <c r="EU79" s="202">
        <v>279</v>
      </c>
      <c r="EV79" s="206" t="s">
        <v>585</v>
      </c>
      <c r="EW79" s="193" t="s">
        <v>585</v>
      </c>
      <c r="EX79" s="206" t="s">
        <v>585</v>
      </c>
      <c r="EY79" s="204" t="s">
        <v>585</v>
      </c>
      <c r="EZ79" s="204" t="s">
        <v>585</v>
      </c>
      <c r="FA79" s="206" t="s">
        <v>585</v>
      </c>
      <c r="FB79" s="193" t="s">
        <v>585</v>
      </c>
      <c r="FC79" s="206" t="s">
        <v>585</v>
      </c>
      <c r="FD79" s="203">
        <v>2</v>
      </c>
      <c r="FE79" s="204">
        <v>3</v>
      </c>
      <c r="FF79" s="204" t="s">
        <v>585</v>
      </c>
      <c r="FG79" s="204" t="s">
        <v>585</v>
      </c>
      <c r="FH79" s="202">
        <v>5</v>
      </c>
      <c r="FI79" s="206" t="s">
        <v>585</v>
      </c>
      <c r="FJ79" s="204" t="s">
        <v>585</v>
      </c>
      <c r="FK79" s="206" t="s">
        <v>585</v>
      </c>
      <c r="FL79" s="203" t="s">
        <v>585</v>
      </c>
      <c r="FM79" s="204" t="s">
        <v>585</v>
      </c>
      <c r="FN79" s="202" t="s">
        <v>585</v>
      </c>
      <c r="FO79" s="206" t="s">
        <v>585</v>
      </c>
      <c r="FP79" s="193">
        <v>2</v>
      </c>
      <c r="FQ79" s="206">
        <v>2</v>
      </c>
      <c r="FR79" s="204">
        <v>156</v>
      </c>
      <c r="FS79" s="204">
        <v>153</v>
      </c>
      <c r="FT79" s="206">
        <v>311</v>
      </c>
      <c r="FU79" s="203">
        <v>1</v>
      </c>
      <c r="FV79" s="204" t="s">
        <v>585</v>
      </c>
      <c r="FW79" s="202">
        <v>1</v>
      </c>
      <c r="FX79" s="206" t="s">
        <v>585</v>
      </c>
      <c r="FY79" s="203" t="s">
        <v>585</v>
      </c>
      <c r="FZ79" s="204" t="s">
        <v>585</v>
      </c>
      <c r="GA79" s="204" t="s">
        <v>585</v>
      </c>
      <c r="GB79" s="202" t="s">
        <v>585</v>
      </c>
      <c r="GC79" s="206">
        <v>16</v>
      </c>
      <c r="GD79" s="203">
        <v>2</v>
      </c>
      <c r="GE79" s="204">
        <v>6</v>
      </c>
      <c r="GF79" s="204" t="s">
        <v>585</v>
      </c>
      <c r="GG79" s="204" t="s">
        <v>585</v>
      </c>
      <c r="GH79" s="202">
        <v>8</v>
      </c>
      <c r="GI79" s="193">
        <v>27639</v>
      </c>
      <c r="GJ79" s="368">
        <f>27639/45058286</f>
        <v>6.1340548994695445E-4</v>
      </c>
      <c r="GK79" s="382"/>
    </row>
    <row r="80" spans="2:193" ht="12" customHeight="1" x14ac:dyDescent="0.2">
      <c r="B80" s="359" t="s">
        <v>138</v>
      </c>
      <c r="C80" s="203">
        <v>22</v>
      </c>
      <c r="D80" s="204" t="s">
        <v>585</v>
      </c>
      <c r="E80" s="204" t="s">
        <v>585</v>
      </c>
      <c r="F80" s="204" t="s">
        <v>585</v>
      </c>
      <c r="G80" s="202">
        <v>22</v>
      </c>
      <c r="H80" s="193" t="s">
        <v>585</v>
      </c>
      <c r="I80" s="206" t="s">
        <v>585</v>
      </c>
      <c r="J80" s="204" t="s">
        <v>585</v>
      </c>
      <c r="K80" s="206" t="s">
        <v>585</v>
      </c>
      <c r="L80" s="193" t="s">
        <v>585</v>
      </c>
      <c r="M80" s="193">
        <v>79</v>
      </c>
      <c r="N80" s="206" t="s">
        <v>585</v>
      </c>
      <c r="O80" s="204" t="s">
        <v>585</v>
      </c>
      <c r="P80" s="204">
        <v>63720</v>
      </c>
      <c r="Q80" s="204">
        <v>155</v>
      </c>
      <c r="R80" s="204">
        <v>2</v>
      </c>
      <c r="S80" s="204" t="s">
        <v>585</v>
      </c>
      <c r="T80" s="204" t="s">
        <v>585</v>
      </c>
      <c r="U80" s="206">
        <v>63877</v>
      </c>
      <c r="V80" s="203" t="s">
        <v>585</v>
      </c>
      <c r="W80" s="204" t="s">
        <v>585</v>
      </c>
      <c r="X80" s="202" t="s">
        <v>585</v>
      </c>
      <c r="Y80" s="206">
        <v>17</v>
      </c>
      <c r="Z80" s="204" t="s">
        <v>585</v>
      </c>
      <c r="AA80" s="204" t="s">
        <v>585</v>
      </c>
      <c r="AB80" s="206">
        <v>17</v>
      </c>
      <c r="AC80" s="203">
        <v>31</v>
      </c>
      <c r="AD80" s="204" t="s">
        <v>585</v>
      </c>
      <c r="AE80" s="204" t="s">
        <v>585</v>
      </c>
      <c r="AF80" s="202">
        <v>31</v>
      </c>
      <c r="AG80" s="206">
        <v>2</v>
      </c>
      <c r="AH80" s="204">
        <v>27</v>
      </c>
      <c r="AI80" s="204" t="s">
        <v>585</v>
      </c>
      <c r="AJ80" s="204" t="s">
        <v>585</v>
      </c>
      <c r="AK80" s="206">
        <v>29</v>
      </c>
      <c r="AL80" s="193" t="s">
        <v>585</v>
      </c>
      <c r="AM80" s="193" t="s">
        <v>585</v>
      </c>
      <c r="AN80" s="206" t="s">
        <v>585</v>
      </c>
      <c r="AO80" s="204" t="s">
        <v>585</v>
      </c>
      <c r="AP80" s="206" t="s">
        <v>585</v>
      </c>
      <c r="AQ80" s="203" t="s">
        <v>585</v>
      </c>
      <c r="AR80" s="204" t="s">
        <v>585</v>
      </c>
      <c r="AS80" s="204">
        <v>1</v>
      </c>
      <c r="AT80" s="204" t="s">
        <v>585</v>
      </c>
      <c r="AU80" s="204" t="s">
        <v>585</v>
      </c>
      <c r="AV80" s="204" t="s">
        <v>585</v>
      </c>
      <c r="AW80" s="204" t="s">
        <v>585</v>
      </c>
      <c r="AX80" s="202">
        <v>1</v>
      </c>
      <c r="AY80" s="206" t="s">
        <v>585</v>
      </c>
      <c r="AZ80" s="193">
        <v>4</v>
      </c>
      <c r="BA80" s="206">
        <v>71</v>
      </c>
      <c r="BB80" s="377">
        <v>1939</v>
      </c>
      <c r="BC80" s="206">
        <v>12325</v>
      </c>
      <c r="BD80" s="206">
        <v>11</v>
      </c>
      <c r="BE80" s="378">
        <v>97</v>
      </c>
      <c r="BF80" s="206">
        <v>14443</v>
      </c>
      <c r="BG80" s="193" t="s">
        <v>585</v>
      </c>
      <c r="BH80" s="193" t="s">
        <v>585</v>
      </c>
      <c r="BI80" s="193" t="s">
        <v>585</v>
      </c>
      <c r="BJ80" s="193">
        <v>1</v>
      </c>
      <c r="BK80" s="206">
        <v>14</v>
      </c>
      <c r="BL80" s="204" t="s">
        <v>585</v>
      </c>
      <c r="BM80" s="206">
        <v>14</v>
      </c>
      <c r="BN80" s="193" t="s">
        <v>585</v>
      </c>
      <c r="BO80" s="206" t="s">
        <v>585</v>
      </c>
      <c r="BP80" s="204" t="s">
        <v>585</v>
      </c>
      <c r="BQ80" s="206" t="s">
        <v>585</v>
      </c>
      <c r="BR80" s="203" t="s">
        <v>585</v>
      </c>
      <c r="BS80" s="204" t="s">
        <v>585</v>
      </c>
      <c r="BT80" s="204" t="s">
        <v>585</v>
      </c>
      <c r="BU80" s="204" t="s">
        <v>585</v>
      </c>
      <c r="BV80" s="204" t="s">
        <v>585</v>
      </c>
      <c r="BW80" s="204" t="s">
        <v>585</v>
      </c>
      <c r="BX80" s="204" t="s">
        <v>585</v>
      </c>
      <c r="BY80" s="204" t="s">
        <v>585</v>
      </c>
      <c r="BZ80" s="204" t="s">
        <v>585</v>
      </c>
      <c r="CA80" s="204" t="s">
        <v>585</v>
      </c>
      <c r="CB80" s="204" t="s">
        <v>585</v>
      </c>
      <c r="CC80" s="204" t="s">
        <v>585</v>
      </c>
      <c r="CD80" s="204" t="s">
        <v>585</v>
      </c>
      <c r="CE80" s="204" t="s">
        <v>585</v>
      </c>
      <c r="CF80" s="202" t="s">
        <v>585</v>
      </c>
      <c r="CG80" s="206" t="s">
        <v>585</v>
      </c>
      <c r="CH80" s="204" t="s">
        <v>585</v>
      </c>
      <c r="CI80" s="206" t="s">
        <v>585</v>
      </c>
      <c r="CJ80" s="193" t="s">
        <v>585</v>
      </c>
      <c r="CK80" s="206">
        <v>10207</v>
      </c>
      <c r="CL80" s="204" t="s">
        <v>585</v>
      </c>
      <c r="CM80" s="204">
        <v>20553</v>
      </c>
      <c r="CN80" s="204">
        <v>39737</v>
      </c>
      <c r="CO80" s="204" t="s">
        <v>585</v>
      </c>
      <c r="CP80" s="204" t="s">
        <v>585</v>
      </c>
      <c r="CQ80" s="204" t="s">
        <v>585</v>
      </c>
      <c r="CR80" s="204" t="s">
        <v>585</v>
      </c>
      <c r="CS80" s="204" t="s">
        <v>585</v>
      </c>
      <c r="CT80" s="204" t="s">
        <v>585</v>
      </c>
      <c r="CU80" s="204" t="s">
        <v>585</v>
      </c>
      <c r="CV80" s="206">
        <v>70497</v>
      </c>
      <c r="CW80" s="203">
        <v>1299</v>
      </c>
      <c r="CX80" s="204" t="s">
        <v>585</v>
      </c>
      <c r="CY80" s="204">
        <v>16</v>
      </c>
      <c r="CZ80" s="204" t="s">
        <v>585</v>
      </c>
      <c r="DA80" s="204" t="s">
        <v>585</v>
      </c>
      <c r="DB80" s="204" t="s">
        <v>585</v>
      </c>
      <c r="DC80" s="204" t="s">
        <v>585</v>
      </c>
      <c r="DD80" s="202">
        <v>1315</v>
      </c>
      <c r="DE80" s="206" t="s">
        <v>585</v>
      </c>
      <c r="DF80" s="203" t="s">
        <v>585</v>
      </c>
      <c r="DG80" s="204" t="s">
        <v>585</v>
      </c>
      <c r="DH80" s="202" t="s">
        <v>585</v>
      </c>
      <c r="DI80" s="206" t="s">
        <v>585</v>
      </c>
      <c r="DJ80" s="204" t="s">
        <v>585</v>
      </c>
      <c r="DK80" s="206" t="s">
        <v>585</v>
      </c>
      <c r="DL80" s="193">
        <v>11</v>
      </c>
      <c r="DM80" s="206" t="s">
        <v>585</v>
      </c>
      <c r="DN80" s="204" t="s">
        <v>585</v>
      </c>
      <c r="DO80" s="206" t="s">
        <v>585</v>
      </c>
      <c r="DP80" s="203" t="s">
        <v>585</v>
      </c>
      <c r="DQ80" s="204" t="s">
        <v>585</v>
      </c>
      <c r="DR80" s="202" t="s">
        <v>585</v>
      </c>
      <c r="DS80" s="206">
        <v>2</v>
      </c>
      <c r="DT80" s="193" t="s">
        <v>585</v>
      </c>
      <c r="DU80" s="206">
        <v>36</v>
      </c>
      <c r="DV80" s="204" t="s">
        <v>585</v>
      </c>
      <c r="DW80" s="206">
        <v>36</v>
      </c>
      <c r="DX80" s="193" t="s">
        <v>585</v>
      </c>
      <c r="DY80" s="193" t="s">
        <v>585</v>
      </c>
      <c r="DZ80" s="206">
        <v>1</v>
      </c>
      <c r="EA80" s="204">
        <v>1</v>
      </c>
      <c r="EB80" s="204">
        <v>1</v>
      </c>
      <c r="EC80" s="204" t="s">
        <v>585</v>
      </c>
      <c r="ED80" s="204" t="s">
        <v>585</v>
      </c>
      <c r="EE80" s="204" t="s">
        <v>585</v>
      </c>
      <c r="EF80" s="204" t="s">
        <v>585</v>
      </c>
      <c r="EG80" s="206">
        <v>3</v>
      </c>
      <c r="EH80" s="203">
        <v>37</v>
      </c>
      <c r="EI80" s="204">
        <v>121</v>
      </c>
      <c r="EJ80" s="204">
        <v>1</v>
      </c>
      <c r="EK80" s="204">
        <v>16</v>
      </c>
      <c r="EL80" s="204">
        <v>18</v>
      </c>
      <c r="EM80" s="204">
        <v>1396</v>
      </c>
      <c r="EN80" s="204">
        <v>23</v>
      </c>
      <c r="EO80" s="204" t="s">
        <v>585</v>
      </c>
      <c r="EP80" s="204">
        <v>31</v>
      </c>
      <c r="EQ80" s="204" t="s">
        <v>585</v>
      </c>
      <c r="ER80" s="204" t="s">
        <v>585</v>
      </c>
      <c r="ES80" s="204" t="s">
        <v>585</v>
      </c>
      <c r="ET80" s="204" t="s">
        <v>585</v>
      </c>
      <c r="EU80" s="202">
        <v>1643</v>
      </c>
      <c r="EV80" s="206" t="s">
        <v>585</v>
      </c>
      <c r="EW80" s="193" t="s">
        <v>585</v>
      </c>
      <c r="EX80" s="206" t="s">
        <v>585</v>
      </c>
      <c r="EY80" s="204" t="s">
        <v>585</v>
      </c>
      <c r="EZ80" s="204" t="s">
        <v>585</v>
      </c>
      <c r="FA80" s="206" t="s">
        <v>585</v>
      </c>
      <c r="FB80" s="193" t="s">
        <v>585</v>
      </c>
      <c r="FC80" s="206" t="s">
        <v>585</v>
      </c>
      <c r="FD80" s="203" t="s">
        <v>585</v>
      </c>
      <c r="FE80" s="204">
        <v>6</v>
      </c>
      <c r="FF80" s="204" t="s">
        <v>585</v>
      </c>
      <c r="FG80" s="204" t="s">
        <v>585</v>
      </c>
      <c r="FH80" s="202">
        <v>6</v>
      </c>
      <c r="FI80" s="206" t="s">
        <v>585</v>
      </c>
      <c r="FJ80" s="204" t="s">
        <v>585</v>
      </c>
      <c r="FK80" s="206" t="s">
        <v>585</v>
      </c>
      <c r="FL80" s="203" t="s">
        <v>585</v>
      </c>
      <c r="FM80" s="204" t="s">
        <v>585</v>
      </c>
      <c r="FN80" s="202" t="s">
        <v>585</v>
      </c>
      <c r="FO80" s="206" t="s">
        <v>585</v>
      </c>
      <c r="FP80" s="193">
        <v>11</v>
      </c>
      <c r="FQ80" s="206" t="s">
        <v>585</v>
      </c>
      <c r="FR80" s="204" t="s">
        <v>585</v>
      </c>
      <c r="FS80" s="204" t="s">
        <v>585</v>
      </c>
      <c r="FT80" s="206" t="s">
        <v>585</v>
      </c>
      <c r="FU80" s="203">
        <v>6</v>
      </c>
      <c r="FV80" s="204" t="s">
        <v>585</v>
      </c>
      <c r="FW80" s="202">
        <v>6</v>
      </c>
      <c r="FX80" s="206" t="s">
        <v>585</v>
      </c>
      <c r="FY80" s="203" t="s">
        <v>585</v>
      </c>
      <c r="FZ80" s="204" t="s">
        <v>585</v>
      </c>
      <c r="GA80" s="204" t="s">
        <v>585</v>
      </c>
      <c r="GB80" s="202" t="s">
        <v>585</v>
      </c>
      <c r="GC80" s="206" t="s">
        <v>585</v>
      </c>
      <c r="GD80" s="203" t="s">
        <v>585</v>
      </c>
      <c r="GE80" s="204" t="s">
        <v>585</v>
      </c>
      <c r="GF80" s="204" t="s">
        <v>585</v>
      </c>
      <c r="GG80" s="204" t="s">
        <v>585</v>
      </c>
      <c r="GH80" s="202" t="s">
        <v>585</v>
      </c>
      <c r="GI80" s="193">
        <v>152048</v>
      </c>
      <c r="GJ80" s="368">
        <f>152048/45058286</f>
        <v>3.3744736761624709E-3</v>
      </c>
      <c r="GK80" s="382"/>
    </row>
    <row r="81" spans="2:193" ht="12" customHeight="1" x14ac:dyDescent="0.2">
      <c r="B81" s="359" t="s">
        <v>627</v>
      </c>
      <c r="C81" s="203">
        <v>14</v>
      </c>
      <c r="D81" s="204" t="s">
        <v>585</v>
      </c>
      <c r="E81" s="204" t="s">
        <v>585</v>
      </c>
      <c r="F81" s="204" t="s">
        <v>585</v>
      </c>
      <c r="G81" s="202">
        <v>14</v>
      </c>
      <c r="H81" s="193" t="s">
        <v>585</v>
      </c>
      <c r="I81" s="206">
        <v>2</v>
      </c>
      <c r="J81" s="204" t="s">
        <v>585</v>
      </c>
      <c r="K81" s="206">
        <v>2</v>
      </c>
      <c r="L81" s="193" t="s">
        <v>585</v>
      </c>
      <c r="M81" s="193">
        <v>71</v>
      </c>
      <c r="N81" s="206">
        <v>1</v>
      </c>
      <c r="O81" s="204" t="s">
        <v>585</v>
      </c>
      <c r="P81" s="204">
        <v>37013</v>
      </c>
      <c r="Q81" s="204">
        <v>61</v>
      </c>
      <c r="R81" s="204">
        <v>4</v>
      </c>
      <c r="S81" s="204" t="s">
        <v>585</v>
      </c>
      <c r="T81" s="204" t="s">
        <v>585</v>
      </c>
      <c r="U81" s="206">
        <v>37079</v>
      </c>
      <c r="V81" s="203">
        <v>2</v>
      </c>
      <c r="W81" s="204">
        <v>12</v>
      </c>
      <c r="X81" s="202">
        <v>14</v>
      </c>
      <c r="Y81" s="206">
        <v>43</v>
      </c>
      <c r="Z81" s="204" t="s">
        <v>585</v>
      </c>
      <c r="AA81" s="204" t="s">
        <v>585</v>
      </c>
      <c r="AB81" s="206">
        <v>43</v>
      </c>
      <c r="AC81" s="203">
        <v>189</v>
      </c>
      <c r="AD81" s="204" t="s">
        <v>585</v>
      </c>
      <c r="AE81" s="204" t="s">
        <v>585</v>
      </c>
      <c r="AF81" s="202">
        <v>189</v>
      </c>
      <c r="AG81" s="206">
        <v>58</v>
      </c>
      <c r="AH81" s="204" t="s">
        <v>585</v>
      </c>
      <c r="AI81" s="204" t="s">
        <v>585</v>
      </c>
      <c r="AJ81" s="204" t="s">
        <v>585</v>
      </c>
      <c r="AK81" s="206">
        <v>58</v>
      </c>
      <c r="AL81" s="193" t="s">
        <v>585</v>
      </c>
      <c r="AM81" s="193" t="s">
        <v>585</v>
      </c>
      <c r="AN81" s="206" t="s">
        <v>585</v>
      </c>
      <c r="AO81" s="204" t="s">
        <v>585</v>
      </c>
      <c r="AP81" s="206" t="s">
        <v>585</v>
      </c>
      <c r="AQ81" s="203" t="s">
        <v>585</v>
      </c>
      <c r="AR81" s="204" t="s">
        <v>585</v>
      </c>
      <c r="AS81" s="204">
        <v>3</v>
      </c>
      <c r="AT81" s="204" t="s">
        <v>585</v>
      </c>
      <c r="AU81" s="204" t="s">
        <v>585</v>
      </c>
      <c r="AV81" s="204" t="s">
        <v>585</v>
      </c>
      <c r="AW81" s="204" t="s">
        <v>585</v>
      </c>
      <c r="AX81" s="202">
        <v>3</v>
      </c>
      <c r="AY81" s="206" t="s">
        <v>585</v>
      </c>
      <c r="AZ81" s="193">
        <v>3</v>
      </c>
      <c r="BA81" s="206">
        <v>326</v>
      </c>
      <c r="BB81" s="377">
        <v>134872</v>
      </c>
      <c r="BC81" s="206">
        <v>18314</v>
      </c>
      <c r="BD81" s="206">
        <v>23</v>
      </c>
      <c r="BE81" s="378">
        <v>564</v>
      </c>
      <c r="BF81" s="206">
        <v>154099</v>
      </c>
      <c r="BG81" s="193">
        <v>1</v>
      </c>
      <c r="BH81" s="193" t="s">
        <v>585</v>
      </c>
      <c r="BI81" s="193" t="s">
        <v>585</v>
      </c>
      <c r="BJ81" s="193">
        <v>32</v>
      </c>
      <c r="BK81" s="206">
        <v>8</v>
      </c>
      <c r="BL81" s="204" t="s">
        <v>585</v>
      </c>
      <c r="BM81" s="206">
        <v>8</v>
      </c>
      <c r="BN81" s="193" t="s">
        <v>585</v>
      </c>
      <c r="BO81" s="206" t="s">
        <v>585</v>
      </c>
      <c r="BP81" s="204" t="s">
        <v>585</v>
      </c>
      <c r="BQ81" s="206" t="s">
        <v>585</v>
      </c>
      <c r="BR81" s="203">
        <v>2</v>
      </c>
      <c r="BS81" s="204" t="s">
        <v>585</v>
      </c>
      <c r="BT81" s="204" t="s">
        <v>585</v>
      </c>
      <c r="BU81" s="204" t="s">
        <v>585</v>
      </c>
      <c r="BV81" s="204" t="s">
        <v>585</v>
      </c>
      <c r="BW81" s="204" t="s">
        <v>585</v>
      </c>
      <c r="BX81" s="204" t="s">
        <v>585</v>
      </c>
      <c r="BY81" s="204" t="s">
        <v>585</v>
      </c>
      <c r="BZ81" s="204" t="s">
        <v>585</v>
      </c>
      <c r="CA81" s="204" t="s">
        <v>585</v>
      </c>
      <c r="CB81" s="204" t="s">
        <v>585</v>
      </c>
      <c r="CC81" s="204" t="s">
        <v>585</v>
      </c>
      <c r="CD81" s="204" t="s">
        <v>585</v>
      </c>
      <c r="CE81" s="204" t="s">
        <v>585</v>
      </c>
      <c r="CF81" s="202">
        <v>2</v>
      </c>
      <c r="CG81" s="206" t="s">
        <v>585</v>
      </c>
      <c r="CH81" s="204" t="s">
        <v>585</v>
      </c>
      <c r="CI81" s="206" t="s">
        <v>585</v>
      </c>
      <c r="CJ81" s="193" t="s">
        <v>585</v>
      </c>
      <c r="CK81" s="206">
        <v>7077</v>
      </c>
      <c r="CL81" s="204" t="s">
        <v>585</v>
      </c>
      <c r="CM81" s="204">
        <v>13263</v>
      </c>
      <c r="CN81" s="204">
        <v>8929</v>
      </c>
      <c r="CO81" s="204" t="s">
        <v>585</v>
      </c>
      <c r="CP81" s="204" t="s">
        <v>585</v>
      </c>
      <c r="CQ81" s="204" t="s">
        <v>585</v>
      </c>
      <c r="CR81" s="204" t="s">
        <v>585</v>
      </c>
      <c r="CS81" s="204">
        <v>1</v>
      </c>
      <c r="CT81" s="204" t="s">
        <v>585</v>
      </c>
      <c r="CU81" s="204" t="s">
        <v>585</v>
      </c>
      <c r="CV81" s="206">
        <v>29270</v>
      </c>
      <c r="CW81" s="203">
        <v>948</v>
      </c>
      <c r="CX81" s="204" t="s">
        <v>585</v>
      </c>
      <c r="CY81" s="204">
        <v>34</v>
      </c>
      <c r="CZ81" s="204" t="s">
        <v>585</v>
      </c>
      <c r="DA81" s="204">
        <v>3</v>
      </c>
      <c r="DB81" s="204" t="s">
        <v>585</v>
      </c>
      <c r="DC81" s="204" t="s">
        <v>585</v>
      </c>
      <c r="DD81" s="202">
        <v>985</v>
      </c>
      <c r="DE81" s="206" t="s">
        <v>585</v>
      </c>
      <c r="DF81" s="203" t="s">
        <v>585</v>
      </c>
      <c r="DG81" s="204" t="s">
        <v>585</v>
      </c>
      <c r="DH81" s="202" t="s">
        <v>585</v>
      </c>
      <c r="DI81" s="206" t="s">
        <v>585</v>
      </c>
      <c r="DJ81" s="204" t="s">
        <v>585</v>
      </c>
      <c r="DK81" s="206" t="s">
        <v>585</v>
      </c>
      <c r="DL81" s="193">
        <v>11</v>
      </c>
      <c r="DM81" s="206" t="s">
        <v>585</v>
      </c>
      <c r="DN81" s="204" t="s">
        <v>585</v>
      </c>
      <c r="DO81" s="206" t="s">
        <v>585</v>
      </c>
      <c r="DP81" s="203" t="s">
        <v>585</v>
      </c>
      <c r="DQ81" s="204" t="s">
        <v>585</v>
      </c>
      <c r="DR81" s="202" t="s">
        <v>585</v>
      </c>
      <c r="DS81" s="206" t="s">
        <v>585</v>
      </c>
      <c r="DT81" s="193" t="s">
        <v>585</v>
      </c>
      <c r="DU81" s="206">
        <v>236</v>
      </c>
      <c r="DV81" s="204" t="s">
        <v>585</v>
      </c>
      <c r="DW81" s="206">
        <v>236</v>
      </c>
      <c r="DX81" s="193">
        <v>1</v>
      </c>
      <c r="DY81" s="193" t="s">
        <v>585</v>
      </c>
      <c r="DZ81" s="206" t="s">
        <v>585</v>
      </c>
      <c r="EA81" s="204">
        <v>93</v>
      </c>
      <c r="EB81" s="204">
        <v>6</v>
      </c>
      <c r="EC81" s="204" t="s">
        <v>585</v>
      </c>
      <c r="ED81" s="204" t="s">
        <v>585</v>
      </c>
      <c r="EE81" s="204" t="s">
        <v>585</v>
      </c>
      <c r="EF81" s="204" t="s">
        <v>585</v>
      </c>
      <c r="EG81" s="206">
        <v>99</v>
      </c>
      <c r="EH81" s="203">
        <v>78</v>
      </c>
      <c r="EI81" s="204">
        <v>87</v>
      </c>
      <c r="EJ81" s="204">
        <v>5</v>
      </c>
      <c r="EK81" s="204">
        <v>3</v>
      </c>
      <c r="EL81" s="204">
        <v>73</v>
      </c>
      <c r="EM81" s="204">
        <v>242</v>
      </c>
      <c r="EN81" s="204">
        <v>21</v>
      </c>
      <c r="EO81" s="204" t="s">
        <v>585</v>
      </c>
      <c r="EP81" s="204">
        <v>41</v>
      </c>
      <c r="EQ81" s="204" t="s">
        <v>585</v>
      </c>
      <c r="ER81" s="204" t="s">
        <v>585</v>
      </c>
      <c r="ES81" s="204" t="s">
        <v>585</v>
      </c>
      <c r="ET81" s="204" t="s">
        <v>585</v>
      </c>
      <c r="EU81" s="202">
        <v>550</v>
      </c>
      <c r="EV81" s="206" t="s">
        <v>585</v>
      </c>
      <c r="EW81" s="193" t="s">
        <v>585</v>
      </c>
      <c r="EX81" s="206" t="s">
        <v>585</v>
      </c>
      <c r="EY81" s="204">
        <v>3</v>
      </c>
      <c r="EZ81" s="204" t="s">
        <v>585</v>
      </c>
      <c r="FA81" s="206">
        <v>3</v>
      </c>
      <c r="FB81" s="193" t="s">
        <v>585</v>
      </c>
      <c r="FC81" s="206" t="s">
        <v>585</v>
      </c>
      <c r="FD81" s="203" t="s">
        <v>585</v>
      </c>
      <c r="FE81" s="204">
        <v>5</v>
      </c>
      <c r="FF81" s="204" t="s">
        <v>585</v>
      </c>
      <c r="FG81" s="204" t="s">
        <v>585</v>
      </c>
      <c r="FH81" s="202">
        <v>5</v>
      </c>
      <c r="FI81" s="206" t="s">
        <v>585</v>
      </c>
      <c r="FJ81" s="204" t="s">
        <v>585</v>
      </c>
      <c r="FK81" s="206" t="s">
        <v>585</v>
      </c>
      <c r="FL81" s="203" t="s">
        <v>585</v>
      </c>
      <c r="FM81" s="204" t="s">
        <v>585</v>
      </c>
      <c r="FN81" s="202" t="s">
        <v>585</v>
      </c>
      <c r="FO81" s="206" t="s">
        <v>585</v>
      </c>
      <c r="FP81" s="193">
        <v>79</v>
      </c>
      <c r="FQ81" s="206" t="s">
        <v>585</v>
      </c>
      <c r="FR81" s="204" t="s">
        <v>585</v>
      </c>
      <c r="FS81" s="204" t="s">
        <v>585</v>
      </c>
      <c r="FT81" s="206" t="s">
        <v>585</v>
      </c>
      <c r="FU81" s="203">
        <v>4</v>
      </c>
      <c r="FV81" s="204" t="s">
        <v>585</v>
      </c>
      <c r="FW81" s="202">
        <v>4</v>
      </c>
      <c r="FX81" s="206" t="s">
        <v>585</v>
      </c>
      <c r="FY81" s="203" t="s">
        <v>585</v>
      </c>
      <c r="FZ81" s="204" t="s">
        <v>585</v>
      </c>
      <c r="GA81" s="204" t="s">
        <v>585</v>
      </c>
      <c r="GB81" s="202" t="s">
        <v>585</v>
      </c>
      <c r="GC81" s="206" t="s">
        <v>585</v>
      </c>
      <c r="GD81" s="203" t="s">
        <v>585</v>
      </c>
      <c r="GE81" s="204" t="s">
        <v>585</v>
      </c>
      <c r="GF81" s="204" t="s">
        <v>585</v>
      </c>
      <c r="GG81" s="204">
        <v>1</v>
      </c>
      <c r="GH81" s="202">
        <v>1</v>
      </c>
      <c r="GI81" s="193">
        <v>222862</v>
      </c>
      <c r="GJ81" s="368">
        <f>222862/45058286</f>
        <v>4.9460825030051073E-3</v>
      </c>
      <c r="GK81" s="382"/>
    </row>
    <row r="82" spans="2:193" ht="12" customHeight="1" x14ac:dyDescent="0.2">
      <c r="B82" s="359" t="s">
        <v>147</v>
      </c>
      <c r="C82" s="203">
        <v>16</v>
      </c>
      <c r="D82" s="204" t="s">
        <v>585</v>
      </c>
      <c r="E82" s="204">
        <v>3</v>
      </c>
      <c r="F82" s="204">
        <v>3</v>
      </c>
      <c r="G82" s="202">
        <v>22</v>
      </c>
      <c r="H82" s="193" t="s">
        <v>585</v>
      </c>
      <c r="I82" s="206" t="s">
        <v>585</v>
      </c>
      <c r="J82" s="204" t="s">
        <v>585</v>
      </c>
      <c r="K82" s="206" t="s">
        <v>585</v>
      </c>
      <c r="L82" s="193" t="s">
        <v>585</v>
      </c>
      <c r="M82" s="193">
        <v>110</v>
      </c>
      <c r="N82" s="206">
        <v>5</v>
      </c>
      <c r="O82" s="204" t="s">
        <v>585</v>
      </c>
      <c r="P82" s="204">
        <v>60728</v>
      </c>
      <c r="Q82" s="204">
        <v>523</v>
      </c>
      <c r="R82" s="204">
        <v>205</v>
      </c>
      <c r="S82" s="204" t="s">
        <v>585</v>
      </c>
      <c r="T82" s="204" t="s">
        <v>585</v>
      </c>
      <c r="U82" s="206">
        <v>61461</v>
      </c>
      <c r="V82" s="203">
        <v>11</v>
      </c>
      <c r="W82" s="204">
        <v>5</v>
      </c>
      <c r="X82" s="202">
        <v>16</v>
      </c>
      <c r="Y82" s="206">
        <v>606</v>
      </c>
      <c r="Z82" s="204" t="s">
        <v>585</v>
      </c>
      <c r="AA82" s="204" t="s">
        <v>585</v>
      </c>
      <c r="AB82" s="206">
        <v>606</v>
      </c>
      <c r="AC82" s="203">
        <v>32</v>
      </c>
      <c r="AD82" s="204" t="s">
        <v>585</v>
      </c>
      <c r="AE82" s="204" t="s">
        <v>585</v>
      </c>
      <c r="AF82" s="202">
        <v>32</v>
      </c>
      <c r="AG82" s="206">
        <v>8</v>
      </c>
      <c r="AH82" s="204" t="s">
        <v>585</v>
      </c>
      <c r="AI82" s="204">
        <v>22</v>
      </c>
      <c r="AJ82" s="204" t="s">
        <v>585</v>
      </c>
      <c r="AK82" s="206">
        <v>30</v>
      </c>
      <c r="AL82" s="193" t="s">
        <v>585</v>
      </c>
      <c r="AM82" s="193" t="s">
        <v>585</v>
      </c>
      <c r="AN82" s="206">
        <v>11</v>
      </c>
      <c r="AO82" s="204" t="s">
        <v>585</v>
      </c>
      <c r="AP82" s="206">
        <v>11</v>
      </c>
      <c r="AQ82" s="203">
        <v>29</v>
      </c>
      <c r="AR82" s="204" t="s">
        <v>585</v>
      </c>
      <c r="AS82" s="204" t="s">
        <v>585</v>
      </c>
      <c r="AT82" s="204" t="s">
        <v>585</v>
      </c>
      <c r="AU82" s="204" t="s">
        <v>585</v>
      </c>
      <c r="AV82" s="204" t="s">
        <v>585</v>
      </c>
      <c r="AW82" s="204" t="s">
        <v>585</v>
      </c>
      <c r="AX82" s="202">
        <v>29</v>
      </c>
      <c r="AY82" s="206" t="s">
        <v>585</v>
      </c>
      <c r="AZ82" s="193">
        <v>1</v>
      </c>
      <c r="BA82" s="206">
        <v>91</v>
      </c>
      <c r="BB82" s="377">
        <v>545</v>
      </c>
      <c r="BC82" s="206">
        <v>463</v>
      </c>
      <c r="BD82" s="206">
        <v>11</v>
      </c>
      <c r="BE82" s="378">
        <v>38</v>
      </c>
      <c r="BF82" s="206">
        <v>1148</v>
      </c>
      <c r="BG82" s="193" t="s">
        <v>585</v>
      </c>
      <c r="BH82" s="193" t="s">
        <v>585</v>
      </c>
      <c r="BI82" s="193" t="s">
        <v>585</v>
      </c>
      <c r="BJ82" s="193" t="s">
        <v>585</v>
      </c>
      <c r="BK82" s="206">
        <v>1</v>
      </c>
      <c r="BL82" s="204" t="s">
        <v>585</v>
      </c>
      <c r="BM82" s="206">
        <v>1</v>
      </c>
      <c r="BN82" s="193" t="s">
        <v>585</v>
      </c>
      <c r="BO82" s="206" t="s">
        <v>585</v>
      </c>
      <c r="BP82" s="204" t="s">
        <v>585</v>
      </c>
      <c r="BQ82" s="206" t="s">
        <v>585</v>
      </c>
      <c r="BR82" s="203">
        <v>3</v>
      </c>
      <c r="BS82" s="204">
        <v>13</v>
      </c>
      <c r="BT82" s="204">
        <v>1</v>
      </c>
      <c r="BU82" s="204" t="s">
        <v>585</v>
      </c>
      <c r="BV82" s="204">
        <v>1</v>
      </c>
      <c r="BW82" s="204" t="s">
        <v>585</v>
      </c>
      <c r="BX82" s="204">
        <v>58</v>
      </c>
      <c r="BY82" s="204">
        <v>2</v>
      </c>
      <c r="BZ82" s="204">
        <v>1</v>
      </c>
      <c r="CA82" s="204">
        <v>12</v>
      </c>
      <c r="CB82" s="204" t="s">
        <v>585</v>
      </c>
      <c r="CC82" s="204" t="s">
        <v>585</v>
      </c>
      <c r="CD82" s="204">
        <v>4</v>
      </c>
      <c r="CE82" s="204" t="s">
        <v>585</v>
      </c>
      <c r="CF82" s="202">
        <v>95</v>
      </c>
      <c r="CG82" s="206" t="s">
        <v>585</v>
      </c>
      <c r="CH82" s="204" t="s">
        <v>585</v>
      </c>
      <c r="CI82" s="206" t="s">
        <v>585</v>
      </c>
      <c r="CJ82" s="193" t="s">
        <v>585</v>
      </c>
      <c r="CK82" s="206">
        <v>3749</v>
      </c>
      <c r="CL82" s="204">
        <v>6</v>
      </c>
      <c r="CM82" s="204">
        <v>12071</v>
      </c>
      <c r="CN82" s="204">
        <v>1008</v>
      </c>
      <c r="CO82" s="204" t="s">
        <v>585</v>
      </c>
      <c r="CP82" s="204">
        <v>17</v>
      </c>
      <c r="CQ82" s="204">
        <v>106</v>
      </c>
      <c r="CR82" s="204" t="s">
        <v>585</v>
      </c>
      <c r="CS82" s="204">
        <v>94</v>
      </c>
      <c r="CT82" s="204">
        <v>19</v>
      </c>
      <c r="CU82" s="204" t="s">
        <v>585</v>
      </c>
      <c r="CV82" s="206">
        <v>17070</v>
      </c>
      <c r="CW82" s="203">
        <v>607</v>
      </c>
      <c r="CX82" s="204">
        <v>219</v>
      </c>
      <c r="CY82" s="204">
        <v>19</v>
      </c>
      <c r="CZ82" s="204">
        <v>24</v>
      </c>
      <c r="DA82" s="204">
        <v>2</v>
      </c>
      <c r="DB82" s="204">
        <v>9</v>
      </c>
      <c r="DC82" s="204" t="s">
        <v>585</v>
      </c>
      <c r="DD82" s="202">
        <v>880</v>
      </c>
      <c r="DE82" s="206" t="s">
        <v>585</v>
      </c>
      <c r="DF82" s="203" t="s">
        <v>585</v>
      </c>
      <c r="DG82" s="204" t="s">
        <v>585</v>
      </c>
      <c r="DH82" s="202" t="s">
        <v>585</v>
      </c>
      <c r="DI82" s="206" t="s">
        <v>585</v>
      </c>
      <c r="DJ82" s="204" t="s">
        <v>585</v>
      </c>
      <c r="DK82" s="206" t="s">
        <v>585</v>
      </c>
      <c r="DL82" s="193">
        <v>13</v>
      </c>
      <c r="DM82" s="206" t="s">
        <v>585</v>
      </c>
      <c r="DN82" s="204" t="s">
        <v>585</v>
      </c>
      <c r="DO82" s="206" t="s">
        <v>585</v>
      </c>
      <c r="DP82" s="203">
        <v>410</v>
      </c>
      <c r="DQ82" s="204" t="s">
        <v>585</v>
      </c>
      <c r="DR82" s="202">
        <v>410</v>
      </c>
      <c r="DS82" s="206" t="s">
        <v>585</v>
      </c>
      <c r="DT82" s="193" t="s">
        <v>585</v>
      </c>
      <c r="DU82" s="206">
        <v>616</v>
      </c>
      <c r="DV82" s="204" t="s">
        <v>585</v>
      </c>
      <c r="DW82" s="206">
        <v>616</v>
      </c>
      <c r="DX82" s="193">
        <v>1</v>
      </c>
      <c r="DY82" s="193" t="s">
        <v>585</v>
      </c>
      <c r="DZ82" s="206">
        <v>91</v>
      </c>
      <c r="EA82" s="204">
        <v>1</v>
      </c>
      <c r="EB82" s="204">
        <v>10</v>
      </c>
      <c r="EC82" s="204">
        <v>23</v>
      </c>
      <c r="ED82" s="204" t="s">
        <v>585</v>
      </c>
      <c r="EE82" s="204" t="s">
        <v>585</v>
      </c>
      <c r="EF82" s="204" t="s">
        <v>585</v>
      </c>
      <c r="EG82" s="206">
        <v>125</v>
      </c>
      <c r="EH82" s="203">
        <v>339</v>
      </c>
      <c r="EI82" s="204">
        <v>1416</v>
      </c>
      <c r="EJ82" s="204">
        <v>5</v>
      </c>
      <c r="EK82" s="204">
        <v>68</v>
      </c>
      <c r="EL82" s="204">
        <v>359</v>
      </c>
      <c r="EM82" s="204">
        <v>812</v>
      </c>
      <c r="EN82" s="204">
        <v>11</v>
      </c>
      <c r="EO82" s="204">
        <v>16</v>
      </c>
      <c r="EP82" s="204">
        <v>114</v>
      </c>
      <c r="EQ82" s="204" t="s">
        <v>585</v>
      </c>
      <c r="ER82" s="204">
        <v>12</v>
      </c>
      <c r="ES82" s="204" t="s">
        <v>585</v>
      </c>
      <c r="ET82" s="204" t="s">
        <v>585</v>
      </c>
      <c r="EU82" s="202">
        <v>3152</v>
      </c>
      <c r="EV82" s="206" t="s">
        <v>585</v>
      </c>
      <c r="EW82" s="193">
        <v>1</v>
      </c>
      <c r="EX82" s="206" t="s">
        <v>585</v>
      </c>
      <c r="EY82" s="204" t="s">
        <v>585</v>
      </c>
      <c r="EZ82" s="204" t="s">
        <v>585</v>
      </c>
      <c r="FA82" s="206" t="s">
        <v>585</v>
      </c>
      <c r="FB82" s="193" t="s">
        <v>585</v>
      </c>
      <c r="FC82" s="206">
        <v>78</v>
      </c>
      <c r="FD82" s="203">
        <v>36</v>
      </c>
      <c r="FE82" s="204">
        <v>6</v>
      </c>
      <c r="FF82" s="204">
        <v>1</v>
      </c>
      <c r="FG82" s="204">
        <v>1</v>
      </c>
      <c r="FH82" s="202">
        <v>44</v>
      </c>
      <c r="FI82" s="206" t="s">
        <v>585</v>
      </c>
      <c r="FJ82" s="204" t="s">
        <v>585</v>
      </c>
      <c r="FK82" s="206" t="s">
        <v>585</v>
      </c>
      <c r="FL82" s="203" t="s">
        <v>585</v>
      </c>
      <c r="FM82" s="204" t="s">
        <v>585</v>
      </c>
      <c r="FN82" s="202" t="s">
        <v>585</v>
      </c>
      <c r="FO82" s="206" t="s">
        <v>585</v>
      </c>
      <c r="FP82" s="193">
        <v>23</v>
      </c>
      <c r="FQ82" s="206">
        <v>5</v>
      </c>
      <c r="FR82" s="204">
        <v>31</v>
      </c>
      <c r="FS82" s="204">
        <v>1</v>
      </c>
      <c r="FT82" s="206">
        <v>37</v>
      </c>
      <c r="FU82" s="203">
        <v>1</v>
      </c>
      <c r="FV82" s="204">
        <v>4</v>
      </c>
      <c r="FW82" s="202">
        <v>5</v>
      </c>
      <c r="FX82" s="206" t="s">
        <v>585</v>
      </c>
      <c r="FY82" s="203" t="s">
        <v>585</v>
      </c>
      <c r="FZ82" s="204" t="s">
        <v>585</v>
      </c>
      <c r="GA82" s="204" t="s">
        <v>585</v>
      </c>
      <c r="GB82" s="202" t="s">
        <v>585</v>
      </c>
      <c r="GC82" s="206">
        <v>27</v>
      </c>
      <c r="GD82" s="203">
        <v>6</v>
      </c>
      <c r="GE82" s="204">
        <v>1</v>
      </c>
      <c r="GF82" s="204" t="s">
        <v>585</v>
      </c>
      <c r="GG82" s="204" t="s">
        <v>585</v>
      </c>
      <c r="GH82" s="202">
        <v>7</v>
      </c>
      <c r="GI82" s="193">
        <v>86051</v>
      </c>
      <c r="GJ82" s="368">
        <f>86051/45058286</f>
        <v>1.9097708243939861E-3</v>
      </c>
      <c r="GK82" s="382"/>
    </row>
    <row r="83" spans="2:193" ht="12" customHeight="1" x14ac:dyDescent="0.2">
      <c r="B83" s="359" t="s">
        <v>151</v>
      </c>
      <c r="C83" s="203">
        <v>62</v>
      </c>
      <c r="D83" s="204" t="s">
        <v>585</v>
      </c>
      <c r="E83" s="204" t="s">
        <v>585</v>
      </c>
      <c r="F83" s="204">
        <v>1</v>
      </c>
      <c r="G83" s="202">
        <v>63</v>
      </c>
      <c r="H83" s="193" t="s">
        <v>585</v>
      </c>
      <c r="I83" s="206">
        <v>1</v>
      </c>
      <c r="J83" s="204" t="s">
        <v>585</v>
      </c>
      <c r="K83" s="206">
        <v>1</v>
      </c>
      <c r="L83" s="193" t="s">
        <v>585</v>
      </c>
      <c r="M83" s="193">
        <v>366</v>
      </c>
      <c r="N83" s="206">
        <v>14</v>
      </c>
      <c r="O83" s="204">
        <v>10</v>
      </c>
      <c r="P83" s="204">
        <v>155077</v>
      </c>
      <c r="Q83" s="204">
        <v>19691</v>
      </c>
      <c r="R83" s="204">
        <v>575</v>
      </c>
      <c r="S83" s="204" t="s">
        <v>585</v>
      </c>
      <c r="T83" s="204" t="s">
        <v>585</v>
      </c>
      <c r="U83" s="206">
        <v>175367</v>
      </c>
      <c r="V83" s="203">
        <v>29</v>
      </c>
      <c r="W83" s="204">
        <v>27</v>
      </c>
      <c r="X83" s="202">
        <v>56</v>
      </c>
      <c r="Y83" s="206">
        <v>474</v>
      </c>
      <c r="Z83" s="204" t="s">
        <v>585</v>
      </c>
      <c r="AA83" s="204" t="s">
        <v>585</v>
      </c>
      <c r="AB83" s="206">
        <v>474</v>
      </c>
      <c r="AC83" s="203">
        <v>277</v>
      </c>
      <c r="AD83" s="204" t="s">
        <v>585</v>
      </c>
      <c r="AE83" s="204" t="s">
        <v>585</v>
      </c>
      <c r="AF83" s="202">
        <v>277</v>
      </c>
      <c r="AG83" s="206">
        <v>16</v>
      </c>
      <c r="AH83" s="204" t="s">
        <v>585</v>
      </c>
      <c r="AI83" s="204">
        <v>9</v>
      </c>
      <c r="AJ83" s="204">
        <v>2</v>
      </c>
      <c r="AK83" s="206">
        <v>27</v>
      </c>
      <c r="AL83" s="193" t="s">
        <v>585</v>
      </c>
      <c r="AM83" s="193" t="s">
        <v>585</v>
      </c>
      <c r="AN83" s="206">
        <v>36</v>
      </c>
      <c r="AO83" s="204">
        <v>3</v>
      </c>
      <c r="AP83" s="206">
        <v>39</v>
      </c>
      <c r="AQ83" s="203">
        <v>3</v>
      </c>
      <c r="AR83" s="204" t="s">
        <v>585</v>
      </c>
      <c r="AS83" s="204">
        <v>3</v>
      </c>
      <c r="AT83" s="204" t="s">
        <v>585</v>
      </c>
      <c r="AU83" s="204" t="s">
        <v>585</v>
      </c>
      <c r="AV83" s="204" t="s">
        <v>585</v>
      </c>
      <c r="AW83" s="204" t="s">
        <v>585</v>
      </c>
      <c r="AX83" s="202">
        <v>6</v>
      </c>
      <c r="AY83" s="206">
        <v>1</v>
      </c>
      <c r="AZ83" s="193">
        <v>6</v>
      </c>
      <c r="BA83" s="206">
        <v>66</v>
      </c>
      <c r="BB83" s="377">
        <v>443</v>
      </c>
      <c r="BC83" s="206">
        <v>1060</v>
      </c>
      <c r="BD83" s="206">
        <v>17</v>
      </c>
      <c r="BE83" s="378">
        <v>7</v>
      </c>
      <c r="BF83" s="206">
        <v>1593</v>
      </c>
      <c r="BG83" s="193">
        <v>5</v>
      </c>
      <c r="BH83" s="193" t="s">
        <v>585</v>
      </c>
      <c r="BI83" s="193" t="s">
        <v>585</v>
      </c>
      <c r="BJ83" s="193" t="s">
        <v>585</v>
      </c>
      <c r="BK83" s="206">
        <v>7</v>
      </c>
      <c r="BL83" s="204" t="s">
        <v>585</v>
      </c>
      <c r="BM83" s="206">
        <v>7</v>
      </c>
      <c r="BN83" s="193">
        <v>6</v>
      </c>
      <c r="BO83" s="206">
        <v>1</v>
      </c>
      <c r="BP83" s="204" t="s">
        <v>585</v>
      </c>
      <c r="BQ83" s="206">
        <v>1</v>
      </c>
      <c r="BR83" s="203">
        <v>1</v>
      </c>
      <c r="BS83" s="204">
        <v>15</v>
      </c>
      <c r="BT83" s="204">
        <v>4</v>
      </c>
      <c r="BU83" s="204">
        <v>3</v>
      </c>
      <c r="BV83" s="204">
        <v>3</v>
      </c>
      <c r="BW83" s="204" t="s">
        <v>585</v>
      </c>
      <c r="BX83" s="204">
        <v>15</v>
      </c>
      <c r="BY83" s="204" t="s">
        <v>585</v>
      </c>
      <c r="BZ83" s="204">
        <v>1</v>
      </c>
      <c r="CA83" s="204">
        <v>12</v>
      </c>
      <c r="CB83" s="204" t="s">
        <v>585</v>
      </c>
      <c r="CC83" s="204" t="s">
        <v>585</v>
      </c>
      <c r="CD83" s="204">
        <v>5</v>
      </c>
      <c r="CE83" s="204" t="s">
        <v>585</v>
      </c>
      <c r="CF83" s="202">
        <v>59</v>
      </c>
      <c r="CG83" s="206">
        <v>6</v>
      </c>
      <c r="CH83" s="204" t="s">
        <v>585</v>
      </c>
      <c r="CI83" s="206">
        <v>6</v>
      </c>
      <c r="CJ83" s="193">
        <v>1</v>
      </c>
      <c r="CK83" s="206">
        <v>7031</v>
      </c>
      <c r="CL83" s="204">
        <v>5</v>
      </c>
      <c r="CM83" s="204">
        <v>19434</v>
      </c>
      <c r="CN83" s="204">
        <v>2016</v>
      </c>
      <c r="CO83" s="204">
        <v>4</v>
      </c>
      <c r="CP83" s="204">
        <v>22</v>
      </c>
      <c r="CQ83" s="204">
        <v>53</v>
      </c>
      <c r="CR83" s="204" t="s">
        <v>585</v>
      </c>
      <c r="CS83" s="204">
        <v>13</v>
      </c>
      <c r="CT83" s="204">
        <v>12</v>
      </c>
      <c r="CU83" s="204" t="s">
        <v>585</v>
      </c>
      <c r="CV83" s="206">
        <v>28590</v>
      </c>
      <c r="CW83" s="203">
        <v>3605</v>
      </c>
      <c r="CX83" s="204">
        <v>26</v>
      </c>
      <c r="CY83" s="204">
        <v>44</v>
      </c>
      <c r="CZ83" s="204">
        <v>29</v>
      </c>
      <c r="DA83" s="204">
        <v>2</v>
      </c>
      <c r="DB83" s="204">
        <v>8</v>
      </c>
      <c r="DC83" s="204" t="s">
        <v>585</v>
      </c>
      <c r="DD83" s="202">
        <v>3714</v>
      </c>
      <c r="DE83" s="206" t="s">
        <v>585</v>
      </c>
      <c r="DF83" s="203" t="s">
        <v>585</v>
      </c>
      <c r="DG83" s="204" t="s">
        <v>585</v>
      </c>
      <c r="DH83" s="202" t="s">
        <v>585</v>
      </c>
      <c r="DI83" s="206" t="s">
        <v>585</v>
      </c>
      <c r="DJ83" s="204" t="s">
        <v>585</v>
      </c>
      <c r="DK83" s="206" t="s">
        <v>585</v>
      </c>
      <c r="DL83" s="193">
        <v>57</v>
      </c>
      <c r="DM83" s="206" t="s">
        <v>585</v>
      </c>
      <c r="DN83" s="204" t="s">
        <v>585</v>
      </c>
      <c r="DO83" s="206" t="s">
        <v>585</v>
      </c>
      <c r="DP83" s="203">
        <v>102</v>
      </c>
      <c r="DQ83" s="204" t="s">
        <v>585</v>
      </c>
      <c r="DR83" s="202">
        <v>102</v>
      </c>
      <c r="DS83" s="206">
        <v>13</v>
      </c>
      <c r="DT83" s="193">
        <v>3</v>
      </c>
      <c r="DU83" s="206">
        <v>601</v>
      </c>
      <c r="DV83" s="204" t="s">
        <v>585</v>
      </c>
      <c r="DW83" s="206">
        <v>601</v>
      </c>
      <c r="DX83" s="193" t="s">
        <v>585</v>
      </c>
      <c r="DY83" s="193" t="s">
        <v>585</v>
      </c>
      <c r="DZ83" s="206">
        <v>150</v>
      </c>
      <c r="EA83" s="204" t="s">
        <v>585</v>
      </c>
      <c r="EB83" s="204">
        <v>39</v>
      </c>
      <c r="EC83" s="204" t="s">
        <v>585</v>
      </c>
      <c r="ED83" s="204" t="s">
        <v>585</v>
      </c>
      <c r="EE83" s="204" t="s">
        <v>585</v>
      </c>
      <c r="EF83" s="204" t="s">
        <v>585</v>
      </c>
      <c r="EG83" s="206">
        <v>189</v>
      </c>
      <c r="EH83" s="203">
        <v>426</v>
      </c>
      <c r="EI83" s="204">
        <v>6249</v>
      </c>
      <c r="EJ83" s="204">
        <v>2</v>
      </c>
      <c r="EK83" s="204">
        <v>131</v>
      </c>
      <c r="EL83" s="204">
        <v>1351</v>
      </c>
      <c r="EM83" s="204">
        <v>8570</v>
      </c>
      <c r="EN83" s="204">
        <v>109</v>
      </c>
      <c r="EO83" s="204">
        <v>7</v>
      </c>
      <c r="EP83" s="204">
        <v>1093</v>
      </c>
      <c r="EQ83" s="204">
        <v>2</v>
      </c>
      <c r="ER83" s="204">
        <v>5</v>
      </c>
      <c r="ES83" s="204" t="s">
        <v>585</v>
      </c>
      <c r="ET83" s="204">
        <v>2</v>
      </c>
      <c r="EU83" s="202">
        <v>17947</v>
      </c>
      <c r="EV83" s="206" t="s">
        <v>585</v>
      </c>
      <c r="EW83" s="193">
        <v>2</v>
      </c>
      <c r="EX83" s="206">
        <v>10</v>
      </c>
      <c r="EY83" s="204" t="s">
        <v>585</v>
      </c>
      <c r="EZ83" s="204" t="s">
        <v>585</v>
      </c>
      <c r="FA83" s="206">
        <v>10</v>
      </c>
      <c r="FB83" s="193" t="s">
        <v>585</v>
      </c>
      <c r="FC83" s="206">
        <v>13</v>
      </c>
      <c r="FD83" s="203">
        <v>31</v>
      </c>
      <c r="FE83" s="204">
        <v>3</v>
      </c>
      <c r="FF83" s="204">
        <v>1</v>
      </c>
      <c r="FG83" s="204">
        <v>1</v>
      </c>
      <c r="FH83" s="202">
        <v>36</v>
      </c>
      <c r="FI83" s="206" t="s">
        <v>585</v>
      </c>
      <c r="FJ83" s="204" t="s">
        <v>585</v>
      </c>
      <c r="FK83" s="206" t="s">
        <v>585</v>
      </c>
      <c r="FL83" s="203" t="s">
        <v>585</v>
      </c>
      <c r="FM83" s="204" t="s">
        <v>585</v>
      </c>
      <c r="FN83" s="202" t="s">
        <v>585</v>
      </c>
      <c r="FO83" s="206" t="s">
        <v>585</v>
      </c>
      <c r="FP83" s="193">
        <v>11</v>
      </c>
      <c r="FQ83" s="206">
        <v>5</v>
      </c>
      <c r="FR83" s="204">
        <v>5</v>
      </c>
      <c r="FS83" s="204">
        <v>12</v>
      </c>
      <c r="FT83" s="206">
        <v>22</v>
      </c>
      <c r="FU83" s="203">
        <v>1</v>
      </c>
      <c r="FV83" s="204">
        <v>9</v>
      </c>
      <c r="FW83" s="202">
        <v>10</v>
      </c>
      <c r="FX83" s="206" t="s">
        <v>585</v>
      </c>
      <c r="FY83" s="203" t="s">
        <v>585</v>
      </c>
      <c r="FZ83" s="204">
        <v>1</v>
      </c>
      <c r="GA83" s="204" t="s">
        <v>585</v>
      </c>
      <c r="GB83" s="202">
        <v>1</v>
      </c>
      <c r="GC83" s="206">
        <v>16</v>
      </c>
      <c r="GD83" s="203">
        <v>6</v>
      </c>
      <c r="GE83" s="204" t="s">
        <v>585</v>
      </c>
      <c r="GF83" s="204" t="s">
        <v>585</v>
      </c>
      <c r="GG83" s="204" t="s">
        <v>585</v>
      </c>
      <c r="GH83" s="202">
        <v>6</v>
      </c>
      <c r="GI83" s="193">
        <v>229704</v>
      </c>
      <c r="GJ83" s="368">
        <f>229704/45058286</f>
        <v>5.0979302674762196E-3</v>
      </c>
      <c r="GK83" s="382"/>
    </row>
    <row r="84" spans="2:193" ht="12" customHeight="1" x14ac:dyDescent="0.2">
      <c r="B84" s="359" t="s">
        <v>161</v>
      </c>
      <c r="C84" s="203">
        <v>16</v>
      </c>
      <c r="D84" s="204" t="s">
        <v>585</v>
      </c>
      <c r="E84" s="204" t="s">
        <v>585</v>
      </c>
      <c r="F84" s="204" t="s">
        <v>585</v>
      </c>
      <c r="G84" s="202">
        <v>16</v>
      </c>
      <c r="H84" s="193" t="s">
        <v>585</v>
      </c>
      <c r="I84" s="206">
        <v>3</v>
      </c>
      <c r="J84" s="204" t="s">
        <v>585</v>
      </c>
      <c r="K84" s="206">
        <v>3</v>
      </c>
      <c r="L84" s="193" t="s">
        <v>585</v>
      </c>
      <c r="M84" s="193">
        <v>8</v>
      </c>
      <c r="N84" s="206">
        <v>1</v>
      </c>
      <c r="O84" s="204">
        <v>2</v>
      </c>
      <c r="P84" s="204">
        <v>117</v>
      </c>
      <c r="Q84" s="204">
        <v>1</v>
      </c>
      <c r="R84" s="204">
        <v>11</v>
      </c>
      <c r="S84" s="204">
        <v>2</v>
      </c>
      <c r="T84" s="204" t="s">
        <v>585</v>
      </c>
      <c r="U84" s="206">
        <v>134</v>
      </c>
      <c r="V84" s="203" t="s">
        <v>585</v>
      </c>
      <c r="W84" s="204" t="s">
        <v>585</v>
      </c>
      <c r="X84" s="202" t="s">
        <v>585</v>
      </c>
      <c r="Y84" s="206">
        <v>3</v>
      </c>
      <c r="Z84" s="204" t="s">
        <v>585</v>
      </c>
      <c r="AA84" s="204" t="s">
        <v>585</v>
      </c>
      <c r="AB84" s="206">
        <v>3</v>
      </c>
      <c r="AC84" s="203">
        <v>59</v>
      </c>
      <c r="AD84" s="204" t="s">
        <v>585</v>
      </c>
      <c r="AE84" s="204" t="s">
        <v>585</v>
      </c>
      <c r="AF84" s="202">
        <v>59</v>
      </c>
      <c r="AG84" s="206">
        <v>2</v>
      </c>
      <c r="AH84" s="204" t="s">
        <v>585</v>
      </c>
      <c r="AI84" s="204" t="s">
        <v>585</v>
      </c>
      <c r="AJ84" s="204" t="s">
        <v>585</v>
      </c>
      <c r="AK84" s="206">
        <v>2</v>
      </c>
      <c r="AL84" s="193" t="s">
        <v>585</v>
      </c>
      <c r="AM84" s="193" t="s">
        <v>585</v>
      </c>
      <c r="AN84" s="206">
        <v>2</v>
      </c>
      <c r="AO84" s="204" t="s">
        <v>585</v>
      </c>
      <c r="AP84" s="206">
        <v>2</v>
      </c>
      <c r="AQ84" s="203" t="s">
        <v>585</v>
      </c>
      <c r="AR84" s="204" t="s">
        <v>585</v>
      </c>
      <c r="AS84" s="204" t="s">
        <v>585</v>
      </c>
      <c r="AT84" s="204" t="s">
        <v>585</v>
      </c>
      <c r="AU84" s="204" t="s">
        <v>585</v>
      </c>
      <c r="AV84" s="204" t="s">
        <v>585</v>
      </c>
      <c r="AW84" s="204" t="s">
        <v>585</v>
      </c>
      <c r="AX84" s="202" t="s">
        <v>585</v>
      </c>
      <c r="AY84" s="206" t="s">
        <v>585</v>
      </c>
      <c r="AZ84" s="193" t="s">
        <v>585</v>
      </c>
      <c r="BA84" s="206" t="s">
        <v>585</v>
      </c>
      <c r="BB84" s="377">
        <v>21</v>
      </c>
      <c r="BC84" s="206">
        <v>11</v>
      </c>
      <c r="BD84" s="206">
        <v>3</v>
      </c>
      <c r="BE84" s="378">
        <v>2</v>
      </c>
      <c r="BF84" s="206">
        <v>37</v>
      </c>
      <c r="BG84" s="193" t="s">
        <v>585</v>
      </c>
      <c r="BH84" s="193" t="s">
        <v>585</v>
      </c>
      <c r="BI84" s="193" t="s">
        <v>585</v>
      </c>
      <c r="BJ84" s="193" t="s">
        <v>585</v>
      </c>
      <c r="BK84" s="206">
        <v>1</v>
      </c>
      <c r="BL84" s="204" t="s">
        <v>585</v>
      </c>
      <c r="BM84" s="206">
        <v>1</v>
      </c>
      <c r="BN84" s="193" t="s">
        <v>585</v>
      </c>
      <c r="BO84" s="206" t="s">
        <v>585</v>
      </c>
      <c r="BP84" s="204" t="s">
        <v>585</v>
      </c>
      <c r="BQ84" s="206" t="s">
        <v>585</v>
      </c>
      <c r="BR84" s="203" t="s">
        <v>585</v>
      </c>
      <c r="BS84" s="204" t="s">
        <v>585</v>
      </c>
      <c r="BT84" s="204" t="s">
        <v>585</v>
      </c>
      <c r="BU84" s="204" t="s">
        <v>585</v>
      </c>
      <c r="BV84" s="204" t="s">
        <v>585</v>
      </c>
      <c r="BW84" s="204" t="s">
        <v>585</v>
      </c>
      <c r="BX84" s="204" t="s">
        <v>585</v>
      </c>
      <c r="BY84" s="204" t="s">
        <v>585</v>
      </c>
      <c r="BZ84" s="204" t="s">
        <v>585</v>
      </c>
      <c r="CA84" s="204" t="s">
        <v>585</v>
      </c>
      <c r="CB84" s="204" t="s">
        <v>585</v>
      </c>
      <c r="CC84" s="204" t="s">
        <v>585</v>
      </c>
      <c r="CD84" s="204" t="s">
        <v>585</v>
      </c>
      <c r="CE84" s="204" t="s">
        <v>585</v>
      </c>
      <c r="CF84" s="202" t="s">
        <v>585</v>
      </c>
      <c r="CG84" s="206" t="s">
        <v>585</v>
      </c>
      <c r="CH84" s="204" t="s">
        <v>585</v>
      </c>
      <c r="CI84" s="206" t="s">
        <v>585</v>
      </c>
      <c r="CJ84" s="193" t="s">
        <v>585</v>
      </c>
      <c r="CK84" s="206">
        <v>2102</v>
      </c>
      <c r="CL84" s="204" t="s">
        <v>585</v>
      </c>
      <c r="CM84" s="204">
        <v>5874</v>
      </c>
      <c r="CN84" s="204">
        <v>235</v>
      </c>
      <c r="CO84" s="204" t="s">
        <v>585</v>
      </c>
      <c r="CP84" s="204" t="s">
        <v>585</v>
      </c>
      <c r="CQ84" s="204">
        <v>2</v>
      </c>
      <c r="CR84" s="204" t="s">
        <v>585</v>
      </c>
      <c r="CS84" s="204">
        <v>1</v>
      </c>
      <c r="CT84" s="204" t="s">
        <v>585</v>
      </c>
      <c r="CU84" s="204" t="s">
        <v>585</v>
      </c>
      <c r="CV84" s="206">
        <v>8214</v>
      </c>
      <c r="CW84" s="203">
        <v>20</v>
      </c>
      <c r="CX84" s="204">
        <v>1</v>
      </c>
      <c r="CY84" s="204">
        <v>8</v>
      </c>
      <c r="CZ84" s="204" t="s">
        <v>585</v>
      </c>
      <c r="DA84" s="204" t="s">
        <v>585</v>
      </c>
      <c r="DB84" s="204" t="s">
        <v>585</v>
      </c>
      <c r="DC84" s="204" t="s">
        <v>585</v>
      </c>
      <c r="DD84" s="202">
        <v>29</v>
      </c>
      <c r="DE84" s="206" t="s">
        <v>585</v>
      </c>
      <c r="DF84" s="203" t="s">
        <v>585</v>
      </c>
      <c r="DG84" s="204" t="s">
        <v>585</v>
      </c>
      <c r="DH84" s="202" t="s">
        <v>585</v>
      </c>
      <c r="DI84" s="206" t="s">
        <v>585</v>
      </c>
      <c r="DJ84" s="204" t="s">
        <v>585</v>
      </c>
      <c r="DK84" s="206" t="s">
        <v>585</v>
      </c>
      <c r="DL84" s="193">
        <v>1</v>
      </c>
      <c r="DM84" s="206" t="s">
        <v>585</v>
      </c>
      <c r="DN84" s="204" t="s">
        <v>585</v>
      </c>
      <c r="DO84" s="206" t="s">
        <v>585</v>
      </c>
      <c r="DP84" s="203">
        <v>2</v>
      </c>
      <c r="DQ84" s="204" t="s">
        <v>585</v>
      </c>
      <c r="DR84" s="202">
        <v>2</v>
      </c>
      <c r="DS84" s="206" t="s">
        <v>585</v>
      </c>
      <c r="DT84" s="193" t="s">
        <v>585</v>
      </c>
      <c r="DU84" s="206">
        <v>9</v>
      </c>
      <c r="DV84" s="204" t="s">
        <v>585</v>
      </c>
      <c r="DW84" s="206">
        <v>9</v>
      </c>
      <c r="DX84" s="193" t="s">
        <v>585</v>
      </c>
      <c r="DY84" s="193" t="s">
        <v>585</v>
      </c>
      <c r="DZ84" s="206">
        <v>3</v>
      </c>
      <c r="EA84" s="204" t="s">
        <v>585</v>
      </c>
      <c r="EB84" s="204" t="s">
        <v>585</v>
      </c>
      <c r="EC84" s="204" t="s">
        <v>585</v>
      </c>
      <c r="ED84" s="204" t="s">
        <v>585</v>
      </c>
      <c r="EE84" s="204" t="s">
        <v>585</v>
      </c>
      <c r="EF84" s="204" t="s">
        <v>585</v>
      </c>
      <c r="EG84" s="206">
        <v>3</v>
      </c>
      <c r="EH84" s="203">
        <v>28</v>
      </c>
      <c r="EI84" s="204">
        <v>48</v>
      </c>
      <c r="EJ84" s="204">
        <v>1</v>
      </c>
      <c r="EK84" s="204">
        <v>2</v>
      </c>
      <c r="EL84" s="204">
        <v>29</v>
      </c>
      <c r="EM84" s="204">
        <v>35</v>
      </c>
      <c r="EN84" s="204">
        <v>3</v>
      </c>
      <c r="EO84" s="204">
        <v>16</v>
      </c>
      <c r="EP84" s="204">
        <v>21</v>
      </c>
      <c r="EQ84" s="204">
        <v>19</v>
      </c>
      <c r="ER84" s="204">
        <v>2</v>
      </c>
      <c r="ES84" s="204" t="s">
        <v>585</v>
      </c>
      <c r="ET84" s="204" t="s">
        <v>585</v>
      </c>
      <c r="EU84" s="202">
        <v>204</v>
      </c>
      <c r="EV84" s="206" t="s">
        <v>585</v>
      </c>
      <c r="EW84" s="193">
        <v>6</v>
      </c>
      <c r="EX84" s="206" t="s">
        <v>585</v>
      </c>
      <c r="EY84" s="204" t="s">
        <v>585</v>
      </c>
      <c r="EZ84" s="204" t="s">
        <v>585</v>
      </c>
      <c r="FA84" s="206" t="s">
        <v>585</v>
      </c>
      <c r="FB84" s="193" t="s">
        <v>585</v>
      </c>
      <c r="FC84" s="206" t="s">
        <v>585</v>
      </c>
      <c r="FD84" s="203" t="s">
        <v>585</v>
      </c>
      <c r="FE84" s="204" t="s">
        <v>585</v>
      </c>
      <c r="FF84" s="204" t="s">
        <v>585</v>
      </c>
      <c r="FG84" s="204" t="s">
        <v>585</v>
      </c>
      <c r="FH84" s="202" t="s">
        <v>585</v>
      </c>
      <c r="FI84" s="206" t="s">
        <v>585</v>
      </c>
      <c r="FJ84" s="204" t="s">
        <v>585</v>
      </c>
      <c r="FK84" s="206" t="s">
        <v>585</v>
      </c>
      <c r="FL84" s="203" t="s">
        <v>585</v>
      </c>
      <c r="FM84" s="204" t="s">
        <v>585</v>
      </c>
      <c r="FN84" s="202" t="s">
        <v>585</v>
      </c>
      <c r="FO84" s="206" t="s">
        <v>585</v>
      </c>
      <c r="FP84" s="193">
        <v>2</v>
      </c>
      <c r="FQ84" s="206">
        <v>1</v>
      </c>
      <c r="FR84" s="204" t="s">
        <v>585</v>
      </c>
      <c r="FS84" s="204" t="s">
        <v>585</v>
      </c>
      <c r="FT84" s="206">
        <v>1</v>
      </c>
      <c r="FU84" s="203">
        <v>1</v>
      </c>
      <c r="FV84" s="204" t="s">
        <v>585</v>
      </c>
      <c r="FW84" s="202">
        <v>1</v>
      </c>
      <c r="FX84" s="206" t="s">
        <v>585</v>
      </c>
      <c r="FY84" s="203" t="s">
        <v>585</v>
      </c>
      <c r="FZ84" s="204">
        <v>1</v>
      </c>
      <c r="GA84" s="204" t="s">
        <v>585</v>
      </c>
      <c r="GB84" s="202">
        <v>1</v>
      </c>
      <c r="GC84" s="206">
        <v>1</v>
      </c>
      <c r="GD84" s="203" t="s">
        <v>585</v>
      </c>
      <c r="GE84" s="204" t="s">
        <v>585</v>
      </c>
      <c r="GF84" s="204" t="s">
        <v>585</v>
      </c>
      <c r="GG84" s="204" t="s">
        <v>585</v>
      </c>
      <c r="GH84" s="202" t="s">
        <v>585</v>
      </c>
      <c r="GI84" s="193">
        <v>8739</v>
      </c>
      <c r="GJ84" s="368">
        <f>8739/45058286</f>
        <v>1.9394878890865934E-4</v>
      </c>
      <c r="GK84" s="382"/>
    </row>
    <row r="85" spans="2:193" ht="12" customHeight="1" x14ac:dyDescent="0.2">
      <c r="B85" s="359" t="s">
        <v>201</v>
      </c>
      <c r="C85" s="203">
        <v>133</v>
      </c>
      <c r="D85" s="204">
        <v>2</v>
      </c>
      <c r="E85" s="204">
        <v>9</v>
      </c>
      <c r="F85" s="204">
        <v>27</v>
      </c>
      <c r="G85" s="202">
        <v>171</v>
      </c>
      <c r="H85" s="193" t="s">
        <v>585</v>
      </c>
      <c r="I85" s="206">
        <v>58</v>
      </c>
      <c r="J85" s="204" t="s">
        <v>585</v>
      </c>
      <c r="K85" s="206">
        <v>58</v>
      </c>
      <c r="L85" s="193" t="s">
        <v>585</v>
      </c>
      <c r="M85" s="193">
        <v>334</v>
      </c>
      <c r="N85" s="206">
        <v>51</v>
      </c>
      <c r="O85" s="204">
        <v>56</v>
      </c>
      <c r="P85" s="204">
        <v>250023</v>
      </c>
      <c r="Q85" s="204">
        <v>2463</v>
      </c>
      <c r="R85" s="204">
        <v>98</v>
      </c>
      <c r="S85" s="204">
        <v>1</v>
      </c>
      <c r="T85" s="204" t="s">
        <v>585</v>
      </c>
      <c r="U85" s="206">
        <v>252692</v>
      </c>
      <c r="V85" s="203">
        <v>79</v>
      </c>
      <c r="W85" s="204">
        <v>119</v>
      </c>
      <c r="X85" s="202">
        <v>198</v>
      </c>
      <c r="Y85" s="206">
        <v>337</v>
      </c>
      <c r="Z85" s="204">
        <v>1</v>
      </c>
      <c r="AA85" s="204">
        <v>3</v>
      </c>
      <c r="AB85" s="206">
        <v>341</v>
      </c>
      <c r="AC85" s="203">
        <v>1488</v>
      </c>
      <c r="AD85" s="204">
        <v>4</v>
      </c>
      <c r="AE85" s="204">
        <v>4</v>
      </c>
      <c r="AF85" s="202">
        <v>1496</v>
      </c>
      <c r="AG85" s="206">
        <v>441</v>
      </c>
      <c r="AH85" s="204" t="s">
        <v>585</v>
      </c>
      <c r="AI85" s="204">
        <v>11</v>
      </c>
      <c r="AJ85" s="204">
        <v>4</v>
      </c>
      <c r="AK85" s="206">
        <v>456</v>
      </c>
      <c r="AL85" s="193">
        <v>5</v>
      </c>
      <c r="AM85" s="193" t="s">
        <v>585</v>
      </c>
      <c r="AN85" s="206">
        <v>133</v>
      </c>
      <c r="AO85" s="204" t="s">
        <v>585</v>
      </c>
      <c r="AP85" s="206">
        <v>133</v>
      </c>
      <c r="AQ85" s="203">
        <v>27</v>
      </c>
      <c r="AR85" s="204">
        <v>1</v>
      </c>
      <c r="AS85" s="204">
        <v>10</v>
      </c>
      <c r="AT85" s="204">
        <v>1</v>
      </c>
      <c r="AU85" s="204">
        <v>4</v>
      </c>
      <c r="AV85" s="204">
        <v>2</v>
      </c>
      <c r="AW85" s="204">
        <v>2</v>
      </c>
      <c r="AX85" s="202">
        <v>47</v>
      </c>
      <c r="AY85" s="206" t="s">
        <v>585</v>
      </c>
      <c r="AZ85" s="193">
        <v>4</v>
      </c>
      <c r="BA85" s="206">
        <v>123914</v>
      </c>
      <c r="BB85" s="377">
        <v>4049</v>
      </c>
      <c r="BC85" s="206">
        <v>132948</v>
      </c>
      <c r="BD85" s="206">
        <v>420</v>
      </c>
      <c r="BE85" s="378">
        <v>752</v>
      </c>
      <c r="BF85" s="206">
        <v>262083</v>
      </c>
      <c r="BG85" s="193">
        <v>6</v>
      </c>
      <c r="BH85" s="193" t="s">
        <v>585</v>
      </c>
      <c r="BI85" s="193" t="s">
        <v>585</v>
      </c>
      <c r="BJ85" s="193">
        <v>16</v>
      </c>
      <c r="BK85" s="206">
        <v>78</v>
      </c>
      <c r="BL85" s="204" t="s">
        <v>585</v>
      </c>
      <c r="BM85" s="206">
        <v>78</v>
      </c>
      <c r="BN85" s="193">
        <v>3</v>
      </c>
      <c r="BO85" s="206">
        <v>2</v>
      </c>
      <c r="BP85" s="204" t="s">
        <v>585</v>
      </c>
      <c r="BQ85" s="206">
        <v>2</v>
      </c>
      <c r="BR85" s="203">
        <v>24</v>
      </c>
      <c r="BS85" s="204">
        <v>176</v>
      </c>
      <c r="BT85" s="204">
        <v>44</v>
      </c>
      <c r="BU85" s="204">
        <v>20</v>
      </c>
      <c r="BV85" s="204">
        <v>29</v>
      </c>
      <c r="BW85" s="204">
        <v>15</v>
      </c>
      <c r="BX85" s="204">
        <v>6</v>
      </c>
      <c r="BY85" s="204">
        <v>13</v>
      </c>
      <c r="BZ85" s="204">
        <v>42</v>
      </c>
      <c r="CA85" s="204">
        <v>33</v>
      </c>
      <c r="CB85" s="204" t="s">
        <v>585</v>
      </c>
      <c r="CC85" s="204" t="s">
        <v>585</v>
      </c>
      <c r="CD85" s="204">
        <v>14</v>
      </c>
      <c r="CE85" s="204">
        <v>2</v>
      </c>
      <c r="CF85" s="202">
        <v>418</v>
      </c>
      <c r="CG85" s="206">
        <v>1</v>
      </c>
      <c r="CH85" s="204" t="s">
        <v>585</v>
      </c>
      <c r="CI85" s="206">
        <v>1</v>
      </c>
      <c r="CJ85" s="193" t="s">
        <v>585</v>
      </c>
      <c r="CK85" s="206">
        <v>27808</v>
      </c>
      <c r="CL85" s="204">
        <v>134</v>
      </c>
      <c r="CM85" s="204">
        <v>87503</v>
      </c>
      <c r="CN85" s="204">
        <v>23066</v>
      </c>
      <c r="CO85" s="204">
        <v>39</v>
      </c>
      <c r="CP85" s="204">
        <v>16</v>
      </c>
      <c r="CQ85" s="204">
        <v>351</v>
      </c>
      <c r="CR85" s="204">
        <v>14</v>
      </c>
      <c r="CS85" s="204">
        <v>291</v>
      </c>
      <c r="CT85" s="204">
        <v>6</v>
      </c>
      <c r="CU85" s="204" t="s">
        <v>585</v>
      </c>
      <c r="CV85" s="206">
        <v>139228</v>
      </c>
      <c r="CW85" s="203">
        <v>3774</v>
      </c>
      <c r="CX85" s="204">
        <v>457</v>
      </c>
      <c r="CY85" s="204">
        <v>386</v>
      </c>
      <c r="CZ85" s="204">
        <v>141</v>
      </c>
      <c r="DA85" s="204">
        <v>12</v>
      </c>
      <c r="DB85" s="204">
        <v>18</v>
      </c>
      <c r="DC85" s="204" t="s">
        <v>585</v>
      </c>
      <c r="DD85" s="202">
        <v>4788</v>
      </c>
      <c r="DE85" s="206" t="s">
        <v>585</v>
      </c>
      <c r="DF85" s="203" t="s">
        <v>585</v>
      </c>
      <c r="DG85" s="204" t="s">
        <v>585</v>
      </c>
      <c r="DH85" s="202" t="s">
        <v>585</v>
      </c>
      <c r="DI85" s="206" t="s">
        <v>585</v>
      </c>
      <c r="DJ85" s="204" t="s">
        <v>585</v>
      </c>
      <c r="DK85" s="206" t="s">
        <v>585</v>
      </c>
      <c r="DL85" s="193">
        <v>68</v>
      </c>
      <c r="DM85" s="206" t="s">
        <v>585</v>
      </c>
      <c r="DN85" s="204" t="s">
        <v>585</v>
      </c>
      <c r="DO85" s="206" t="s">
        <v>585</v>
      </c>
      <c r="DP85" s="203">
        <v>820</v>
      </c>
      <c r="DQ85" s="204" t="s">
        <v>585</v>
      </c>
      <c r="DR85" s="202">
        <v>820</v>
      </c>
      <c r="DS85" s="206">
        <v>47</v>
      </c>
      <c r="DT85" s="193" t="s">
        <v>585</v>
      </c>
      <c r="DU85" s="206">
        <v>73025</v>
      </c>
      <c r="DV85" s="204" t="s">
        <v>585</v>
      </c>
      <c r="DW85" s="206">
        <v>73025</v>
      </c>
      <c r="DX85" s="193">
        <v>2</v>
      </c>
      <c r="DY85" s="193" t="s">
        <v>585</v>
      </c>
      <c r="DZ85" s="206">
        <v>878</v>
      </c>
      <c r="EA85" s="204">
        <v>130</v>
      </c>
      <c r="EB85" s="204">
        <v>846</v>
      </c>
      <c r="EC85" s="204">
        <v>52</v>
      </c>
      <c r="ED85" s="204">
        <v>9</v>
      </c>
      <c r="EE85" s="204" t="s">
        <v>585</v>
      </c>
      <c r="EF85" s="204" t="s">
        <v>585</v>
      </c>
      <c r="EG85" s="206">
        <v>1915</v>
      </c>
      <c r="EH85" s="203">
        <v>1663</v>
      </c>
      <c r="EI85" s="204">
        <v>2404</v>
      </c>
      <c r="EJ85" s="204">
        <v>5</v>
      </c>
      <c r="EK85" s="204">
        <v>628</v>
      </c>
      <c r="EL85" s="204">
        <v>4491</v>
      </c>
      <c r="EM85" s="204">
        <v>12556</v>
      </c>
      <c r="EN85" s="204">
        <v>430</v>
      </c>
      <c r="EO85" s="204">
        <v>30</v>
      </c>
      <c r="EP85" s="204">
        <v>1139</v>
      </c>
      <c r="EQ85" s="204">
        <v>17</v>
      </c>
      <c r="ER85" s="204">
        <v>12</v>
      </c>
      <c r="ES85" s="204" t="s">
        <v>585</v>
      </c>
      <c r="ET85" s="204">
        <v>1</v>
      </c>
      <c r="EU85" s="202">
        <v>23376</v>
      </c>
      <c r="EV85" s="206" t="s">
        <v>585</v>
      </c>
      <c r="EW85" s="193" t="s">
        <v>585</v>
      </c>
      <c r="EX85" s="206">
        <v>4</v>
      </c>
      <c r="EY85" s="204">
        <v>1</v>
      </c>
      <c r="EZ85" s="204" t="s">
        <v>585</v>
      </c>
      <c r="FA85" s="206">
        <v>5</v>
      </c>
      <c r="FB85" s="193" t="s">
        <v>585</v>
      </c>
      <c r="FC85" s="206">
        <v>11</v>
      </c>
      <c r="FD85" s="203">
        <v>53</v>
      </c>
      <c r="FE85" s="204">
        <v>7</v>
      </c>
      <c r="FF85" s="204">
        <v>7</v>
      </c>
      <c r="FG85" s="204">
        <v>9</v>
      </c>
      <c r="FH85" s="202">
        <v>76</v>
      </c>
      <c r="FI85" s="206" t="s">
        <v>585</v>
      </c>
      <c r="FJ85" s="204" t="s">
        <v>585</v>
      </c>
      <c r="FK85" s="206" t="s">
        <v>585</v>
      </c>
      <c r="FL85" s="203" t="s">
        <v>585</v>
      </c>
      <c r="FM85" s="204" t="s">
        <v>585</v>
      </c>
      <c r="FN85" s="202" t="s">
        <v>585</v>
      </c>
      <c r="FO85" s="206" t="s">
        <v>585</v>
      </c>
      <c r="FP85" s="193">
        <v>143</v>
      </c>
      <c r="FQ85" s="206">
        <v>16</v>
      </c>
      <c r="FR85" s="204">
        <v>752</v>
      </c>
      <c r="FS85" s="204">
        <v>62</v>
      </c>
      <c r="FT85" s="206">
        <v>830</v>
      </c>
      <c r="FU85" s="203">
        <v>17</v>
      </c>
      <c r="FV85" s="204">
        <v>40</v>
      </c>
      <c r="FW85" s="202">
        <v>57</v>
      </c>
      <c r="FX85" s="206" t="s">
        <v>585</v>
      </c>
      <c r="FY85" s="203" t="s">
        <v>585</v>
      </c>
      <c r="FZ85" s="204">
        <v>6</v>
      </c>
      <c r="GA85" s="204" t="s">
        <v>585</v>
      </c>
      <c r="GB85" s="202">
        <v>6</v>
      </c>
      <c r="GC85" s="206">
        <v>158</v>
      </c>
      <c r="GD85" s="203">
        <v>115</v>
      </c>
      <c r="GE85" s="204">
        <v>99</v>
      </c>
      <c r="GF85" s="204">
        <v>9</v>
      </c>
      <c r="GG85" s="204" t="s">
        <v>585</v>
      </c>
      <c r="GH85" s="202">
        <v>223</v>
      </c>
      <c r="GI85" s="193">
        <v>763320</v>
      </c>
      <c r="GJ85" s="368">
        <f>763320/45058286</f>
        <v>1.6940724287648225E-2</v>
      </c>
      <c r="GK85" s="382"/>
    </row>
    <row r="86" spans="2:193" ht="12" customHeight="1" x14ac:dyDescent="0.2">
      <c r="B86" s="359" t="s">
        <v>214</v>
      </c>
      <c r="C86" s="203">
        <v>39</v>
      </c>
      <c r="D86" s="204" t="s">
        <v>585</v>
      </c>
      <c r="E86" s="204" t="s">
        <v>585</v>
      </c>
      <c r="F86" s="204" t="s">
        <v>585</v>
      </c>
      <c r="G86" s="202">
        <v>39</v>
      </c>
      <c r="H86" s="193" t="s">
        <v>585</v>
      </c>
      <c r="I86" s="206">
        <v>23</v>
      </c>
      <c r="J86" s="204" t="s">
        <v>585</v>
      </c>
      <c r="K86" s="206">
        <v>23</v>
      </c>
      <c r="L86" s="193" t="s">
        <v>585</v>
      </c>
      <c r="M86" s="193">
        <v>152</v>
      </c>
      <c r="N86" s="206" t="s">
        <v>585</v>
      </c>
      <c r="O86" s="204">
        <v>1</v>
      </c>
      <c r="P86" s="204">
        <v>68299</v>
      </c>
      <c r="Q86" s="204">
        <v>152</v>
      </c>
      <c r="R86" s="204">
        <v>53</v>
      </c>
      <c r="S86" s="204">
        <v>3</v>
      </c>
      <c r="T86" s="204" t="s">
        <v>585</v>
      </c>
      <c r="U86" s="206">
        <v>68508</v>
      </c>
      <c r="V86" s="203">
        <v>158</v>
      </c>
      <c r="W86" s="204">
        <v>16</v>
      </c>
      <c r="X86" s="202">
        <v>174</v>
      </c>
      <c r="Y86" s="206">
        <v>466</v>
      </c>
      <c r="Z86" s="204" t="s">
        <v>585</v>
      </c>
      <c r="AA86" s="204" t="s">
        <v>585</v>
      </c>
      <c r="AB86" s="206">
        <v>466</v>
      </c>
      <c r="AC86" s="203">
        <v>734</v>
      </c>
      <c r="AD86" s="204" t="s">
        <v>585</v>
      </c>
      <c r="AE86" s="204">
        <v>1</v>
      </c>
      <c r="AF86" s="202">
        <v>735</v>
      </c>
      <c r="AG86" s="206">
        <v>508</v>
      </c>
      <c r="AH86" s="204">
        <v>1</v>
      </c>
      <c r="AI86" s="204" t="s">
        <v>585</v>
      </c>
      <c r="AJ86" s="204" t="s">
        <v>585</v>
      </c>
      <c r="AK86" s="206">
        <v>509</v>
      </c>
      <c r="AL86" s="193" t="s">
        <v>585</v>
      </c>
      <c r="AM86" s="193" t="s">
        <v>585</v>
      </c>
      <c r="AN86" s="206">
        <v>8</v>
      </c>
      <c r="AO86" s="204">
        <v>3</v>
      </c>
      <c r="AP86" s="206">
        <v>11</v>
      </c>
      <c r="AQ86" s="203">
        <v>16</v>
      </c>
      <c r="AR86" s="204" t="s">
        <v>585</v>
      </c>
      <c r="AS86" s="204">
        <v>15</v>
      </c>
      <c r="AT86" s="204">
        <v>5</v>
      </c>
      <c r="AU86" s="204" t="s">
        <v>585</v>
      </c>
      <c r="AV86" s="204" t="s">
        <v>585</v>
      </c>
      <c r="AW86" s="204" t="s">
        <v>585</v>
      </c>
      <c r="AX86" s="202">
        <v>36</v>
      </c>
      <c r="AY86" s="206" t="s">
        <v>585</v>
      </c>
      <c r="AZ86" s="193">
        <v>1</v>
      </c>
      <c r="BA86" s="206">
        <v>1621</v>
      </c>
      <c r="BB86" s="377">
        <v>6759</v>
      </c>
      <c r="BC86" s="206">
        <v>130709</v>
      </c>
      <c r="BD86" s="206">
        <v>370</v>
      </c>
      <c r="BE86" s="378">
        <v>252</v>
      </c>
      <c r="BF86" s="206">
        <v>139711</v>
      </c>
      <c r="BG86" s="193">
        <v>5</v>
      </c>
      <c r="BH86" s="193" t="s">
        <v>585</v>
      </c>
      <c r="BI86" s="193" t="s">
        <v>585</v>
      </c>
      <c r="BJ86" s="193">
        <v>2</v>
      </c>
      <c r="BK86" s="206">
        <v>19</v>
      </c>
      <c r="BL86" s="204" t="s">
        <v>585</v>
      </c>
      <c r="BM86" s="206">
        <v>19</v>
      </c>
      <c r="BN86" s="193" t="s">
        <v>585</v>
      </c>
      <c r="BO86" s="206">
        <v>3</v>
      </c>
      <c r="BP86" s="204" t="s">
        <v>585</v>
      </c>
      <c r="BQ86" s="206">
        <v>3</v>
      </c>
      <c r="BR86" s="203">
        <v>4</v>
      </c>
      <c r="BS86" s="204" t="s">
        <v>585</v>
      </c>
      <c r="BT86" s="204" t="s">
        <v>585</v>
      </c>
      <c r="BU86" s="204">
        <v>1</v>
      </c>
      <c r="BV86" s="204" t="s">
        <v>585</v>
      </c>
      <c r="BW86" s="204">
        <v>2</v>
      </c>
      <c r="BX86" s="204" t="s">
        <v>585</v>
      </c>
      <c r="BY86" s="204" t="s">
        <v>585</v>
      </c>
      <c r="BZ86" s="204">
        <v>2</v>
      </c>
      <c r="CA86" s="204" t="s">
        <v>585</v>
      </c>
      <c r="CB86" s="204" t="s">
        <v>585</v>
      </c>
      <c r="CC86" s="204" t="s">
        <v>585</v>
      </c>
      <c r="CD86" s="204">
        <v>1</v>
      </c>
      <c r="CE86" s="204" t="s">
        <v>585</v>
      </c>
      <c r="CF86" s="202">
        <v>10</v>
      </c>
      <c r="CG86" s="206">
        <v>1</v>
      </c>
      <c r="CH86" s="204" t="s">
        <v>585</v>
      </c>
      <c r="CI86" s="206">
        <v>1</v>
      </c>
      <c r="CJ86" s="193" t="s">
        <v>585</v>
      </c>
      <c r="CK86" s="206">
        <v>12322</v>
      </c>
      <c r="CL86" s="204">
        <v>13</v>
      </c>
      <c r="CM86" s="204">
        <v>30203</v>
      </c>
      <c r="CN86" s="204">
        <v>11759</v>
      </c>
      <c r="CO86" s="204">
        <v>24</v>
      </c>
      <c r="CP86" s="204">
        <v>1</v>
      </c>
      <c r="CQ86" s="204">
        <v>9</v>
      </c>
      <c r="CR86" s="204">
        <v>5</v>
      </c>
      <c r="CS86" s="204">
        <v>4</v>
      </c>
      <c r="CT86" s="204">
        <v>3</v>
      </c>
      <c r="CU86" s="204" t="s">
        <v>585</v>
      </c>
      <c r="CV86" s="206">
        <v>54343</v>
      </c>
      <c r="CW86" s="203">
        <v>1201</v>
      </c>
      <c r="CX86" s="204">
        <v>5</v>
      </c>
      <c r="CY86" s="204">
        <v>108</v>
      </c>
      <c r="CZ86" s="204">
        <v>20</v>
      </c>
      <c r="DA86" s="204">
        <v>12</v>
      </c>
      <c r="DB86" s="204">
        <v>1</v>
      </c>
      <c r="DC86" s="204" t="s">
        <v>585</v>
      </c>
      <c r="DD86" s="202">
        <v>1347</v>
      </c>
      <c r="DE86" s="206" t="s">
        <v>585</v>
      </c>
      <c r="DF86" s="203" t="s">
        <v>585</v>
      </c>
      <c r="DG86" s="204" t="s">
        <v>585</v>
      </c>
      <c r="DH86" s="202" t="s">
        <v>585</v>
      </c>
      <c r="DI86" s="206" t="s">
        <v>585</v>
      </c>
      <c r="DJ86" s="204" t="s">
        <v>585</v>
      </c>
      <c r="DK86" s="206" t="s">
        <v>585</v>
      </c>
      <c r="DL86" s="193">
        <v>18</v>
      </c>
      <c r="DM86" s="206">
        <v>3</v>
      </c>
      <c r="DN86" s="204" t="s">
        <v>585</v>
      </c>
      <c r="DO86" s="206">
        <v>3</v>
      </c>
      <c r="DP86" s="203">
        <v>39</v>
      </c>
      <c r="DQ86" s="204" t="s">
        <v>585</v>
      </c>
      <c r="DR86" s="202">
        <v>39</v>
      </c>
      <c r="DS86" s="206">
        <v>1</v>
      </c>
      <c r="DT86" s="193" t="s">
        <v>585</v>
      </c>
      <c r="DU86" s="206">
        <v>579</v>
      </c>
      <c r="DV86" s="204" t="s">
        <v>585</v>
      </c>
      <c r="DW86" s="206">
        <v>579</v>
      </c>
      <c r="DX86" s="193">
        <v>113</v>
      </c>
      <c r="DY86" s="193" t="s">
        <v>585</v>
      </c>
      <c r="DZ86" s="206">
        <v>58</v>
      </c>
      <c r="EA86" s="204">
        <v>7</v>
      </c>
      <c r="EB86" s="204">
        <v>9</v>
      </c>
      <c r="EC86" s="204" t="s">
        <v>585</v>
      </c>
      <c r="ED86" s="204" t="s">
        <v>585</v>
      </c>
      <c r="EE86" s="204" t="s">
        <v>585</v>
      </c>
      <c r="EF86" s="204" t="s">
        <v>585</v>
      </c>
      <c r="EG86" s="206">
        <v>74</v>
      </c>
      <c r="EH86" s="203">
        <v>1613</v>
      </c>
      <c r="EI86" s="204">
        <v>2580</v>
      </c>
      <c r="EJ86" s="204">
        <v>7</v>
      </c>
      <c r="EK86" s="204">
        <v>73</v>
      </c>
      <c r="EL86" s="204">
        <v>1144</v>
      </c>
      <c r="EM86" s="204">
        <v>9218</v>
      </c>
      <c r="EN86" s="204">
        <v>167</v>
      </c>
      <c r="EO86" s="204">
        <v>6</v>
      </c>
      <c r="EP86" s="204">
        <v>478</v>
      </c>
      <c r="EQ86" s="204">
        <v>7</v>
      </c>
      <c r="ER86" s="204">
        <v>18</v>
      </c>
      <c r="ES86" s="204" t="s">
        <v>585</v>
      </c>
      <c r="ET86" s="204" t="s">
        <v>585</v>
      </c>
      <c r="EU86" s="202">
        <v>15311</v>
      </c>
      <c r="EV86" s="206" t="s">
        <v>585</v>
      </c>
      <c r="EW86" s="193">
        <v>2</v>
      </c>
      <c r="EX86" s="206" t="s">
        <v>585</v>
      </c>
      <c r="EY86" s="204">
        <v>1</v>
      </c>
      <c r="EZ86" s="204" t="s">
        <v>585</v>
      </c>
      <c r="FA86" s="206">
        <v>1</v>
      </c>
      <c r="FB86" s="193" t="s">
        <v>585</v>
      </c>
      <c r="FC86" s="206" t="s">
        <v>585</v>
      </c>
      <c r="FD86" s="203" t="s">
        <v>585</v>
      </c>
      <c r="FE86" s="204">
        <v>14</v>
      </c>
      <c r="FF86" s="204" t="s">
        <v>585</v>
      </c>
      <c r="FG86" s="204">
        <v>2</v>
      </c>
      <c r="FH86" s="202">
        <v>16</v>
      </c>
      <c r="FI86" s="206">
        <v>1</v>
      </c>
      <c r="FJ86" s="204" t="s">
        <v>585</v>
      </c>
      <c r="FK86" s="206">
        <v>1</v>
      </c>
      <c r="FL86" s="203" t="s">
        <v>585</v>
      </c>
      <c r="FM86" s="204" t="s">
        <v>585</v>
      </c>
      <c r="FN86" s="202" t="s">
        <v>585</v>
      </c>
      <c r="FO86" s="206" t="s">
        <v>585</v>
      </c>
      <c r="FP86" s="193">
        <v>51</v>
      </c>
      <c r="FQ86" s="206">
        <v>11</v>
      </c>
      <c r="FR86" s="204">
        <v>10</v>
      </c>
      <c r="FS86" s="204">
        <v>10</v>
      </c>
      <c r="FT86" s="206">
        <v>31</v>
      </c>
      <c r="FU86" s="203">
        <v>7</v>
      </c>
      <c r="FV86" s="204" t="s">
        <v>585</v>
      </c>
      <c r="FW86" s="202">
        <v>7</v>
      </c>
      <c r="FX86" s="206" t="s">
        <v>585</v>
      </c>
      <c r="FY86" s="203" t="s">
        <v>585</v>
      </c>
      <c r="FZ86" s="204">
        <v>3</v>
      </c>
      <c r="GA86" s="204" t="s">
        <v>585</v>
      </c>
      <c r="GB86" s="202">
        <v>3</v>
      </c>
      <c r="GC86" s="206">
        <v>2</v>
      </c>
      <c r="GD86" s="203" t="s">
        <v>585</v>
      </c>
      <c r="GE86" s="204" t="s">
        <v>585</v>
      </c>
      <c r="GF86" s="204" t="s">
        <v>585</v>
      </c>
      <c r="GG86" s="204" t="s">
        <v>585</v>
      </c>
      <c r="GH86" s="202" t="s">
        <v>585</v>
      </c>
      <c r="GI86" s="193">
        <v>282347</v>
      </c>
      <c r="GJ86" s="368">
        <f>282347/45058286</f>
        <v>6.2662614374634669E-3</v>
      </c>
      <c r="GK86" s="382"/>
    </row>
    <row r="87" spans="2:193" ht="12" customHeight="1" x14ac:dyDescent="0.2">
      <c r="B87" s="359" t="s">
        <v>218</v>
      </c>
      <c r="C87" s="203">
        <v>21</v>
      </c>
      <c r="D87" s="204">
        <v>1</v>
      </c>
      <c r="E87" s="204" t="s">
        <v>585</v>
      </c>
      <c r="F87" s="204">
        <v>2</v>
      </c>
      <c r="G87" s="202">
        <v>24</v>
      </c>
      <c r="H87" s="193" t="s">
        <v>585</v>
      </c>
      <c r="I87" s="206">
        <v>5</v>
      </c>
      <c r="J87" s="204" t="s">
        <v>585</v>
      </c>
      <c r="K87" s="206">
        <v>5</v>
      </c>
      <c r="L87" s="193" t="s">
        <v>585</v>
      </c>
      <c r="M87" s="193">
        <v>88</v>
      </c>
      <c r="N87" s="206" t="s">
        <v>585</v>
      </c>
      <c r="O87" s="204" t="s">
        <v>585</v>
      </c>
      <c r="P87" s="204">
        <v>18330</v>
      </c>
      <c r="Q87" s="204">
        <v>27</v>
      </c>
      <c r="R87" s="204">
        <v>21</v>
      </c>
      <c r="S87" s="204" t="s">
        <v>585</v>
      </c>
      <c r="T87" s="204" t="s">
        <v>585</v>
      </c>
      <c r="U87" s="206">
        <v>18378</v>
      </c>
      <c r="V87" s="203">
        <v>62</v>
      </c>
      <c r="W87" s="204">
        <v>15</v>
      </c>
      <c r="X87" s="202">
        <v>77</v>
      </c>
      <c r="Y87" s="206">
        <v>71</v>
      </c>
      <c r="Z87" s="204" t="s">
        <v>585</v>
      </c>
      <c r="AA87" s="204" t="s">
        <v>585</v>
      </c>
      <c r="AB87" s="206">
        <v>71</v>
      </c>
      <c r="AC87" s="203">
        <v>203</v>
      </c>
      <c r="AD87" s="204">
        <v>1</v>
      </c>
      <c r="AE87" s="204" t="s">
        <v>585</v>
      </c>
      <c r="AF87" s="202">
        <v>204</v>
      </c>
      <c r="AG87" s="206">
        <v>16</v>
      </c>
      <c r="AH87" s="204" t="s">
        <v>585</v>
      </c>
      <c r="AI87" s="204" t="s">
        <v>585</v>
      </c>
      <c r="AJ87" s="204" t="s">
        <v>585</v>
      </c>
      <c r="AK87" s="206">
        <v>16</v>
      </c>
      <c r="AL87" s="193" t="s">
        <v>585</v>
      </c>
      <c r="AM87" s="193" t="s">
        <v>585</v>
      </c>
      <c r="AN87" s="206" t="s">
        <v>585</v>
      </c>
      <c r="AO87" s="204" t="s">
        <v>585</v>
      </c>
      <c r="AP87" s="206" t="s">
        <v>585</v>
      </c>
      <c r="AQ87" s="203">
        <v>26</v>
      </c>
      <c r="AR87" s="204">
        <v>1</v>
      </c>
      <c r="AS87" s="204" t="s">
        <v>585</v>
      </c>
      <c r="AT87" s="204" t="s">
        <v>585</v>
      </c>
      <c r="AU87" s="204">
        <v>1</v>
      </c>
      <c r="AV87" s="204" t="s">
        <v>585</v>
      </c>
      <c r="AW87" s="204" t="s">
        <v>585</v>
      </c>
      <c r="AX87" s="202">
        <v>28</v>
      </c>
      <c r="AY87" s="206" t="s">
        <v>585</v>
      </c>
      <c r="AZ87" s="193" t="s">
        <v>585</v>
      </c>
      <c r="BA87" s="206">
        <v>12</v>
      </c>
      <c r="BB87" s="377">
        <v>235</v>
      </c>
      <c r="BC87" s="206">
        <v>1099</v>
      </c>
      <c r="BD87" s="206">
        <v>29</v>
      </c>
      <c r="BE87" s="378">
        <v>35</v>
      </c>
      <c r="BF87" s="206">
        <v>1410</v>
      </c>
      <c r="BG87" s="193" t="s">
        <v>585</v>
      </c>
      <c r="BH87" s="193" t="s">
        <v>585</v>
      </c>
      <c r="BI87" s="193" t="s">
        <v>585</v>
      </c>
      <c r="BJ87" s="193" t="s">
        <v>585</v>
      </c>
      <c r="BK87" s="206">
        <v>16</v>
      </c>
      <c r="BL87" s="204" t="s">
        <v>585</v>
      </c>
      <c r="BM87" s="206">
        <v>16</v>
      </c>
      <c r="BN87" s="193" t="s">
        <v>585</v>
      </c>
      <c r="BO87" s="206" t="s">
        <v>585</v>
      </c>
      <c r="BP87" s="204" t="s">
        <v>585</v>
      </c>
      <c r="BQ87" s="206" t="s">
        <v>585</v>
      </c>
      <c r="BR87" s="203" t="s">
        <v>585</v>
      </c>
      <c r="BS87" s="204">
        <v>11</v>
      </c>
      <c r="BT87" s="204">
        <v>7</v>
      </c>
      <c r="BU87" s="204" t="s">
        <v>585</v>
      </c>
      <c r="BV87" s="204">
        <v>1</v>
      </c>
      <c r="BW87" s="204" t="s">
        <v>585</v>
      </c>
      <c r="BX87" s="204" t="s">
        <v>585</v>
      </c>
      <c r="BY87" s="204">
        <v>1</v>
      </c>
      <c r="BZ87" s="204">
        <v>2</v>
      </c>
      <c r="CA87" s="204" t="s">
        <v>585</v>
      </c>
      <c r="CB87" s="204" t="s">
        <v>585</v>
      </c>
      <c r="CC87" s="204" t="s">
        <v>585</v>
      </c>
      <c r="CD87" s="204" t="s">
        <v>585</v>
      </c>
      <c r="CE87" s="204" t="s">
        <v>585</v>
      </c>
      <c r="CF87" s="202">
        <v>22</v>
      </c>
      <c r="CG87" s="206" t="s">
        <v>585</v>
      </c>
      <c r="CH87" s="204" t="s">
        <v>585</v>
      </c>
      <c r="CI87" s="206" t="s">
        <v>585</v>
      </c>
      <c r="CJ87" s="193" t="s">
        <v>585</v>
      </c>
      <c r="CK87" s="206">
        <v>7386</v>
      </c>
      <c r="CL87" s="204" t="s">
        <v>585</v>
      </c>
      <c r="CM87" s="204">
        <v>19421</v>
      </c>
      <c r="CN87" s="204">
        <v>1742</v>
      </c>
      <c r="CO87" s="204">
        <v>60</v>
      </c>
      <c r="CP87" s="204" t="s">
        <v>585</v>
      </c>
      <c r="CQ87" s="204">
        <v>5</v>
      </c>
      <c r="CR87" s="204" t="s">
        <v>585</v>
      </c>
      <c r="CS87" s="204">
        <v>3</v>
      </c>
      <c r="CT87" s="204">
        <v>2</v>
      </c>
      <c r="CU87" s="204" t="s">
        <v>585</v>
      </c>
      <c r="CV87" s="206">
        <v>28619</v>
      </c>
      <c r="CW87" s="203">
        <v>245</v>
      </c>
      <c r="CX87" s="204">
        <v>1</v>
      </c>
      <c r="CY87" s="204">
        <v>89</v>
      </c>
      <c r="CZ87" s="204" t="s">
        <v>585</v>
      </c>
      <c r="DA87" s="204" t="s">
        <v>585</v>
      </c>
      <c r="DB87" s="204" t="s">
        <v>585</v>
      </c>
      <c r="DC87" s="204" t="s">
        <v>585</v>
      </c>
      <c r="DD87" s="202">
        <v>335</v>
      </c>
      <c r="DE87" s="206" t="s">
        <v>585</v>
      </c>
      <c r="DF87" s="203" t="s">
        <v>585</v>
      </c>
      <c r="DG87" s="204" t="s">
        <v>585</v>
      </c>
      <c r="DH87" s="202" t="s">
        <v>585</v>
      </c>
      <c r="DI87" s="206" t="s">
        <v>585</v>
      </c>
      <c r="DJ87" s="204" t="s">
        <v>585</v>
      </c>
      <c r="DK87" s="206" t="s">
        <v>585</v>
      </c>
      <c r="DL87" s="193">
        <v>3</v>
      </c>
      <c r="DM87" s="206" t="s">
        <v>585</v>
      </c>
      <c r="DN87" s="204" t="s">
        <v>585</v>
      </c>
      <c r="DO87" s="206" t="s">
        <v>585</v>
      </c>
      <c r="DP87" s="203">
        <v>8</v>
      </c>
      <c r="DQ87" s="204">
        <v>2</v>
      </c>
      <c r="DR87" s="202">
        <v>10</v>
      </c>
      <c r="DS87" s="206">
        <v>1</v>
      </c>
      <c r="DT87" s="193" t="s">
        <v>585</v>
      </c>
      <c r="DU87" s="206">
        <v>134</v>
      </c>
      <c r="DV87" s="204" t="s">
        <v>585</v>
      </c>
      <c r="DW87" s="206">
        <v>134</v>
      </c>
      <c r="DX87" s="193">
        <v>29</v>
      </c>
      <c r="DY87" s="193" t="s">
        <v>585</v>
      </c>
      <c r="DZ87" s="206">
        <v>2</v>
      </c>
      <c r="EA87" s="204">
        <v>1</v>
      </c>
      <c r="EB87" s="204">
        <v>9</v>
      </c>
      <c r="EC87" s="204">
        <v>12</v>
      </c>
      <c r="ED87" s="204" t="s">
        <v>585</v>
      </c>
      <c r="EE87" s="204" t="s">
        <v>585</v>
      </c>
      <c r="EF87" s="204" t="s">
        <v>585</v>
      </c>
      <c r="EG87" s="206">
        <v>24</v>
      </c>
      <c r="EH87" s="203">
        <v>275</v>
      </c>
      <c r="EI87" s="204">
        <v>123</v>
      </c>
      <c r="EJ87" s="204">
        <v>1</v>
      </c>
      <c r="EK87" s="204">
        <v>24</v>
      </c>
      <c r="EL87" s="204">
        <v>179</v>
      </c>
      <c r="EM87" s="204">
        <v>80</v>
      </c>
      <c r="EN87" s="204">
        <v>1</v>
      </c>
      <c r="EO87" s="204">
        <v>3</v>
      </c>
      <c r="EP87" s="204">
        <v>201</v>
      </c>
      <c r="EQ87" s="204">
        <v>1</v>
      </c>
      <c r="ER87" s="204">
        <v>7</v>
      </c>
      <c r="ES87" s="204" t="s">
        <v>585</v>
      </c>
      <c r="ET87" s="204" t="s">
        <v>585</v>
      </c>
      <c r="EU87" s="202">
        <v>895</v>
      </c>
      <c r="EV87" s="206" t="s">
        <v>585</v>
      </c>
      <c r="EW87" s="193" t="s">
        <v>585</v>
      </c>
      <c r="EX87" s="206" t="s">
        <v>585</v>
      </c>
      <c r="EY87" s="204" t="s">
        <v>585</v>
      </c>
      <c r="EZ87" s="204" t="s">
        <v>585</v>
      </c>
      <c r="FA87" s="206" t="s">
        <v>585</v>
      </c>
      <c r="FB87" s="193" t="s">
        <v>585</v>
      </c>
      <c r="FC87" s="206" t="s">
        <v>585</v>
      </c>
      <c r="FD87" s="203" t="s">
        <v>585</v>
      </c>
      <c r="FE87" s="204">
        <v>3</v>
      </c>
      <c r="FF87" s="204" t="s">
        <v>585</v>
      </c>
      <c r="FG87" s="204" t="s">
        <v>585</v>
      </c>
      <c r="FH87" s="202">
        <v>3</v>
      </c>
      <c r="FI87" s="206" t="s">
        <v>585</v>
      </c>
      <c r="FJ87" s="204" t="s">
        <v>585</v>
      </c>
      <c r="FK87" s="206" t="s">
        <v>585</v>
      </c>
      <c r="FL87" s="203" t="s">
        <v>585</v>
      </c>
      <c r="FM87" s="204" t="s">
        <v>585</v>
      </c>
      <c r="FN87" s="202" t="s">
        <v>585</v>
      </c>
      <c r="FO87" s="206" t="s">
        <v>585</v>
      </c>
      <c r="FP87" s="193">
        <v>7</v>
      </c>
      <c r="FQ87" s="206">
        <v>3</v>
      </c>
      <c r="FR87" s="204" t="s">
        <v>585</v>
      </c>
      <c r="FS87" s="204" t="s">
        <v>585</v>
      </c>
      <c r="FT87" s="206">
        <v>3</v>
      </c>
      <c r="FU87" s="203">
        <v>1</v>
      </c>
      <c r="FV87" s="204" t="s">
        <v>585</v>
      </c>
      <c r="FW87" s="202">
        <v>1</v>
      </c>
      <c r="FX87" s="206" t="s">
        <v>585</v>
      </c>
      <c r="FY87" s="203" t="s">
        <v>585</v>
      </c>
      <c r="FZ87" s="204">
        <v>10</v>
      </c>
      <c r="GA87" s="204" t="s">
        <v>585</v>
      </c>
      <c r="GB87" s="202">
        <v>10</v>
      </c>
      <c r="GC87" s="206">
        <v>1</v>
      </c>
      <c r="GD87" s="203" t="s">
        <v>585</v>
      </c>
      <c r="GE87" s="204" t="s">
        <v>585</v>
      </c>
      <c r="GF87" s="204" t="s">
        <v>585</v>
      </c>
      <c r="GG87" s="204" t="s">
        <v>585</v>
      </c>
      <c r="GH87" s="202" t="s">
        <v>585</v>
      </c>
      <c r="GI87" s="193">
        <v>50414</v>
      </c>
      <c r="GJ87" s="368">
        <f>50414/45058286</f>
        <v>1.1188619114362228E-3</v>
      </c>
      <c r="GK87" s="382"/>
    </row>
    <row r="88" spans="2:193" ht="12.75" customHeight="1" thickBot="1" x14ac:dyDescent="0.25">
      <c r="B88" s="359" t="s">
        <v>551</v>
      </c>
      <c r="C88" s="203" t="s">
        <v>585</v>
      </c>
      <c r="D88" s="204" t="s">
        <v>585</v>
      </c>
      <c r="E88" s="204" t="s">
        <v>585</v>
      </c>
      <c r="F88" s="204" t="s">
        <v>585</v>
      </c>
      <c r="G88" s="202" t="s">
        <v>585</v>
      </c>
      <c r="H88" s="193" t="s">
        <v>585</v>
      </c>
      <c r="I88" s="206">
        <v>1</v>
      </c>
      <c r="J88" s="204" t="s">
        <v>585</v>
      </c>
      <c r="K88" s="206">
        <v>1</v>
      </c>
      <c r="L88" s="193" t="s">
        <v>585</v>
      </c>
      <c r="M88" s="193">
        <v>56</v>
      </c>
      <c r="N88" s="206">
        <v>1</v>
      </c>
      <c r="O88" s="204" t="s">
        <v>585</v>
      </c>
      <c r="P88" s="204">
        <v>676</v>
      </c>
      <c r="Q88" s="204" t="s">
        <v>585</v>
      </c>
      <c r="R88" s="204">
        <v>1</v>
      </c>
      <c r="S88" s="204" t="s">
        <v>585</v>
      </c>
      <c r="T88" s="204" t="s">
        <v>585</v>
      </c>
      <c r="U88" s="206">
        <v>678</v>
      </c>
      <c r="V88" s="203">
        <v>2</v>
      </c>
      <c r="W88" s="204" t="s">
        <v>585</v>
      </c>
      <c r="X88" s="202">
        <v>2</v>
      </c>
      <c r="Y88" s="206">
        <v>4</v>
      </c>
      <c r="Z88" s="204" t="s">
        <v>585</v>
      </c>
      <c r="AA88" s="204" t="s">
        <v>585</v>
      </c>
      <c r="AB88" s="206">
        <v>4</v>
      </c>
      <c r="AC88" s="203">
        <v>350</v>
      </c>
      <c r="AD88" s="204" t="s">
        <v>585</v>
      </c>
      <c r="AE88" s="204">
        <v>3</v>
      </c>
      <c r="AF88" s="202">
        <v>353</v>
      </c>
      <c r="AG88" s="206" t="s">
        <v>585</v>
      </c>
      <c r="AH88" s="204" t="s">
        <v>585</v>
      </c>
      <c r="AI88" s="204" t="s">
        <v>585</v>
      </c>
      <c r="AJ88" s="204" t="s">
        <v>585</v>
      </c>
      <c r="AK88" s="206" t="s">
        <v>585</v>
      </c>
      <c r="AL88" s="193" t="s">
        <v>585</v>
      </c>
      <c r="AM88" s="193" t="s">
        <v>585</v>
      </c>
      <c r="AN88" s="206" t="s">
        <v>585</v>
      </c>
      <c r="AO88" s="204" t="s">
        <v>585</v>
      </c>
      <c r="AP88" s="206" t="s">
        <v>585</v>
      </c>
      <c r="AQ88" s="203" t="s">
        <v>585</v>
      </c>
      <c r="AR88" s="204" t="s">
        <v>585</v>
      </c>
      <c r="AS88" s="204" t="s">
        <v>585</v>
      </c>
      <c r="AT88" s="204" t="s">
        <v>585</v>
      </c>
      <c r="AU88" s="204" t="s">
        <v>585</v>
      </c>
      <c r="AV88" s="204" t="s">
        <v>585</v>
      </c>
      <c r="AW88" s="204" t="s">
        <v>585</v>
      </c>
      <c r="AX88" s="202" t="s">
        <v>585</v>
      </c>
      <c r="AY88" s="206" t="s">
        <v>585</v>
      </c>
      <c r="AZ88" s="193" t="s">
        <v>585</v>
      </c>
      <c r="BA88" s="206" t="s">
        <v>585</v>
      </c>
      <c r="BB88" s="377">
        <v>17</v>
      </c>
      <c r="BC88" s="206">
        <v>84</v>
      </c>
      <c r="BD88" s="206">
        <v>5</v>
      </c>
      <c r="BE88" s="378">
        <v>2</v>
      </c>
      <c r="BF88" s="206">
        <v>108</v>
      </c>
      <c r="BG88" s="193" t="s">
        <v>585</v>
      </c>
      <c r="BH88" s="193" t="s">
        <v>585</v>
      </c>
      <c r="BI88" s="193" t="s">
        <v>585</v>
      </c>
      <c r="BJ88" s="193" t="s">
        <v>585</v>
      </c>
      <c r="BK88" s="206" t="s">
        <v>585</v>
      </c>
      <c r="BL88" s="204" t="s">
        <v>585</v>
      </c>
      <c r="BM88" s="206" t="s">
        <v>585</v>
      </c>
      <c r="BN88" s="193" t="s">
        <v>585</v>
      </c>
      <c r="BO88" s="206" t="s">
        <v>585</v>
      </c>
      <c r="BP88" s="204" t="s">
        <v>585</v>
      </c>
      <c r="BQ88" s="206" t="s">
        <v>585</v>
      </c>
      <c r="BR88" s="203" t="s">
        <v>585</v>
      </c>
      <c r="BS88" s="204">
        <v>2</v>
      </c>
      <c r="BT88" s="204" t="s">
        <v>585</v>
      </c>
      <c r="BU88" s="204" t="s">
        <v>585</v>
      </c>
      <c r="BV88" s="204" t="s">
        <v>585</v>
      </c>
      <c r="BW88" s="204" t="s">
        <v>585</v>
      </c>
      <c r="BX88" s="204" t="s">
        <v>585</v>
      </c>
      <c r="BY88" s="204" t="s">
        <v>585</v>
      </c>
      <c r="BZ88" s="204" t="s">
        <v>585</v>
      </c>
      <c r="CA88" s="204" t="s">
        <v>585</v>
      </c>
      <c r="CB88" s="204" t="s">
        <v>585</v>
      </c>
      <c r="CC88" s="204" t="s">
        <v>585</v>
      </c>
      <c r="CD88" s="204" t="s">
        <v>585</v>
      </c>
      <c r="CE88" s="204" t="s">
        <v>585</v>
      </c>
      <c r="CF88" s="202">
        <v>2</v>
      </c>
      <c r="CG88" s="206" t="s">
        <v>585</v>
      </c>
      <c r="CH88" s="204" t="s">
        <v>585</v>
      </c>
      <c r="CI88" s="206" t="s">
        <v>585</v>
      </c>
      <c r="CJ88" s="193" t="s">
        <v>585</v>
      </c>
      <c r="CK88" s="206">
        <v>244</v>
      </c>
      <c r="CL88" s="204" t="s">
        <v>585</v>
      </c>
      <c r="CM88" s="204">
        <v>940</v>
      </c>
      <c r="CN88" s="204">
        <v>490</v>
      </c>
      <c r="CO88" s="204">
        <v>3</v>
      </c>
      <c r="CP88" s="204" t="s">
        <v>585</v>
      </c>
      <c r="CQ88" s="204" t="s">
        <v>585</v>
      </c>
      <c r="CR88" s="204" t="s">
        <v>585</v>
      </c>
      <c r="CS88" s="204" t="s">
        <v>585</v>
      </c>
      <c r="CT88" s="204" t="s">
        <v>585</v>
      </c>
      <c r="CU88" s="204" t="s">
        <v>585</v>
      </c>
      <c r="CV88" s="206">
        <v>1677</v>
      </c>
      <c r="CW88" s="203">
        <v>113</v>
      </c>
      <c r="CX88" s="204" t="s">
        <v>585</v>
      </c>
      <c r="CY88" s="204">
        <v>3</v>
      </c>
      <c r="CZ88" s="204" t="s">
        <v>585</v>
      </c>
      <c r="DA88" s="204" t="s">
        <v>585</v>
      </c>
      <c r="DB88" s="204" t="s">
        <v>585</v>
      </c>
      <c r="DC88" s="204" t="s">
        <v>585</v>
      </c>
      <c r="DD88" s="202">
        <v>116</v>
      </c>
      <c r="DE88" s="206" t="s">
        <v>585</v>
      </c>
      <c r="DF88" s="203" t="s">
        <v>585</v>
      </c>
      <c r="DG88" s="204" t="s">
        <v>585</v>
      </c>
      <c r="DH88" s="202" t="s">
        <v>585</v>
      </c>
      <c r="DI88" s="206" t="s">
        <v>585</v>
      </c>
      <c r="DJ88" s="204" t="s">
        <v>585</v>
      </c>
      <c r="DK88" s="206" t="s">
        <v>585</v>
      </c>
      <c r="DL88" s="193">
        <v>15</v>
      </c>
      <c r="DM88" s="206" t="s">
        <v>585</v>
      </c>
      <c r="DN88" s="204" t="s">
        <v>585</v>
      </c>
      <c r="DO88" s="206" t="s">
        <v>585</v>
      </c>
      <c r="DP88" s="203" t="s">
        <v>585</v>
      </c>
      <c r="DQ88" s="204" t="s">
        <v>585</v>
      </c>
      <c r="DR88" s="202" t="s">
        <v>585</v>
      </c>
      <c r="DS88" s="206">
        <v>1</v>
      </c>
      <c r="DT88" s="193" t="s">
        <v>585</v>
      </c>
      <c r="DU88" s="206">
        <v>2</v>
      </c>
      <c r="DV88" s="204" t="s">
        <v>585</v>
      </c>
      <c r="DW88" s="206">
        <v>2</v>
      </c>
      <c r="DX88" s="193" t="s">
        <v>585</v>
      </c>
      <c r="DY88" s="193" t="s">
        <v>585</v>
      </c>
      <c r="DZ88" s="206" t="s">
        <v>585</v>
      </c>
      <c r="EA88" s="204" t="s">
        <v>585</v>
      </c>
      <c r="EB88" s="204" t="s">
        <v>585</v>
      </c>
      <c r="EC88" s="204" t="s">
        <v>585</v>
      </c>
      <c r="ED88" s="204" t="s">
        <v>585</v>
      </c>
      <c r="EE88" s="204" t="s">
        <v>585</v>
      </c>
      <c r="EF88" s="204" t="s">
        <v>585</v>
      </c>
      <c r="EG88" s="206" t="s">
        <v>585</v>
      </c>
      <c r="EH88" s="203">
        <v>67</v>
      </c>
      <c r="EI88" s="204">
        <v>18</v>
      </c>
      <c r="EJ88" s="204">
        <v>1</v>
      </c>
      <c r="EK88" s="204">
        <v>1</v>
      </c>
      <c r="EL88" s="204">
        <v>23</v>
      </c>
      <c r="EM88" s="204">
        <v>43</v>
      </c>
      <c r="EN88" s="204">
        <v>3</v>
      </c>
      <c r="EO88" s="204">
        <v>1</v>
      </c>
      <c r="EP88" s="204">
        <v>28</v>
      </c>
      <c r="EQ88" s="204">
        <v>5</v>
      </c>
      <c r="ER88" s="204" t="s">
        <v>585</v>
      </c>
      <c r="ES88" s="204" t="s">
        <v>585</v>
      </c>
      <c r="ET88" s="204" t="s">
        <v>585</v>
      </c>
      <c r="EU88" s="202">
        <v>190</v>
      </c>
      <c r="EV88" s="206" t="s">
        <v>585</v>
      </c>
      <c r="EW88" s="193" t="s">
        <v>585</v>
      </c>
      <c r="EX88" s="206" t="s">
        <v>585</v>
      </c>
      <c r="EY88" s="204">
        <v>4</v>
      </c>
      <c r="EZ88" s="204" t="s">
        <v>585</v>
      </c>
      <c r="FA88" s="206">
        <v>4</v>
      </c>
      <c r="FB88" s="193" t="s">
        <v>585</v>
      </c>
      <c r="FC88" s="206" t="s">
        <v>585</v>
      </c>
      <c r="FD88" s="203" t="s">
        <v>585</v>
      </c>
      <c r="FE88" s="204">
        <v>5</v>
      </c>
      <c r="FF88" s="204" t="s">
        <v>585</v>
      </c>
      <c r="FG88" s="204" t="s">
        <v>585</v>
      </c>
      <c r="FH88" s="202">
        <v>5</v>
      </c>
      <c r="FI88" s="206" t="s">
        <v>585</v>
      </c>
      <c r="FJ88" s="204" t="s">
        <v>585</v>
      </c>
      <c r="FK88" s="206" t="s">
        <v>585</v>
      </c>
      <c r="FL88" s="203" t="s">
        <v>585</v>
      </c>
      <c r="FM88" s="204" t="s">
        <v>585</v>
      </c>
      <c r="FN88" s="202" t="s">
        <v>585</v>
      </c>
      <c r="FO88" s="206" t="s">
        <v>585</v>
      </c>
      <c r="FP88" s="193" t="s">
        <v>585</v>
      </c>
      <c r="FQ88" s="206" t="s">
        <v>585</v>
      </c>
      <c r="FR88" s="204" t="s">
        <v>585</v>
      </c>
      <c r="FS88" s="204" t="s">
        <v>585</v>
      </c>
      <c r="FT88" s="206" t="s">
        <v>585</v>
      </c>
      <c r="FU88" s="203">
        <v>3</v>
      </c>
      <c r="FV88" s="204" t="s">
        <v>585</v>
      </c>
      <c r="FW88" s="202">
        <v>3</v>
      </c>
      <c r="FX88" s="206" t="s">
        <v>585</v>
      </c>
      <c r="FY88" s="203" t="s">
        <v>585</v>
      </c>
      <c r="FZ88" s="204" t="s">
        <v>585</v>
      </c>
      <c r="GA88" s="204" t="s">
        <v>585</v>
      </c>
      <c r="GB88" s="202" t="s">
        <v>585</v>
      </c>
      <c r="GC88" s="206" t="s">
        <v>585</v>
      </c>
      <c r="GD88" s="203" t="s">
        <v>585</v>
      </c>
      <c r="GE88" s="204" t="s">
        <v>585</v>
      </c>
      <c r="GF88" s="204" t="s">
        <v>585</v>
      </c>
      <c r="GG88" s="204" t="s">
        <v>585</v>
      </c>
      <c r="GH88" s="202" t="s">
        <v>585</v>
      </c>
      <c r="GI88" s="193">
        <v>3217</v>
      </c>
      <c r="GJ88" s="368">
        <f>3217/45058286</f>
        <v>7.1396413081491829E-5</v>
      </c>
      <c r="GK88" s="382"/>
    </row>
    <row r="89" spans="2:193" s="76" customFormat="1" ht="12.75" customHeight="1" thickBot="1" x14ac:dyDescent="0.25">
      <c r="B89" s="363" t="s">
        <v>552</v>
      </c>
      <c r="C89" s="266">
        <v>823</v>
      </c>
      <c r="D89" s="264">
        <v>3</v>
      </c>
      <c r="E89" s="264">
        <v>76</v>
      </c>
      <c r="F89" s="264">
        <v>67</v>
      </c>
      <c r="G89" s="267">
        <v>969</v>
      </c>
      <c r="H89" s="265" t="s">
        <v>585</v>
      </c>
      <c r="I89" s="263">
        <v>137</v>
      </c>
      <c r="J89" s="264" t="s">
        <v>585</v>
      </c>
      <c r="K89" s="263">
        <v>137</v>
      </c>
      <c r="L89" s="265" t="s">
        <v>585</v>
      </c>
      <c r="M89" s="265">
        <v>2790</v>
      </c>
      <c r="N89" s="263">
        <v>136</v>
      </c>
      <c r="O89" s="264">
        <v>179</v>
      </c>
      <c r="P89" s="264">
        <v>844362</v>
      </c>
      <c r="Q89" s="264">
        <v>26558</v>
      </c>
      <c r="R89" s="264">
        <v>1722</v>
      </c>
      <c r="S89" s="264">
        <v>8</v>
      </c>
      <c r="T89" s="264" t="s">
        <v>585</v>
      </c>
      <c r="U89" s="263">
        <v>872965</v>
      </c>
      <c r="V89" s="266">
        <v>1138</v>
      </c>
      <c r="W89" s="264">
        <v>1341</v>
      </c>
      <c r="X89" s="267">
        <v>2479</v>
      </c>
      <c r="Y89" s="263">
        <v>5236</v>
      </c>
      <c r="Z89" s="264">
        <v>15</v>
      </c>
      <c r="AA89" s="264">
        <v>3</v>
      </c>
      <c r="AB89" s="263">
        <v>5254</v>
      </c>
      <c r="AC89" s="266">
        <v>8102</v>
      </c>
      <c r="AD89" s="264">
        <v>35</v>
      </c>
      <c r="AE89" s="264">
        <v>15</v>
      </c>
      <c r="AF89" s="267">
        <v>8152</v>
      </c>
      <c r="AG89" s="263">
        <v>3914</v>
      </c>
      <c r="AH89" s="264">
        <v>38</v>
      </c>
      <c r="AI89" s="264">
        <v>45</v>
      </c>
      <c r="AJ89" s="264">
        <v>111</v>
      </c>
      <c r="AK89" s="263">
        <v>4108</v>
      </c>
      <c r="AL89" s="265">
        <v>45</v>
      </c>
      <c r="AM89" s="265" t="s">
        <v>585</v>
      </c>
      <c r="AN89" s="263">
        <v>508</v>
      </c>
      <c r="AO89" s="264">
        <v>16</v>
      </c>
      <c r="AP89" s="263">
        <v>524</v>
      </c>
      <c r="AQ89" s="266">
        <v>296</v>
      </c>
      <c r="AR89" s="264">
        <v>12</v>
      </c>
      <c r="AS89" s="264">
        <v>138</v>
      </c>
      <c r="AT89" s="264">
        <v>59</v>
      </c>
      <c r="AU89" s="264">
        <v>35</v>
      </c>
      <c r="AV89" s="264">
        <v>2</v>
      </c>
      <c r="AW89" s="264">
        <v>2</v>
      </c>
      <c r="AX89" s="267">
        <v>544</v>
      </c>
      <c r="AY89" s="263">
        <v>3</v>
      </c>
      <c r="AZ89" s="265">
        <v>32</v>
      </c>
      <c r="BA89" s="263">
        <v>591802</v>
      </c>
      <c r="BB89" s="379">
        <v>311211</v>
      </c>
      <c r="BC89" s="263">
        <v>1878751</v>
      </c>
      <c r="BD89" s="263">
        <v>7982</v>
      </c>
      <c r="BE89" s="380">
        <v>63164</v>
      </c>
      <c r="BF89" s="263">
        <v>2852910</v>
      </c>
      <c r="BG89" s="265">
        <v>40</v>
      </c>
      <c r="BH89" s="265" t="s">
        <v>585</v>
      </c>
      <c r="BI89" s="265" t="s">
        <v>585</v>
      </c>
      <c r="BJ89" s="265">
        <v>141</v>
      </c>
      <c r="BK89" s="263">
        <v>318</v>
      </c>
      <c r="BL89" s="264" t="s">
        <v>585</v>
      </c>
      <c r="BM89" s="263">
        <v>318</v>
      </c>
      <c r="BN89" s="265">
        <v>19</v>
      </c>
      <c r="BO89" s="263">
        <v>18</v>
      </c>
      <c r="BP89" s="264">
        <v>2</v>
      </c>
      <c r="BQ89" s="263">
        <v>20</v>
      </c>
      <c r="BR89" s="266">
        <v>100</v>
      </c>
      <c r="BS89" s="264">
        <v>713</v>
      </c>
      <c r="BT89" s="264">
        <v>130</v>
      </c>
      <c r="BU89" s="264">
        <v>114</v>
      </c>
      <c r="BV89" s="264">
        <v>49</v>
      </c>
      <c r="BW89" s="264">
        <v>17</v>
      </c>
      <c r="BX89" s="264">
        <v>85</v>
      </c>
      <c r="BY89" s="264">
        <v>70</v>
      </c>
      <c r="BZ89" s="264">
        <v>106</v>
      </c>
      <c r="CA89" s="264">
        <v>160</v>
      </c>
      <c r="CB89" s="264" t="s">
        <v>585</v>
      </c>
      <c r="CC89" s="264" t="s">
        <v>585</v>
      </c>
      <c r="CD89" s="264">
        <v>72</v>
      </c>
      <c r="CE89" s="264">
        <v>3</v>
      </c>
      <c r="CF89" s="267">
        <v>1619</v>
      </c>
      <c r="CG89" s="263">
        <v>33</v>
      </c>
      <c r="CH89" s="264" t="s">
        <v>585</v>
      </c>
      <c r="CI89" s="263">
        <v>33</v>
      </c>
      <c r="CJ89" s="265">
        <v>1</v>
      </c>
      <c r="CK89" s="263">
        <v>129678</v>
      </c>
      <c r="CL89" s="264">
        <v>596</v>
      </c>
      <c r="CM89" s="264">
        <v>337006</v>
      </c>
      <c r="CN89" s="264">
        <v>173715</v>
      </c>
      <c r="CO89" s="264">
        <v>564</v>
      </c>
      <c r="CP89" s="264">
        <v>101</v>
      </c>
      <c r="CQ89" s="264">
        <v>906</v>
      </c>
      <c r="CR89" s="264">
        <v>40</v>
      </c>
      <c r="CS89" s="264">
        <v>1001</v>
      </c>
      <c r="CT89" s="264">
        <v>48</v>
      </c>
      <c r="CU89" s="264" t="s">
        <v>585</v>
      </c>
      <c r="CV89" s="263">
        <v>643655</v>
      </c>
      <c r="CW89" s="266">
        <v>23002</v>
      </c>
      <c r="CX89" s="264">
        <v>1545</v>
      </c>
      <c r="CY89" s="264">
        <v>2997</v>
      </c>
      <c r="CZ89" s="264">
        <v>655</v>
      </c>
      <c r="DA89" s="264">
        <v>162</v>
      </c>
      <c r="DB89" s="264">
        <v>114</v>
      </c>
      <c r="DC89" s="264" t="s">
        <v>585</v>
      </c>
      <c r="DD89" s="267">
        <v>28475</v>
      </c>
      <c r="DE89" s="263" t="s">
        <v>585</v>
      </c>
      <c r="DF89" s="266" t="s">
        <v>585</v>
      </c>
      <c r="DG89" s="264" t="s">
        <v>585</v>
      </c>
      <c r="DH89" s="267" t="s">
        <v>585</v>
      </c>
      <c r="DI89" s="263" t="s">
        <v>585</v>
      </c>
      <c r="DJ89" s="264" t="s">
        <v>585</v>
      </c>
      <c r="DK89" s="263" t="s">
        <v>585</v>
      </c>
      <c r="DL89" s="265">
        <v>349</v>
      </c>
      <c r="DM89" s="263">
        <v>4</v>
      </c>
      <c r="DN89" s="264" t="s">
        <v>585</v>
      </c>
      <c r="DO89" s="263">
        <v>4</v>
      </c>
      <c r="DP89" s="266">
        <v>3810</v>
      </c>
      <c r="DQ89" s="264">
        <v>2</v>
      </c>
      <c r="DR89" s="267">
        <v>3812</v>
      </c>
      <c r="DS89" s="263">
        <v>90</v>
      </c>
      <c r="DT89" s="265">
        <v>9</v>
      </c>
      <c r="DU89" s="263">
        <v>436695</v>
      </c>
      <c r="DV89" s="264">
        <v>46</v>
      </c>
      <c r="DW89" s="263">
        <v>436741</v>
      </c>
      <c r="DX89" s="265">
        <v>158</v>
      </c>
      <c r="DY89" s="265">
        <v>1</v>
      </c>
      <c r="DZ89" s="263">
        <v>3168</v>
      </c>
      <c r="EA89" s="264">
        <v>394</v>
      </c>
      <c r="EB89" s="264">
        <v>1311</v>
      </c>
      <c r="EC89" s="264">
        <v>184</v>
      </c>
      <c r="ED89" s="264">
        <v>10</v>
      </c>
      <c r="EE89" s="264" t="s">
        <v>585</v>
      </c>
      <c r="EF89" s="264" t="s">
        <v>585</v>
      </c>
      <c r="EG89" s="263">
        <v>5067</v>
      </c>
      <c r="EH89" s="266">
        <v>8881</v>
      </c>
      <c r="EI89" s="264">
        <v>15366</v>
      </c>
      <c r="EJ89" s="264">
        <v>70</v>
      </c>
      <c r="EK89" s="264">
        <v>1346</v>
      </c>
      <c r="EL89" s="264">
        <v>12281</v>
      </c>
      <c r="EM89" s="264">
        <v>44762</v>
      </c>
      <c r="EN89" s="264">
        <v>1307</v>
      </c>
      <c r="EO89" s="264">
        <v>245</v>
      </c>
      <c r="EP89" s="264">
        <v>5033</v>
      </c>
      <c r="EQ89" s="264">
        <v>108</v>
      </c>
      <c r="ER89" s="264">
        <v>167</v>
      </c>
      <c r="ES89" s="264" t="s">
        <v>585</v>
      </c>
      <c r="ET89" s="264">
        <v>7</v>
      </c>
      <c r="EU89" s="267">
        <v>89573</v>
      </c>
      <c r="EV89" s="263">
        <v>1</v>
      </c>
      <c r="EW89" s="265">
        <v>410</v>
      </c>
      <c r="EX89" s="263">
        <v>21</v>
      </c>
      <c r="EY89" s="264">
        <v>13</v>
      </c>
      <c r="EZ89" s="264" t="s">
        <v>585</v>
      </c>
      <c r="FA89" s="263">
        <v>34</v>
      </c>
      <c r="FB89" s="265" t="s">
        <v>585</v>
      </c>
      <c r="FC89" s="263">
        <v>185</v>
      </c>
      <c r="FD89" s="266">
        <v>224</v>
      </c>
      <c r="FE89" s="264">
        <v>84</v>
      </c>
      <c r="FF89" s="264">
        <v>17</v>
      </c>
      <c r="FG89" s="264">
        <v>20</v>
      </c>
      <c r="FH89" s="267">
        <v>345</v>
      </c>
      <c r="FI89" s="263">
        <v>1</v>
      </c>
      <c r="FJ89" s="264" t="s">
        <v>585</v>
      </c>
      <c r="FK89" s="263">
        <v>1</v>
      </c>
      <c r="FL89" s="266">
        <v>7</v>
      </c>
      <c r="FM89" s="264">
        <v>3</v>
      </c>
      <c r="FN89" s="267">
        <v>10</v>
      </c>
      <c r="FO89" s="263" t="s">
        <v>585</v>
      </c>
      <c r="FP89" s="265">
        <v>538</v>
      </c>
      <c r="FQ89" s="263">
        <v>62</v>
      </c>
      <c r="FR89" s="264">
        <v>1167</v>
      </c>
      <c r="FS89" s="264">
        <v>258</v>
      </c>
      <c r="FT89" s="263">
        <v>1487</v>
      </c>
      <c r="FU89" s="266">
        <v>80</v>
      </c>
      <c r="FV89" s="264">
        <v>134</v>
      </c>
      <c r="FW89" s="267">
        <v>214</v>
      </c>
      <c r="FX89" s="263" t="s">
        <v>585</v>
      </c>
      <c r="FY89" s="266" t="s">
        <v>585</v>
      </c>
      <c r="FZ89" s="264">
        <v>24</v>
      </c>
      <c r="GA89" s="264">
        <v>1</v>
      </c>
      <c r="GB89" s="267">
        <v>25</v>
      </c>
      <c r="GC89" s="263">
        <v>360</v>
      </c>
      <c r="GD89" s="266">
        <v>174</v>
      </c>
      <c r="GE89" s="264">
        <v>127</v>
      </c>
      <c r="GF89" s="264">
        <v>29</v>
      </c>
      <c r="GG89" s="264">
        <v>3</v>
      </c>
      <c r="GH89" s="267">
        <v>333</v>
      </c>
      <c r="GI89" s="265">
        <v>4964980</v>
      </c>
      <c r="GJ89" s="369">
        <f>4964980/45058286</f>
        <v>0.11019016568894786</v>
      </c>
      <c r="GK89" s="383"/>
    </row>
    <row r="90" spans="2:193" s="76" customFormat="1" ht="12.75" customHeight="1" thickBot="1" x14ac:dyDescent="0.25">
      <c r="B90" s="363" t="s">
        <v>553</v>
      </c>
      <c r="C90" s="266">
        <v>59888</v>
      </c>
      <c r="D90" s="264">
        <v>40</v>
      </c>
      <c r="E90" s="264">
        <v>125</v>
      </c>
      <c r="F90" s="264">
        <v>304</v>
      </c>
      <c r="G90" s="267">
        <v>60357</v>
      </c>
      <c r="H90" s="265" t="s">
        <v>585</v>
      </c>
      <c r="I90" s="263">
        <v>1281</v>
      </c>
      <c r="J90" s="264" t="s">
        <v>585</v>
      </c>
      <c r="K90" s="263">
        <v>1281</v>
      </c>
      <c r="L90" s="265">
        <v>18</v>
      </c>
      <c r="M90" s="265">
        <v>173918</v>
      </c>
      <c r="N90" s="263">
        <v>11397</v>
      </c>
      <c r="O90" s="264">
        <v>1082</v>
      </c>
      <c r="P90" s="264">
        <v>6825825</v>
      </c>
      <c r="Q90" s="264">
        <v>167626</v>
      </c>
      <c r="R90" s="264">
        <v>17000</v>
      </c>
      <c r="S90" s="264">
        <v>153</v>
      </c>
      <c r="T90" s="264">
        <v>15</v>
      </c>
      <c r="U90" s="263">
        <v>7023098</v>
      </c>
      <c r="V90" s="266">
        <v>3019</v>
      </c>
      <c r="W90" s="264">
        <v>2777</v>
      </c>
      <c r="X90" s="267">
        <v>5796</v>
      </c>
      <c r="Y90" s="263">
        <v>28281</v>
      </c>
      <c r="Z90" s="264">
        <v>84</v>
      </c>
      <c r="AA90" s="264">
        <v>11</v>
      </c>
      <c r="AB90" s="263">
        <v>28376</v>
      </c>
      <c r="AC90" s="266">
        <v>78689</v>
      </c>
      <c r="AD90" s="264">
        <v>1049</v>
      </c>
      <c r="AE90" s="264">
        <v>702</v>
      </c>
      <c r="AF90" s="267">
        <v>80440</v>
      </c>
      <c r="AG90" s="263">
        <v>40479</v>
      </c>
      <c r="AH90" s="264">
        <v>59</v>
      </c>
      <c r="AI90" s="264">
        <v>70</v>
      </c>
      <c r="AJ90" s="264">
        <v>179</v>
      </c>
      <c r="AK90" s="263">
        <v>40787</v>
      </c>
      <c r="AL90" s="265">
        <v>55</v>
      </c>
      <c r="AM90" s="265">
        <v>2</v>
      </c>
      <c r="AN90" s="263">
        <v>1272</v>
      </c>
      <c r="AO90" s="264">
        <v>180</v>
      </c>
      <c r="AP90" s="263">
        <v>1452</v>
      </c>
      <c r="AQ90" s="266">
        <v>1622</v>
      </c>
      <c r="AR90" s="264">
        <v>188</v>
      </c>
      <c r="AS90" s="264">
        <v>1877</v>
      </c>
      <c r="AT90" s="264">
        <v>129</v>
      </c>
      <c r="AU90" s="264">
        <v>48</v>
      </c>
      <c r="AV90" s="264">
        <v>33</v>
      </c>
      <c r="AW90" s="264">
        <v>2</v>
      </c>
      <c r="AX90" s="267">
        <v>3899</v>
      </c>
      <c r="AY90" s="263">
        <v>48</v>
      </c>
      <c r="AZ90" s="265">
        <v>17241</v>
      </c>
      <c r="BA90" s="263">
        <v>607444</v>
      </c>
      <c r="BB90" s="379">
        <v>766324</v>
      </c>
      <c r="BC90" s="263">
        <v>2429258</v>
      </c>
      <c r="BD90" s="263">
        <v>16254</v>
      </c>
      <c r="BE90" s="380">
        <v>297244</v>
      </c>
      <c r="BF90" s="263">
        <v>4116524</v>
      </c>
      <c r="BG90" s="265">
        <v>9766</v>
      </c>
      <c r="BH90" s="265">
        <v>14</v>
      </c>
      <c r="BI90" s="265">
        <v>9</v>
      </c>
      <c r="BJ90" s="265">
        <v>27408</v>
      </c>
      <c r="BK90" s="263">
        <v>35440</v>
      </c>
      <c r="BL90" s="264">
        <v>14</v>
      </c>
      <c r="BM90" s="263">
        <v>35454</v>
      </c>
      <c r="BN90" s="265">
        <v>22</v>
      </c>
      <c r="BO90" s="263">
        <v>272</v>
      </c>
      <c r="BP90" s="264">
        <v>186</v>
      </c>
      <c r="BQ90" s="263">
        <v>458</v>
      </c>
      <c r="BR90" s="266">
        <v>699</v>
      </c>
      <c r="BS90" s="264">
        <v>1216</v>
      </c>
      <c r="BT90" s="264">
        <v>282</v>
      </c>
      <c r="BU90" s="264">
        <v>201</v>
      </c>
      <c r="BV90" s="264">
        <v>67</v>
      </c>
      <c r="BW90" s="264">
        <v>20</v>
      </c>
      <c r="BX90" s="264">
        <v>107</v>
      </c>
      <c r="BY90" s="264">
        <v>99</v>
      </c>
      <c r="BZ90" s="264">
        <v>218</v>
      </c>
      <c r="CA90" s="264">
        <v>288</v>
      </c>
      <c r="CB90" s="264">
        <v>1</v>
      </c>
      <c r="CC90" s="264">
        <v>1</v>
      </c>
      <c r="CD90" s="264">
        <v>94</v>
      </c>
      <c r="CE90" s="264">
        <v>5</v>
      </c>
      <c r="CF90" s="267">
        <v>3298</v>
      </c>
      <c r="CG90" s="263">
        <v>250</v>
      </c>
      <c r="CH90" s="264" t="s">
        <v>585</v>
      </c>
      <c r="CI90" s="263">
        <v>250</v>
      </c>
      <c r="CJ90" s="265">
        <v>44</v>
      </c>
      <c r="CK90" s="263">
        <v>706386</v>
      </c>
      <c r="CL90" s="264">
        <v>943</v>
      </c>
      <c r="CM90" s="264">
        <v>2416019</v>
      </c>
      <c r="CN90" s="264">
        <v>1524000</v>
      </c>
      <c r="CO90" s="264">
        <v>5680</v>
      </c>
      <c r="CP90" s="264">
        <v>269</v>
      </c>
      <c r="CQ90" s="264">
        <v>1828</v>
      </c>
      <c r="CR90" s="264">
        <v>88</v>
      </c>
      <c r="CS90" s="264">
        <v>2016</v>
      </c>
      <c r="CT90" s="264">
        <v>513</v>
      </c>
      <c r="CU90" s="264" t="s">
        <v>585</v>
      </c>
      <c r="CV90" s="263">
        <v>4657742</v>
      </c>
      <c r="CW90" s="266">
        <v>886702</v>
      </c>
      <c r="CX90" s="264">
        <v>2732</v>
      </c>
      <c r="CY90" s="264">
        <v>41713</v>
      </c>
      <c r="CZ90" s="264">
        <v>1436</v>
      </c>
      <c r="DA90" s="264">
        <v>1327</v>
      </c>
      <c r="DB90" s="264">
        <v>1123</v>
      </c>
      <c r="DC90" s="264">
        <v>10</v>
      </c>
      <c r="DD90" s="267">
        <v>935043</v>
      </c>
      <c r="DE90" s="263">
        <v>9</v>
      </c>
      <c r="DF90" s="266">
        <v>2</v>
      </c>
      <c r="DG90" s="264" t="s">
        <v>585</v>
      </c>
      <c r="DH90" s="267">
        <v>2</v>
      </c>
      <c r="DI90" s="263" t="s">
        <v>585</v>
      </c>
      <c r="DJ90" s="264">
        <v>43</v>
      </c>
      <c r="DK90" s="263">
        <v>43</v>
      </c>
      <c r="DL90" s="265">
        <v>87417</v>
      </c>
      <c r="DM90" s="263">
        <v>11</v>
      </c>
      <c r="DN90" s="264">
        <v>1</v>
      </c>
      <c r="DO90" s="263">
        <v>12</v>
      </c>
      <c r="DP90" s="266">
        <v>6564</v>
      </c>
      <c r="DQ90" s="264">
        <v>43</v>
      </c>
      <c r="DR90" s="267">
        <v>6607</v>
      </c>
      <c r="DS90" s="263">
        <v>25032</v>
      </c>
      <c r="DT90" s="265">
        <v>3399</v>
      </c>
      <c r="DU90" s="263">
        <v>456614</v>
      </c>
      <c r="DV90" s="264">
        <v>46</v>
      </c>
      <c r="DW90" s="263">
        <v>456660</v>
      </c>
      <c r="DX90" s="265">
        <v>2171</v>
      </c>
      <c r="DY90" s="265">
        <v>3</v>
      </c>
      <c r="DZ90" s="263">
        <v>5602</v>
      </c>
      <c r="EA90" s="264">
        <v>1051</v>
      </c>
      <c r="EB90" s="264">
        <v>3907</v>
      </c>
      <c r="EC90" s="264">
        <v>601</v>
      </c>
      <c r="ED90" s="264">
        <v>41</v>
      </c>
      <c r="EE90" s="264">
        <v>1</v>
      </c>
      <c r="EF90" s="264">
        <v>8</v>
      </c>
      <c r="EG90" s="263">
        <v>11211</v>
      </c>
      <c r="EH90" s="266">
        <v>204700</v>
      </c>
      <c r="EI90" s="264">
        <v>1106510</v>
      </c>
      <c r="EJ90" s="264">
        <v>2751</v>
      </c>
      <c r="EK90" s="264">
        <v>18267</v>
      </c>
      <c r="EL90" s="264">
        <v>129784</v>
      </c>
      <c r="EM90" s="264">
        <v>648067</v>
      </c>
      <c r="EN90" s="264">
        <v>19639</v>
      </c>
      <c r="EO90" s="264">
        <v>2230</v>
      </c>
      <c r="EP90" s="264">
        <v>96415</v>
      </c>
      <c r="EQ90" s="264">
        <v>3323</v>
      </c>
      <c r="ER90" s="264">
        <v>1229</v>
      </c>
      <c r="ES90" s="264">
        <v>22</v>
      </c>
      <c r="ET90" s="264">
        <v>14</v>
      </c>
      <c r="EU90" s="267">
        <v>2232951</v>
      </c>
      <c r="EV90" s="263">
        <v>13</v>
      </c>
      <c r="EW90" s="265">
        <v>627</v>
      </c>
      <c r="EX90" s="263">
        <v>103</v>
      </c>
      <c r="EY90" s="264">
        <v>3988</v>
      </c>
      <c r="EZ90" s="264" t="s">
        <v>585</v>
      </c>
      <c r="FA90" s="263">
        <v>4091</v>
      </c>
      <c r="FB90" s="265" t="s">
        <v>585</v>
      </c>
      <c r="FC90" s="263">
        <v>275</v>
      </c>
      <c r="FD90" s="266">
        <v>389</v>
      </c>
      <c r="FE90" s="264">
        <v>21547</v>
      </c>
      <c r="FF90" s="264">
        <v>30</v>
      </c>
      <c r="FG90" s="264">
        <v>25</v>
      </c>
      <c r="FH90" s="267">
        <v>21991</v>
      </c>
      <c r="FI90" s="263">
        <v>17</v>
      </c>
      <c r="FJ90" s="264" t="s">
        <v>585</v>
      </c>
      <c r="FK90" s="263">
        <v>17</v>
      </c>
      <c r="FL90" s="266">
        <v>12</v>
      </c>
      <c r="FM90" s="264">
        <v>5</v>
      </c>
      <c r="FN90" s="267">
        <v>17</v>
      </c>
      <c r="FO90" s="263">
        <v>12</v>
      </c>
      <c r="FP90" s="265">
        <v>27114</v>
      </c>
      <c r="FQ90" s="263">
        <v>582</v>
      </c>
      <c r="FR90" s="264">
        <v>1564</v>
      </c>
      <c r="FS90" s="264">
        <v>310</v>
      </c>
      <c r="FT90" s="263">
        <v>2456</v>
      </c>
      <c r="FU90" s="266">
        <v>17920</v>
      </c>
      <c r="FV90" s="264">
        <v>356</v>
      </c>
      <c r="FW90" s="267">
        <v>18276</v>
      </c>
      <c r="FX90" s="263">
        <v>4</v>
      </c>
      <c r="FY90" s="266">
        <v>16</v>
      </c>
      <c r="FZ90" s="264">
        <v>355</v>
      </c>
      <c r="GA90" s="264">
        <v>71</v>
      </c>
      <c r="GB90" s="267">
        <v>442</v>
      </c>
      <c r="GC90" s="263">
        <v>1273</v>
      </c>
      <c r="GD90" s="266">
        <v>629</v>
      </c>
      <c r="GE90" s="264">
        <v>270</v>
      </c>
      <c r="GF90" s="264">
        <v>79</v>
      </c>
      <c r="GG90" s="264">
        <v>1564</v>
      </c>
      <c r="GH90" s="267">
        <v>2542</v>
      </c>
      <c r="GI90" s="265">
        <v>20127467</v>
      </c>
      <c r="GJ90" s="369">
        <f>20127467/45058286</f>
        <v>0.44669846074482283</v>
      </c>
      <c r="GK90" s="383"/>
    </row>
    <row r="91" spans="2:193" ht="12" customHeight="1" x14ac:dyDescent="0.2">
      <c r="B91" s="359" t="s">
        <v>33</v>
      </c>
      <c r="C91" s="203">
        <v>212</v>
      </c>
      <c r="D91" s="204">
        <v>6</v>
      </c>
      <c r="E91" s="204">
        <v>39</v>
      </c>
      <c r="F91" s="204" t="s">
        <v>585</v>
      </c>
      <c r="G91" s="202">
        <v>257</v>
      </c>
      <c r="H91" s="193" t="s">
        <v>585</v>
      </c>
      <c r="I91" s="206">
        <v>1196</v>
      </c>
      <c r="J91" s="204" t="s">
        <v>585</v>
      </c>
      <c r="K91" s="206">
        <v>1196</v>
      </c>
      <c r="L91" s="193">
        <v>1</v>
      </c>
      <c r="M91" s="193">
        <v>28462</v>
      </c>
      <c r="N91" s="206">
        <v>14</v>
      </c>
      <c r="O91" s="204">
        <v>113</v>
      </c>
      <c r="P91" s="204">
        <v>60653</v>
      </c>
      <c r="Q91" s="204">
        <v>6518</v>
      </c>
      <c r="R91" s="204">
        <v>12</v>
      </c>
      <c r="S91" s="204" t="s">
        <v>585</v>
      </c>
      <c r="T91" s="204">
        <v>1</v>
      </c>
      <c r="U91" s="206">
        <v>67311</v>
      </c>
      <c r="V91" s="203">
        <v>7063</v>
      </c>
      <c r="W91" s="204">
        <v>2204</v>
      </c>
      <c r="X91" s="202">
        <v>9267</v>
      </c>
      <c r="Y91" s="206">
        <v>240828</v>
      </c>
      <c r="Z91" s="204">
        <v>33</v>
      </c>
      <c r="AA91" s="204">
        <v>45</v>
      </c>
      <c r="AB91" s="206">
        <v>240906</v>
      </c>
      <c r="AC91" s="203">
        <v>103</v>
      </c>
      <c r="AD91" s="204">
        <v>1</v>
      </c>
      <c r="AE91" s="204" t="s">
        <v>585</v>
      </c>
      <c r="AF91" s="202">
        <v>104</v>
      </c>
      <c r="AG91" s="206">
        <v>14</v>
      </c>
      <c r="AH91" s="204" t="s">
        <v>585</v>
      </c>
      <c r="AI91" s="204">
        <v>19</v>
      </c>
      <c r="AJ91" s="204">
        <v>486</v>
      </c>
      <c r="AK91" s="206">
        <v>519</v>
      </c>
      <c r="AL91" s="193">
        <v>168</v>
      </c>
      <c r="AM91" s="193" t="s">
        <v>585</v>
      </c>
      <c r="AN91" s="206">
        <v>379</v>
      </c>
      <c r="AO91" s="204">
        <v>3</v>
      </c>
      <c r="AP91" s="206">
        <v>382</v>
      </c>
      <c r="AQ91" s="203">
        <v>10</v>
      </c>
      <c r="AR91" s="204" t="s">
        <v>585</v>
      </c>
      <c r="AS91" s="204">
        <v>1</v>
      </c>
      <c r="AT91" s="204">
        <v>1</v>
      </c>
      <c r="AU91" s="204">
        <v>10</v>
      </c>
      <c r="AV91" s="204">
        <v>1</v>
      </c>
      <c r="AW91" s="204">
        <v>7</v>
      </c>
      <c r="AX91" s="202">
        <v>30</v>
      </c>
      <c r="AY91" s="206">
        <v>7</v>
      </c>
      <c r="AZ91" s="193">
        <v>3</v>
      </c>
      <c r="BA91" s="206">
        <v>529</v>
      </c>
      <c r="BB91" s="377">
        <v>715</v>
      </c>
      <c r="BC91" s="206">
        <v>6057</v>
      </c>
      <c r="BD91" s="206">
        <v>22</v>
      </c>
      <c r="BE91" s="378">
        <v>61</v>
      </c>
      <c r="BF91" s="206">
        <v>7384</v>
      </c>
      <c r="BG91" s="193">
        <v>5</v>
      </c>
      <c r="BH91" s="193" t="s">
        <v>585</v>
      </c>
      <c r="BI91" s="193" t="s">
        <v>585</v>
      </c>
      <c r="BJ91" s="193">
        <v>2</v>
      </c>
      <c r="BK91" s="206">
        <v>38</v>
      </c>
      <c r="BL91" s="204" t="s">
        <v>585</v>
      </c>
      <c r="BM91" s="206">
        <v>38</v>
      </c>
      <c r="BN91" s="193">
        <v>809</v>
      </c>
      <c r="BO91" s="206">
        <v>359</v>
      </c>
      <c r="BP91" s="204" t="s">
        <v>585</v>
      </c>
      <c r="BQ91" s="206">
        <v>359</v>
      </c>
      <c r="BR91" s="203">
        <v>32</v>
      </c>
      <c r="BS91" s="204">
        <v>483</v>
      </c>
      <c r="BT91" s="204">
        <v>88</v>
      </c>
      <c r="BU91" s="204">
        <v>146</v>
      </c>
      <c r="BV91" s="204" t="s">
        <v>585</v>
      </c>
      <c r="BW91" s="204" t="s">
        <v>585</v>
      </c>
      <c r="BX91" s="204" t="s">
        <v>585</v>
      </c>
      <c r="BY91" s="204">
        <v>45</v>
      </c>
      <c r="BZ91" s="204">
        <v>29</v>
      </c>
      <c r="CA91" s="204">
        <v>54</v>
      </c>
      <c r="CB91" s="204" t="s">
        <v>585</v>
      </c>
      <c r="CC91" s="204" t="s">
        <v>585</v>
      </c>
      <c r="CD91" s="204" t="s">
        <v>585</v>
      </c>
      <c r="CE91" s="204">
        <v>3</v>
      </c>
      <c r="CF91" s="202">
        <v>880</v>
      </c>
      <c r="CG91" s="206">
        <v>245187</v>
      </c>
      <c r="CH91" s="204" t="s">
        <v>585</v>
      </c>
      <c r="CI91" s="206">
        <v>245187</v>
      </c>
      <c r="CJ91" s="193">
        <v>2</v>
      </c>
      <c r="CK91" s="206">
        <v>42929</v>
      </c>
      <c r="CL91" s="204">
        <v>280</v>
      </c>
      <c r="CM91" s="204">
        <v>132497</v>
      </c>
      <c r="CN91" s="204">
        <v>66902</v>
      </c>
      <c r="CO91" s="204">
        <v>4</v>
      </c>
      <c r="CP91" s="204">
        <v>62</v>
      </c>
      <c r="CQ91" s="204">
        <v>494</v>
      </c>
      <c r="CR91" s="204">
        <v>14</v>
      </c>
      <c r="CS91" s="204">
        <v>1004</v>
      </c>
      <c r="CT91" s="204">
        <v>15</v>
      </c>
      <c r="CU91" s="204" t="s">
        <v>585</v>
      </c>
      <c r="CV91" s="206">
        <v>244201</v>
      </c>
      <c r="CW91" s="203">
        <v>20935</v>
      </c>
      <c r="CX91" s="204">
        <v>611</v>
      </c>
      <c r="CY91" s="204">
        <v>205</v>
      </c>
      <c r="CZ91" s="204">
        <v>407</v>
      </c>
      <c r="DA91" s="204">
        <v>6</v>
      </c>
      <c r="DB91" s="204">
        <v>86</v>
      </c>
      <c r="DC91" s="204" t="s">
        <v>585</v>
      </c>
      <c r="DD91" s="202">
        <v>22250</v>
      </c>
      <c r="DE91" s="206" t="s">
        <v>585</v>
      </c>
      <c r="DF91" s="203">
        <v>7</v>
      </c>
      <c r="DG91" s="204">
        <v>1</v>
      </c>
      <c r="DH91" s="202">
        <v>8</v>
      </c>
      <c r="DI91" s="206">
        <v>195</v>
      </c>
      <c r="DJ91" s="204" t="s">
        <v>585</v>
      </c>
      <c r="DK91" s="206">
        <v>195</v>
      </c>
      <c r="DL91" s="193">
        <v>11</v>
      </c>
      <c r="DM91" s="206" t="s">
        <v>585</v>
      </c>
      <c r="DN91" s="204" t="s">
        <v>585</v>
      </c>
      <c r="DO91" s="206" t="s">
        <v>585</v>
      </c>
      <c r="DP91" s="203">
        <v>2395</v>
      </c>
      <c r="DQ91" s="204" t="s">
        <v>585</v>
      </c>
      <c r="DR91" s="202">
        <v>2395</v>
      </c>
      <c r="DS91" s="206">
        <v>63</v>
      </c>
      <c r="DT91" s="193" t="s">
        <v>585</v>
      </c>
      <c r="DU91" s="206">
        <v>343</v>
      </c>
      <c r="DV91" s="204" t="s">
        <v>585</v>
      </c>
      <c r="DW91" s="206">
        <v>343</v>
      </c>
      <c r="DX91" s="193" t="s">
        <v>585</v>
      </c>
      <c r="DY91" s="193" t="s">
        <v>585</v>
      </c>
      <c r="DZ91" s="206">
        <v>1193</v>
      </c>
      <c r="EA91" s="204">
        <v>58</v>
      </c>
      <c r="EB91" s="204">
        <v>632</v>
      </c>
      <c r="EC91" s="204">
        <v>2</v>
      </c>
      <c r="ED91" s="204">
        <v>1</v>
      </c>
      <c r="EE91" s="204" t="s">
        <v>585</v>
      </c>
      <c r="EF91" s="204" t="s">
        <v>585</v>
      </c>
      <c r="EG91" s="206">
        <v>1886</v>
      </c>
      <c r="EH91" s="203">
        <v>156</v>
      </c>
      <c r="EI91" s="204">
        <v>3626</v>
      </c>
      <c r="EJ91" s="204">
        <v>5</v>
      </c>
      <c r="EK91" s="204">
        <v>42</v>
      </c>
      <c r="EL91" s="204">
        <v>100</v>
      </c>
      <c r="EM91" s="204">
        <v>13834</v>
      </c>
      <c r="EN91" s="204">
        <v>75</v>
      </c>
      <c r="EO91" s="204">
        <v>21</v>
      </c>
      <c r="EP91" s="204">
        <v>81</v>
      </c>
      <c r="EQ91" s="204" t="s">
        <v>585</v>
      </c>
      <c r="ER91" s="204" t="s">
        <v>585</v>
      </c>
      <c r="ES91" s="204" t="s">
        <v>585</v>
      </c>
      <c r="ET91" s="204">
        <v>31</v>
      </c>
      <c r="EU91" s="202">
        <v>17971</v>
      </c>
      <c r="EV91" s="206" t="s">
        <v>585</v>
      </c>
      <c r="EW91" s="193" t="s">
        <v>585</v>
      </c>
      <c r="EX91" s="206">
        <v>76</v>
      </c>
      <c r="EY91" s="204">
        <v>1</v>
      </c>
      <c r="EZ91" s="204">
        <v>34</v>
      </c>
      <c r="FA91" s="206">
        <v>111</v>
      </c>
      <c r="FB91" s="193">
        <v>3</v>
      </c>
      <c r="FC91" s="206">
        <v>888</v>
      </c>
      <c r="FD91" s="203">
        <v>4113</v>
      </c>
      <c r="FE91" s="204">
        <v>4</v>
      </c>
      <c r="FF91" s="204">
        <v>530</v>
      </c>
      <c r="FG91" s="204">
        <v>6</v>
      </c>
      <c r="FH91" s="202">
        <v>4653</v>
      </c>
      <c r="FI91" s="206">
        <v>2</v>
      </c>
      <c r="FJ91" s="204" t="s">
        <v>585</v>
      </c>
      <c r="FK91" s="206">
        <v>2</v>
      </c>
      <c r="FL91" s="203">
        <v>2</v>
      </c>
      <c r="FM91" s="204" t="s">
        <v>585</v>
      </c>
      <c r="FN91" s="202">
        <v>2</v>
      </c>
      <c r="FO91" s="206">
        <v>1</v>
      </c>
      <c r="FP91" s="193">
        <v>103</v>
      </c>
      <c r="FQ91" s="206">
        <v>11</v>
      </c>
      <c r="FR91" s="204">
        <v>1261</v>
      </c>
      <c r="FS91" s="204">
        <v>188</v>
      </c>
      <c r="FT91" s="206">
        <v>1460</v>
      </c>
      <c r="FU91" s="203">
        <v>50</v>
      </c>
      <c r="FV91" s="204">
        <v>681</v>
      </c>
      <c r="FW91" s="202">
        <v>731</v>
      </c>
      <c r="FX91" s="206" t="s">
        <v>585</v>
      </c>
      <c r="FY91" s="203" t="s">
        <v>585</v>
      </c>
      <c r="FZ91" s="204">
        <v>309</v>
      </c>
      <c r="GA91" s="204" t="s">
        <v>585</v>
      </c>
      <c r="GB91" s="202">
        <v>309</v>
      </c>
      <c r="GC91" s="206">
        <v>358</v>
      </c>
      <c r="GD91" s="203">
        <v>7</v>
      </c>
      <c r="GE91" s="204">
        <v>85</v>
      </c>
      <c r="GF91" s="204">
        <v>404</v>
      </c>
      <c r="GG91" s="204">
        <v>4</v>
      </c>
      <c r="GH91" s="202">
        <v>500</v>
      </c>
      <c r="GI91" s="193">
        <v>901723</v>
      </c>
      <c r="GJ91" s="368">
        <f>901723/45058286</f>
        <v>2.0012367980442043E-2</v>
      </c>
      <c r="GK91" s="382"/>
    </row>
    <row r="92" spans="2:193" ht="12" customHeight="1" x14ac:dyDescent="0.2">
      <c r="B92" s="359" t="s">
        <v>46</v>
      </c>
      <c r="C92" s="203">
        <v>91</v>
      </c>
      <c r="D92" s="204" t="s">
        <v>585</v>
      </c>
      <c r="E92" s="204" t="s">
        <v>585</v>
      </c>
      <c r="F92" s="204">
        <v>2</v>
      </c>
      <c r="G92" s="202">
        <v>93</v>
      </c>
      <c r="H92" s="193" t="s">
        <v>585</v>
      </c>
      <c r="I92" s="206">
        <v>6</v>
      </c>
      <c r="J92" s="204" t="s">
        <v>585</v>
      </c>
      <c r="K92" s="206">
        <v>6</v>
      </c>
      <c r="L92" s="193" t="s">
        <v>585</v>
      </c>
      <c r="M92" s="193">
        <v>2280</v>
      </c>
      <c r="N92" s="206">
        <v>4</v>
      </c>
      <c r="O92" s="204">
        <v>3</v>
      </c>
      <c r="P92" s="204">
        <v>167805</v>
      </c>
      <c r="Q92" s="204">
        <v>1510</v>
      </c>
      <c r="R92" s="204">
        <v>18</v>
      </c>
      <c r="S92" s="204">
        <v>2</v>
      </c>
      <c r="T92" s="204" t="s">
        <v>585</v>
      </c>
      <c r="U92" s="206">
        <v>169342</v>
      </c>
      <c r="V92" s="203">
        <v>68</v>
      </c>
      <c r="W92" s="204">
        <v>782</v>
      </c>
      <c r="X92" s="202">
        <v>850</v>
      </c>
      <c r="Y92" s="206">
        <v>5923</v>
      </c>
      <c r="Z92" s="204">
        <v>4</v>
      </c>
      <c r="AA92" s="204" t="s">
        <v>585</v>
      </c>
      <c r="AB92" s="206">
        <v>5927</v>
      </c>
      <c r="AC92" s="203">
        <v>118</v>
      </c>
      <c r="AD92" s="204">
        <v>2</v>
      </c>
      <c r="AE92" s="204" t="s">
        <v>585</v>
      </c>
      <c r="AF92" s="202">
        <v>120</v>
      </c>
      <c r="AG92" s="206">
        <v>8</v>
      </c>
      <c r="AH92" s="204" t="s">
        <v>585</v>
      </c>
      <c r="AI92" s="204">
        <v>1</v>
      </c>
      <c r="AJ92" s="204">
        <v>5</v>
      </c>
      <c r="AK92" s="206">
        <v>14</v>
      </c>
      <c r="AL92" s="193">
        <v>1</v>
      </c>
      <c r="AM92" s="193" t="s">
        <v>585</v>
      </c>
      <c r="AN92" s="206">
        <v>1</v>
      </c>
      <c r="AO92" s="204" t="s">
        <v>585</v>
      </c>
      <c r="AP92" s="206">
        <v>1</v>
      </c>
      <c r="AQ92" s="203">
        <v>2</v>
      </c>
      <c r="AR92" s="204" t="s">
        <v>585</v>
      </c>
      <c r="AS92" s="204">
        <v>1</v>
      </c>
      <c r="AT92" s="204" t="s">
        <v>585</v>
      </c>
      <c r="AU92" s="204" t="s">
        <v>585</v>
      </c>
      <c r="AV92" s="204" t="s">
        <v>585</v>
      </c>
      <c r="AW92" s="204" t="s">
        <v>585</v>
      </c>
      <c r="AX92" s="202">
        <v>3</v>
      </c>
      <c r="AY92" s="206" t="s">
        <v>585</v>
      </c>
      <c r="AZ92" s="193" t="s">
        <v>585</v>
      </c>
      <c r="BA92" s="206">
        <v>750</v>
      </c>
      <c r="BB92" s="377">
        <v>468</v>
      </c>
      <c r="BC92" s="206">
        <v>3962</v>
      </c>
      <c r="BD92" s="206">
        <v>13</v>
      </c>
      <c r="BE92" s="378">
        <v>27</v>
      </c>
      <c r="BF92" s="206">
        <v>5220</v>
      </c>
      <c r="BG92" s="193" t="s">
        <v>585</v>
      </c>
      <c r="BH92" s="193" t="s">
        <v>585</v>
      </c>
      <c r="BI92" s="193" t="s">
        <v>585</v>
      </c>
      <c r="BJ92" s="193">
        <v>1</v>
      </c>
      <c r="BK92" s="206">
        <v>3</v>
      </c>
      <c r="BL92" s="204" t="s">
        <v>585</v>
      </c>
      <c r="BM92" s="206">
        <v>3</v>
      </c>
      <c r="BN92" s="193">
        <v>1</v>
      </c>
      <c r="BO92" s="206" t="s">
        <v>585</v>
      </c>
      <c r="BP92" s="204" t="s">
        <v>585</v>
      </c>
      <c r="BQ92" s="206" t="s">
        <v>585</v>
      </c>
      <c r="BR92" s="203">
        <v>14</v>
      </c>
      <c r="BS92" s="204" t="s">
        <v>585</v>
      </c>
      <c r="BT92" s="204">
        <v>1</v>
      </c>
      <c r="BU92" s="204" t="s">
        <v>585</v>
      </c>
      <c r="BV92" s="204" t="s">
        <v>585</v>
      </c>
      <c r="BW92" s="204" t="s">
        <v>585</v>
      </c>
      <c r="BX92" s="204">
        <v>2</v>
      </c>
      <c r="BY92" s="204" t="s">
        <v>585</v>
      </c>
      <c r="BZ92" s="204">
        <v>1</v>
      </c>
      <c r="CA92" s="204">
        <v>2</v>
      </c>
      <c r="CB92" s="204" t="s">
        <v>585</v>
      </c>
      <c r="CC92" s="204" t="s">
        <v>585</v>
      </c>
      <c r="CD92" s="204" t="s">
        <v>585</v>
      </c>
      <c r="CE92" s="204" t="s">
        <v>585</v>
      </c>
      <c r="CF92" s="202">
        <v>20</v>
      </c>
      <c r="CG92" s="206">
        <v>29</v>
      </c>
      <c r="CH92" s="204" t="s">
        <v>585</v>
      </c>
      <c r="CI92" s="206">
        <v>29</v>
      </c>
      <c r="CJ92" s="193" t="s">
        <v>585</v>
      </c>
      <c r="CK92" s="206">
        <v>8352</v>
      </c>
      <c r="CL92" s="204">
        <v>2</v>
      </c>
      <c r="CM92" s="204">
        <v>23848</v>
      </c>
      <c r="CN92" s="204">
        <v>3037</v>
      </c>
      <c r="CO92" s="204">
        <v>2</v>
      </c>
      <c r="CP92" s="204">
        <v>60</v>
      </c>
      <c r="CQ92" s="204">
        <v>15</v>
      </c>
      <c r="CR92" s="204">
        <v>2</v>
      </c>
      <c r="CS92" s="204">
        <v>1</v>
      </c>
      <c r="CT92" s="204" t="s">
        <v>585</v>
      </c>
      <c r="CU92" s="204" t="s">
        <v>585</v>
      </c>
      <c r="CV92" s="206">
        <v>35319</v>
      </c>
      <c r="CW92" s="203">
        <v>23056</v>
      </c>
      <c r="CX92" s="204">
        <v>5</v>
      </c>
      <c r="CY92" s="204">
        <v>50</v>
      </c>
      <c r="CZ92" s="204">
        <v>7</v>
      </c>
      <c r="DA92" s="204">
        <v>2</v>
      </c>
      <c r="DB92" s="204">
        <v>3</v>
      </c>
      <c r="DC92" s="204" t="s">
        <v>585</v>
      </c>
      <c r="DD92" s="202">
        <v>23123</v>
      </c>
      <c r="DE92" s="206" t="s">
        <v>585</v>
      </c>
      <c r="DF92" s="203" t="s">
        <v>585</v>
      </c>
      <c r="DG92" s="204" t="s">
        <v>585</v>
      </c>
      <c r="DH92" s="202" t="s">
        <v>585</v>
      </c>
      <c r="DI92" s="206" t="s">
        <v>585</v>
      </c>
      <c r="DJ92" s="204" t="s">
        <v>585</v>
      </c>
      <c r="DK92" s="206" t="s">
        <v>585</v>
      </c>
      <c r="DL92" s="193">
        <v>35</v>
      </c>
      <c r="DM92" s="206" t="s">
        <v>585</v>
      </c>
      <c r="DN92" s="204" t="s">
        <v>585</v>
      </c>
      <c r="DO92" s="206" t="s">
        <v>585</v>
      </c>
      <c r="DP92" s="203">
        <v>35</v>
      </c>
      <c r="DQ92" s="204">
        <v>5</v>
      </c>
      <c r="DR92" s="202">
        <v>40</v>
      </c>
      <c r="DS92" s="206" t="s">
        <v>585</v>
      </c>
      <c r="DT92" s="193" t="s">
        <v>585</v>
      </c>
      <c r="DU92" s="206">
        <v>1311</v>
      </c>
      <c r="DV92" s="204" t="s">
        <v>585</v>
      </c>
      <c r="DW92" s="206">
        <v>1311</v>
      </c>
      <c r="DX92" s="193" t="s">
        <v>585</v>
      </c>
      <c r="DY92" s="193" t="s">
        <v>585</v>
      </c>
      <c r="DZ92" s="206">
        <v>28</v>
      </c>
      <c r="EA92" s="204">
        <v>11</v>
      </c>
      <c r="EB92" s="204">
        <v>38</v>
      </c>
      <c r="EC92" s="204">
        <v>2</v>
      </c>
      <c r="ED92" s="204" t="s">
        <v>585</v>
      </c>
      <c r="EE92" s="204" t="s">
        <v>585</v>
      </c>
      <c r="EF92" s="204" t="s">
        <v>585</v>
      </c>
      <c r="EG92" s="206">
        <v>79</v>
      </c>
      <c r="EH92" s="203">
        <v>115</v>
      </c>
      <c r="EI92" s="204">
        <v>7438</v>
      </c>
      <c r="EJ92" s="204">
        <v>3</v>
      </c>
      <c r="EK92" s="204">
        <v>25</v>
      </c>
      <c r="EL92" s="204">
        <v>180</v>
      </c>
      <c r="EM92" s="204">
        <v>6438</v>
      </c>
      <c r="EN92" s="204">
        <v>32</v>
      </c>
      <c r="EO92" s="204">
        <v>4</v>
      </c>
      <c r="EP92" s="204">
        <v>91</v>
      </c>
      <c r="EQ92" s="204">
        <v>2</v>
      </c>
      <c r="ER92" s="204">
        <v>6</v>
      </c>
      <c r="ES92" s="204" t="s">
        <v>585</v>
      </c>
      <c r="ET92" s="204" t="s">
        <v>585</v>
      </c>
      <c r="EU92" s="202">
        <v>14334</v>
      </c>
      <c r="EV92" s="206" t="s">
        <v>585</v>
      </c>
      <c r="EW92" s="193" t="s">
        <v>585</v>
      </c>
      <c r="EX92" s="206" t="s">
        <v>585</v>
      </c>
      <c r="EY92" s="204" t="s">
        <v>585</v>
      </c>
      <c r="EZ92" s="204" t="s">
        <v>585</v>
      </c>
      <c r="FA92" s="206" t="s">
        <v>585</v>
      </c>
      <c r="FB92" s="193" t="s">
        <v>585</v>
      </c>
      <c r="FC92" s="206">
        <v>152</v>
      </c>
      <c r="FD92" s="203">
        <v>19</v>
      </c>
      <c r="FE92" s="204">
        <v>2</v>
      </c>
      <c r="FF92" s="204">
        <v>2</v>
      </c>
      <c r="FG92" s="204" t="s">
        <v>585</v>
      </c>
      <c r="FH92" s="202">
        <v>23</v>
      </c>
      <c r="FI92" s="206" t="s">
        <v>585</v>
      </c>
      <c r="FJ92" s="204" t="s">
        <v>585</v>
      </c>
      <c r="FK92" s="206" t="s">
        <v>585</v>
      </c>
      <c r="FL92" s="203" t="s">
        <v>585</v>
      </c>
      <c r="FM92" s="204" t="s">
        <v>585</v>
      </c>
      <c r="FN92" s="202" t="s">
        <v>585</v>
      </c>
      <c r="FO92" s="206" t="s">
        <v>585</v>
      </c>
      <c r="FP92" s="193">
        <v>8</v>
      </c>
      <c r="FQ92" s="206">
        <v>49</v>
      </c>
      <c r="FR92" s="204">
        <v>9</v>
      </c>
      <c r="FS92" s="204">
        <v>1</v>
      </c>
      <c r="FT92" s="206">
        <v>59</v>
      </c>
      <c r="FU92" s="203">
        <v>5</v>
      </c>
      <c r="FV92" s="204">
        <v>2</v>
      </c>
      <c r="FW92" s="202">
        <v>7</v>
      </c>
      <c r="FX92" s="206" t="s">
        <v>585</v>
      </c>
      <c r="FY92" s="203" t="s">
        <v>585</v>
      </c>
      <c r="FZ92" s="204">
        <v>1</v>
      </c>
      <c r="GA92" s="204" t="s">
        <v>585</v>
      </c>
      <c r="GB92" s="202">
        <v>1</v>
      </c>
      <c r="GC92" s="206" t="s">
        <v>585</v>
      </c>
      <c r="GD92" s="203" t="s">
        <v>585</v>
      </c>
      <c r="GE92" s="204">
        <v>1</v>
      </c>
      <c r="GF92" s="204">
        <v>16</v>
      </c>
      <c r="GG92" s="204" t="s">
        <v>585</v>
      </c>
      <c r="GH92" s="202">
        <v>17</v>
      </c>
      <c r="GI92" s="193">
        <v>258419</v>
      </c>
      <c r="GJ92" s="368">
        <f>258419/45058286</f>
        <v>5.7352159378632377E-3</v>
      </c>
      <c r="GK92" s="382"/>
    </row>
    <row r="93" spans="2:193" ht="12" customHeight="1" x14ac:dyDescent="0.2">
      <c r="B93" s="359" t="s">
        <v>75</v>
      </c>
      <c r="C93" s="203">
        <v>50</v>
      </c>
      <c r="D93" s="204" t="s">
        <v>585</v>
      </c>
      <c r="E93" s="204" t="s">
        <v>585</v>
      </c>
      <c r="F93" s="204" t="s">
        <v>585</v>
      </c>
      <c r="G93" s="202">
        <v>50</v>
      </c>
      <c r="H93" s="193" t="s">
        <v>585</v>
      </c>
      <c r="I93" s="206">
        <v>45</v>
      </c>
      <c r="J93" s="204" t="s">
        <v>585</v>
      </c>
      <c r="K93" s="206">
        <v>45</v>
      </c>
      <c r="L93" s="193" t="s">
        <v>585</v>
      </c>
      <c r="M93" s="193">
        <v>92</v>
      </c>
      <c r="N93" s="206">
        <v>10</v>
      </c>
      <c r="O93" s="204" t="s">
        <v>585</v>
      </c>
      <c r="P93" s="204">
        <v>4403</v>
      </c>
      <c r="Q93" s="204">
        <v>36</v>
      </c>
      <c r="R93" s="204">
        <v>2</v>
      </c>
      <c r="S93" s="204" t="s">
        <v>585</v>
      </c>
      <c r="T93" s="204" t="s">
        <v>585</v>
      </c>
      <c r="U93" s="206">
        <v>4451</v>
      </c>
      <c r="V93" s="203">
        <v>492</v>
      </c>
      <c r="W93" s="204">
        <v>18468</v>
      </c>
      <c r="X93" s="202">
        <v>18960</v>
      </c>
      <c r="Y93" s="206">
        <v>21277</v>
      </c>
      <c r="Z93" s="204">
        <v>6</v>
      </c>
      <c r="AA93" s="204" t="s">
        <v>585</v>
      </c>
      <c r="AB93" s="206">
        <v>21283</v>
      </c>
      <c r="AC93" s="203">
        <v>20</v>
      </c>
      <c r="AD93" s="204" t="s">
        <v>585</v>
      </c>
      <c r="AE93" s="204" t="s">
        <v>585</v>
      </c>
      <c r="AF93" s="202">
        <v>20</v>
      </c>
      <c r="AG93" s="206">
        <v>8</v>
      </c>
      <c r="AH93" s="204" t="s">
        <v>585</v>
      </c>
      <c r="AI93" s="204" t="s">
        <v>585</v>
      </c>
      <c r="AJ93" s="204" t="s">
        <v>585</v>
      </c>
      <c r="AK93" s="206">
        <v>8</v>
      </c>
      <c r="AL93" s="193">
        <v>2</v>
      </c>
      <c r="AM93" s="193" t="s">
        <v>585</v>
      </c>
      <c r="AN93" s="206">
        <v>1</v>
      </c>
      <c r="AO93" s="204" t="s">
        <v>585</v>
      </c>
      <c r="AP93" s="206">
        <v>1</v>
      </c>
      <c r="AQ93" s="203">
        <v>6</v>
      </c>
      <c r="AR93" s="204" t="s">
        <v>585</v>
      </c>
      <c r="AS93" s="204" t="s">
        <v>585</v>
      </c>
      <c r="AT93" s="204" t="s">
        <v>585</v>
      </c>
      <c r="AU93" s="204" t="s">
        <v>585</v>
      </c>
      <c r="AV93" s="204" t="s">
        <v>585</v>
      </c>
      <c r="AW93" s="204" t="s">
        <v>585</v>
      </c>
      <c r="AX93" s="202">
        <v>6</v>
      </c>
      <c r="AY93" s="206" t="s">
        <v>585</v>
      </c>
      <c r="AZ93" s="193">
        <v>1</v>
      </c>
      <c r="BA93" s="206">
        <v>742</v>
      </c>
      <c r="BB93" s="377">
        <v>2092</v>
      </c>
      <c r="BC93" s="206">
        <v>1314</v>
      </c>
      <c r="BD93" s="206">
        <v>6</v>
      </c>
      <c r="BE93" s="378">
        <v>73</v>
      </c>
      <c r="BF93" s="206">
        <v>4227</v>
      </c>
      <c r="BG93" s="193" t="s">
        <v>585</v>
      </c>
      <c r="BH93" s="193" t="s">
        <v>585</v>
      </c>
      <c r="BI93" s="193" t="s">
        <v>585</v>
      </c>
      <c r="BJ93" s="193" t="s">
        <v>585</v>
      </c>
      <c r="BK93" s="206" t="s">
        <v>585</v>
      </c>
      <c r="BL93" s="204" t="s">
        <v>585</v>
      </c>
      <c r="BM93" s="206" t="s">
        <v>585</v>
      </c>
      <c r="BN93" s="193" t="s">
        <v>585</v>
      </c>
      <c r="BO93" s="206">
        <v>1</v>
      </c>
      <c r="BP93" s="204" t="s">
        <v>585</v>
      </c>
      <c r="BQ93" s="206">
        <v>1</v>
      </c>
      <c r="BR93" s="203">
        <v>2</v>
      </c>
      <c r="BS93" s="204" t="s">
        <v>585</v>
      </c>
      <c r="BT93" s="204" t="s">
        <v>585</v>
      </c>
      <c r="BU93" s="204" t="s">
        <v>585</v>
      </c>
      <c r="BV93" s="204" t="s">
        <v>585</v>
      </c>
      <c r="BW93" s="204" t="s">
        <v>585</v>
      </c>
      <c r="BX93" s="204" t="s">
        <v>585</v>
      </c>
      <c r="BY93" s="204" t="s">
        <v>585</v>
      </c>
      <c r="BZ93" s="204" t="s">
        <v>585</v>
      </c>
      <c r="CA93" s="204" t="s">
        <v>585</v>
      </c>
      <c r="CB93" s="204" t="s">
        <v>585</v>
      </c>
      <c r="CC93" s="204" t="s">
        <v>585</v>
      </c>
      <c r="CD93" s="204" t="s">
        <v>585</v>
      </c>
      <c r="CE93" s="204" t="s">
        <v>585</v>
      </c>
      <c r="CF93" s="202">
        <v>2</v>
      </c>
      <c r="CG93" s="206" t="s">
        <v>585</v>
      </c>
      <c r="CH93" s="204" t="s">
        <v>585</v>
      </c>
      <c r="CI93" s="206" t="s">
        <v>585</v>
      </c>
      <c r="CJ93" s="193" t="s">
        <v>585</v>
      </c>
      <c r="CK93" s="206">
        <v>3361</v>
      </c>
      <c r="CL93" s="204" t="s">
        <v>585</v>
      </c>
      <c r="CM93" s="204">
        <v>10654</v>
      </c>
      <c r="CN93" s="204">
        <v>2050</v>
      </c>
      <c r="CO93" s="204" t="s">
        <v>585</v>
      </c>
      <c r="CP93" s="204">
        <v>2</v>
      </c>
      <c r="CQ93" s="204" t="s">
        <v>585</v>
      </c>
      <c r="CR93" s="204" t="s">
        <v>585</v>
      </c>
      <c r="CS93" s="204" t="s">
        <v>585</v>
      </c>
      <c r="CT93" s="204" t="s">
        <v>585</v>
      </c>
      <c r="CU93" s="204" t="s">
        <v>585</v>
      </c>
      <c r="CV93" s="206">
        <v>16067</v>
      </c>
      <c r="CW93" s="203">
        <v>58</v>
      </c>
      <c r="CX93" s="204" t="s">
        <v>585</v>
      </c>
      <c r="CY93" s="204">
        <v>12</v>
      </c>
      <c r="CZ93" s="204" t="s">
        <v>585</v>
      </c>
      <c r="DA93" s="204" t="s">
        <v>585</v>
      </c>
      <c r="DB93" s="204" t="s">
        <v>585</v>
      </c>
      <c r="DC93" s="204" t="s">
        <v>585</v>
      </c>
      <c r="DD93" s="202">
        <v>70</v>
      </c>
      <c r="DE93" s="206" t="s">
        <v>585</v>
      </c>
      <c r="DF93" s="203">
        <v>6</v>
      </c>
      <c r="DG93" s="204" t="s">
        <v>585</v>
      </c>
      <c r="DH93" s="202">
        <v>6</v>
      </c>
      <c r="DI93" s="206" t="s">
        <v>585</v>
      </c>
      <c r="DJ93" s="204" t="s">
        <v>585</v>
      </c>
      <c r="DK93" s="206" t="s">
        <v>585</v>
      </c>
      <c r="DL93" s="193">
        <v>2</v>
      </c>
      <c r="DM93" s="206" t="s">
        <v>585</v>
      </c>
      <c r="DN93" s="204" t="s">
        <v>585</v>
      </c>
      <c r="DO93" s="206" t="s">
        <v>585</v>
      </c>
      <c r="DP93" s="203">
        <v>2</v>
      </c>
      <c r="DQ93" s="204" t="s">
        <v>585</v>
      </c>
      <c r="DR93" s="202">
        <v>2</v>
      </c>
      <c r="DS93" s="206" t="s">
        <v>585</v>
      </c>
      <c r="DT93" s="193" t="s">
        <v>585</v>
      </c>
      <c r="DU93" s="206">
        <v>1018</v>
      </c>
      <c r="DV93" s="204" t="s">
        <v>585</v>
      </c>
      <c r="DW93" s="206">
        <v>1018</v>
      </c>
      <c r="DX93" s="193" t="s">
        <v>585</v>
      </c>
      <c r="DY93" s="193" t="s">
        <v>585</v>
      </c>
      <c r="DZ93" s="206" t="s">
        <v>585</v>
      </c>
      <c r="EA93" s="204">
        <v>1</v>
      </c>
      <c r="EB93" s="204">
        <v>1</v>
      </c>
      <c r="EC93" s="204" t="s">
        <v>585</v>
      </c>
      <c r="ED93" s="204" t="s">
        <v>585</v>
      </c>
      <c r="EE93" s="204" t="s">
        <v>585</v>
      </c>
      <c r="EF93" s="204" t="s">
        <v>585</v>
      </c>
      <c r="EG93" s="206">
        <v>2</v>
      </c>
      <c r="EH93" s="203">
        <v>79</v>
      </c>
      <c r="EI93" s="204">
        <v>178</v>
      </c>
      <c r="EJ93" s="204" t="s">
        <v>585</v>
      </c>
      <c r="EK93" s="204" t="s">
        <v>585</v>
      </c>
      <c r="EL93" s="204">
        <v>21</v>
      </c>
      <c r="EM93" s="204">
        <v>167</v>
      </c>
      <c r="EN93" s="204">
        <v>4</v>
      </c>
      <c r="EO93" s="204" t="s">
        <v>585</v>
      </c>
      <c r="EP93" s="204">
        <v>23</v>
      </c>
      <c r="EQ93" s="204" t="s">
        <v>585</v>
      </c>
      <c r="ER93" s="204" t="s">
        <v>585</v>
      </c>
      <c r="ES93" s="204" t="s">
        <v>585</v>
      </c>
      <c r="ET93" s="204" t="s">
        <v>585</v>
      </c>
      <c r="EU93" s="202">
        <v>472</v>
      </c>
      <c r="EV93" s="206" t="s">
        <v>585</v>
      </c>
      <c r="EW93" s="193" t="s">
        <v>585</v>
      </c>
      <c r="EX93" s="206" t="s">
        <v>585</v>
      </c>
      <c r="EY93" s="204" t="s">
        <v>585</v>
      </c>
      <c r="EZ93" s="204" t="s">
        <v>585</v>
      </c>
      <c r="FA93" s="206" t="s">
        <v>585</v>
      </c>
      <c r="FB93" s="193" t="s">
        <v>585</v>
      </c>
      <c r="FC93" s="206">
        <v>2</v>
      </c>
      <c r="FD93" s="203">
        <v>5</v>
      </c>
      <c r="FE93" s="204">
        <v>2</v>
      </c>
      <c r="FF93" s="204" t="s">
        <v>585</v>
      </c>
      <c r="FG93" s="204" t="s">
        <v>585</v>
      </c>
      <c r="FH93" s="202">
        <v>7</v>
      </c>
      <c r="FI93" s="206" t="s">
        <v>585</v>
      </c>
      <c r="FJ93" s="204" t="s">
        <v>585</v>
      </c>
      <c r="FK93" s="206" t="s">
        <v>585</v>
      </c>
      <c r="FL93" s="203" t="s">
        <v>585</v>
      </c>
      <c r="FM93" s="204" t="s">
        <v>585</v>
      </c>
      <c r="FN93" s="202" t="s">
        <v>585</v>
      </c>
      <c r="FO93" s="206" t="s">
        <v>585</v>
      </c>
      <c r="FP93" s="193">
        <v>35</v>
      </c>
      <c r="FQ93" s="206" t="s">
        <v>585</v>
      </c>
      <c r="FR93" s="204" t="s">
        <v>585</v>
      </c>
      <c r="FS93" s="204" t="s">
        <v>585</v>
      </c>
      <c r="FT93" s="206" t="s">
        <v>585</v>
      </c>
      <c r="FU93" s="203" t="s">
        <v>585</v>
      </c>
      <c r="FV93" s="204" t="s">
        <v>585</v>
      </c>
      <c r="FW93" s="202" t="s">
        <v>585</v>
      </c>
      <c r="FX93" s="206" t="s">
        <v>585</v>
      </c>
      <c r="FY93" s="203">
        <v>28</v>
      </c>
      <c r="FZ93" s="204">
        <v>10</v>
      </c>
      <c r="GA93" s="204">
        <v>1</v>
      </c>
      <c r="GB93" s="202">
        <v>39</v>
      </c>
      <c r="GC93" s="206">
        <v>1</v>
      </c>
      <c r="GD93" s="203" t="s">
        <v>585</v>
      </c>
      <c r="GE93" s="204" t="s">
        <v>585</v>
      </c>
      <c r="GF93" s="204">
        <v>10</v>
      </c>
      <c r="GG93" s="204" t="s">
        <v>585</v>
      </c>
      <c r="GH93" s="202">
        <v>10</v>
      </c>
      <c r="GI93" s="193">
        <v>66882</v>
      </c>
      <c r="GJ93" s="368">
        <f>66882/45058286</f>
        <v>1.484344078245675E-3</v>
      </c>
      <c r="GK93" s="382"/>
    </row>
    <row r="94" spans="2:193" ht="12" customHeight="1" x14ac:dyDescent="0.2">
      <c r="B94" s="359" t="s">
        <v>104</v>
      </c>
      <c r="C94" s="203">
        <v>98</v>
      </c>
      <c r="D94" s="204">
        <v>3</v>
      </c>
      <c r="E94" s="204">
        <v>20</v>
      </c>
      <c r="F94" s="204">
        <v>12</v>
      </c>
      <c r="G94" s="202">
        <v>133</v>
      </c>
      <c r="H94" s="193" t="s">
        <v>585</v>
      </c>
      <c r="I94" s="206">
        <v>691</v>
      </c>
      <c r="J94" s="204" t="s">
        <v>585</v>
      </c>
      <c r="K94" s="206">
        <v>691</v>
      </c>
      <c r="L94" s="193" t="s">
        <v>585</v>
      </c>
      <c r="M94" s="193">
        <v>1461</v>
      </c>
      <c r="N94" s="206">
        <v>1</v>
      </c>
      <c r="O94" s="204">
        <v>89</v>
      </c>
      <c r="P94" s="204">
        <v>14881</v>
      </c>
      <c r="Q94" s="204">
        <v>42</v>
      </c>
      <c r="R94" s="204">
        <v>28</v>
      </c>
      <c r="S94" s="204" t="s">
        <v>585</v>
      </c>
      <c r="T94" s="204" t="s">
        <v>585</v>
      </c>
      <c r="U94" s="206">
        <v>15041</v>
      </c>
      <c r="V94" s="203">
        <v>11321</v>
      </c>
      <c r="W94" s="204">
        <v>6093</v>
      </c>
      <c r="X94" s="202">
        <v>17414</v>
      </c>
      <c r="Y94" s="206">
        <v>1831259</v>
      </c>
      <c r="Z94" s="204">
        <v>1031</v>
      </c>
      <c r="AA94" s="204">
        <v>42</v>
      </c>
      <c r="AB94" s="206">
        <v>1832332</v>
      </c>
      <c r="AC94" s="203">
        <v>133</v>
      </c>
      <c r="AD94" s="204" t="s">
        <v>585</v>
      </c>
      <c r="AE94" s="204" t="s">
        <v>585</v>
      </c>
      <c r="AF94" s="202">
        <v>133</v>
      </c>
      <c r="AG94" s="206">
        <v>91</v>
      </c>
      <c r="AH94" s="204" t="s">
        <v>585</v>
      </c>
      <c r="AI94" s="204">
        <v>38</v>
      </c>
      <c r="AJ94" s="204">
        <v>130</v>
      </c>
      <c r="AK94" s="206">
        <v>259</v>
      </c>
      <c r="AL94" s="193">
        <v>46</v>
      </c>
      <c r="AM94" s="193" t="s">
        <v>585</v>
      </c>
      <c r="AN94" s="206">
        <v>394</v>
      </c>
      <c r="AO94" s="204">
        <v>5</v>
      </c>
      <c r="AP94" s="206">
        <v>399</v>
      </c>
      <c r="AQ94" s="203">
        <v>9</v>
      </c>
      <c r="AR94" s="204" t="s">
        <v>585</v>
      </c>
      <c r="AS94" s="204">
        <v>7</v>
      </c>
      <c r="AT94" s="204" t="s">
        <v>585</v>
      </c>
      <c r="AU94" s="204">
        <v>5</v>
      </c>
      <c r="AV94" s="204" t="s">
        <v>585</v>
      </c>
      <c r="AW94" s="204">
        <v>3</v>
      </c>
      <c r="AX94" s="202">
        <v>24</v>
      </c>
      <c r="AY94" s="206" t="s">
        <v>585</v>
      </c>
      <c r="AZ94" s="193">
        <v>4</v>
      </c>
      <c r="BA94" s="206">
        <v>5141</v>
      </c>
      <c r="BB94" s="377">
        <v>16083</v>
      </c>
      <c r="BC94" s="206">
        <v>24204</v>
      </c>
      <c r="BD94" s="206">
        <v>21</v>
      </c>
      <c r="BE94" s="378">
        <v>218</v>
      </c>
      <c r="BF94" s="206">
        <v>45667</v>
      </c>
      <c r="BG94" s="193">
        <v>3</v>
      </c>
      <c r="BH94" s="193" t="s">
        <v>585</v>
      </c>
      <c r="BI94" s="193" t="s">
        <v>585</v>
      </c>
      <c r="BJ94" s="193">
        <v>7</v>
      </c>
      <c r="BK94" s="206">
        <v>21</v>
      </c>
      <c r="BL94" s="204" t="s">
        <v>585</v>
      </c>
      <c r="BM94" s="206">
        <v>21</v>
      </c>
      <c r="BN94" s="193">
        <v>670</v>
      </c>
      <c r="BO94" s="206">
        <v>12</v>
      </c>
      <c r="BP94" s="204" t="s">
        <v>585</v>
      </c>
      <c r="BQ94" s="206">
        <v>12</v>
      </c>
      <c r="BR94" s="203">
        <v>12</v>
      </c>
      <c r="BS94" s="204">
        <v>469</v>
      </c>
      <c r="BT94" s="204">
        <v>89</v>
      </c>
      <c r="BU94" s="204">
        <v>215</v>
      </c>
      <c r="BV94" s="204" t="s">
        <v>585</v>
      </c>
      <c r="BW94" s="204" t="s">
        <v>585</v>
      </c>
      <c r="BX94" s="204">
        <v>15</v>
      </c>
      <c r="BY94" s="204">
        <v>17</v>
      </c>
      <c r="BZ94" s="204">
        <v>50</v>
      </c>
      <c r="CA94" s="204">
        <v>116</v>
      </c>
      <c r="CB94" s="204" t="s">
        <v>585</v>
      </c>
      <c r="CC94" s="204" t="s">
        <v>585</v>
      </c>
      <c r="CD94" s="204" t="s">
        <v>585</v>
      </c>
      <c r="CE94" s="204">
        <v>5</v>
      </c>
      <c r="CF94" s="202">
        <v>988</v>
      </c>
      <c r="CG94" s="206">
        <v>186</v>
      </c>
      <c r="CH94" s="204" t="s">
        <v>585</v>
      </c>
      <c r="CI94" s="206">
        <v>186</v>
      </c>
      <c r="CJ94" s="193" t="s">
        <v>585</v>
      </c>
      <c r="CK94" s="206">
        <v>8244</v>
      </c>
      <c r="CL94" s="204">
        <v>133</v>
      </c>
      <c r="CM94" s="204">
        <v>23277</v>
      </c>
      <c r="CN94" s="204">
        <v>26751</v>
      </c>
      <c r="CO94" s="204" t="s">
        <v>585</v>
      </c>
      <c r="CP94" s="204">
        <v>18</v>
      </c>
      <c r="CQ94" s="204">
        <v>845</v>
      </c>
      <c r="CR94" s="204">
        <v>3</v>
      </c>
      <c r="CS94" s="204">
        <v>759</v>
      </c>
      <c r="CT94" s="204">
        <v>37</v>
      </c>
      <c r="CU94" s="204" t="s">
        <v>585</v>
      </c>
      <c r="CV94" s="206">
        <v>60067</v>
      </c>
      <c r="CW94" s="203">
        <v>287</v>
      </c>
      <c r="CX94" s="204">
        <v>761</v>
      </c>
      <c r="CY94" s="204">
        <v>177</v>
      </c>
      <c r="CZ94" s="204">
        <v>259</v>
      </c>
      <c r="DA94" s="204">
        <v>2</v>
      </c>
      <c r="DB94" s="204">
        <v>46</v>
      </c>
      <c r="DC94" s="204" t="s">
        <v>585</v>
      </c>
      <c r="DD94" s="202">
        <v>1532</v>
      </c>
      <c r="DE94" s="206" t="s">
        <v>585</v>
      </c>
      <c r="DF94" s="203" t="s">
        <v>585</v>
      </c>
      <c r="DG94" s="204">
        <v>2</v>
      </c>
      <c r="DH94" s="202">
        <v>2</v>
      </c>
      <c r="DI94" s="206">
        <v>46</v>
      </c>
      <c r="DJ94" s="204" t="s">
        <v>585</v>
      </c>
      <c r="DK94" s="206">
        <v>46</v>
      </c>
      <c r="DL94" s="193">
        <v>3</v>
      </c>
      <c r="DM94" s="206" t="s">
        <v>585</v>
      </c>
      <c r="DN94" s="204" t="s">
        <v>585</v>
      </c>
      <c r="DO94" s="206" t="s">
        <v>585</v>
      </c>
      <c r="DP94" s="203">
        <v>3178</v>
      </c>
      <c r="DQ94" s="204" t="s">
        <v>585</v>
      </c>
      <c r="DR94" s="202">
        <v>3178</v>
      </c>
      <c r="DS94" s="206">
        <v>2</v>
      </c>
      <c r="DT94" s="193" t="s">
        <v>585</v>
      </c>
      <c r="DU94" s="206">
        <v>2966</v>
      </c>
      <c r="DV94" s="204">
        <v>1</v>
      </c>
      <c r="DW94" s="206">
        <v>2967</v>
      </c>
      <c r="DX94" s="193" t="s">
        <v>585</v>
      </c>
      <c r="DY94" s="193" t="s">
        <v>585</v>
      </c>
      <c r="DZ94" s="206">
        <v>1116</v>
      </c>
      <c r="EA94" s="204">
        <v>74</v>
      </c>
      <c r="EB94" s="204">
        <v>59</v>
      </c>
      <c r="EC94" s="204" t="s">
        <v>585</v>
      </c>
      <c r="ED94" s="204" t="s">
        <v>585</v>
      </c>
      <c r="EE94" s="204" t="s">
        <v>585</v>
      </c>
      <c r="EF94" s="204" t="s">
        <v>585</v>
      </c>
      <c r="EG94" s="206">
        <v>1249</v>
      </c>
      <c r="EH94" s="203">
        <v>227</v>
      </c>
      <c r="EI94" s="204">
        <v>59</v>
      </c>
      <c r="EJ94" s="204">
        <v>2</v>
      </c>
      <c r="EK94" s="204">
        <v>23</v>
      </c>
      <c r="EL94" s="204">
        <v>143</v>
      </c>
      <c r="EM94" s="204">
        <v>1845</v>
      </c>
      <c r="EN94" s="204">
        <v>73</v>
      </c>
      <c r="EO94" s="204">
        <v>16</v>
      </c>
      <c r="EP94" s="204">
        <v>66</v>
      </c>
      <c r="EQ94" s="204">
        <v>19</v>
      </c>
      <c r="ER94" s="204">
        <v>5</v>
      </c>
      <c r="ES94" s="204" t="s">
        <v>585</v>
      </c>
      <c r="ET94" s="204">
        <v>21</v>
      </c>
      <c r="EU94" s="202">
        <v>2499</v>
      </c>
      <c r="EV94" s="206" t="s">
        <v>585</v>
      </c>
      <c r="EW94" s="193" t="s">
        <v>585</v>
      </c>
      <c r="EX94" s="206">
        <v>153</v>
      </c>
      <c r="EY94" s="204">
        <v>1</v>
      </c>
      <c r="EZ94" s="204">
        <v>33</v>
      </c>
      <c r="FA94" s="206">
        <v>187</v>
      </c>
      <c r="FB94" s="193">
        <v>2</v>
      </c>
      <c r="FC94" s="206">
        <v>263</v>
      </c>
      <c r="FD94" s="203">
        <v>3764</v>
      </c>
      <c r="FE94" s="204">
        <v>14</v>
      </c>
      <c r="FF94" s="204">
        <v>194</v>
      </c>
      <c r="FG94" s="204">
        <v>19</v>
      </c>
      <c r="FH94" s="202">
        <v>3991</v>
      </c>
      <c r="FI94" s="206" t="s">
        <v>585</v>
      </c>
      <c r="FJ94" s="204" t="s">
        <v>585</v>
      </c>
      <c r="FK94" s="206" t="s">
        <v>585</v>
      </c>
      <c r="FL94" s="203" t="s">
        <v>585</v>
      </c>
      <c r="FM94" s="204" t="s">
        <v>585</v>
      </c>
      <c r="FN94" s="202" t="s">
        <v>585</v>
      </c>
      <c r="FO94" s="206" t="s">
        <v>585</v>
      </c>
      <c r="FP94" s="193">
        <v>2007</v>
      </c>
      <c r="FQ94" s="206">
        <v>18</v>
      </c>
      <c r="FR94" s="204">
        <v>723</v>
      </c>
      <c r="FS94" s="204">
        <v>33</v>
      </c>
      <c r="FT94" s="206">
        <v>774</v>
      </c>
      <c r="FU94" s="203">
        <v>79</v>
      </c>
      <c r="FV94" s="204">
        <v>278</v>
      </c>
      <c r="FW94" s="202">
        <v>357</v>
      </c>
      <c r="FX94" s="206" t="s">
        <v>585</v>
      </c>
      <c r="FY94" s="203" t="s">
        <v>585</v>
      </c>
      <c r="FZ94" s="204">
        <v>8</v>
      </c>
      <c r="GA94" s="204">
        <v>1</v>
      </c>
      <c r="GB94" s="202">
        <v>9</v>
      </c>
      <c r="GC94" s="206">
        <v>328</v>
      </c>
      <c r="GD94" s="203">
        <v>10</v>
      </c>
      <c r="GE94" s="204">
        <v>112</v>
      </c>
      <c r="GF94" s="204">
        <v>178</v>
      </c>
      <c r="GG94" s="204" t="s">
        <v>585</v>
      </c>
      <c r="GH94" s="202">
        <v>300</v>
      </c>
      <c r="GI94" s="193">
        <v>1995254</v>
      </c>
      <c r="GJ94" s="368">
        <f>1995254/45058286</f>
        <v>4.4281622252564157E-2</v>
      </c>
      <c r="GK94" s="382"/>
    </row>
    <row r="95" spans="2:193" ht="12" customHeight="1" x14ac:dyDescent="0.2">
      <c r="B95" s="359" t="s">
        <v>131</v>
      </c>
      <c r="C95" s="203">
        <v>99</v>
      </c>
      <c r="D95" s="204" t="s">
        <v>585</v>
      </c>
      <c r="E95" s="204" t="s">
        <v>585</v>
      </c>
      <c r="F95" s="204" t="s">
        <v>585</v>
      </c>
      <c r="G95" s="202">
        <v>99</v>
      </c>
      <c r="H95" s="193" t="s">
        <v>585</v>
      </c>
      <c r="I95" s="206">
        <v>15</v>
      </c>
      <c r="J95" s="204" t="s">
        <v>585</v>
      </c>
      <c r="K95" s="206">
        <v>15</v>
      </c>
      <c r="L95" s="193" t="s">
        <v>585</v>
      </c>
      <c r="M95" s="193">
        <v>1116</v>
      </c>
      <c r="N95" s="206">
        <v>43</v>
      </c>
      <c r="O95" s="204">
        <v>1</v>
      </c>
      <c r="P95" s="204">
        <v>233611</v>
      </c>
      <c r="Q95" s="204">
        <v>431</v>
      </c>
      <c r="R95" s="204">
        <v>13</v>
      </c>
      <c r="S95" s="204" t="s">
        <v>585</v>
      </c>
      <c r="T95" s="204" t="s">
        <v>585</v>
      </c>
      <c r="U95" s="206">
        <v>234099</v>
      </c>
      <c r="V95" s="203">
        <v>258</v>
      </c>
      <c r="W95" s="204">
        <v>268</v>
      </c>
      <c r="X95" s="202">
        <v>526</v>
      </c>
      <c r="Y95" s="206">
        <v>6603</v>
      </c>
      <c r="Z95" s="204">
        <v>13</v>
      </c>
      <c r="AA95" s="204" t="s">
        <v>585</v>
      </c>
      <c r="AB95" s="206">
        <v>6616</v>
      </c>
      <c r="AC95" s="203">
        <v>32</v>
      </c>
      <c r="AD95" s="204" t="s">
        <v>585</v>
      </c>
      <c r="AE95" s="204" t="s">
        <v>585</v>
      </c>
      <c r="AF95" s="202">
        <v>32</v>
      </c>
      <c r="AG95" s="206">
        <v>6</v>
      </c>
      <c r="AH95" s="204" t="s">
        <v>585</v>
      </c>
      <c r="AI95" s="204" t="s">
        <v>585</v>
      </c>
      <c r="AJ95" s="204">
        <v>4</v>
      </c>
      <c r="AK95" s="206">
        <v>10</v>
      </c>
      <c r="AL95" s="193" t="s">
        <v>585</v>
      </c>
      <c r="AM95" s="193" t="s">
        <v>585</v>
      </c>
      <c r="AN95" s="206">
        <v>1</v>
      </c>
      <c r="AO95" s="204" t="s">
        <v>585</v>
      </c>
      <c r="AP95" s="206">
        <v>1</v>
      </c>
      <c r="AQ95" s="203" t="s">
        <v>585</v>
      </c>
      <c r="AR95" s="204" t="s">
        <v>585</v>
      </c>
      <c r="AS95" s="204" t="s">
        <v>585</v>
      </c>
      <c r="AT95" s="204" t="s">
        <v>585</v>
      </c>
      <c r="AU95" s="204" t="s">
        <v>585</v>
      </c>
      <c r="AV95" s="204" t="s">
        <v>585</v>
      </c>
      <c r="AW95" s="204" t="s">
        <v>585</v>
      </c>
      <c r="AX95" s="202" t="s">
        <v>585</v>
      </c>
      <c r="AY95" s="206" t="s">
        <v>585</v>
      </c>
      <c r="AZ95" s="193">
        <v>4</v>
      </c>
      <c r="BA95" s="206">
        <v>340</v>
      </c>
      <c r="BB95" s="377">
        <v>158</v>
      </c>
      <c r="BC95" s="206">
        <v>449</v>
      </c>
      <c r="BD95" s="206">
        <v>96</v>
      </c>
      <c r="BE95" s="378">
        <v>20</v>
      </c>
      <c r="BF95" s="206">
        <v>1063</v>
      </c>
      <c r="BG95" s="193" t="s">
        <v>585</v>
      </c>
      <c r="BH95" s="193" t="s">
        <v>585</v>
      </c>
      <c r="BI95" s="193" t="s">
        <v>585</v>
      </c>
      <c r="BJ95" s="193">
        <v>2</v>
      </c>
      <c r="BK95" s="206">
        <v>25</v>
      </c>
      <c r="BL95" s="204" t="s">
        <v>585</v>
      </c>
      <c r="BM95" s="206">
        <v>25</v>
      </c>
      <c r="BN95" s="193" t="s">
        <v>585</v>
      </c>
      <c r="BO95" s="206">
        <v>5</v>
      </c>
      <c r="BP95" s="204">
        <v>2</v>
      </c>
      <c r="BQ95" s="206">
        <v>7</v>
      </c>
      <c r="BR95" s="203">
        <v>23</v>
      </c>
      <c r="BS95" s="204">
        <v>2</v>
      </c>
      <c r="BT95" s="204" t="s">
        <v>585</v>
      </c>
      <c r="BU95" s="204" t="s">
        <v>585</v>
      </c>
      <c r="BV95" s="204" t="s">
        <v>585</v>
      </c>
      <c r="BW95" s="204" t="s">
        <v>585</v>
      </c>
      <c r="BX95" s="204" t="s">
        <v>585</v>
      </c>
      <c r="BY95" s="204" t="s">
        <v>585</v>
      </c>
      <c r="BZ95" s="204" t="s">
        <v>585</v>
      </c>
      <c r="CA95" s="204">
        <v>1</v>
      </c>
      <c r="CB95" s="204" t="s">
        <v>585</v>
      </c>
      <c r="CC95" s="204" t="s">
        <v>585</v>
      </c>
      <c r="CD95" s="204" t="s">
        <v>585</v>
      </c>
      <c r="CE95" s="204" t="s">
        <v>585</v>
      </c>
      <c r="CF95" s="202">
        <v>26</v>
      </c>
      <c r="CG95" s="206">
        <v>97</v>
      </c>
      <c r="CH95" s="204" t="s">
        <v>585</v>
      </c>
      <c r="CI95" s="206">
        <v>97</v>
      </c>
      <c r="CJ95" s="193">
        <v>1</v>
      </c>
      <c r="CK95" s="206">
        <v>39349</v>
      </c>
      <c r="CL95" s="204" t="s">
        <v>585</v>
      </c>
      <c r="CM95" s="204">
        <v>135285</v>
      </c>
      <c r="CN95" s="204">
        <v>25234</v>
      </c>
      <c r="CO95" s="204" t="s">
        <v>585</v>
      </c>
      <c r="CP95" s="204">
        <v>161</v>
      </c>
      <c r="CQ95" s="204">
        <v>1</v>
      </c>
      <c r="CR95" s="204" t="s">
        <v>585</v>
      </c>
      <c r="CS95" s="204">
        <v>1</v>
      </c>
      <c r="CT95" s="204" t="s">
        <v>585</v>
      </c>
      <c r="CU95" s="204" t="s">
        <v>585</v>
      </c>
      <c r="CV95" s="206">
        <v>200031</v>
      </c>
      <c r="CW95" s="203">
        <v>894</v>
      </c>
      <c r="CX95" s="204" t="s">
        <v>585</v>
      </c>
      <c r="CY95" s="204">
        <v>46</v>
      </c>
      <c r="CZ95" s="204" t="s">
        <v>585</v>
      </c>
      <c r="DA95" s="204">
        <v>5</v>
      </c>
      <c r="DB95" s="204" t="s">
        <v>585</v>
      </c>
      <c r="DC95" s="204" t="s">
        <v>585</v>
      </c>
      <c r="DD95" s="202">
        <v>945</v>
      </c>
      <c r="DE95" s="206" t="s">
        <v>585</v>
      </c>
      <c r="DF95" s="203">
        <v>41</v>
      </c>
      <c r="DG95" s="204" t="s">
        <v>585</v>
      </c>
      <c r="DH95" s="202">
        <v>41</v>
      </c>
      <c r="DI95" s="206" t="s">
        <v>585</v>
      </c>
      <c r="DJ95" s="204" t="s">
        <v>585</v>
      </c>
      <c r="DK95" s="206" t="s">
        <v>585</v>
      </c>
      <c r="DL95" s="193">
        <v>48</v>
      </c>
      <c r="DM95" s="206" t="s">
        <v>585</v>
      </c>
      <c r="DN95" s="204" t="s">
        <v>585</v>
      </c>
      <c r="DO95" s="206" t="s">
        <v>585</v>
      </c>
      <c r="DP95" s="203">
        <v>8</v>
      </c>
      <c r="DQ95" s="204" t="s">
        <v>585</v>
      </c>
      <c r="DR95" s="202">
        <v>8</v>
      </c>
      <c r="DS95" s="206">
        <v>5</v>
      </c>
      <c r="DT95" s="193" t="s">
        <v>585</v>
      </c>
      <c r="DU95" s="206">
        <v>3732</v>
      </c>
      <c r="DV95" s="204" t="s">
        <v>585</v>
      </c>
      <c r="DW95" s="206">
        <v>3732</v>
      </c>
      <c r="DX95" s="193" t="s">
        <v>585</v>
      </c>
      <c r="DY95" s="193" t="s">
        <v>585</v>
      </c>
      <c r="DZ95" s="206">
        <v>7</v>
      </c>
      <c r="EA95" s="204">
        <v>11</v>
      </c>
      <c r="EB95" s="204">
        <v>29</v>
      </c>
      <c r="EC95" s="204" t="s">
        <v>585</v>
      </c>
      <c r="ED95" s="204" t="s">
        <v>585</v>
      </c>
      <c r="EE95" s="204" t="s">
        <v>585</v>
      </c>
      <c r="EF95" s="204">
        <v>1</v>
      </c>
      <c r="EG95" s="206">
        <v>48</v>
      </c>
      <c r="EH95" s="203">
        <v>60</v>
      </c>
      <c r="EI95" s="204">
        <v>1325</v>
      </c>
      <c r="EJ95" s="204" t="s">
        <v>585</v>
      </c>
      <c r="EK95" s="204">
        <v>33</v>
      </c>
      <c r="EL95" s="204">
        <v>59</v>
      </c>
      <c r="EM95" s="204">
        <v>5365</v>
      </c>
      <c r="EN95" s="204">
        <v>11</v>
      </c>
      <c r="EO95" s="204">
        <v>14</v>
      </c>
      <c r="EP95" s="204">
        <v>73</v>
      </c>
      <c r="EQ95" s="204" t="s">
        <v>585</v>
      </c>
      <c r="ER95" s="204">
        <v>1</v>
      </c>
      <c r="ES95" s="204" t="s">
        <v>585</v>
      </c>
      <c r="ET95" s="204" t="s">
        <v>585</v>
      </c>
      <c r="EU95" s="202">
        <v>6941</v>
      </c>
      <c r="EV95" s="206" t="s">
        <v>585</v>
      </c>
      <c r="EW95" s="193" t="s">
        <v>585</v>
      </c>
      <c r="EX95" s="206" t="s">
        <v>585</v>
      </c>
      <c r="EY95" s="204">
        <v>6</v>
      </c>
      <c r="EZ95" s="204" t="s">
        <v>585</v>
      </c>
      <c r="FA95" s="206">
        <v>6</v>
      </c>
      <c r="FB95" s="193" t="s">
        <v>585</v>
      </c>
      <c r="FC95" s="206">
        <v>46</v>
      </c>
      <c r="FD95" s="203">
        <v>11</v>
      </c>
      <c r="FE95" s="204">
        <v>1</v>
      </c>
      <c r="FF95" s="204" t="s">
        <v>585</v>
      </c>
      <c r="FG95" s="204" t="s">
        <v>585</v>
      </c>
      <c r="FH95" s="202">
        <v>12</v>
      </c>
      <c r="FI95" s="206" t="s">
        <v>585</v>
      </c>
      <c r="FJ95" s="204" t="s">
        <v>585</v>
      </c>
      <c r="FK95" s="206" t="s">
        <v>585</v>
      </c>
      <c r="FL95" s="203" t="s">
        <v>585</v>
      </c>
      <c r="FM95" s="204" t="s">
        <v>585</v>
      </c>
      <c r="FN95" s="202" t="s">
        <v>585</v>
      </c>
      <c r="FO95" s="206" t="s">
        <v>585</v>
      </c>
      <c r="FP95" s="193">
        <v>23</v>
      </c>
      <c r="FQ95" s="206">
        <v>11</v>
      </c>
      <c r="FR95" s="204">
        <v>8</v>
      </c>
      <c r="FS95" s="204" t="s">
        <v>585</v>
      </c>
      <c r="FT95" s="206">
        <v>19</v>
      </c>
      <c r="FU95" s="203">
        <v>11</v>
      </c>
      <c r="FV95" s="204" t="s">
        <v>585</v>
      </c>
      <c r="FW95" s="202">
        <v>11</v>
      </c>
      <c r="FX95" s="206" t="s">
        <v>585</v>
      </c>
      <c r="FY95" s="203" t="s">
        <v>585</v>
      </c>
      <c r="FZ95" s="204">
        <v>5</v>
      </c>
      <c r="GA95" s="204" t="s">
        <v>585</v>
      </c>
      <c r="GB95" s="202">
        <v>5</v>
      </c>
      <c r="GC95" s="206" t="s">
        <v>585</v>
      </c>
      <c r="GD95" s="203" t="s">
        <v>585</v>
      </c>
      <c r="GE95" s="204" t="s">
        <v>585</v>
      </c>
      <c r="GF95" s="204">
        <v>64</v>
      </c>
      <c r="GG95" s="204" t="s">
        <v>585</v>
      </c>
      <c r="GH95" s="202">
        <v>64</v>
      </c>
      <c r="GI95" s="193">
        <v>455724</v>
      </c>
      <c r="GJ95" s="368">
        <f>455724/45058286</f>
        <v>1.011409976846434E-2</v>
      </c>
      <c r="GK95" s="382"/>
    </row>
    <row r="96" spans="2:193" ht="12" customHeight="1" x14ac:dyDescent="0.2">
      <c r="B96" s="359" t="s">
        <v>133</v>
      </c>
      <c r="C96" s="203">
        <v>114</v>
      </c>
      <c r="D96" s="204" t="s">
        <v>585</v>
      </c>
      <c r="E96" s="204" t="s">
        <v>585</v>
      </c>
      <c r="F96" s="204" t="s">
        <v>585</v>
      </c>
      <c r="G96" s="202">
        <v>114</v>
      </c>
      <c r="H96" s="193" t="s">
        <v>585</v>
      </c>
      <c r="I96" s="206">
        <v>98</v>
      </c>
      <c r="J96" s="204" t="s">
        <v>585</v>
      </c>
      <c r="K96" s="206">
        <v>98</v>
      </c>
      <c r="L96" s="193" t="s">
        <v>585</v>
      </c>
      <c r="M96" s="193">
        <v>570</v>
      </c>
      <c r="N96" s="206">
        <v>4</v>
      </c>
      <c r="O96" s="204" t="s">
        <v>585</v>
      </c>
      <c r="P96" s="204">
        <v>16331</v>
      </c>
      <c r="Q96" s="204">
        <v>176</v>
      </c>
      <c r="R96" s="204">
        <v>1</v>
      </c>
      <c r="S96" s="204" t="s">
        <v>585</v>
      </c>
      <c r="T96" s="204" t="s">
        <v>585</v>
      </c>
      <c r="U96" s="206">
        <v>16512</v>
      </c>
      <c r="V96" s="203">
        <v>91</v>
      </c>
      <c r="W96" s="204">
        <v>267</v>
      </c>
      <c r="X96" s="202">
        <v>358</v>
      </c>
      <c r="Y96" s="206">
        <v>1170</v>
      </c>
      <c r="Z96" s="204">
        <v>8</v>
      </c>
      <c r="AA96" s="204" t="s">
        <v>585</v>
      </c>
      <c r="AB96" s="206">
        <v>1178</v>
      </c>
      <c r="AC96" s="203">
        <v>28</v>
      </c>
      <c r="AD96" s="204" t="s">
        <v>585</v>
      </c>
      <c r="AE96" s="204" t="s">
        <v>585</v>
      </c>
      <c r="AF96" s="202">
        <v>28</v>
      </c>
      <c r="AG96" s="206" t="s">
        <v>585</v>
      </c>
      <c r="AH96" s="204" t="s">
        <v>585</v>
      </c>
      <c r="AI96" s="204" t="s">
        <v>585</v>
      </c>
      <c r="AJ96" s="204" t="s">
        <v>585</v>
      </c>
      <c r="AK96" s="206" t="s">
        <v>585</v>
      </c>
      <c r="AL96" s="193" t="s">
        <v>585</v>
      </c>
      <c r="AM96" s="193" t="s">
        <v>585</v>
      </c>
      <c r="AN96" s="206">
        <v>1</v>
      </c>
      <c r="AO96" s="204">
        <v>1</v>
      </c>
      <c r="AP96" s="206">
        <v>2</v>
      </c>
      <c r="AQ96" s="203" t="s">
        <v>585</v>
      </c>
      <c r="AR96" s="204" t="s">
        <v>585</v>
      </c>
      <c r="AS96" s="204" t="s">
        <v>585</v>
      </c>
      <c r="AT96" s="204" t="s">
        <v>585</v>
      </c>
      <c r="AU96" s="204" t="s">
        <v>585</v>
      </c>
      <c r="AV96" s="204" t="s">
        <v>585</v>
      </c>
      <c r="AW96" s="204" t="s">
        <v>585</v>
      </c>
      <c r="AX96" s="202" t="s">
        <v>585</v>
      </c>
      <c r="AY96" s="206">
        <v>3</v>
      </c>
      <c r="AZ96" s="193">
        <v>2</v>
      </c>
      <c r="BA96" s="206">
        <v>19</v>
      </c>
      <c r="BB96" s="377">
        <v>20</v>
      </c>
      <c r="BC96" s="206">
        <v>170</v>
      </c>
      <c r="BD96" s="206">
        <v>11</v>
      </c>
      <c r="BE96" s="378">
        <v>5</v>
      </c>
      <c r="BF96" s="206">
        <v>225</v>
      </c>
      <c r="BG96" s="193" t="s">
        <v>585</v>
      </c>
      <c r="BH96" s="193" t="s">
        <v>585</v>
      </c>
      <c r="BI96" s="193" t="s">
        <v>585</v>
      </c>
      <c r="BJ96" s="193" t="s">
        <v>585</v>
      </c>
      <c r="BK96" s="206">
        <v>37</v>
      </c>
      <c r="BL96" s="204" t="s">
        <v>585</v>
      </c>
      <c r="BM96" s="206">
        <v>37</v>
      </c>
      <c r="BN96" s="193" t="s">
        <v>585</v>
      </c>
      <c r="BO96" s="206">
        <v>1</v>
      </c>
      <c r="BP96" s="204" t="s">
        <v>585</v>
      </c>
      <c r="BQ96" s="206">
        <v>1</v>
      </c>
      <c r="BR96" s="203">
        <v>37</v>
      </c>
      <c r="BS96" s="204" t="s">
        <v>585</v>
      </c>
      <c r="BT96" s="204" t="s">
        <v>585</v>
      </c>
      <c r="BU96" s="204" t="s">
        <v>585</v>
      </c>
      <c r="BV96" s="204" t="s">
        <v>585</v>
      </c>
      <c r="BW96" s="204" t="s">
        <v>585</v>
      </c>
      <c r="BX96" s="204" t="s">
        <v>585</v>
      </c>
      <c r="BY96" s="204" t="s">
        <v>585</v>
      </c>
      <c r="BZ96" s="204" t="s">
        <v>585</v>
      </c>
      <c r="CA96" s="204" t="s">
        <v>585</v>
      </c>
      <c r="CB96" s="204" t="s">
        <v>585</v>
      </c>
      <c r="CC96" s="204" t="s">
        <v>585</v>
      </c>
      <c r="CD96" s="204" t="s">
        <v>585</v>
      </c>
      <c r="CE96" s="204" t="s">
        <v>585</v>
      </c>
      <c r="CF96" s="202">
        <v>37</v>
      </c>
      <c r="CG96" s="206">
        <v>21</v>
      </c>
      <c r="CH96" s="204" t="s">
        <v>585</v>
      </c>
      <c r="CI96" s="206">
        <v>21</v>
      </c>
      <c r="CJ96" s="193" t="s">
        <v>585</v>
      </c>
      <c r="CK96" s="206">
        <v>14886</v>
      </c>
      <c r="CL96" s="204">
        <v>1</v>
      </c>
      <c r="CM96" s="204">
        <v>35591</v>
      </c>
      <c r="CN96" s="204">
        <v>50285</v>
      </c>
      <c r="CO96" s="204">
        <v>1</v>
      </c>
      <c r="CP96" s="204">
        <v>10</v>
      </c>
      <c r="CQ96" s="204" t="s">
        <v>585</v>
      </c>
      <c r="CR96" s="204" t="s">
        <v>585</v>
      </c>
      <c r="CS96" s="204" t="s">
        <v>585</v>
      </c>
      <c r="CT96" s="204" t="s">
        <v>585</v>
      </c>
      <c r="CU96" s="204" t="s">
        <v>585</v>
      </c>
      <c r="CV96" s="206">
        <v>100774</v>
      </c>
      <c r="CW96" s="203">
        <v>254</v>
      </c>
      <c r="CX96" s="204" t="s">
        <v>585</v>
      </c>
      <c r="CY96" s="204">
        <v>29</v>
      </c>
      <c r="CZ96" s="204" t="s">
        <v>585</v>
      </c>
      <c r="DA96" s="204" t="s">
        <v>585</v>
      </c>
      <c r="DB96" s="204" t="s">
        <v>585</v>
      </c>
      <c r="DC96" s="204" t="s">
        <v>585</v>
      </c>
      <c r="DD96" s="202">
        <v>283</v>
      </c>
      <c r="DE96" s="206" t="s">
        <v>585</v>
      </c>
      <c r="DF96" s="203" t="s">
        <v>585</v>
      </c>
      <c r="DG96" s="204" t="s">
        <v>585</v>
      </c>
      <c r="DH96" s="202" t="s">
        <v>585</v>
      </c>
      <c r="DI96" s="206" t="s">
        <v>585</v>
      </c>
      <c r="DJ96" s="204" t="s">
        <v>585</v>
      </c>
      <c r="DK96" s="206" t="s">
        <v>585</v>
      </c>
      <c r="DL96" s="193">
        <v>1</v>
      </c>
      <c r="DM96" s="206">
        <v>2</v>
      </c>
      <c r="DN96" s="204" t="s">
        <v>585</v>
      </c>
      <c r="DO96" s="206">
        <v>2</v>
      </c>
      <c r="DP96" s="203" t="s">
        <v>585</v>
      </c>
      <c r="DQ96" s="204" t="s">
        <v>585</v>
      </c>
      <c r="DR96" s="202" t="s">
        <v>585</v>
      </c>
      <c r="DS96" s="206">
        <v>1</v>
      </c>
      <c r="DT96" s="193">
        <v>1</v>
      </c>
      <c r="DU96" s="206">
        <v>557</v>
      </c>
      <c r="DV96" s="204" t="s">
        <v>585</v>
      </c>
      <c r="DW96" s="206">
        <v>557</v>
      </c>
      <c r="DX96" s="193" t="s">
        <v>585</v>
      </c>
      <c r="DY96" s="193" t="s">
        <v>585</v>
      </c>
      <c r="DZ96" s="206">
        <v>2</v>
      </c>
      <c r="EA96" s="204">
        <v>23</v>
      </c>
      <c r="EB96" s="204">
        <v>19</v>
      </c>
      <c r="EC96" s="204" t="s">
        <v>585</v>
      </c>
      <c r="ED96" s="204" t="s">
        <v>585</v>
      </c>
      <c r="EE96" s="204" t="s">
        <v>585</v>
      </c>
      <c r="EF96" s="204" t="s">
        <v>585</v>
      </c>
      <c r="EG96" s="206">
        <v>44</v>
      </c>
      <c r="EH96" s="203">
        <v>6</v>
      </c>
      <c r="EI96" s="204">
        <v>170</v>
      </c>
      <c r="EJ96" s="204" t="s">
        <v>585</v>
      </c>
      <c r="EK96" s="204" t="s">
        <v>585</v>
      </c>
      <c r="EL96" s="204">
        <v>23</v>
      </c>
      <c r="EM96" s="204">
        <v>237</v>
      </c>
      <c r="EN96" s="204">
        <v>2</v>
      </c>
      <c r="EO96" s="204">
        <v>1</v>
      </c>
      <c r="EP96" s="204">
        <v>11</v>
      </c>
      <c r="EQ96" s="204">
        <v>5</v>
      </c>
      <c r="ER96" s="204" t="s">
        <v>585</v>
      </c>
      <c r="ES96" s="204" t="s">
        <v>585</v>
      </c>
      <c r="ET96" s="204" t="s">
        <v>585</v>
      </c>
      <c r="EU96" s="202">
        <v>455</v>
      </c>
      <c r="EV96" s="206" t="s">
        <v>585</v>
      </c>
      <c r="EW96" s="193" t="s">
        <v>585</v>
      </c>
      <c r="EX96" s="206" t="s">
        <v>585</v>
      </c>
      <c r="EY96" s="204" t="s">
        <v>585</v>
      </c>
      <c r="EZ96" s="204" t="s">
        <v>585</v>
      </c>
      <c r="FA96" s="206" t="s">
        <v>585</v>
      </c>
      <c r="FB96" s="193" t="s">
        <v>585</v>
      </c>
      <c r="FC96" s="206">
        <v>15</v>
      </c>
      <c r="FD96" s="203">
        <v>20</v>
      </c>
      <c r="FE96" s="204">
        <v>6</v>
      </c>
      <c r="FF96" s="204" t="s">
        <v>585</v>
      </c>
      <c r="FG96" s="204" t="s">
        <v>585</v>
      </c>
      <c r="FH96" s="202">
        <v>26</v>
      </c>
      <c r="FI96" s="206" t="s">
        <v>585</v>
      </c>
      <c r="FJ96" s="204" t="s">
        <v>585</v>
      </c>
      <c r="FK96" s="206" t="s">
        <v>585</v>
      </c>
      <c r="FL96" s="203" t="s">
        <v>585</v>
      </c>
      <c r="FM96" s="204" t="s">
        <v>585</v>
      </c>
      <c r="FN96" s="202" t="s">
        <v>585</v>
      </c>
      <c r="FO96" s="206" t="s">
        <v>585</v>
      </c>
      <c r="FP96" s="193">
        <v>3</v>
      </c>
      <c r="FQ96" s="206">
        <v>7</v>
      </c>
      <c r="FR96" s="204" t="s">
        <v>585</v>
      </c>
      <c r="FS96" s="204" t="s">
        <v>585</v>
      </c>
      <c r="FT96" s="206">
        <v>7</v>
      </c>
      <c r="FU96" s="203">
        <v>4</v>
      </c>
      <c r="FV96" s="204" t="s">
        <v>585</v>
      </c>
      <c r="FW96" s="202">
        <v>4</v>
      </c>
      <c r="FX96" s="206" t="s">
        <v>585</v>
      </c>
      <c r="FY96" s="203" t="s">
        <v>585</v>
      </c>
      <c r="FZ96" s="204">
        <v>1</v>
      </c>
      <c r="GA96" s="204" t="s">
        <v>585</v>
      </c>
      <c r="GB96" s="202">
        <v>1</v>
      </c>
      <c r="GC96" s="206" t="s">
        <v>585</v>
      </c>
      <c r="GD96" s="203" t="s">
        <v>585</v>
      </c>
      <c r="GE96" s="204" t="s">
        <v>585</v>
      </c>
      <c r="GF96" s="204">
        <v>2</v>
      </c>
      <c r="GG96" s="204">
        <v>2</v>
      </c>
      <c r="GH96" s="202">
        <v>4</v>
      </c>
      <c r="GI96" s="193">
        <v>121364</v>
      </c>
      <c r="GJ96" s="368">
        <f>121364/45058286</f>
        <v>2.6934890510482358E-3</v>
      </c>
      <c r="GK96" s="382"/>
    </row>
    <row r="97" spans="2:193" ht="12" customHeight="1" x14ac:dyDescent="0.2">
      <c r="B97" s="359" t="s">
        <v>173</v>
      </c>
      <c r="C97" s="203">
        <v>89</v>
      </c>
      <c r="D97" s="204" t="s">
        <v>585</v>
      </c>
      <c r="E97" s="204" t="s">
        <v>585</v>
      </c>
      <c r="F97" s="204" t="s">
        <v>585</v>
      </c>
      <c r="G97" s="202">
        <v>89</v>
      </c>
      <c r="H97" s="193" t="s">
        <v>585</v>
      </c>
      <c r="I97" s="206">
        <v>1</v>
      </c>
      <c r="J97" s="204" t="s">
        <v>585</v>
      </c>
      <c r="K97" s="206">
        <v>1</v>
      </c>
      <c r="L97" s="193" t="s">
        <v>585</v>
      </c>
      <c r="M97" s="193">
        <v>342</v>
      </c>
      <c r="N97" s="206">
        <v>3</v>
      </c>
      <c r="O97" s="204">
        <v>1</v>
      </c>
      <c r="P97" s="204">
        <v>77861</v>
      </c>
      <c r="Q97" s="204">
        <v>218</v>
      </c>
      <c r="R97" s="204">
        <v>10</v>
      </c>
      <c r="S97" s="204" t="s">
        <v>585</v>
      </c>
      <c r="T97" s="204" t="s">
        <v>585</v>
      </c>
      <c r="U97" s="206">
        <v>78093</v>
      </c>
      <c r="V97" s="203">
        <v>272</v>
      </c>
      <c r="W97" s="204">
        <v>167</v>
      </c>
      <c r="X97" s="202">
        <v>439</v>
      </c>
      <c r="Y97" s="206">
        <v>1064</v>
      </c>
      <c r="Z97" s="204">
        <v>2</v>
      </c>
      <c r="AA97" s="204">
        <v>1</v>
      </c>
      <c r="AB97" s="206">
        <v>1067</v>
      </c>
      <c r="AC97" s="203">
        <v>115</v>
      </c>
      <c r="AD97" s="204">
        <v>4</v>
      </c>
      <c r="AE97" s="204" t="s">
        <v>585</v>
      </c>
      <c r="AF97" s="202">
        <v>119</v>
      </c>
      <c r="AG97" s="206">
        <v>79</v>
      </c>
      <c r="AH97" s="204" t="s">
        <v>585</v>
      </c>
      <c r="AI97" s="204" t="s">
        <v>585</v>
      </c>
      <c r="AJ97" s="204" t="s">
        <v>585</v>
      </c>
      <c r="AK97" s="206">
        <v>79</v>
      </c>
      <c r="AL97" s="193">
        <v>1</v>
      </c>
      <c r="AM97" s="193" t="s">
        <v>585</v>
      </c>
      <c r="AN97" s="206">
        <v>4</v>
      </c>
      <c r="AO97" s="204" t="s">
        <v>585</v>
      </c>
      <c r="AP97" s="206">
        <v>4</v>
      </c>
      <c r="AQ97" s="203" t="s">
        <v>585</v>
      </c>
      <c r="AR97" s="204" t="s">
        <v>585</v>
      </c>
      <c r="AS97" s="204">
        <v>2</v>
      </c>
      <c r="AT97" s="204" t="s">
        <v>585</v>
      </c>
      <c r="AU97" s="204" t="s">
        <v>585</v>
      </c>
      <c r="AV97" s="204" t="s">
        <v>585</v>
      </c>
      <c r="AW97" s="204" t="s">
        <v>585</v>
      </c>
      <c r="AX97" s="202">
        <v>2</v>
      </c>
      <c r="AY97" s="206" t="s">
        <v>585</v>
      </c>
      <c r="AZ97" s="193">
        <v>1</v>
      </c>
      <c r="BA97" s="206">
        <v>40072</v>
      </c>
      <c r="BB97" s="377">
        <v>3971</v>
      </c>
      <c r="BC97" s="206">
        <v>11919</v>
      </c>
      <c r="BD97" s="206">
        <v>18</v>
      </c>
      <c r="BE97" s="378">
        <v>196</v>
      </c>
      <c r="BF97" s="206">
        <v>56176</v>
      </c>
      <c r="BG97" s="193" t="s">
        <v>585</v>
      </c>
      <c r="BH97" s="193" t="s">
        <v>585</v>
      </c>
      <c r="BI97" s="193" t="s">
        <v>585</v>
      </c>
      <c r="BJ97" s="193">
        <v>49</v>
      </c>
      <c r="BK97" s="206">
        <v>11</v>
      </c>
      <c r="BL97" s="204" t="s">
        <v>585</v>
      </c>
      <c r="BM97" s="206">
        <v>11</v>
      </c>
      <c r="BN97" s="193" t="s">
        <v>585</v>
      </c>
      <c r="BO97" s="206" t="s">
        <v>585</v>
      </c>
      <c r="BP97" s="204" t="s">
        <v>585</v>
      </c>
      <c r="BQ97" s="206" t="s">
        <v>585</v>
      </c>
      <c r="BR97" s="203">
        <v>17</v>
      </c>
      <c r="BS97" s="204" t="s">
        <v>585</v>
      </c>
      <c r="BT97" s="204">
        <v>1</v>
      </c>
      <c r="BU97" s="204" t="s">
        <v>585</v>
      </c>
      <c r="BV97" s="204" t="s">
        <v>585</v>
      </c>
      <c r="BW97" s="204" t="s">
        <v>585</v>
      </c>
      <c r="BX97" s="204" t="s">
        <v>585</v>
      </c>
      <c r="BY97" s="204" t="s">
        <v>585</v>
      </c>
      <c r="BZ97" s="204" t="s">
        <v>585</v>
      </c>
      <c r="CA97" s="204" t="s">
        <v>585</v>
      </c>
      <c r="CB97" s="204" t="s">
        <v>585</v>
      </c>
      <c r="CC97" s="204" t="s">
        <v>585</v>
      </c>
      <c r="CD97" s="204" t="s">
        <v>585</v>
      </c>
      <c r="CE97" s="204" t="s">
        <v>585</v>
      </c>
      <c r="CF97" s="202">
        <v>18</v>
      </c>
      <c r="CG97" s="206">
        <v>10</v>
      </c>
      <c r="CH97" s="204" t="s">
        <v>585</v>
      </c>
      <c r="CI97" s="206">
        <v>10</v>
      </c>
      <c r="CJ97" s="193" t="s">
        <v>585</v>
      </c>
      <c r="CK97" s="206">
        <v>10041</v>
      </c>
      <c r="CL97" s="204" t="s">
        <v>585</v>
      </c>
      <c r="CM97" s="204">
        <v>23958</v>
      </c>
      <c r="CN97" s="204">
        <v>2726</v>
      </c>
      <c r="CO97" s="204">
        <v>1</v>
      </c>
      <c r="CP97" s="204">
        <v>147</v>
      </c>
      <c r="CQ97" s="204">
        <v>3</v>
      </c>
      <c r="CR97" s="204" t="s">
        <v>585</v>
      </c>
      <c r="CS97" s="204">
        <v>4</v>
      </c>
      <c r="CT97" s="204" t="s">
        <v>585</v>
      </c>
      <c r="CU97" s="204" t="s">
        <v>585</v>
      </c>
      <c r="CV97" s="206">
        <v>36880</v>
      </c>
      <c r="CW97" s="203">
        <v>3893</v>
      </c>
      <c r="CX97" s="204" t="s">
        <v>585</v>
      </c>
      <c r="CY97" s="204">
        <v>82</v>
      </c>
      <c r="CZ97" s="204">
        <v>6</v>
      </c>
      <c r="DA97" s="204" t="s">
        <v>585</v>
      </c>
      <c r="DB97" s="204">
        <v>2</v>
      </c>
      <c r="DC97" s="204" t="s">
        <v>585</v>
      </c>
      <c r="DD97" s="202">
        <v>3983</v>
      </c>
      <c r="DE97" s="206" t="s">
        <v>585</v>
      </c>
      <c r="DF97" s="203" t="s">
        <v>585</v>
      </c>
      <c r="DG97" s="204" t="s">
        <v>585</v>
      </c>
      <c r="DH97" s="202" t="s">
        <v>585</v>
      </c>
      <c r="DI97" s="206" t="s">
        <v>585</v>
      </c>
      <c r="DJ97" s="204" t="s">
        <v>585</v>
      </c>
      <c r="DK97" s="206" t="s">
        <v>585</v>
      </c>
      <c r="DL97" s="193">
        <v>10</v>
      </c>
      <c r="DM97" s="206" t="s">
        <v>585</v>
      </c>
      <c r="DN97" s="204" t="s">
        <v>585</v>
      </c>
      <c r="DO97" s="206" t="s">
        <v>585</v>
      </c>
      <c r="DP97" s="203">
        <v>11</v>
      </c>
      <c r="DQ97" s="204" t="s">
        <v>585</v>
      </c>
      <c r="DR97" s="202">
        <v>11</v>
      </c>
      <c r="DS97" s="206">
        <v>1</v>
      </c>
      <c r="DT97" s="193" t="s">
        <v>585</v>
      </c>
      <c r="DU97" s="206">
        <v>11651</v>
      </c>
      <c r="DV97" s="204" t="s">
        <v>585</v>
      </c>
      <c r="DW97" s="206">
        <v>11651</v>
      </c>
      <c r="DX97" s="193" t="s">
        <v>585</v>
      </c>
      <c r="DY97" s="193" t="s">
        <v>585</v>
      </c>
      <c r="DZ97" s="206">
        <v>25</v>
      </c>
      <c r="EA97" s="204">
        <v>21</v>
      </c>
      <c r="EB97" s="204">
        <v>23</v>
      </c>
      <c r="EC97" s="204" t="s">
        <v>585</v>
      </c>
      <c r="ED97" s="204" t="s">
        <v>585</v>
      </c>
      <c r="EE97" s="204" t="s">
        <v>585</v>
      </c>
      <c r="EF97" s="204" t="s">
        <v>585</v>
      </c>
      <c r="EG97" s="206">
        <v>69</v>
      </c>
      <c r="EH97" s="203">
        <v>147</v>
      </c>
      <c r="EI97" s="204">
        <v>2937</v>
      </c>
      <c r="EJ97" s="204">
        <v>1</v>
      </c>
      <c r="EK97" s="204">
        <v>75</v>
      </c>
      <c r="EL97" s="204">
        <v>304</v>
      </c>
      <c r="EM97" s="204">
        <v>5613</v>
      </c>
      <c r="EN97" s="204">
        <v>135</v>
      </c>
      <c r="EO97" s="204">
        <v>3</v>
      </c>
      <c r="EP97" s="204">
        <v>205</v>
      </c>
      <c r="EQ97" s="204">
        <v>15</v>
      </c>
      <c r="ER97" s="204">
        <v>2</v>
      </c>
      <c r="ES97" s="204" t="s">
        <v>585</v>
      </c>
      <c r="ET97" s="204" t="s">
        <v>585</v>
      </c>
      <c r="EU97" s="202">
        <v>9437</v>
      </c>
      <c r="EV97" s="206" t="s">
        <v>585</v>
      </c>
      <c r="EW97" s="193">
        <v>1</v>
      </c>
      <c r="EX97" s="206" t="s">
        <v>585</v>
      </c>
      <c r="EY97" s="204" t="s">
        <v>585</v>
      </c>
      <c r="EZ97" s="204" t="s">
        <v>585</v>
      </c>
      <c r="FA97" s="206" t="s">
        <v>585</v>
      </c>
      <c r="FB97" s="193" t="s">
        <v>585</v>
      </c>
      <c r="FC97" s="206">
        <v>104</v>
      </c>
      <c r="FD97" s="203">
        <v>4</v>
      </c>
      <c r="FE97" s="204">
        <v>5</v>
      </c>
      <c r="FF97" s="204">
        <v>1</v>
      </c>
      <c r="FG97" s="204" t="s">
        <v>585</v>
      </c>
      <c r="FH97" s="202">
        <v>10</v>
      </c>
      <c r="FI97" s="206" t="s">
        <v>585</v>
      </c>
      <c r="FJ97" s="204" t="s">
        <v>585</v>
      </c>
      <c r="FK97" s="206" t="s">
        <v>585</v>
      </c>
      <c r="FL97" s="203" t="s">
        <v>585</v>
      </c>
      <c r="FM97" s="204" t="s">
        <v>585</v>
      </c>
      <c r="FN97" s="202" t="s">
        <v>585</v>
      </c>
      <c r="FO97" s="206" t="s">
        <v>585</v>
      </c>
      <c r="FP97" s="193">
        <v>183</v>
      </c>
      <c r="FQ97" s="206">
        <v>5</v>
      </c>
      <c r="FR97" s="204">
        <v>2</v>
      </c>
      <c r="FS97" s="204" t="s">
        <v>585</v>
      </c>
      <c r="FT97" s="206">
        <v>7</v>
      </c>
      <c r="FU97" s="203">
        <v>2</v>
      </c>
      <c r="FV97" s="204">
        <v>10</v>
      </c>
      <c r="FW97" s="202">
        <v>12</v>
      </c>
      <c r="FX97" s="206" t="s">
        <v>585</v>
      </c>
      <c r="FY97" s="203" t="s">
        <v>585</v>
      </c>
      <c r="FZ97" s="204" t="s">
        <v>585</v>
      </c>
      <c r="GA97" s="204" t="s">
        <v>585</v>
      </c>
      <c r="GB97" s="202" t="s">
        <v>585</v>
      </c>
      <c r="GC97" s="206">
        <v>1</v>
      </c>
      <c r="GD97" s="203" t="s">
        <v>585</v>
      </c>
      <c r="GE97" s="204" t="s">
        <v>585</v>
      </c>
      <c r="GF97" s="204">
        <v>3</v>
      </c>
      <c r="GG97" s="204">
        <v>1</v>
      </c>
      <c r="GH97" s="202">
        <v>6</v>
      </c>
      <c r="GI97" s="193">
        <v>198867</v>
      </c>
      <c r="GJ97" s="368">
        <f>198867/45058286</f>
        <v>4.4135500404964365E-3</v>
      </c>
      <c r="GK97" s="382"/>
    </row>
    <row r="98" spans="2:193" ht="12" customHeight="1" x14ac:dyDescent="0.2">
      <c r="B98" s="359" t="s">
        <v>189</v>
      </c>
      <c r="C98" s="203">
        <v>59</v>
      </c>
      <c r="D98" s="204" t="s">
        <v>585</v>
      </c>
      <c r="E98" s="204" t="s">
        <v>585</v>
      </c>
      <c r="F98" s="204" t="s">
        <v>585</v>
      </c>
      <c r="G98" s="202">
        <v>59</v>
      </c>
      <c r="H98" s="193" t="s">
        <v>585</v>
      </c>
      <c r="I98" s="206">
        <v>105</v>
      </c>
      <c r="J98" s="204" t="s">
        <v>585</v>
      </c>
      <c r="K98" s="206">
        <v>105</v>
      </c>
      <c r="L98" s="193">
        <v>1</v>
      </c>
      <c r="M98" s="193">
        <v>676</v>
      </c>
      <c r="N98" s="206">
        <v>4</v>
      </c>
      <c r="O98" s="204" t="s">
        <v>585</v>
      </c>
      <c r="P98" s="204">
        <v>16282</v>
      </c>
      <c r="Q98" s="204">
        <v>114</v>
      </c>
      <c r="R98" s="204">
        <v>1</v>
      </c>
      <c r="S98" s="204" t="s">
        <v>585</v>
      </c>
      <c r="T98" s="204" t="s">
        <v>585</v>
      </c>
      <c r="U98" s="206">
        <v>16401</v>
      </c>
      <c r="V98" s="203">
        <v>69</v>
      </c>
      <c r="W98" s="204">
        <v>68</v>
      </c>
      <c r="X98" s="202">
        <v>137</v>
      </c>
      <c r="Y98" s="206">
        <v>1571</v>
      </c>
      <c r="Z98" s="204">
        <v>6</v>
      </c>
      <c r="AA98" s="204" t="s">
        <v>585</v>
      </c>
      <c r="AB98" s="206">
        <v>1577</v>
      </c>
      <c r="AC98" s="203">
        <v>7</v>
      </c>
      <c r="AD98" s="204" t="s">
        <v>585</v>
      </c>
      <c r="AE98" s="204" t="s">
        <v>585</v>
      </c>
      <c r="AF98" s="202">
        <v>7</v>
      </c>
      <c r="AG98" s="206">
        <v>2</v>
      </c>
      <c r="AH98" s="204">
        <v>5</v>
      </c>
      <c r="AI98" s="204" t="s">
        <v>585</v>
      </c>
      <c r="AJ98" s="204">
        <v>1</v>
      </c>
      <c r="AK98" s="206">
        <v>8</v>
      </c>
      <c r="AL98" s="193" t="s">
        <v>585</v>
      </c>
      <c r="AM98" s="193" t="s">
        <v>585</v>
      </c>
      <c r="AN98" s="206" t="s">
        <v>585</v>
      </c>
      <c r="AO98" s="204" t="s">
        <v>585</v>
      </c>
      <c r="AP98" s="206" t="s">
        <v>585</v>
      </c>
      <c r="AQ98" s="203" t="s">
        <v>585</v>
      </c>
      <c r="AR98" s="204" t="s">
        <v>585</v>
      </c>
      <c r="AS98" s="204" t="s">
        <v>585</v>
      </c>
      <c r="AT98" s="204" t="s">
        <v>585</v>
      </c>
      <c r="AU98" s="204" t="s">
        <v>585</v>
      </c>
      <c r="AV98" s="204" t="s">
        <v>585</v>
      </c>
      <c r="AW98" s="204" t="s">
        <v>585</v>
      </c>
      <c r="AX98" s="202" t="s">
        <v>585</v>
      </c>
      <c r="AY98" s="206">
        <v>1</v>
      </c>
      <c r="AZ98" s="193" t="s">
        <v>585</v>
      </c>
      <c r="BA98" s="206">
        <v>14</v>
      </c>
      <c r="BB98" s="377">
        <v>76</v>
      </c>
      <c r="BC98" s="206">
        <v>128</v>
      </c>
      <c r="BD98" s="206">
        <v>2</v>
      </c>
      <c r="BE98" s="378">
        <v>6</v>
      </c>
      <c r="BF98" s="206">
        <v>226</v>
      </c>
      <c r="BG98" s="193" t="s">
        <v>585</v>
      </c>
      <c r="BH98" s="193" t="s">
        <v>585</v>
      </c>
      <c r="BI98" s="193" t="s">
        <v>585</v>
      </c>
      <c r="BJ98" s="193" t="s">
        <v>585</v>
      </c>
      <c r="BK98" s="206">
        <v>13</v>
      </c>
      <c r="BL98" s="204" t="s">
        <v>585</v>
      </c>
      <c r="BM98" s="206">
        <v>13</v>
      </c>
      <c r="BN98" s="193" t="s">
        <v>585</v>
      </c>
      <c r="BO98" s="206">
        <v>3</v>
      </c>
      <c r="BP98" s="204" t="s">
        <v>585</v>
      </c>
      <c r="BQ98" s="206">
        <v>3</v>
      </c>
      <c r="BR98" s="203">
        <v>9</v>
      </c>
      <c r="BS98" s="204">
        <v>1</v>
      </c>
      <c r="BT98" s="204" t="s">
        <v>585</v>
      </c>
      <c r="BU98" s="204" t="s">
        <v>585</v>
      </c>
      <c r="BV98" s="204" t="s">
        <v>585</v>
      </c>
      <c r="BW98" s="204" t="s">
        <v>585</v>
      </c>
      <c r="BX98" s="204" t="s">
        <v>585</v>
      </c>
      <c r="BY98" s="204" t="s">
        <v>585</v>
      </c>
      <c r="BZ98" s="204" t="s">
        <v>585</v>
      </c>
      <c r="CA98" s="204" t="s">
        <v>585</v>
      </c>
      <c r="CB98" s="204" t="s">
        <v>585</v>
      </c>
      <c r="CC98" s="204" t="s">
        <v>585</v>
      </c>
      <c r="CD98" s="204" t="s">
        <v>585</v>
      </c>
      <c r="CE98" s="204" t="s">
        <v>585</v>
      </c>
      <c r="CF98" s="202">
        <v>10</v>
      </c>
      <c r="CG98" s="206">
        <v>58</v>
      </c>
      <c r="CH98" s="204" t="s">
        <v>585</v>
      </c>
      <c r="CI98" s="206">
        <v>58</v>
      </c>
      <c r="CJ98" s="193" t="s">
        <v>585</v>
      </c>
      <c r="CK98" s="206">
        <v>47113</v>
      </c>
      <c r="CL98" s="204">
        <v>1</v>
      </c>
      <c r="CM98" s="204">
        <v>165577</v>
      </c>
      <c r="CN98" s="204">
        <v>18023</v>
      </c>
      <c r="CO98" s="204" t="s">
        <v>585</v>
      </c>
      <c r="CP98" s="204">
        <v>15</v>
      </c>
      <c r="CQ98" s="204">
        <v>1</v>
      </c>
      <c r="CR98" s="204" t="s">
        <v>585</v>
      </c>
      <c r="CS98" s="204">
        <v>1</v>
      </c>
      <c r="CT98" s="204" t="s">
        <v>585</v>
      </c>
      <c r="CU98" s="204" t="s">
        <v>585</v>
      </c>
      <c r="CV98" s="206">
        <v>230731</v>
      </c>
      <c r="CW98" s="203">
        <v>249</v>
      </c>
      <c r="CX98" s="204">
        <v>2</v>
      </c>
      <c r="CY98" s="204">
        <v>159</v>
      </c>
      <c r="CZ98" s="204">
        <v>1</v>
      </c>
      <c r="DA98" s="204" t="s">
        <v>585</v>
      </c>
      <c r="DB98" s="204" t="s">
        <v>585</v>
      </c>
      <c r="DC98" s="204" t="s">
        <v>585</v>
      </c>
      <c r="DD98" s="202">
        <v>411</v>
      </c>
      <c r="DE98" s="206" t="s">
        <v>585</v>
      </c>
      <c r="DF98" s="203" t="s">
        <v>585</v>
      </c>
      <c r="DG98" s="204" t="s">
        <v>585</v>
      </c>
      <c r="DH98" s="202" t="s">
        <v>585</v>
      </c>
      <c r="DI98" s="206" t="s">
        <v>585</v>
      </c>
      <c r="DJ98" s="204" t="s">
        <v>585</v>
      </c>
      <c r="DK98" s="206" t="s">
        <v>585</v>
      </c>
      <c r="DL98" s="193">
        <v>1</v>
      </c>
      <c r="DM98" s="206" t="s">
        <v>585</v>
      </c>
      <c r="DN98" s="204" t="s">
        <v>585</v>
      </c>
      <c r="DO98" s="206" t="s">
        <v>585</v>
      </c>
      <c r="DP98" s="203">
        <v>23</v>
      </c>
      <c r="DQ98" s="204" t="s">
        <v>585</v>
      </c>
      <c r="DR98" s="202">
        <v>23</v>
      </c>
      <c r="DS98" s="206">
        <v>1</v>
      </c>
      <c r="DT98" s="193" t="s">
        <v>585</v>
      </c>
      <c r="DU98" s="206">
        <v>519</v>
      </c>
      <c r="DV98" s="204" t="s">
        <v>585</v>
      </c>
      <c r="DW98" s="206">
        <v>519</v>
      </c>
      <c r="DX98" s="193" t="s">
        <v>585</v>
      </c>
      <c r="DY98" s="193" t="s">
        <v>585</v>
      </c>
      <c r="DZ98" s="206">
        <v>1</v>
      </c>
      <c r="EA98" s="204">
        <v>10</v>
      </c>
      <c r="EB98" s="204">
        <v>8</v>
      </c>
      <c r="EC98" s="204" t="s">
        <v>585</v>
      </c>
      <c r="ED98" s="204" t="s">
        <v>585</v>
      </c>
      <c r="EE98" s="204" t="s">
        <v>585</v>
      </c>
      <c r="EF98" s="204" t="s">
        <v>585</v>
      </c>
      <c r="EG98" s="206">
        <v>19</v>
      </c>
      <c r="EH98" s="203">
        <v>12</v>
      </c>
      <c r="EI98" s="204">
        <v>209</v>
      </c>
      <c r="EJ98" s="204">
        <v>1</v>
      </c>
      <c r="EK98" s="204">
        <v>1</v>
      </c>
      <c r="EL98" s="204">
        <v>62</v>
      </c>
      <c r="EM98" s="204">
        <v>753</v>
      </c>
      <c r="EN98" s="204">
        <v>9</v>
      </c>
      <c r="EO98" s="204">
        <v>1</v>
      </c>
      <c r="EP98" s="204">
        <v>32</v>
      </c>
      <c r="EQ98" s="204">
        <v>2</v>
      </c>
      <c r="ER98" s="204">
        <v>1</v>
      </c>
      <c r="ES98" s="204" t="s">
        <v>585</v>
      </c>
      <c r="ET98" s="204" t="s">
        <v>585</v>
      </c>
      <c r="EU98" s="202">
        <v>1083</v>
      </c>
      <c r="EV98" s="206" t="s">
        <v>585</v>
      </c>
      <c r="EW98" s="193">
        <v>4</v>
      </c>
      <c r="EX98" s="206" t="s">
        <v>585</v>
      </c>
      <c r="EY98" s="204" t="s">
        <v>585</v>
      </c>
      <c r="EZ98" s="204" t="s">
        <v>585</v>
      </c>
      <c r="FA98" s="206" t="s">
        <v>585</v>
      </c>
      <c r="FB98" s="193" t="s">
        <v>585</v>
      </c>
      <c r="FC98" s="206">
        <v>3</v>
      </c>
      <c r="FD98" s="203">
        <v>7</v>
      </c>
      <c r="FE98" s="204">
        <v>1</v>
      </c>
      <c r="FF98" s="204">
        <v>1</v>
      </c>
      <c r="FG98" s="204" t="s">
        <v>585</v>
      </c>
      <c r="FH98" s="202">
        <v>9</v>
      </c>
      <c r="FI98" s="206" t="s">
        <v>585</v>
      </c>
      <c r="FJ98" s="204" t="s">
        <v>585</v>
      </c>
      <c r="FK98" s="206" t="s">
        <v>585</v>
      </c>
      <c r="FL98" s="203" t="s">
        <v>585</v>
      </c>
      <c r="FM98" s="204" t="s">
        <v>585</v>
      </c>
      <c r="FN98" s="202" t="s">
        <v>585</v>
      </c>
      <c r="FO98" s="206" t="s">
        <v>585</v>
      </c>
      <c r="FP98" s="193">
        <v>14</v>
      </c>
      <c r="FQ98" s="206">
        <v>3</v>
      </c>
      <c r="FR98" s="204" t="s">
        <v>585</v>
      </c>
      <c r="FS98" s="204" t="s">
        <v>585</v>
      </c>
      <c r="FT98" s="206">
        <v>3</v>
      </c>
      <c r="FU98" s="203">
        <v>23</v>
      </c>
      <c r="FV98" s="204">
        <v>4</v>
      </c>
      <c r="FW98" s="202">
        <v>27</v>
      </c>
      <c r="FX98" s="206" t="s">
        <v>585</v>
      </c>
      <c r="FY98" s="203" t="s">
        <v>585</v>
      </c>
      <c r="FZ98" s="204">
        <v>5</v>
      </c>
      <c r="GA98" s="204" t="s">
        <v>585</v>
      </c>
      <c r="GB98" s="202">
        <v>5</v>
      </c>
      <c r="GC98" s="206" t="s">
        <v>585</v>
      </c>
      <c r="GD98" s="203" t="s">
        <v>585</v>
      </c>
      <c r="GE98" s="204" t="s">
        <v>585</v>
      </c>
      <c r="GF98" s="204">
        <v>3</v>
      </c>
      <c r="GG98" s="204" t="s">
        <v>585</v>
      </c>
      <c r="GH98" s="202">
        <v>3</v>
      </c>
      <c r="GI98" s="193">
        <v>252138</v>
      </c>
      <c r="GJ98" s="368">
        <f>252138/45058286</f>
        <v>5.5958187135658026E-3</v>
      </c>
      <c r="GK98" s="382"/>
    </row>
    <row r="99" spans="2:193" ht="12" customHeight="1" x14ac:dyDescent="0.2">
      <c r="B99" s="359" t="s">
        <v>203</v>
      </c>
      <c r="C99" s="203">
        <v>513</v>
      </c>
      <c r="D99" s="204">
        <v>12</v>
      </c>
      <c r="E99" s="204">
        <v>47</v>
      </c>
      <c r="F99" s="204">
        <v>69</v>
      </c>
      <c r="G99" s="202">
        <v>641</v>
      </c>
      <c r="H99" s="193" t="s">
        <v>585</v>
      </c>
      <c r="I99" s="206">
        <v>58</v>
      </c>
      <c r="J99" s="204" t="s">
        <v>585</v>
      </c>
      <c r="K99" s="206">
        <v>58</v>
      </c>
      <c r="L99" s="193" t="s">
        <v>585</v>
      </c>
      <c r="M99" s="193">
        <v>12092</v>
      </c>
      <c r="N99" s="206">
        <v>128</v>
      </c>
      <c r="O99" s="204">
        <v>384</v>
      </c>
      <c r="P99" s="204">
        <v>5464891</v>
      </c>
      <c r="Q99" s="204">
        <v>116829</v>
      </c>
      <c r="R99" s="204">
        <v>437</v>
      </c>
      <c r="S99" s="204">
        <v>57</v>
      </c>
      <c r="T99" s="204">
        <v>9</v>
      </c>
      <c r="U99" s="206">
        <v>5582735</v>
      </c>
      <c r="V99" s="203">
        <v>5193</v>
      </c>
      <c r="W99" s="204">
        <v>2060</v>
      </c>
      <c r="X99" s="202">
        <v>7253</v>
      </c>
      <c r="Y99" s="206">
        <v>73146</v>
      </c>
      <c r="Z99" s="204">
        <v>51</v>
      </c>
      <c r="AA99" s="204">
        <v>410</v>
      </c>
      <c r="AB99" s="206">
        <v>73607</v>
      </c>
      <c r="AC99" s="203">
        <v>873</v>
      </c>
      <c r="AD99" s="204">
        <v>20</v>
      </c>
      <c r="AE99" s="204">
        <v>4</v>
      </c>
      <c r="AF99" s="202">
        <v>897</v>
      </c>
      <c r="AG99" s="206">
        <v>159</v>
      </c>
      <c r="AH99" s="204" t="s">
        <v>585</v>
      </c>
      <c r="AI99" s="204">
        <v>80</v>
      </c>
      <c r="AJ99" s="204">
        <v>1097</v>
      </c>
      <c r="AK99" s="206">
        <v>1336</v>
      </c>
      <c r="AL99" s="193">
        <v>135</v>
      </c>
      <c r="AM99" s="193" t="s">
        <v>585</v>
      </c>
      <c r="AN99" s="206">
        <v>756</v>
      </c>
      <c r="AO99" s="204">
        <v>27</v>
      </c>
      <c r="AP99" s="206">
        <v>783</v>
      </c>
      <c r="AQ99" s="203">
        <v>167</v>
      </c>
      <c r="AR99" s="204">
        <v>38</v>
      </c>
      <c r="AS99" s="204">
        <v>9</v>
      </c>
      <c r="AT99" s="204">
        <v>1</v>
      </c>
      <c r="AU99" s="204">
        <v>2</v>
      </c>
      <c r="AV99" s="204">
        <v>1</v>
      </c>
      <c r="AW99" s="204" t="s">
        <v>585</v>
      </c>
      <c r="AX99" s="202">
        <v>218</v>
      </c>
      <c r="AY99" s="206">
        <v>3</v>
      </c>
      <c r="AZ99" s="193">
        <v>13</v>
      </c>
      <c r="BA99" s="206">
        <v>2655</v>
      </c>
      <c r="BB99" s="377">
        <v>3295</v>
      </c>
      <c r="BC99" s="206">
        <v>5141</v>
      </c>
      <c r="BD99" s="206">
        <v>274</v>
      </c>
      <c r="BE99" s="378">
        <v>329</v>
      </c>
      <c r="BF99" s="206">
        <v>11694</v>
      </c>
      <c r="BG99" s="193">
        <v>1</v>
      </c>
      <c r="BH99" s="193" t="s">
        <v>585</v>
      </c>
      <c r="BI99" s="193">
        <v>353</v>
      </c>
      <c r="BJ99" s="193">
        <v>55</v>
      </c>
      <c r="BK99" s="206">
        <v>42</v>
      </c>
      <c r="BL99" s="204" t="s">
        <v>585</v>
      </c>
      <c r="BM99" s="206">
        <v>42</v>
      </c>
      <c r="BN99" s="193">
        <v>783</v>
      </c>
      <c r="BO99" s="206">
        <v>13</v>
      </c>
      <c r="BP99" s="204" t="s">
        <v>585</v>
      </c>
      <c r="BQ99" s="206">
        <v>13</v>
      </c>
      <c r="BR99" s="203">
        <v>90</v>
      </c>
      <c r="BS99" s="204">
        <v>1568</v>
      </c>
      <c r="BT99" s="204">
        <v>228</v>
      </c>
      <c r="BU99" s="204">
        <v>231</v>
      </c>
      <c r="BV99" s="204">
        <v>22</v>
      </c>
      <c r="BW99" s="204" t="s">
        <v>585</v>
      </c>
      <c r="BX99" s="204">
        <v>49</v>
      </c>
      <c r="BY99" s="204">
        <v>38</v>
      </c>
      <c r="BZ99" s="204">
        <v>270</v>
      </c>
      <c r="CA99" s="204">
        <v>167</v>
      </c>
      <c r="CB99" s="204" t="s">
        <v>585</v>
      </c>
      <c r="CC99" s="204" t="s">
        <v>585</v>
      </c>
      <c r="CD99" s="204">
        <v>2</v>
      </c>
      <c r="CE99" s="204" t="s">
        <v>585</v>
      </c>
      <c r="CF99" s="202">
        <v>2665</v>
      </c>
      <c r="CG99" s="206">
        <v>2038</v>
      </c>
      <c r="CH99" s="204" t="s">
        <v>585</v>
      </c>
      <c r="CI99" s="206">
        <v>2038</v>
      </c>
      <c r="CJ99" s="193">
        <v>3</v>
      </c>
      <c r="CK99" s="206">
        <v>102515</v>
      </c>
      <c r="CL99" s="204">
        <v>337</v>
      </c>
      <c r="CM99" s="204">
        <v>366007</v>
      </c>
      <c r="CN99" s="204">
        <v>248091</v>
      </c>
      <c r="CO99" s="204">
        <v>93</v>
      </c>
      <c r="CP99" s="204">
        <v>177</v>
      </c>
      <c r="CQ99" s="204">
        <v>3287</v>
      </c>
      <c r="CR99" s="204">
        <v>156</v>
      </c>
      <c r="CS99" s="204">
        <v>1042</v>
      </c>
      <c r="CT99" s="204">
        <v>14</v>
      </c>
      <c r="CU99" s="204" t="s">
        <v>585</v>
      </c>
      <c r="CV99" s="206">
        <v>721719</v>
      </c>
      <c r="CW99" s="203">
        <v>22731</v>
      </c>
      <c r="CX99" s="204">
        <v>1262</v>
      </c>
      <c r="CY99" s="204">
        <v>392</v>
      </c>
      <c r="CZ99" s="204">
        <v>1674</v>
      </c>
      <c r="DA99" s="204">
        <v>10</v>
      </c>
      <c r="DB99" s="204">
        <v>148</v>
      </c>
      <c r="DC99" s="204" t="s">
        <v>585</v>
      </c>
      <c r="DD99" s="202">
        <v>26217</v>
      </c>
      <c r="DE99" s="206" t="s">
        <v>585</v>
      </c>
      <c r="DF99" s="203">
        <v>3</v>
      </c>
      <c r="DG99" s="204" t="s">
        <v>585</v>
      </c>
      <c r="DH99" s="202">
        <v>3</v>
      </c>
      <c r="DI99" s="206">
        <v>368</v>
      </c>
      <c r="DJ99" s="204" t="s">
        <v>585</v>
      </c>
      <c r="DK99" s="206">
        <v>368</v>
      </c>
      <c r="DL99" s="193">
        <v>885</v>
      </c>
      <c r="DM99" s="206" t="s">
        <v>585</v>
      </c>
      <c r="DN99" s="204" t="s">
        <v>585</v>
      </c>
      <c r="DO99" s="206" t="s">
        <v>585</v>
      </c>
      <c r="DP99" s="203">
        <v>8067</v>
      </c>
      <c r="DQ99" s="204">
        <v>8</v>
      </c>
      <c r="DR99" s="202">
        <v>8075</v>
      </c>
      <c r="DS99" s="206" t="s">
        <v>585</v>
      </c>
      <c r="DT99" s="193">
        <v>2</v>
      </c>
      <c r="DU99" s="206">
        <v>21554</v>
      </c>
      <c r="DV99" s="204" t="s">
        <v>585</v>
      </c>
      <c r="DW99" s="206">
        <v>21554</v>
      </c>
      <c r="DX99" s="193" t="s">
        <v>585</v>
      </c>
      <c r="DY99" s="193" t="s">
        <v>585</v>
      </c>
      <c r="DZ99" s="206">
        <v>3514</v>
      </c>
      <c r="EA99" s="204">
        <v>128</v>
      </c>
      <c r="EB99" s="204">
        <v>798</v>
      </c>
      <c r="EC99" s="204">
        <v>83</v>
      </c>
      <c r="ED99" s="204">
        <v>1</v>
      </c>
      <c r="EE99" s="204" t="s">
        <v>585</v>
      </c>
      <c r="EF99" s="204" t="s">
        <v>585</v>
      </c>
      <c r="EG99" s="206">
        <v>4524</v>
      </c>
      <c r="EH99" s="203">
        <v>3342</v>
      </c>
      <c r="EI99" s="204">
        <v>374915</v>
      </c>
      <c r="EJ99" s="204">
        <v>117</v>
      </c>
      <c r="EK99" s="204">
        <v>1459</v>
      </c>
      <c r="EL99" s="204">
        <v>6844</v>
      </c>
      <c r="EM99" s="204">
        <v>127085</v>
      </c>
      <c r="EN99" s="204">
        <v>423</v>
      </c>
      <c r="EO99" s="204">
        <v>222</v>
      </c>
      <c r="EP99" s="204">
        <v>1683</v>
      </c>
      <c r="EQ99" s="204">
        <v>108</v>
      </c>
      <c r="ER99" s="204">
        <v>187</v>
      </c>
      <c r="ES99" s="204">
        <v>1</v>
      </c>
      <c r="ET99" s="204">
        <v>7</v>
      </c>
      <c r="EU99" s="202">
        <v>516393</v>
      </c>
      <c r="EV99" s="206" t="s">
        <v>585</v>
      </c>
      <c r="EW99" s="193">
        <v>36</v>
      </c>
      <c r="EX99" s="206">
        <v>354</v>
      </c>
      <c r="EY99" s="204">
        <v>1</v>
      </c>
      <c r="EZ99" s="204">
        <v>78</v>
      </c>
      <c r="FA99" s="206">
        <v>433</v>
      </c>
      <c r="FB99" s="193" t="s">
        <v>585</v>
      </c>
      <c r="FC99" s="206">
        <v>2321</v>
      </c>
      <c r="FD99" s="203">
        <v>6213</v>
      </c>
      <c r="FE99" s="204">
        <v>101</v>
      </c>
      <c r="FF99" s="204">
        <v>635</v>
      </c>
      <c r="FG99" s="204">
        <v>10</v>
      </c>
      <c r="FH99" s="202">
        <v>6959</v>
      </c>
      <c r="FI99" s="206" t="s">
        <v>585</v>
      </c>
      <c r="FJ99" s="204" t="s">
        <v>585</v>
      </c>
      <c r="FK99" s="206" t="s">
        <v>585</v>
      </c>
      <c r="FL99" s="203">
        <v>34</v>
      </c>
      <c r="FM99" s="204">
        <v>24</v>
      </c>
      <c r="FN99" s="202">
        <v>58</v>
      </c>
      <c r="FO99" s="206" t="s">
        <v>585</v>
      </c>
      <c r="FP99" s="193">
        <v>118</v>
      </c>
      <c r="FQ99" s="206">
        <v>220</v>
      </c>
      <c r="FR99" s="204">
        <v>4340</v>
      </c>
      <c r="FS99" s="204">
        <v>597</v>
      </c>
      <c r="FT99" s="206">
        <v>5157</v>
      </c>
      <c r="FU99" s="203">
        <v>150</v>
      </c>
      <c r="FV99" s="204">
        <v>2215</v>
      </c>
      <c r="FW99" s="202">
        <v>2365</v>
      </c>
      <c r="FX99" s="206" t="s">
        <v>585</v>
      </c>
      <c r="FY99" s="203">
        <v>3</v>
      </c>
      <c r="FZ99" s="204">
        <v>5</v>
      </c>
      <c r="GA99" s="204">
        <v>1</v>
      </c>
      <c r="GB99" s="202">
        <v>9</v>
      </c>
      <c r="GC99" s="206">
        <v>885</v>
      </c>
      <c r="GD99" s="203">
        <v>187</v>
      </c>
      <c r="GE99" s="204">
        <v>308</v>
      </c>
      <c r="GF99" s="204">
        <v>1652</v>
      </c>
      <c r="GG99" s="204">
        <v>11</v>
      </c>
      <c r="GH99" s="202">
        <v>2158</v>
      </c>
      <c r="GI99" s="193">
        <v>7017657</v>
      </c>
      <c r="GJ99" s="368">
        <f>7017657/45058286</f>
        <v>0.15574620392795235</v>
      </c>
      <c r="GK99" s="382"/>
    </row>
    <row r="100" spans="2:193" ht="12" customHeight="1" x14ac:dyDescent="0.2">
      <c r="B100" s="359" t="s">
        <v>229</v>
      </c>
      <c r="C100" s="203">
        <v>8</v>
      </c>
      <c r="D100" s="204" t="s">
        <v>585</v>
      </c>
      <c r="E100" s="204" t="s">
        <v>585</v>
      </c>
      <c r="F100" s="204" t="s">
        <v>585</v>
      </c>
      <c r="G100" s="202">
        <v>8</v>
      </c>
      <c r="H100" s="193" t="s">
        <v>585</v>
      </c>
      <c r="I100" s="206">
        <v>133</v>
      </c>
      <c r="J100" s="204" t="s">
        <v>585</v>
      </c>
      <c r="K100" s="206">
        <v>133</v>
      </c>
      <c r="L100" s="193" t="s">
        <v>585</v>
      </c>
      <c r="M100" s="193">
        <v>125</v>
      </c>
      <c r="N100" s="206" t="s">
        <v>585</v>
      </c>
      <c r="O100" s="204" t="s">
        <v>585</v>
      </c>
      <c r="P100" s="204">
        <v>3618</v>
      </c>
      <c r="Q100" s="204">
        <v>107</v>
      </c>
      <c r="R100" s="204" t="s">
        <v>585</v>
      </c>
      <c r="S100" s="204" t="s">
        <v>585</v>
      </c>
      <c r="T100" s="204" t="s">
        <v>585</v>
      </c>
      <c r="U100" s="206">
        <v>3725</v>
      </c>
      <c r="V100" s="203">
        <v>28</v>
      </c>
      <c r="W100" s="204">
        <v>29</v>
      </c>
      <c r="X100" s="202">
        <v>57</v>
      </c>
      <c r="Y100" s="206">
        <v>741</v>
      </c>
      <c r="Z100" s="204">
        <v>5</v>
      </c>
      <c r="AA100" s="204" t="s">
        <v>585</v>
      </c>
      <c r="AB100" s="206">
        <v>746</v>
      </c>
      <c r="AC100" s="203">
        <v>1</v>
      </c>
      <c r="AD100" s="204" t="s">
        <v>585</v>
      </c>
      <c r="AE100" s="204" t="s">
        <v>585</v>
      </c>
      <c r="AF100" s="202">
        <v>1</v>
      </c>
      <c r="AG100" s="206" t="s">
        <v>585</v>
      </c>
      <c r="AH100" s="204" t="s">
        <v>585</v>
      </c>
      <c r="AI100" s="204" t="s">
        <v>585</v>
      </c>
      <c r="AJ100" s="204" t="s">
        <v>585</v>
      </c>
      <c r="AK100" s="206" t="s">
        <v>585</v>
      </c>
      <c r="AL100" s="193" t="s">
        <v>585</v>
      </c>
      <c r="AM100" s="193" t="s">
        <v>585</v>
      </c>
      <c r="AN100" s="206" t="s">
        <v>585</v>
      </c>
      <c r="AO100" s="204" t="s">
        <v>585</v>
      </c>
      <c r="AP100" s="206" t="s">
        <v>585</v>
      </c>
      <c r="AQ100" s="203" t="s">
        <v>585</v>
      </c>
      <c r="AR100" s="204" t="s">
        <v>585</v>
      </c>
      <c r="AS100" s="204" t="s">
        <v>585</v>
      </c>
      <c r="AT100" s="204" t="s">
        <v>585</v>
      </c>
      <c r="AU100" s="204" t="s">
        <v>585</v>
      </c>
      <c r="AV100" s="204" t="s">
        <v>585</v>
      </c>
      <c r="AW100" s="204" t="s">
        <v>585</v>
      </c>
      <c r="AX100" s="202" t="s">
        <v>585</v>
      </c>
      <c r="AY100" s="206" t="s">
        <v>585</v>
      </c>
      <c r="AZ100" s="193">
        <v>1</v>
      </c>
      <c r="BA100" s="206">
        <v>10</v>
      </c>
      <c r="BB100" s="377">
        <v>6</v>
      </c>
      <c r="BC100" s="206">
        <v>56</v>
      </c>
      <c r="BD100" s="206" t="s">
        <v>585</v>
      </c>
      <c r="BE100" s="378" t="s">
        <v>585</v>
      </c>
      <c r="BF100" s="206">
        <v>72</v>
      </c>
      <c r="BG100" s="193" t="s">
        <v>585</v>
      </c>
      <c r="BH100" s="193" t="s">
        <v>585</v>
      </c>
      <c r="BI100" s="193" t="s">
        <v>585</v>
      </c>
      <c r="BJ100" s="193" t="s">
        <v>585</v>
      </c>
      <c r="BK100" s="206">
        <v>1</v>
      </c>
      <c r="BL100" s="204" t="s">
        <v>585</v>
      </c>
      <c r="BM100" s="206">
        <v>1</v>
      </c>
      <c r="BN100" s="193" t="s">
        <v>585</v>
      </c>
      <c r="BO100" s="206">
        <v>3</v>
      </c>
      <c r="BP100" s="204" t="s">
        <v>585</v>
      </c>
      <c r="BQ100" s="206">
        <v>3</v>
      </c>
      <c r="BR100" s="203" t="s">
        <v>585</v>
      </c>
      <c r="BS100" s="204" t="s">
        <v>585</v>
      </c>
      <c r="BT100" s="204" t="s">
        <v>585</v>
      </c>
      <c r="BU100" s="204" t="s">
        <v>585</v>
      </c>
      <c r="BV100" s="204" t="s">
        <v>585</v>
      </c>
      <c r="BW100" s="204" t="s">
        <v>585</v>
      </c>
      <c r="BX100" s="204" t="s">
        <v>585</v>
      </c>
      <c r="BY100" s="204" t="s">
        <v>585</v>
      </c>
      <c r="BZ100" s="204" t="s">
        <v>585</v>
      </c>
      <c r="CA100" s="204" t="s">
        <v>585</v>
      </c>
      <c r="CB100" s="204" t="s">
        <v>585</v>
      </c>
      <c r="CC100" s="204" t="s">
        <v>585</v>
      </c>
      <c r="CD100" s="204" t="s">
        <v>585</v>
      </c>
      <c r="CE100" s="204" t="s">
        <v>585</v>
      </c>
      <c r="CF100" s="202" t="s">
        <v>585</v>
      </c>
      <c r="CG100" s="206">
        <v>10</v>
      </c>
      <c r="CH100" s="204" t="s">
        <v>585</v>
      </c>
      <c r="CI100" s="206">
        <v>10</v>
      </c>
      <c r="CJ100" s="193" t="s">
        <v>585</v>
      </c>
      <c r="CK100" s="206">
        <v>9029</v>
      </c>
      <c r="CL100" s="204" t="s">
        <v>585</v>
      </c>
      <c r="CM100" s="204">
        <v>26406</v>
      </c>
      <c r="CN100" s="204">
        <v>3494</v>
      </c>
      <c r="CO100" s="204" t="s">
        <v>585</v>
      </c>
      <c r="CP100" s="204">
        <v>1</v>
      </c>
      <c r="CQ100" s="204" t="s">
        <v>585</v>
      </c>
      <c r="CR100" s="204" t="s">
        <v>585</v>
      </c>
      <c r="CS100" s="204" t="s">
        <v>585</v>
      </c>
      <c r="CT100" s="204" t="s">
        <v>585</v>
      </c>
      <c r="CU100" s="204" t="s">
        <v>585</v>
      </c>
      <c r="CV100" s="206">
        <v>38930</v>
      </c>
      <c r="CW100" s="203">
        <v>76</v>
      </c>
      <c r="CX100" s="204" t="s">
        <v>585</v>
      </c>
      <c r="CY100" s="204">
        <v>3</v>
      </c>
      <c r="CZ100" s="204" t="s">
        <v>585</v>
      </c>
      <c r="DA100" s="204" t="s">
        <v>585</v>
      </c>
      <c r="DB100" s="204" t="s">
        <v>585</v>
      </c>
      <c r="DC100" s="204" t="s">
        <v>585</v>
      </c>
      <c r="DD100" s="202">
        <v>79</v>
      </c>
      <c r="DE100" s="206" t="s">
        <v>585</v>
      </c>
      <c r="DF100" s="203" t="s">
        <v>585</v>
      </c>
      <c r="DG100" s="204" t="s">
        <v>585</v>
      </c>
      <c r="DH100" s="202" t="s">
        <v>585</v>
      </c>
      <c r="DI100" s="206" t="s">
        <v>585</v>
      </c>
      <c r="DJ100" s="204" t="s">
        <v>585</v>
      </c>
      <c r="DK100" s="206" t="s">
        <v>585</v>
      </c>
      <c r="DL100" s="193">
        <v>1</v>
      </c>
      <c r="DM100" s="206" t="s">
        <v>585</v>
      </c>
      <c r="DN100" s="204" t="s">
        <v>585</v>
      </c>
      <c r="DO100" s="206" t="s">
        <v>585</v>
      </c>
      <c r="DP100" s="203" t="s">
        <v>585</v>
      </c>
      <c r="DQ100" s="204" t="s">
        <v>585</v>
      </c>
      <c r="DR100" s="202" t="s">
        <v>585</v>
      </c>
      <c r="DS100" s="206" t="s">
        <v>585</v>
      </c>
      <c r="DT100" s="193" t="s">
        <v>585</v>
      </c>
      <c r="DU100" s="206">
        <v>25</v>
      </c>
      <c r="DV100" s="204" t="s">
        <v>585</v>
      </c>
      <c r="DW100" s="206">
        <v>25</v>
      </c>
      <c r="DX100" s="193" t="s">
        <v>585</v>
      </c>
      <c r="DY100" s="193" t="s">
        <v>585</v>
      </c>
      <c r="DZ100" s="206" t="s">
        <v>585</v>
      </c>
      <c r="EA100" s="204">
        <v>1</v>
      </c>
      <c r="EB100" s="204">
        <v>2</v>
      </c>
      <c r="EC100" s="204" t="s">
        <v>585</v>
      </c>
      <c r="ED100" s="204" t="s">
        <v>585</v>
      </c>
      <c r="EE100" s="204" t="s">
        <v>585</v>
      </c>
      <c r="EF100" s="204" t="s">
        <v>585</v>
      </c>
      <c r="EG100" s="206">
        <v>3</v>
      </c>
      <c r="EH100" s="203">
        <v>2</v>
      </c>
      <c r="EI100" s="204">
        <v>120</v>
      </c>
      <c r="EJ100" s="204" t="s">
        <v>585</v>
      </c>
      <c r="EK100" s="204">
        <v>1</v>
      </c>
      <c r="EL100" s="204">
        <v>1</v>
      </c>
      <c r="EM100" s="204">
        <v>100</v>
      </c>
      <c r="EN100" s="204" t="s">
        <v>585</v>
      </c>
      <c r="EO100" s="204">
        <v>1</v>
      </c>
      <c r="EP100" s="204" t="s">
        <v>585</v>
      </c>
      <c r="EQ100" s="204" t="s">
        <v>585</v>
      </c>
      <c r="ER100" s="204">
        <v>1</v>
      </c>
      <c r="ES100" s="204" t="s">
        <v>585</v>
      </c>
      <c r="ET100" s="204" t="s">
        <v>585</v>
      </c>
      <c r="EU100" s="202">
        <v>226</v>
      </c>
      <c r="EV100" s="206" t="s">
        <v>585</v>
      </c>
      <c r="EW100" s="193" t="s">
        <v>585</v>
      </c>
      <c r="EX100" s="206" t="s">
        <v>585</v>
      </c>
      <c r="EY100" s="204" t="s">
        <v>585</v>
      </c>
      <c r="EZ100" s="204" t="s">
        <v>585</v>
      </c>
      <c r="FA100" s="206" t="s">
        <v>585</v>
      </c>
      <c r="FB100" s="193" t="s">
        <v>585</v>
      </c>
      <c r="FC100" s="206" t="s">
        <v>585</v>
      </c>
      <c r="FD100" s="203" t="s">
        <v>585</v>
      </c>
      <c r="FE100" s="204" t="s">
        <v>585</v>
      </c>
      <c r="FF100" s="204" t="s">
        <v>585</v>
      </c>
      <c r="FG100" s="204" t="s">
        <v>585</v>
      </c>
      <c r="FH100" s="202" t="s">
        <v>585</v>
      </c>
      <c r="FI100" s="206" t="s">
        <v>585</v>
      </c>
      <c r="FJ100" s="204" t="s">
        <v>585</v>
      </c>
      <c r="FK100" s="206" t="s">
        <v>585</v>
      </c>
      <c r="FL100" s="203" t="s">
        <v>585</v>
      </c>
      <c r="FM100" s="204" t="s">
        <v>585</v>
      </c>
      <c r="FN100" s="202" t="s">
        <v>585</v>
      </c>
      <c r="FO100" s="206" t="s">
        <v>585</v>
      </c>
      <c r="FP100" s="193">
        <v>1</v>
      </c>
      <c r="FQ100" s="206">
        <v>1</v>
      </c>
      <c r="FR100" s="204" t="s">
        <v>585</v>
      </c>
      <c r="FS100" s="204" t="s">
        <v>585</v>
      </c>
      <c r="FT100" s="206">
        <v>1</v>
      </c>
      <c r="FU100" s="203">
        <v>2</v>
      </c>
      <c r="FV100" s="204" t="s">
        <v>585</v>
      </c>
      <c r="FW100" s="202">
        <v>2</v>
      </c>
      <c r="FX100" s="206" t="s">
        <v>585</v>
      </c>
      <c r="FY100" s="203" t="s">
        <v>585</v>
      </c>
      <c r="FZ100" s="204">
        <v>2</v>
      </c>
      <c r="GA100" s="204">
        <v>3</v>
      </c>
      <c r="GB100" s="202">
        <v>5</v>
      </c>
      <c r="GC100" s="206" t="s">
        <v>585</v>
      </c>
      <c r="GD100" s="203" t="s">
        <v>585</v>
      </c>
      <c r="GE100" s="204" t="s">
        <v>585</v>
      </c>
      <c r="GF100" s="204" t="s">
        <v>585</v>
      </c>
      <c r="GG100" s="204" t="s">
        <v>585</v>
      </c>
      <c r="GH100" s="202" t="s">
        <v>585</v>
      </c>
      <c r="GI100" s="193">
        <v>44155</v>
      </c>
      <c r="GJ100" s="368">
        <f>44155/45058286</f>
        <v>9.7995294361618635E-4</v>
      </c>
      <c r="GK100" s="382"/>
    </row>
    <row r="101" spans="2:193" ht="12" customHeight="1" x14ac:dyDescent="0.2">
      <c r="B101" s="359" t="s">
        <v>241</v>
      </c>
      <c r="C101" s="203">
        <v>325</v>
      </c>
      <c r="D101" s="204" t="s">
        <v>585</v>
      </c>
      <c r="E101" s="204" t="s">
        <v>585</v>
      </c>
      <c r="F101" s="204" t="s">
        <v>585</v>
      </c>
      <c r="G101" s="202">
        <v>325</v>
      </c>
      <c r="H101" s="193" t="s">
        <v>585</v>
      </c>
      <c r="I101" s="206">
        <v>695</v>
      </c>
      <c r="J101" s="204" t="s">
        <v>585</v>
      </c>
      <c r="K101" s="206">
        <v>695</v>
      </c>
      <c r="L101" s="193" t="s">
        <v>585</v>
      </c>
      <c r="M101" s="193">
        <v>7904</v>
      </c>
      <c r="N101" s="206">
        <v>3</v>
      </c>
      <c r="O101" s="204" t="s">
        <v>585</v>
      </c>
      <c r="P101" s="204">
        <v>1914</v>
      </c>
      <c r="Q101" s="204">
        <v>72</v>
      </c>
      <c r="R101" s="204" t="s">
        <v>585</v>
      </c>
      <c r="S101" s="204" t="s">
        <v>585</v>
      </c>
      <c r="T101" s="204" t="s">
        <v>585</v>
      </c>
      <c r="U101" s="206">
        <v>1989</v>
      </c>
      <c r="V101" s="203">
        <v>43</v>
      </c>
      <c r="W101" s="204">
        <v>130</v>
      </c>
      <c r="X101" s="202">
        <v>173</v>
      </c>
      <c r="Y101" s="206">
        <v>5247</v>
      </c>
      <c r="Z101" s="204">
        <v>36</v>
      </c>
      <c r="AA101" s="204" t="s">
        <v>585</v>
      </c>
      <c r="AB101" s="206">
        <v>5283</v>
      </c>
      <c r="AC101" s="203">
        <v>3</v>
      </c>
      <c r="AD101" s="204" t="s">
        <v>585</v>
      </c>
      <c r="AE101" s="204" t="s">
        <v>585</v>
      </c>
      <c r="AF101" s="202">
        <v>3</v>
      </c>
      <c r="AG101" s="206">
        <v>3</v>
      </c>
      <c r="AH101" s="204" t="s">
        <v>585</v>
      </c>
      <c r="AI101" s="204" t="s">
        <v>585</v>
      </c>
      <c r="AJ101" s="204" t="s">
        <v>585</v>
      </c>
      <c r="AK101" s="206">
        <v>3</v>
      </c>
      <c r="AL101" s="193" t="s">
        <v>585</v>
      </c>
      <c r="AM101" s="193" t="s">
        <v>585</v>
      </c>
      <c r="AN101" s="206">
        <v>1</v>
      </c>
      <c r="AO101" s="204">
        <v>2</v>
      </c>
      <c r="AP101" s="206">
        <v>3</v>
      </c>
      <c r="AQ101" s="203" t="s">
        <v>585</v>
      </c>
      <c r="AR101" s="204" t="s">
        <v>585</v>
      </c>
      <c r="AS101" s="204" t="s">
        <v>585</v>
      </c>
      <c r="AT101" s="204" t="s">
        <v>585</v>
      </c>
      <c r="AU101" s="204" t="s">
        <v>585</v>
      </c>
      <c r="AV101" s="204">
        <v>8</v>
      </c>
      <c r="AW101" s="204" t="s">
        <v>585</v>
      </c>
      <c r="AX101" s="202">
        <v>8</v>
      </c>
      <c r="AY101" s="206">
        <v>1</v>
      </c>
      <c r="AZ101" s="193" t="s">
        <v>585</v>
      </c>
      <c r="BA101" s="206">
        <v>22</v>
      </c>
      <c r="BB101" s="377">
        <v>42</v>
      </c>
      <c r="BC101" s="206">
        <v>225</v>
      </c>
      <c r="BD101" s="206">
        <v>13</v>
      </c>
      <c r="BE101" s="378">
        <v>8</v>
      </c>
      <c r="BF101" s="206">
        <v>310</v>
      </c>
      <c r="BG101" s="193" t="s">
        <v>585</v>
      </c>
      <c r="BH101" s="193" t="s">
        <v>585</v>
      </c>
      <c r="BI101" s="193" t="s">
        <v>585</v>
      </c>
      <c r="BJ101" s="193" t="s">
        <v>585</v>
      </c>
      <c r="BK101" s="206">
        <v>75</v>
      </c>
      <c r="BL101" s="204">
        <v>1</v>
      </c>
      <c r="BM101" s="206">
        <v>76</v>
      </c>
      <c r="BN101" s="193" t="s">
        <v>585</v>
      </c>
      <c r="BO101" s="206">
        <v>23</v>
      </c>
      <c r="BP101" s="204" t="s">
        <v>585</v>
      </c>
      <c r="BQ101" s="206">
        <v>23</v>
      </c>
      <c r="BR101" s="203">
        <v>84</v>
      </c>
      <c r="BS101" s="204">
        <v>2</v>
      </c>
      <c r="BT101" s="204" t="s">
        <v>585</v>
      </c>
      <c r="BU101" s="204" t="s">
        <v>585</v>
      </c>
      <c r="BV101" s="204" t="s">
        <v>585</v>
      </c>
      <c r="BW101" s="204" t="s">
        <v>585</v>
      </c>
      <c r="BX101" s="204" t="s">
        <v>585</v>
      </c>
      <c r="BY101" s="204" t="s">
        <v>585</v>
      </c>
      <c r="BZ101" s="204" t="s">
        <v>585</v>
      </c>
      <c r="CA101" s="204" t="s">
        <v>585</v>
      </c>
      <c r="CB101" s="204" t="s">
        <v>585</v>
      </c>
      <c r="CC101" s="204" t="s">
        <v>585</v>
      </c>
      <c r="CD101" s="204" t="s">
        <v>585</v>
      </c>
      <c r="CE101" s="204" t="s">
        <v>585</v>
      </c>
      <c r="CF101" s="202">
        <v>86</v>
      </c>
      <c r="CG101" s="206">
        <v>113</v>
      </c>
      <c r="CH101" s="204" t="s">
        <v>585</v>
      </c>
      <c r="CI101" s="206">
        <v>113</v>
      </c>
      <c r="CJ101" s="193">
        <v>3</v>
      </c>
      <c r="CK101" s="206">
        <v>55828</v>
      </c>
      <c r="CL101" s="204" t="s">
        <v>585</v>
      </c>
      <c r="CM101" s="204">
        <v>195539</v>
      </c>
      <c r="CN101" s="204">
        <v>28044</v>
      </c>
      <c r="CO101" s="204" t="s">
        <v>585</v>
      </c>
      <c r="CP101" s="204">
        <v>3</v>
      </c>
      <c r="CQ101" s="204">
        <v>16</v>
      </c>
      <c r="CR101" s="204" t="s">
        <v>585</v>
      </c>
      <c r="CS101" s="204">
        <v>1</v>
      </c>
      <c r="CT101" s="204" t="s">
        <v>585</v>
      </c>
      <c r="CU101" s="204" t="s">
        <v>585</v>
      </c>
      <c r="CV101" s="206">
        <v>279431</v>
      </c>
      <c r="CW101" s="203">
        <v>429</v>
      </c>
      <c r="CX101" s="204">
        <v>2</v>
      </c>
      <c r="CY101" s="204">
        <v>212</v>
      </c>
      <c r="CZ101" s="204" t="s">
        <v>585</v>
      </c>
      <c r="DA101" s="204" t="s">
        <v>585</v>
      </c>
      <c r="DB101" s="204" t="s">
        <v>585</v>
      </c>
      <c r="DC101" s="204" t="s">
        <v>585</v>
      </c>
      <c r="DD101" s="202">
        <v>643</v>
      </c>
      <c r="DE101" s="206" t="s">
        <v>585</v>
      </c>
      <c r="DF101" s="203" t="s">
        <v>585</v>
      </c>
      <c r="DG101" s="204" t="s">
        <v>585</v>
      </c>
      <c r="DH101" s="202" t="s">
        <v>585</v>
      </c>
      <c r="DI101" s="206" t="s">
        <v>585</v>
      </c>
      <c r="DJ101" s="204" t="s">
        <v>585</v>
      </c>
      <c r="DK101" s="206" t="s">
        <v>585</v>
      </c>
      <c r="DL101" s="193">
        <v>6</v>
      </c>
      <c r="DM101" s="206" t="s">
        <v>585</v>
      </c>
      <c r="DN101" s="204" t="s">
        <v>585</v>
      </c>
      <c r="DO101" s="206" t="s">
        <v>585</v>
      </c>
      <c r="DP101" s="203" t="s">
        <v>585</v>
      </c>
      <c r="DQ101" s="204" t="s">
        <v>585</v>
      </c>
      <c r="DR101" s="202" t="s">
        <v>585</v>
      </c>
      <c r="DS101" s="206">
        <v>1</v>
      </c>
      <c r="DT101" s="193" t="s">
        <v>585</v>
      </c>
      <c r="DU101" s="206">
        <v>118</v>
      </c>
      <c r="DV101" s="204" t="s">
        <v>585</v>
      </c>
      <c r="DW101" s="206">
        <v>118</v>
      </c>
      <c r="DX101" s="193" t="s">
        <v>585</v>
      </c>
      <c r="DY101" s="193" t="s">
        <v>585</v>
      </c>
      <c r="DZ101" s="206">
        <v>8</v>
      </c>
      <c r="EA101" s="204">
        <v>59</v>
      </c>
      <c r="EB101" s="204">
        <v>44</v>
      </c>
      <c r="EC101" s="204" t="s">
        <v>585</v>
      </c>
      <c r="ED101" s="204" t="s">
        <v>585</v>
      </c>
      <c r="EE101" s="204" t="s">
        <v>585</v>
      </c>
      <c r="EF101" s="204" t="s">
        <v>585</v>
      </c>
      <c r="EG101" s="206">
        <v>111</v>
      </c>
      <c r="EH101" s="203">
        <v>35</v>
      </c>
      <c r="EI101" s="204">
        <v>86</v>
      </c>
      <c r="EJ101" s="204">
        <v>1</v>
      </c>
      <c r="EK101" s="204">
        <v>5</v>
      </c>
      <c r="EL101" s="204">
        <v>13</v>
      </c>
      <c r="EM101" s="204">
        <v>96</v>
      </c>
      <c r="EN101" s="204">
        <v>17</v>
      </c>
      <c r="EO101" s="204">
        <v>3</v>
      </c>
      <c r="EP101" s="204">
        <v>4</v>
      </c>
      <c r="EQ101" s="204">
        <v>3</v>
      </c>
      <c r="ER101" s="204">
        <v>1</v>
      </c>
      <c r="ES101" s="204" t="s">
        <v>585</v>
      </c>
      <c r="ET101" s="204" t="s">
        <v>585</v>
      </c>
      <c r="EU101" s="202">
        <v>264</v>
      </c>
      <c r="EV101" s="206">
        <v>1</v>
      </c>
      <c r="EW101" s="193" t="s">
        <v>585</v>
      </c>
      <c r="EX101" s="206" t="s">
        <v>585</v>
      </c>
      <c r="EY101" s="204" t="s">
        <v>585</v>
      </c>
      <c r="EZ101" s="204" t="s">
        <v>585</v>
      </c>
      <c r="FA101" s="206" t="s">
        <v>585</v>
      </c>
      <c r="FB101" s="193" t="s">
        <v>585</v>
      </c>
      <c r="FC101" s="206">
        <v>36</v>
      </c>
      <c r="FD101" s="203" t="s">
        <v>585</v>
      </c>
      <c r="FE101" s="204">
        <v>2</v>
      </c>
      <c r="FF101" s="204" t="s">
        <v>585</v>
      </c>
      <c r="FG101" s="204" t="s">
        <v>585</v>
      </c>
      <c r="FH101" s="202">
        <v>2</v>
      </c>
      <c r="FI101" s="206" t="s">
        <v>585</v>
      </c>
      <c r="FJ101" s="204" t="s">
        <v>585</v>
      </c>
      <c r="FK101" s="206" t="s">
        <v>585</v>
      </c>
      <c r="FL101" s="203" t="s">
        <v>585</v>
      </c>
      <c r="FM101" s="204" t="s">
        <v>585</v>
      </c>
      <c r="FN101" s="202" t="s">
        <v>585</v>
      </c>
      <c r="FO101" s="206">
        <v>2</v>
      </c>
      <c r="FP101" s="193">
        <v>11</v>
      </c>
      <c r="FQ101" s="206">
        <v>3</v>
      </c>
      <c r="FR101" s="204" t="s">
        <v>585</v>
      </c>
      <c r="FS101" s="204" t="s">
        <v>585</v>
      </c>
      <c r="FT101" s="206">
        <v>3</v>
      </c>
      <c r="FU101" s="203">
        <v>14</v>
      </c>
      <c r="FV101" s="204" t="s">
        <v>585</v>
      </c>
      <c r="FW101" s="202">
        <v>14</v>
      </c>
      <c r="FX101" s="206" t="s">
        <v>585</v>
      </c>
      <c r="FY101" s="203" t="s">
        <v>585</v>
      </c>
      <c r="FZ101" s="204">
        <v>64</v>
      </c>
      <c r="GA101" s="204" t="s">
        <v>585</v>
      </c>
      <c r="GB101" s="202">
        <v>64</v>
      </c>
      <c r="GC101" s="206">
        <v>1</v>
      </c>
      <c r="GD101" s="203" t="s">
        <v>585</v>
      </c>
      <c r="GE101" s="204" t="s">
        <v>585</v>
      </c>
      <c r="GF101" s="204" t="s">
        <v>585</v>
      </c>
      <c r="GG101" s="204" t="s">
        <v>585</v>
      </c>
      <c r="GH101" s="202" t="s">
        <v>585</v>
      </c>
      <c r="GI101" s="193">
        <v>297706</v>
      </c>
      <c r="GJ101" s="368">
        <f>297706/45058286</f>
        <v>6.6071310391167563E-3</v>
      </c>
      <c r="GK101" s="382"/>
    </row>
    <row r="102" spans="2:193" ht="12.75" customHeight="1" thickBot="1" x14ac:dyDescent="0.25">
      <c r="B102" s="359" t="s">
        <v>243</v>
      </c>
      <c r="C102" s="203">
        <v>368</v>
      </c>
      <c r="D102" s="204">
        <v>15</v>
      </c>
      <c r="E102" s="204">
        <v>68</v>
      </c>
      <c r="F102" s="204">
        <v>30</v>
      </c>
      <c r="G102" s="202">
        <v>481</v>
      </c>
      <c r="H102" s="193" t="s">
        <v>585</v>
      </c>
      <c r="I102" s="206">
        <v>27</v>
      </c>
      <c r="J102" s="204" t="s">
        <v>585</v>
      </c>
      <c r="K102" s="206">
        <v>27</v>
      </c>
      <c r="L102" s="193" t="s">
        <v>585</v>
      </c>
      <c r="M102" s="193">
        <v>38688</v>
      </c>
      <c r="N102" s="206">
        <v>35</v>
      </c>
      <c r="O102" s="204">
        <v>1516</v>
      </c>
      <c r="P102" s="204">
        <v>799809</v>
      </c>
      <c r="Q102" s="204">
        <v>799</v>
      </c>
      <c r="R102" s="204">
        <v>1497</v>
      </c>
      <c r="S102" s="204">
        <v>18</v>
      </c>
      <c r="T102" s="204">
        <v>2</v>
      </c>
      <c r="U102" s="206">
        <v>803676</v>
      </c>
      <c r="V102" s="203">
        <v>926</v>
      </c>
      <c r="W102" s="204">
        <v>695</v>
      </c>
      <c r="X102" s="202">
        <v>1621</v>
      </c>
      <c r="Y102" s="206">
        <v>14796</v>
      </c>
      <c r="Z102" s="204">
        <v>48</v>
      </c>
      <c r="AA102" s="204">
        <v>403</v>
      </c>
      <c r="AB102" s="206">
        <v>15247</v>
      </c>
      <c r="AC102" s="203">
        <v>1328</v>
      </c>
      <c r="AD102" s="204">
        <v>18</v>
      </c>
      <c r="AE102" s="204">
        <v>6</v>
      </c>
      <c r="AF102" s="202">
        <v>1352</v>
      </c>
      <c r="AG102" s="206">
        <v>211</v>
      </c>
      <c r="AH102" s="204" t="s">
        <v>585</v>
      </c>
      <c r="AI102" s="204">
        <v>75</v>
      </c>
      <c r="AJ102" s="204">
        <v>1492</v>
      </c>
      <c r="AK102" s="206">
        <v>1778</v>
      </c>
      <c r="AL102" s="193">
        <v>331</v>
      </c>
      <c r="AM102" s="193" t="s">
        <v>585</v>
      </c>
      <c r="AN102" s="206">
        <v>1416</v>
      </c>
      <c r="AO102" s="204">
        <v>10</v>
      </c>
      <c r="AP102" s="206">
        <v>1426</v>
      </c>
      <c r="AQ102" s="203">
        <v>104</v>
      </c>
      <c r="AR102" s="204">
        <v>24</v>
      </c>
      <c r="AS102" s="204">
        <v>15</v>
      </c>
      <c r="AT102" s="204">
        <v>1</v>
      </c>
      <c r="AU102" s="204">
        <v>22</v>
      </c>
      <c r="AV102" s="204" t="s">
        <v>585</v>
      </c>
      <c r="AW102" s="204" t="s">
        <v>585</v>
      </c>
      <c r="AX102" s="202">
        <v>166</v>
      </c>
      <c r="AY102" s="206">
        <v>1</v>
      </c>
      <c r="AZ102" s="193">
        <v>9</v>
      </c>
      <c r="BA102" s="206">
        <v>18672</v>
      </c>
      <c r="BB102" s="377">
        <v>3804</v>
      </c>
      <c r="BC102" s="206">
        <v>21625</v>
      </c>
      <c r="BD102" s="206">
        <v>110</v>
      </c>
      <c r="BE102" s="378">
        <v>303</v>
      </c>
      <c r="BF102" s="206">
        <v>44514</v>
      </c>
      <c r="BG102" s="193">
        <v>1</v>
      </c>
      <c r="BH102" s="193" t="s">
        <v>585</v>
      </c>
      <c r="BI102" s="193" t="s">
        <v>585</v>
      </c>
      <c r="BJ102" s="193">
        <v>28</v>
      </c>
      <c r="BK102" s="206">
        <v>42</v>
      </c>
      <c r="BL102" s="204" t="s">
        <v>585</v>
      </c>
      <c r="BM102" s="206">
        <v>42</v>
      </c>
      <c r="BN102" s="193">
        <v>3229</v>
      </c>
      <c r="BO102" s="206">
        <v>3</v>
      </c>
      <c r="BP102" s="204">
        <v>2</v>
      </c>
      <c r="BQ102" s="206">
        <v>5</v>
      </c>
      <c r="BR102" s="203">
        <v>46</v>
      </c>
      <c r="BS102" s="204">
        <v>1657</v>
      </c>
      <c r="BT102" s="204">
        <v>612</v>
      </c>
      <c r="BU102" s="204">
        <v>575</v>
      </c>
      <c r="BV102" s="204">
        <v>47</v>
      </c>
      <c r="BW102" s="204" t="s">
        <v>585</v>
      </c>
      <c r="BX102" s="204">
        <v>58</v>
      </c>
      <c r="BY102" s="204">
        <v>220</v>
      </c>
      <c r="BZ102" s="204">
        <v>137</v>
      </c>
      <c r="CA102" s="204">
        <v>610</v>
      </c>
      <c r="CB102" s="204" t="s">
        <v>585</v>
      </c>
      <c r="CC102" s="204" t="s">
        <v>585</v>
      </c>
      <c r="CD102" s="204">
        <v>5</v>
      </c>
      <c r="CE102" s="204">
        <v>18</v>
      </c>
      <c r="CF102" s="202">
        <v>3985</v>
      </c>
      <c r="CG102" s="206">
        <v>177</v>
      </c>
      <c r="CH102" s="204" t="s">
        <v>585</v>
      </c>
      <c r="CI102" s="206">
        <v>177</v>
      </c>
      <c r="CJ102" s="193">
        <v>1</v>
      </c>
      <c r="CK102" s="206">
        <v>70578</v>
      </c>
      <c r="CL102" s="204">
        <v>726</v>
      </c>
      <c r="CM102" s="204">
        <v>187628</v>
      </c>
      <c r="CN102" s="204">
        <v>67256</v>
      </c>
      <c r="CO102" s="204">
        <v>28</v>
      </c>
      <c r="CP102" s="204">
        <v>1394</v>
      </c>
      <c r="CQ102" s="204">
        <v>2738</v>
      </c>
      <c r="CR102" s="204">
        <v>61</v>
      </c>
      <c r="CS102" s="204">
        <v>1354</v>
      </c>
      <c r="CT102" s="204">
        <v>13</v>
      </c>
      <c r="CU102" s="204" t="s">
        <v>585</v>
      </c>
      <c r="CV102" s="206">
        <v>331776</v>
      </c>
      <c r="CW102" s="203">
        <v>17816</v>
      </c>
      <c r="CX102" s="204">
        <v>2781</v>
      </c>
      <c r="CY102" s="204">
        <v>1196</v>
      </c>
      <c r="CZ102" s="204">
        <v>2994</v>
      </c>
      <c r="DA102" s="204">
        <v>33</v>
      </c>
      <c r="DB102" s="204">
        <v>105</v>
      </c>
      <c r="DC102" s="204" t="s">
        <v>585</v>
      </c>
      <c r="DD102" s="202">
        <v>24925</v>
      </c>
      <c r="DE102" s="206" t="s">
        <v>585</v>
      </c>
      <c r="DF102" s="203" t="s">
        <v>585</v>
      </c>
      <c r="DG102" s="204" t="s">
        <v>585</v>
      </c>
      <c r="DH102" s="202" t="s">
        <v>585</v>
      </c>
      <c r="DI102" s="206">
        <v>84</v>
      </c>
      <c r="DJ102" s="204" t="s">
        <v>585</v>
      </c>
      <c r="DK102" s="206">
        <v>84</v>
      </c>
      <c r="DL102" s="193">
        <v>2453</v>
      </c>
      <c r="DM102" s="206" t="s">
        <v>585</v>
      </c>
      <c r="DN102" s="204" t="s">
        <v>585</v>
      </c>
      <c r="DO102" s="206" t="s">
        <v>585</v>
      </c>
      <c r="DP102" s="203">
        <v>11220</v>
      </c>
      <c r="DQ102" s="204">
        <v>1</v>
      </c>
      <c r="DR102" s="202">
        <v>11221</v>
      </c>
      <c r="DS102" s="206">
        <v>9</v>
      </c>
      <c r="DT102" s="193" t="s">
        <v>585</v>
      </c>
      <c r="DU102" s="206">
        <v>19355</v>
      </c>
      <c r="DV102" s="204" t="s">
        <v>585</v>
      </c>
      <c r="DW102" s="206">
        <v>19355</v>
      </c>
      <c r="DX102" s="193" t="s">
        <v>585</v>
      </c>
      <c r="DY102" s="193" t="s">
        <v>585</v>
      </c>
      <c r="DZ102" s="206">
        <v>6903</v>
      </c>
      <c r="EA102" s="204">
        <v>47</v>
      </c>
      <c r="EB102" s="204">
        <v>1994</v>
      </c>
      <c r="EC102" s="204">
        <v>596</v>
      </c>
      <c r="ED102" s="204">
        <v>10</v>
      </c>
      <c r="EE102" s="204" t="s">
        <v>585</v>
      </c>
      <c r="EF102" s="204" t="s">
        <v>585</v>
      </c>
      <c r="EG102" s="206">
        <v>9550</v>
      </c>
      <c r="EH102" s="203">
        <v>4459</v>
      </c>
      <c r="EI102" s="204">
        <v>90992</v>
      </c>
      <c r="EJ102" s="204">
        <v>58</v>
      </c>
      <c r="EK102" s="204">
        <v>1972</v>
      </c>
      <c r="EL102" s="204">
        <v>14245</v>
      </c>
      <c r="EM102" s="204">
        <v>78876</v>
      </c>
      <c r="EN102" s="204">
        <v>2695</v>
      </c>
      <c r="EO102" s="204">
        <v>128</v>
      </c>
      <c r="EP102" s="204">
        <v>7971</v>
      </c>
      <c r="EQ102" s="204">
        <v>84</v>
      </c>
      <c r="ER102" s="204">
        <v>93</v>
      </c>
      <c r="ES102" s="204">
        <v>9</v>
      </c>
      <c r="ET102" s="204">
        <v>13</v>
      </c>
      <c r="EU102" s="202">
        <v>201595</v>
      </c>
      <c r="EV102" s="206" t="s">
        <v>585</v>
      </c>
      <c r="EW102" s="193">
        <v>4</v>
      </c>
      <c r="EX102" s="206">
        <v>560</v>
      </c>
      <c r="EY102" s="204" t="s">
        <v>585</v>
      </c>
      <c r="EZ102" s="204">
        <v>79</v>
      </c>
      <c r="FA102" s="206">
        <v>639</v>
      </c>
      <c r="FB102" s="193">
        <v>2</v>
      </c>
      <c r="FC102" s="206">
        <v>4322</v>
      </c>
      <c r="FD102" s="203">
        <v>8628</v>
      </c>
      <c r="FE102" s="204">
        <v>39</v>
      </c>
      <c r="FF102" s="204">
        <v>1159</v>
      </c>
      <c r="FG102" s="204">
        <v>38</v>
      </c>
      <c r="FH102" s="202">
        <v>9864</v>
      </c>
      <c r="FI102" s="206" t="s">
        <v>585</v>
      </c>
      <c r="FJ102" s="204" t="s">
        <v>585</v>
      </c>
      <c r="FK102" s="206" t="s">
        <v>585</v>
      </c>
      <c r="FL102" s="203">
        <v>6</v>
      </c>
      <c r="FM102" s="204" t="s">
        <v>585</v>
      </c>
      <c r="FN102" s="202">
        <v>6</v>
      </c>
      <c r="FO102" s="206" t="s">
        <v>585</v>
      </c>
      <c r="FP102" s="193">
        <v>146</v>
      </c>
      <c r="FQ102" s="206">
        <v>264</v>
      </c>
      <c r="FR102" s="204">
        <v>4694</v>
      </c>
      <c r="FS102" s="204">
        <v>921</v>
      </c>
      <c r="FT102" s="206">
        <v>5879</v>
      </c>
      <c r="FU102" s="203">
        <v>76</v>
      </c>
      <c r="FV102" s="204">
        <v>4149</v>
      </c>
      <c r="FW102" s="202">
        <v>4225</v>
      </c>
      <c r="FX102" s="206" t="s">
        <v>585</v>
      </c>
      <c r="FY102" s="203">
        <v>30</v>
      </c>
      <c r="FZ102" s="204">
        <v>6</v>
      </c>
      <c r="GA102" s="204" t="s">
        <v>585</v>
      </c>
      <c r="GB102" s="202">
        <v>36</v>
      </c>
      <c r="GC102" s="206">
        <v>649</v>
      </c>
      <c r="GD102" s="203">
        <v>462</v>
      </c>
      <c r="GE102" s="204">
        <v>730</v>
      </c>
      <c r="GF102" s="204">
        <v>3276</v>
      </c>
      <c r="GG102" s="204">
        <v>3</v>
      </c>
      <c r="GH102" s="202">
        <v>4471</v>
      </c>
      <c r="GI102" s="193">
        <v>1547996</v>
      </c>
      <c r="GJ102" s="368">
        <f>1547996/45058286</f>
        <v>3.4355412453993477E-2</v>
      </c>
      <c r="GK102" s="382"/>
    </row>
    <row r="103" spans="2:193" s="76" customFormat="1" ht="12.75" customHeight="1" thickBot="1" x14ac:dyDescent="0.25">
      <c r="B103" s="363" t="s">
        <v>554</v>
      </c>
      <c r="C103" s="266">
        <v>2026</v>
      </c>
      <c r="D103" s="264">
        <v>36</v>
      </c>
      <c r="E103" s="264">
        <v>174</v>
      </c>
      <c r="F103" s="264">
        <v>113</v>
      </c>
      <c r="G103" s="267">
        <v>2349</v>
      </c>
      <c r="H103" s="265" t="s">
        <v>585</v>
      </c>
      <c r="I103" s="263">
        <v>3070</v>
      </c>
      <c r="J103" s="264" t="s">
        <v>585</v>
      </c>
      <c r="K103" s="263">
        <v>3070</v>
      </c>
      <c r="L103" s="265">
        <v>2</v>
      </c>
      <c r="M103" s="265">
        <v>93808</v>
      </c>
      <c r="N103" s="263">
        <v>249</v>
      </c>
      <c r="O103" s="264">
        <v>2107</v>
      </c>
      <c r="P103" s="264">
        <v>6862059</v>
      </c>
      <c r="Q103" s="264">
        <v>126852</v>
      </c>
      <c r="R103" s="264">
        <v>2019</v>
      </c>
      <c r="S103" s="264">
        <v>77</v>
      </c>
      <c r="T103" s="264">
        <v>12</v>
      </c>
      <c r="U103" s="263">
        <v>6993375</v>
      </c>
      <c r="V103" s="266">
        <v>25824</v>
      </c>
      <c r="W103" s="264">
        <v>31231</v>
      </c>
      <c r="X103" s="267">
        <v>57055</v>
      </c>
      <c r="Y103" s="263">
        <v>2203625</v>
      </c>
      <c r="Z103" s="264">
        <v>1243</v>
      </c>
      <c r="AA103" s="264">
        <v>901</v>
      </c>
      <c r="AB103" s="263">
        <v>2205769</v>
      </c>
      <c r="AC103" s="266">
        <v>2761</v>
      </c>
      <c r="AD103" s="264">
        <v>45</v>
      </c>
      <c r="AE103" s="264">
        <v>10</v>
      </c>
      <c r="AF103" s="267">
        <v>2816</v>
      </c>
      <c r="AG103" s="263">
        <v>581</v>
      </c>
      <c r="AH103" s="264">
        <v>5</v>
      </c>
      <c r="AI103" s="264">
        <v>213</v>
      </c>
      <c r="AJ103" s="264">
        <v>3215</v>
      </c>
      <c r="AK103" s="263">
        <v>4014</v>
      </c>
      <c r="AL103" s="265">
        <v>684</v>
      </c>
      <c r="AM103" s="265" t="s">
        <v>585</v>
      </c>
      <c r="AN103" s="263">
        <v>2954</v>
      </c>
      <c r="AO103" s="264">
        <v>48</v>
      </c>
      <c r="AP103" s="263">
        <v>3002</v>
      </c>
      <c r="AQ103" s="266">
        <v>298</v>
      </c>
      <c r="AR103" s="264">
        <v>62</v>
      </c>
      <c r="AS103" s="264">
        <v>35</v>
      </c>
      <c r="AT103" s="264">
        <v>3</v>
      </c>
      <c r="AU103" s="264">
        <v>39</v>
      </c>
      <c r="AV103" s="264">
        <v>10</v>
      </c>
      <c r="AW103" s="264">
        <v>10</v>
      </c>
      <c r="AX103" s="267">
        <v>457</v>
      </c>
      <c r="AY103" s="263">
        <v>16</v>
      </c>
      <c r="AZ103" s="265">
        <v>38</v>
      </c>
      <c r="BA103" s="263">
        <v>68966</v>
      </c>
      <c r="BB103" s="379">
        <v>30730</v>
      </c>
      <c r="BC103" s="263">
        <v>75250</v>
      </c>
      <c r="BD103" s="263">
        <v>586</v>
      </c>
      <c r="BE103" s="380">
        <v>1246</v>
      </c>
      <c r="BF103" s="263">
        <v>176778</v>
      </c>
      <c r="BG103" s="265">
        <v>10</v>
      </c>
      <c r="BH103" s="265" t="s">
        <v>585</v>
      </c>
      <c r="BI103" s="265">
        <v>353</v>
      </c>
      <c r="BJ103" s="265">
        <v>144</v>
      </c>
      <c r="BK103" s="263">
        <v>308</v>
      </c>
      <c r="BL103" s="264">
        <v>1</v>
      </c>
      <c r="BM103" s="263">
        <v>309</v>
      </c>
      <c r="BN103" s="265">
        <v>5492</v>
      </c>
      <c r="BO103" s="263">
        <v>423</v>
      </c>
      <c r="BP103" s="264">
        <v>4</v>
      </c>
      <c r="BQ103" s="263">
        <v>427</v>
      </c>
      <c r="BR103" s="266">
        <v>366</v>
      </c>
      <c r="BS103" s="264">
        <v>4182</v>
      </c>
      <c r="BT103" s="264">
        <v>1019</v>
      </c>
      <c r="BU103" s="264">
        <v>1167</v>
      </c>
      <c r="BV103" s="264">
        <v>69</v>
      </c>
      <c r="BW103" s="264" t="s">
        <v>585</v>
      </c>
      <c r="BX103" s="264">
        <v>124</v>
      </c>
      <c r="BY103" s="264">
        <v>320</v>
      </c>
      <c r="BZ103" s="264">
        <v>487</v>
      </c>
      <c r="CA103" s="264">
        <v>950</v>
      </c>
      <c r="CB103" s="264" t="s">
        <v>585</v>
      </c>
      <c r="CC103" s="264" t="s">
        <v>585</v>
      </c>
      <c r="CD103" s="264">
        <v>7</v>
      </c>
      <c r="CE103" s="264">
        <v>26</v>
      </c>
      <c r="CF103" s="267">
        <v>8717</v>
      </c>
      <c r="CG103" s="263">
        <v>247926</v>
      </c>
      <c r="CH103" s="264" t="s">
        <v>585</v>
      </c>
      <c r="CI103" s="263">
        <v>247926</v>
      </c>
      <c r="CJ103" s="265">
        <v>10</v>
      </c>
      <c r="CK103" s="263">
        <v>412225</v>
      </c>
      <c r="CL103" s="264">
        <v>1480</v>
      </c>
      <c r="CM103" s="264">
        <v>1326267</v>
      </c>
      <c r="CN103" s="264">
        <v>541893</v>
      </c>
      <c r="CO103" s="264">
        <v>129</v>
      </c>
      <c r="CP103" s="264">
        <v>2050</v>
      </c>
      <c r="CQ103" s="264">
        <v>7400</v>
      </c>
      <c r="CR103" s="264">
        <v>236</v>
      </c>
      <c r="CS103" s="264">
        <v>4167</v>
      </c>
      <c r="CT103" s="264">
        <v>79</v>
      </c>
      <c r="CU103" s="264" t="s">
        <v>585</v>
      </c>
      <c r="CV103" s="263">
        <v>2295926</v>
      </c>
      <c r="CW103" s="266">
        <v>90678</v>
      </c>
      <c r="CX103" s="264">
        <v>5424</v>
      </c>
      <c r="CY103" s="264">
        <v>2563</v>
      </c>
      <c r="CZ103" s="264">
        <v>5348</v>
      </c>
      <c r="DA103" s="264">
        <v>58</v>
      </c>
      <c r="DB103" s="264">
        <v>390</v>
      </c>
      <c r="DC103" s="264" t="s">
        <v>585</v>
      </c>
      <c r="DD103" s="267">
        <v>104461</v>
      </c>
      <c r="DE103" s="263" t="s">
        <v>585</v>
      </c>
      <c r="DF103" s="266">
        <v>57</v>
      </c>
      <c r="DG103" s="264">
        <v>3</v>
      </c>
      <c r="DH103" s="267">
        <v>60</v>
      </c>
      <c r="DI103" s="263">
        <v>693</v>
      </c>
      <c r="DJ103" s="264" t="s">
        <v>585</v>
      </c>
      <c r="DK103" s="263">
        <v>693</v>
      </c>
      <c r="DL103" s="265">
        <v>3456</v>
      </c>
      <c r="DM103" s="263">
        <v>2</v>
      </c>
      <c r="DN103" s="264" t="s">
        <v>585</v>
      </c>
      <c r="DO103" s="263">
        <v>2</v>
      </c>
      <c r="DP103" s="266">
        <v>24939</v>
      </c>
      <c r="DQ103" s="264">
        <v>14</v>
      </c>
      <c r="DR103" s="267">
        <v>24953</v>
      </c>
      <c r="DS103" s="263">
        <v>83</v>
      </c>
      <c r="DT103" s="265">
        <v>3</v>
      </c>
      <c r="DU103" s="263">
        <v>63149</v>
      </c>
      <c r="DV103" s="264">
        <v>1</v>
      </c>
      <c r="DW103" s="263">
        <v>63150</v>
      </c>
      <c r="DX103" s="265" t="s">
        <v>585</v>
      </c>
      <c r="DY103" s="265" t="s">
        <v>585</v>
      </c>
      <c r="DZ103" s="263">
        <v>12797</v>
      </c>
      <c r="EA103" s="264">
        <v>444</v>
      </c>
      <c r="EB103" s="264">
        <v>3647</v>
      </c>
      <c r="EC103" s="264">
        <v>683</v>
      </c>
      <c r="ED103" s="264">
        <v>12</v>
      </c>
      <c r="EE103" s="264" t="s">
        <v>585</v>
      </c>
      <c r="EF103" s="264">
        <v>1</v>
      </c>
      <c r="EG103" s="263">
        <v>17584</v>
      </c>
      <c r="EH103" s="266">
        <v>8640</v>
      </c>
      <c r="EI103" s="264">
        <v>482055</v>
      </c>
      <c r="EJ103" s="264">
        <v>188</v>
      </c>
      <c r="EK103" s="264">
        <v>3636</v>
      </c>
      <c r="EL103" s="264">
        <v>21995</v>
      </c>
      <c r="EM103" s="264">
        <v>240409</v>
      </c>
      <c r="EN103" s="264">
        <v>3476</v>
      </c>
      <c r="EO103" s="264">
        <v>414</v>
      </c>
      <c r="EP103" s="264">
        <v>10240</v>
      </c>
      <c r="EQ103" s="264">
        <v>238</v>
      </c>
      <c r="ER103" s="264">
        <v>297</v>
      </c>
      <c r="ES103" s="264">
        <v>10</v>
      </c>
      <c r="ET103" s="264">
        <v>72</v>
      </c>
      <c r="EU103" s="267">
        <v>771670</v>
      </c>
      <c r="EV103" s="263">
        <v>1</v>
      </c>
      <c r="EW103" s="265">
        <v>45</v>
      </c>
      <c r="EX103" s="263">
        <v>1143</v>
      </c>
      <c r="EY103" s="264">
        <v>9</v>
      </c>
      <c r="EZ103" s="264">
        <v>224</v>
      </c>
      <c r="FA103" s="263">
        <v>1376</v>
      </c>
      <c r="FB103" s="265">
        <v>7</v>
      </c>
      <c r="FC103" s="263">
        <v>8152</v>
      </c>
      <c r="FD103" s="266">
        <v>22784</v>
      </c>
      <c r="FE103" s="264">
        <v>177</v>
      </c>
      <c r="FF103" s="264">
        <v>2522</v>
      </c>
      <c r="FG103" s="264">
        <v>73</v>
      </c>
      <c r="FH103" s="267">
        <v>25556</v>
      </c>
      <c r="FI103" s="263">
        <v>2</v>
      </c>
      <c r="FJ103" s="264" t="s">
        <v>585</v>
      </c>
      <c r="FK103" s="263">
        <v>2</v>
      </c>
      <c r="FL103" s="266">
        <v>42</v>
      </c>
      <c r="FM103" s="264">
        <v>24</v>
      </c>
      <c r="FN103" s="267">
        <v>66</v>
      </c>
      <c r="FO103" s="263">
        <v>3</v>
      </c>
      <c r="FP103" s="265">
        <v>2652</v>
      </c>
      <c r="FQ103" s="263">
        <v>592</v>
      </c>
      <c r="FR103" s="264">
        <v>11037</v>
      </c>
      <c r="FS103" s="264">
        <v>1740</v>
      </c>
      <c r="FT103" s="263">
        <v>13369</v>
      </c>
      <c r="FU103" s="266">
        <v>416</v>
      </c>
      <c r="FV103" s="264">
        <v>7339</v>
      </c>
      <c r="FW103" s="267">
        <v>7755</v>
      </c>
      <c r="FX103" s="263" t="s">
        <v>585</v>
      </c>
      <c r="FY103" s="266">
        <v>61</v>
      </c>
      <c r="FZ103" s="264">
        <v>416</v>
      </c>
      <c r="GA103" s="264">
        <v>6</v>
      </c>
      <c r="GB103" s="267">
        <v>483</v>
      </c>
      <c r="GC103" s="263">
        <v>2223</v>
      </c>
      <c r="GD103" s="266">
        <v>666</v>
      </c>
      <c r="GE103" s="264">
        <v>1238</v>
      </c>
      <c r="GF103" s="264">
        <v>5608</v>
      </c>
      <c r="GG103" s="264">
        <v>21</v>
      </c>
      <c r="GH103" s="267">
        <v>7533</v>
      </c>
      <c r="GI103" s="265">
        <v>13157885</v>
      </c>
      <c r="GJ103" s="369">
        <f>13157885/45058286</f>
        <v>0.29201920818736871</v>
      </c>
      <c r="GK103" s="383"/>
    </row>
    <row r="104" spans="2:193" ht="12" customHeight="1" x14ac:dyDescent="0.2">
      <c r="B104" s="359" t="s">
        <v>22</v>
      </c>
      <c r="C104" s="203">
        <v>861</v>
      </c>
      <c r="D104" s="204" t="s">
        <v>585</v>
      </c>
      <c r="E104" s="204" t="s">
        <v>585</v>
      </c>
      <c r="F104" s="204" t="s">
        <v>585</v>
      </c>
      <c r="G104" s="202">
        <v>861</v>
      </c>
      <c r="H104" s="193" t="s">
        <v>585</v>
      </c>
      <c r="I104" s="206">
        <v>9</v>
      </c>
      <c r="J104" s="204">
        <v>3</v>
      </c>
      <c r="K104" s="206">
        <v>12</v>
      </c>
      <c r="L104" s="193" t="s">
        <v>585</v>
      </c>
      <c r="M104" s="193">
        <v>7446</v>
      </c>
      <c r="N104" s="206">
        <v>91</v>
      </c>
      <c r="O104" s="204">
        <v>18</v>
      </c>
      <c r="P104" s="204">
        <v>14289</v>
      </c>
      <c r="Q104" s="204">
        <v>172</v>
      </c>
      <c r="R104" s="204">
        <v>820</v>
      </c>
      <c r="S104" s="204">
        <v>9</v>
      </c>
      <c r="T104" s="204" t="s">
        <v>585</v>
      </c>
      <c r="U104" s="206">
        <v>15399</v>
      </c>
      <c r="V104" s="203">
        <v>67</v>
      </c>
      <c r="W104" s="204">
        <v>432</v>
      </c>
      <c r="X104" s="202">
        <v>499</v>
      </c>
      <c r="Y104" s="206">
        <v>1022</v>
      </c>
      <c r="Z104" s="204">
        <v>21</v>
      </c>
      <c r="AA104" s="204" t="s">
        <v>585</v>
      </c>
      <c r="AB104" s="206">
        <v>1043</v>
      </c>
      <c r="AC104" s="203">
        <v>54792</v>
      </c>
      <c r="AD104" s="204">
        <v>50</v>
      </c>
      <c r="AE104" s="204">
        <v>6</v>
      </c>
      <c r="AF104" s="202">
        <v>54848</v>
      </c>
      <c r="AG104" s="206">
        <v>1332</v>
      </c>
      <c r="AH104" s="204" t="s">
        <v>585</v>
      </c>
      <c r="AI104" s="204" t="s">
        <v>585</v>
      </c>
      <c r="AJ104" s="204" t="s">
        <v>585</v>
      </c>
      <c r="AK104" s="206">
        <v>1332</v>
      </c>
      <c r="AL104" s="193" t="s">
        <v>585</v>
      </c>
      <c r="AM104" s="193" t="s">
        <v>585</v>
      </c>
      <c r="AN104" s="206">
        <v>3</v>
      </c>
      <c r="AO104" s="204">
        <v>5</v>
      </c>
      <c r="AP104" s="206">
        <v>8</v>
      </c>
      <c r="AQ104" s="203">
        <v>1023</v>
      </c>
      <c r="AR104" s="204">
        <v>2</v>
      </c>
      <c r="AS104" s="204">
        <v>161</v>
      </c>
      <c r="AT104" s="204" t="s">
        <v>585</v>
      </c>
      <c r="AU104" s="204" t="s">
        <v>585</v>
      </c>
      <c r="AV104" s="204">
        <v>13</v>
      </c>
      <c r="AW104" s="204" t="s">
        <v>585</v>
      </c>
      <c r="AX104" s="202">
        <v>1199</v>
      </c>
      <c r="AY104" s="206">
        <v>1</v>
      </c>
      <c r="AZ104" s="193">
        <v>45</v>
      </c>
      <c r="BA104" s="206">
        <v>296</v>
      </c>
      <c r="BB104" s="377">
        <v>2726</v>
      </c>
      <c r="BC104" s="206">
        <v>2258</v>
      </c>
      <c r="BD104" s="206">
        <v>660</v>
      </c>
      <c r="BE104" s="378">
        <v>233</v>
      </c>
      <c r="BF104" s="206">
        <v>6173</v>
      </c>
      <c r="BG104" s="193" t="s">
        <v>585</v>
      </c>
      <c r="BH104" s="193" t="s">
        <v>585</v>
      </c>
      <c r="BI104" s="193">
        <v>3</v>
      </c>
      <c r="BJ104" s="193">
        <v>3</v>
      </c>
      <c r="BK104" s="206">
        <v>89</v>
      </c>
      <c r="BL104" s="204" t="s">
        <v>585</v>
      </c>
      <c r="BM104" s="206">
        <v>89</v>
      </c>
      <c r="BN104" s="193" t="s">
        <v>585</v>
      </c>
      <c r="BO104" s="206">
        <v>4</v>
      </c>
      <c r="BP104" s="204">
        <v>22</v>
      </c>
      <c r="BQ104" s="206">
        <v>26</v>
      </c>
      <c r="BR104" s="203">
        <v>51</v>
      </c>
      <c r="BS104" s="204">
        <v>250</v>
      </c>
      <c r="BT104" s="204" t="s">
        <v>585</v>
      </c>
      <c r="BU104" s="204">
        <v>2</v>
      </c>
      <c r="BV104" s="204" t="s">
        <v>585</v>
      </c>
      <c r="BW104" s="204">
        <v>1</v>
      </c>
      <c r="BX104" s="204" t="s">
        <v>585</v>
      </c>
      <c r="BY104" s="204" t="s">
        <v>585</v>
      </c>
      <c r="BZ104" s="204" t="s">
        <v>585</v>
      </c>
      <c r="CA104" s="204" t="s">
        <v>585</v>
      </c>
      <c r="CB104" s="204" t="s">
        <v>585</v>
      </c>
      <c r="CC104" s="204" t="s">
        <v>585</v>
      </c>
      <c r="CD104" s="204" t="s">
        <v>585</v>
      </c>
      <c r="CE104" s="204" t="s">
        <v>585</v>
      </c>
      <c r="CF104" s="202">
        <v>304</v>
      </c>
      <c r="CG104" s="206">
        <v>1</v>
      </c>
      <c r="CH104" s="204" t="s">
        <v>585</v>
      </c>
      <c r="CI104" s="206">
        <v>1</v>
      </c>
      <c r="CJ104" s="193" t="s">
        <v>585</v>
      </c>
      <c r="CK104" s="206">
        <v>81417</v>
      </c>
      <c r="CL104" s="204" t="s">
        <v>585</v>
      </c>
      <c r="CM104" s="204">
        <v>332134</v>
      </c>
      <c r="CN104" s="204">
        <v>44024</v>
      </c>
      <c r="CO104" s="204">
        <v>2228</v>
      </c>
      <c r="CP104" s="204">
        <v>8</v>
      </c>
      <c r="CQ104" s="204">
        <v>64</v>
      </c>
      <c r="CR104" s="204">
        <v>2</v>
      </c>
      <c r="CS104" s="204">
        <v>32</v>
      </c>
      <c r="CT104" s="204" t="s">
        <v>585</v>
      </c>
      <c r="CU104" s="204" t="s">
        <v>585</v>
      </c>
      <c r="CV104" s="206">
        <v>459909</v>
      </c>
      <c r="CW104" s="203">
        <v>6381</v>
      </c>
      <c r="CX104" s="204">
        <v>18</v>
      </c>
      <c r="CY104" s="204">
        <v>2749</v>
      </c>
      <c r="CZ104" s="204">
        <v>20</v>
      </c>
      <c r="DA104" s="204">
        <v>106</v>
      </c>
      <c r="DB104" s="204">
        <v>11</v>
      </c>
      <c r="DC104" s="204">
        <v>3</v>
      </c>
      <c r="DD104" s="202">
        <v>9288</v>
      </c>
      <c r="DE104" s="206" t="s">
        <v>585</v>
      </c>
      <c r="DF104" s="203" t="s">
        <v>585</v>
      </c>
      <c r="DG104" s="204" t="s">
        <v>585</v>
      </c>
      <c r="DH104" s="202" t="s">
        <v>585</v>
      </c>
      <c r="DI104" s="206" t="s">
        <v>585</v>
      </c>
      <c r="DJ104" s="204" t="s">
        <v>585</v>
      </c>
      <c r="DK104" s="206" t="s">
        <v>585</v>
      </c>
      <c r="DL104" s="193">
        <v>144</v>
      </c>
      <c r="DM104" s="206" t="s">
        <v>585</v>
      </c>
      <c r="DN104" s="204" t="s">
        <v>585</v>
      </c>
      <c r="DO104" s="206" t="s">
        <v>585</v>
      </c>
      <c r="DP104" s="203">
        <v>21</v>
      </c>
      <c r="DQ104" s="204">
        <v>9</v>
      </c>
      <c r="DR104" s="202">
        <v>30</v>
      </c>
      <c r="DS104" s="206">
        <v>283</v>
      </c>
      <c r="DT104" s="193" t="s">
        <v>585</v>
      </c>
      <c r="DU104" s="206">
        <v>764</v>
      </c>
      <c r="DV104" s="204" t="s">
        <v>585</v>
      </c>
      <c r="DW104" s="206">
        <v>764</v>
      </c>
      <c r="DX104" s="193" t="s">
        <v>585</v>
      </c>
      <c r="DY104" s="193" t="s">
        <v>585</v>
      </c>
      <c r="DZ104" s="206">
        <v>1874</v>
      </c>
      <c r="EA104" s="204">
        <v>21</v>
      </c>
      <c r="EB104" s="204">
        <v>91</v>
      </c>
      <c r="EC104" s="204" t="s">
        <v>585</v>
      </c>
      <c r="ED104" s="204" t="s">
        <v>585</v>
      </c>
      <c r="EE104" s="204" t="s">
        <v>585</v>
      </c>
      <c r="EF104" s="204">
        <v>2</v>
      </c>
      <c r="EG104" s="206">
        <v>1988</v>
      </c>
      <c r="EH104" s="203">
        <v>2508</v>
      </c>
      <c r="EI104" s="204">
        <v>2097</v>
      </c>
      <c r="EJ104" s="204">
        <v>342</v>
      </c>
      <c r="EK104" s="204">
        <v>608</v>
      </c>
      <c r="EL104" s="204">
        <v>2823</v>
      </c>
      <c r="EM104" s="204">
        <v>2517</v>
      </c>
      <c r="EN104" s="204">
        <v>1057</v>
      </c>
      <c r="EO104" s="204">
        <v>285</v>
      </c>
      <c r="EP104" s="204">
        <v>1922</v>
      </c>
      <c r="EQ104" s="204">
        <v>533</v>
      </c>
      <c r="ER104" s="204">
        <v>109</v>
      </c>
      <c r="ES104" s="204">
        <v>1</v>
      </c>
      <c r="ET104" s="204" t="s">
        <v>585</v>
      </c>
      <c r="EU104" s="202">
        <v>14802</v>
      </c>
      <c r="EV104" s="206" t="s">
        <v>585</v>
      </c>
      <c r="EW104" s="193">
        <v>55</v>
      </c>
      <c r="EX104" s="206" t="s">
        <v>585</v>
      </c>
      <c r="EY104" s="204">
        <v>4</v>
      </c>
      <c r="EZ104" s="204" t="s">
        <v>585</v>
      </c>
      <c r="FA104" s="206">
        <v>4</v>
      </c>
      <c r="FB104" s="193" t="s">
        <v>585</v>
      </c>
      <c r="FC104" s="206">
        <v>1</v>
      </c>
      <c r="FD104" s="203" t="s">
        <v>585</v>
      </c>
      <c r="FE104" s="204">
        <v>22</v>
      </c>
      <c r="FF104" s="204" t="s">
        <v>585</v>
      </c>
      <c r="FG104" s="204" t="s">
        <v>585</v>
      </c>
      <c r="FH104" s="202">
        <v>22</v>
      </c>
      <c r="FI104" s="206">
        <v>1</v>
      </c>
      <c r="FJ104" s="204" t="s">
        <v>585</v>
      </c>
      <c r="FK104" s="206">
        <v>1</v>
      </c>
      <c r="FL104" s="203" t="s">
        <v>585</v>
      </c>
      <c r="FM104" s="204" t="s">
        <v>585</v>
      </c>
      <c r="FN104" s="202" t="s">
        <v>585</v>
      </c>
      <c r="FO104" s="206" t="s">
        <v>585</v>
      </c>
      <c r="FP104" s="193">
        <v>1202</v>
      </c>
      <c r="FQ104" s="206">
        <v>24</v>
      </c>
      <c r="FR104" s="204" t="s">
        <v>585</v>
      </c>
      <c r="FS104" s="204" t="s">
        <v>585</v>
      </c>
      <c r="FT104" s="206">
        <v>24</v>
      </c>
      <c r="FU104" s="203">
        <v>259</v>
      </c>
      <c r="FV104" s="204">
        <v>2</v>
      </c>
      <c r="FW104" s="202">
        <v>261</v>
      </c>
      <c r="FX104" s="206" t="s">
        <v>585</v>
      </c>
      <c r="FY104" s="203" t="s">
        <v>585</v>
      </c>
      <c r="FZ104" s="204">
        <v>2</v>
      </c>
      <c r="GA104" s="204" t="s">
        <v>585</v>
      </c>
      <c r="GB104" s="202">
        <v>2</v>
      </c>
      <c r="GC104" s="206">
        <v>2</v>
      </c>
      <c r="GD104" s="203" t="s">
        <v>585</v>
      </c>
      <c r="GE104" s="204" t="s">
        <v>585</v>
      </c>
      <c r="GF104" s="204" t="s">
        <v>585</v>
      </c>
      <c r="GG104" s="204" t="s">
        <v>585</v>
      </c>
      <c r="GH104" s="202" t="s">
        <v>585</v>
      </c>
      <c r="GI104" s="193">
        <v>578074</v>
      </c>
      <c r="GJ104" s="368">
        <f>578074/45058286</f>
        <v>1.2829471587090552E-2</v>
      </c>
      <c r="GK104" s="382"/>
    </row>
    <row r="105" spans="2:193" ht="12" customHeight="1" x14ac:dyDescent="0.2">
      <c r="B105" s="359" t="s">
        <v>31</v>
      </c>
      <c r="C105" s="203">
        <v>1907</v>
      </c>
      <c r="D105" s="204" t="s">
        <v>585</v>
      </c>
      <c r="E105" s="204" t="s">
        <v>585</v>
      </c>
      <c r="F105" s="204" t="s">
        <v>585</v>
      </c>
      <c r="G105" s="202">
        <v>1907</v>
      </c>
      <c r="H105" s="193" t="s">
        <v>585</v>
      </c>
      <c r="I105" s="206">
        <v>11</v>
      </c>
      <c r="J105" s="204" t="s">
        <v>585</v>
      </c>
      <c r="K105" s="206">
        <v>11</v>
      </c>
      <c r="L105" s="193" t="s">
        <v>585</v>
      </c>
      <c r="M105" s="193">
        <v>4605</v>
      </c>
      <c r="N105" s="206">
        <v>29</v>
      </c>
      <c r="O105" s="204">
        <v>6</v>
      </c>
      <c r="P105" s="204">
        <v>3689</v>
      </c>
      <c r="Q105" s="204">
        <v>80</v>
      </c>
      <c r="R105" s="204">
        <v>1566</v>
      </c>
      <c r="S105" s="204">
        <v>3</v>
      </c>
      <c r="T105" s="204" t="s">
        <v>585</v>
      </c>
      <c r="U105" s="206">
        <v>5373</v>
      </c>
      <c r="V105" s="203">
        <v>71</v>
      </c>
      <c r="W105" s="204">
        <v>51</v>
      </c>
      <c r="X105" s="202">
        <v>122</v>
      </c>
      <c r="Y105" s="206">
        <v>662</v>
      </c>
      <c r="Z105" s="204" t="s">
        <v>585</v>
      </c>
      <c r="AA105" s="204" t="s">
        <v>585</v>
      </c>
      <c r="AB105" s="206">
        <v>662</v>
      </c>
      <c r="AC105" s="203">
        <v>8231</v>
      </c>
      <c r="AD105" s="204">
        <v>15</v>
      </c>
      <c r="AE105" s="204">
        <v>3</v>
      </c>
      <c r="AF105" s="202">
        <v>8249</v>
      </c>
      <c r="AG105" s="206">
        <v>481</v>
      </c>
      <c r="AH105" s="204" t="s">
        <v>585</v>
      </c>
      <c r="AI105" s="204" t="s">
        <v>585</v>
      </c>
      <c r="AJ105" s="204" t="s">
        <v>585</v>
      </c>
      <c r="AK105" s="206">
        <v>481</v>
      </c>
      <c r="AL105" s="193" t="s">
        <v>585</v>
      </c>
      <c r="AM105" s="193" t="s">
        <v>585</v>
      </c>
      <c r="AN105" s="206" t="s">
        <v>585</v>
      </c>
      <c r="AO105" s="204" t="s">
        <v>585</v>
      </c>
      <c r="AP105" s="206" t="s">
        <v>585</v>
      </c>
      <c r="AQ105" s="203">
        <v>69</v>
      </c>
      <c r="AR105" s="204">
        <v>0</v>
      </c>
      <c r="AS105" s="204">
        <v>86</v>
      </c>
      <c r="AT105" s="204" t="s">
        <v>585</v>
      </c>
      <c r="AU105" s="204" t="s">
        <v>585</v>
      </c>
      <c r="AV105" s="204" t="s">
        <v>585</v>
      </c>
      <c r="AW105" s="204" t="s">
        <v>585</v>
      </c>
      <c r="AX105" s="202">
        <v>155</v>
      </c>
      <c r="AY105" s="206">
        <v>2</v>
      </c>
      <c r="AZ105" s="193">
        <v>4</v>
      </c>
      <c r="BA105" s="206">
        <v>66</v>
      </c>
      <c r="BB105" s="377">
        <v>1289</v>
      </c>
      <c r="BC105" s="206">
        <v>701</v>
      </c>
      <c r="BD105" s="206">
        <v>278</v>
      </c>
      <c r="BE105" s="378">
        <v>45</v>
      </c>
      <c r="BF105" s="206">
        <v>2379</v>
      </c>
      <c r="BG105" s="193">
        <v>5</v>
      </c>
      <c r="BH105" s="193" t="s">
        <v>585</v>
      </c>
      <c r="BI105" s="193">
        <v>1</v>
      </c>
      <c r="BJ105" s="193">
        <v>2</v>
      </c>
      <c r="BK105" s="206">
        <v>34</v>
      </c>
      <c r="BL105" s="204" t="s">
        <v>585</v>
      </c>
      <c r="BM105" s="206">
        <v>34</v>
      </c>
      <c r="BN105" s="193" t="s">
        <v>585</v>
      </c>
      <c r="BO105" s="206">
        <v>4</v>
      </c>
      <c r="BP105" s="204">
        <v>6</v>
      </c>
      <c r="BQ105" s="206">
        <v>10</v>
      </c>
      <c r="BR105" s="203">
        <v>32</v>
      </c>
      <c r="BS105" s="204">
        <v>3</v>
      </c>
      <c r="BT105" s="204" t="s">
        <v>585</v>
      </c>
      <c r="BU105" s="204" t="s">
        <v>585</v>
      </c>
      <c r="BV105" s="204" t="s">
        <v>585</v>
      </c>
      <c r="BW105" s="204" t="s">
        <v>585</v>
      </c>
      <c r="BX105" s="204" t="s">
        <v>585</v>
      </c>
      <c r="BY105" s="204" t="s">
        <v>585</v>
      </c>
      <c r="BZ105" s="204" t="s">
        <v>585</v>
      </c>
      <c r="CA105" s="204" t="s">
        <v>585</v>
      </c>
      <c r="CB105" s="204" t="s">
        <v>585</v>
      </c>
      <c r="CC105" s="204" t="s">
        <v>585</v>
      </c>
      <c r="CD105" s="204" t="s">
        <v>585</v>
      </c>
      <c r="CE105" s="204" t="s">
        <v>585</v>
      </c>
      <c r="CF105" s="202">
        <v>35</v>
      </c>
      <c r="CG105" s="206" t="s">
        <v>585</v>
      </c>
      <c r="CH105" s="204" t="s">
        <v>585</v>
      </c>
      <c r="CI105" s="206" t="s">
        <v>585</v>
      </c>
      <c r="CJ105" s="193">
        <v>2</v>
      </c>
      <c r="CK105" s="206">
        <v>8724</v>
      </c>
      <c r="CL105" s="204" t="s">
        <v>585</v>
      </c>
      <c r="CM105" s="204">
        <v>57667</v>
      </c>
      <c r="CN105" s="204">
        <v>19393</v>
      </c>
      <c r="CO105" s="204">
        <v>294</v>
      </c>
      <c r="CP105" s="204" t="s">
        <v>585</v>
      </c>
      <c r="CQ105" s="204">
        <v>2</v>
      </c>
      <c r="CR105" s="204">
        <v>4</v>
      </c>
      <c r="CS105" s="204">
        <v>17</v>
      </c>
      <c r="CT105" s="204" t="s">
        <v>585</v>
      </c>
      <c r="CU105" s="204" t="s">
        <v>585</v>
      </c>
      <c r="CV105" s="206">
        <v>86101</v>
      </c>
      <c r="CW105" s="203">
        <v>1851</v>
      </c>
      <c r="CX105" s="204">
        <v>1</v>
      </c>
      <c r="CY105" s="204">
        <v>625</v>
      </c>
      <c r="CZ105" s="204" t="s">
        <v>585</v>
      </c>
      <c r="DA105" s="204">
        <v>24</v>
      </c>
      <c r="DB105" s="204">
        <v>3</v>
      </c>
      <c r="DC105" s="204" t="s">
        <v>585</v>
      </c>
      <c r="DD105" s="202">
        <v>2504</v>
      </c>
      <c r="DE105" s="206" t="s">
        <v>585</v>
      </c>
      <c r="DF105" s="203" t="s">
        <v>585</v>
      </c>
      <c r="DG105" s="204" t="s">
        <v>585</v>
      </c>
      <c r="DH105" s="202" t="s">
        <v>585</v>
      </c>
      <c r="DI105" s="206" t="s">
        <v>585</v>
      </c>
      <c r="DJ105" s="204" t="s">
        <v>585</v>
      </c>
      <c r="DK105" s="206" t="s">
        <v>585</v>
      </c>
      <c r="DL105" s="193">
        <v>35</v>
      </c>
      <c r="DM105" s="206" t="s">
        <v>585</v>
      </c>
      <c r="DN105" s="204" t="s">
        <v>585</v>
      </c>
      <c r="DO105" s="206" t="s">
        <v>585</v>
      </c>
      <c r="DP105" s="203">
        <v>9</v>
      </c>
      <c r="DQ105" s="204" t="s">
        <v>585</v>
      </c>
      <c r="DR105" s="202">
        <v>9</v>
      </c>
      <c r="DS105" s="206">
        <v>1</v>
      </c>
      <c r="DT105" s="193" t="s">
        <v>585</v>
      </c>
      <c r="DU105" s="206">
        <v>237</v>
      </c>
      <c r="DV105" s="204" t="s">
        <v>585</v>
      </c>
      <c r="DW105" s="206">
        <v>237</v>
      </c>
      <c r="DX105" s="193" t="s">
        <v>585</v>
      </c>
      <c r="DY105" s="193" t="s">
        <v>585</v>
      </c>
      <c r="DZ105" s="206">
        <v>2</v>
      </c>
      <c r="EA105" s="204">
        <v>25</v>
      </c>
      <c r="EB105" s="204">
        <v>17</v>
      </c>
      <c r="EC105" s="204" t="s">
        <v>585</v>
      </c>
      <c r="ED105" s="204" t="s">
        <v>585</v>
      </c>
      <c r="EE105" s="204" t="s">
        <v>585</v>
      </c>
      <c r="EF105" s="204" t="s">
        <v>585</v>
      </c>
      <c r="EG105" s="206">
        <v>44</v>
      </c>
      <c r="EH105" s="203">
        <v>1660</v>
      </c>
      <c r="EI105" s="204">
        <v>1286</v>
      </c>
      <c r="EJ105" s="204">
        <v>121</v>
      </c>
      <c r="EK105" s="204">
        <v>610</v>
      </c>
      <c r="EL105" s="204">
        <v>1405</v>
      </c>
      <c r="EM105" s="204">
        <v>893</v>
      </c>
      <c r="EN105" s="204">
        <v>439</v>
      </c>
      <c r="EO105" s="204">
        <v>125</v>
      </c>
      <c r="EP105" s="204">
        <v>808</v>
      </c>
      <c r="EQ105" s="204">
        <v>145</v>
      </c>
      <c r="ER105" s="204">
        <v>98</v>
      </c>
      <c r="ES105" s="204">
        <v>2</v>
      </c>
      <c r="ET105" s="204" t="s">
        <v>585</v>
      </c>
      <c r="EU105" s="202">
        <v>7592</v>
      </c>
      <c r="EV105" s="206" t="s">
        <v>585</v>
      </c>
      <c r="EW105" s="193" t="s">
        <v>585</v>
      </c>
      <c r="EX105" s="206" t="s">
        <v>585</v>
      </c>
      <c r="EY105" s="204" t="s">
        <v>585</v>
      </c>
      <c r="EZ105" s="204" t="s">
        <v>585</v>
      </c>
      <c r="FA105" s="206" t="s">
        <v>585</v>
      </c>
      <c r="FB105" s="193" t="s">
        <v>585</v>
      </c>
      <c r="FC105" s="206">
        <v>7</v>
      </c>
      <c r="FD105" s="203" t="s">
        <v>585</v>
      </c>
      <c r="FE105" s="204">
        <v>20</v>
      </c>
      <c r="FF105" s="204" t="s">
        <v>585</v>
      </c>
      <c r="FG105" s="204" t="s">
        <v>585</v>
      </c>
      <c r="FH105" s="202">
        <v>20</v>
      </c>
      <c r="FI105" s="206" t="s">
        <v>585</v>
      </c>
      <c r="FJ105" s="204" t="s">
        <v>585</v>
      </c>
      <c r="FK105" s="206" t="s">
        <v>585</v>
      </c>
      <c r="FL105" s="203">
        <v>3</v>
      </c>
      <c r="FM105" s="204" t="s">
        <v>585</v>
      </c>
      <c r="FN105" s="202">
        <v>3</v>
      </c>
      <c r="FO105" s="206" t="s">
        <v>585</v>
      </c>
      <c r="FP105" s="193">
        <v>189</v>
      </c>
      <c r="FQ105" s="206">
        <v>7</v>
      </c>
      <c r="FR105" s="204" t="s">
        <v>585</v>
      </c>
      <c r="FS105" s="204" t="s">
        <v>585</v>
      </c>
      <c r="FT105" s="206">
        <v>7</v>
      </c>
      <c r="FU105" s="203">
        <v>31</v>
      </c>
      <c r="FV105" s="204" t="s">
        <v>585</v>
      </c>
      <c r="FW105" s="202">
        <v>31</v>
      </c>
      <c r="FX105" s="206" t="s">
        <v>585</v>
      </c>
      <c r="FY105" s="203" t="s">
        <v>585</v>
      </c>
      <c r="FZ105" s="204">
        <v>8</v>
      </c>
      <c r="GA105" s="204">
        <v>5</v>
      </c>
      <c r="GB105" s="202">
        <v>13</v>
      </c>
      <c r="GC105" s="206">
        <v>5</v>
      </c>
      <c r="GD105" s="203" t="s">
        <v>585</v>
      </c>
      <c r="GE105" s="204" t="s">
        <v>585</v>
      </c>
      <c r="GF105" s="204" t="s">
        <v>585</v>
      </c>
      <c r="GG105" s="204" t="s">
        <v>585</v>
      </c>
      <c r="GH105" s="202" t="s">
        <v>585</v>
      </c>
      <c r="GI105" s="193">
        <v>120837</v>
      </c>
      <c r="GJ105" s="368">
        <f>120837/45058286</f>
        <v>2.6817930890669032E-3</v>
      </c>
      <c r="GK105" s="382"/>
    </row>
    <row r="106" spans="2:193" ht="12" customHeight="1" x14ac:dyDescent="0.2">
      <c r="B106" s="359" t="s">
        <v>102</v>
      </c>
      <c r="C106" s="203">
        <v>211</v>
      </c>
      <c r="D106" s="204" t="s">
        <v>585</v>
      </c>
      <c r="E106" s="204">
        <v>21</v>
      </c>
      <c r="F106" s="204">
        <v>2</v>
      </c>
      <c r="G106" s="202">
        <v>234</v>
      </c>
      <c r="H106" s="193" t="s">
        <v>585</v>
      </c>
      <c r="I106" s="206">
        <v>17</v>
      </c>
      <c r="J106" s="204" t="s">
        <v>585</v>
      </c>
      <c r="K106" s="206">
        <v>17</v>
      </c>
      <c r="L106" s="193" t="s">
        <v>585</v>
      </c>
      <c r="M106" s="193">
        <v>729</v>
      </c>
      <c r="N106" s="206">
        <v>1</v>
      </c>
      <c r="O106" s="204" t="s">
        <v>585</v>
      </c>
      <c r="P106" s="204">
        <v>1836</v>
      </c>
      <c r="Q106" s="204">
        <v>3</v>
      </c>
      <c r="R106" s="204">
        <v>112</v>
      </c>
      <c r="S106" s="204" t="s">
        <v>585</v>
      </c>
      <c r="T106" s="204" t="s">
        <v>585</v>
      </c>
      <c r="U106" s="206">
        <v>1952</v>
      </c>
      <c r="V106" s="203">
        <v>8</v>
      </c>
      <c r="W106" s="204">
        <v>10</v>
      </c>
      <c r="X106" s="202">
        <v>18</v>
      </c>
      <c r="Y106" s="206">
        <v>492</v>
      </c>
      <c r="Z106" s="204" t="s">
        <v>585</v>
      </c>
      <c r="AA106" s="204" t="s">
        <v>585</v>
      </c>
      <c r="AB106" s="206">
        <v>492</v>
      </c>
      <c r="AC106" s="203">
        <v>617</v>
      </c>
      <c r="AD106" s="204" t="s">
        <v>585</v>
      </c>
      <c r="AE106" s="204" t="s">
        <v>585</v>
      </c>
      <c r="AF106" s="202">
        <v>617</v>
      </c>
      <c r="AG106" s="206">
        <v>62</v>
      </c>
      <c r="AH106" s="204" t="s">
        <v>585</v>
      </c>
      <c r="AI106" s="204" t="s">
        <v>585</v>
      </c>
      <c r="AJ106" s="204" t="s">
        <v>585</v>
      </c>
      <c r="AK106" s="206">
        <v>62</v>
      </c>
      <c r="AL106" s="193" t="s">
        <v>585</v>
      </c>
      <c r="AM106" s="193" t="s">
        <v>585</v>
      </c>
      <c r="AN106" s="206">
        <v>15</v>
      </c>
      <c r="AO106" s="204">
        <v>1</v>
      </c>
      <c r="AP106" s="206">
        <v>16</v>
      </c>
      <c r="AQ106" s="203">
        <v>8</v>
      </c>
      <c r="AR106" s="204" t="s">
        <v>585</v>
      </c>
      <c r="AS106" s="204" t="s">
        <v>585</v>
      </c>
      <c r="AT106" s="204" t="s">
        <v>585</v>
      </c>
      <c r="AU106" s="204" t="s">
        <v>585</v>
      </c>
      <c r="AV106" s="204" t="s">
        <v>585</v>
      </c>
      <c r="AW106" s="204" t="s">
        <v>585</v>
      </c>
      <c r="AX106" s="202">
        <v>8</v>
      </c>
      <c r="AY106" s="206">
        <v>1</v>
      </c>
      <c r="AZ106" s="193" t="s">
        <v>585</v>
      </c>
      <c r="BA106" s="206">
        <v>57</v>
      </c>
      <c r="BB106" s="377">
        <v>9666</v>
      </c>
      <c r="BC106" s="206">
        <v>877</v>
      </c>
      <c r="BD106" s="206">
        <v>108</v>
      </c>
      <c r="BE106" s="378">
        <v>42</v>
      </c>
      <c r="BF106" s="206">
        <v>10750</v>
      </c>
      <c r="BG106" s="193" t="s">
        <v>585</v>
      </c>
      <c r="BH106" s="193" t="s">
        <v>585</v>
      </c>
      <c r="BI106" s="193" t="s">
        <v>585</v>
      </c>
      <c r="BJ106" s="193" t="s">
        <v>585</v>
      </c>
      <c r="BK106" s="206">
        <v>3</v>
      </c>
      <c r="BL106" s="204" t="s">
        <v>585</v>
      </c>
      <c r="BM106" s="206">
        <v>3</v>
      </c>
      <c r="BN106" s="193">
        <v>1</v>
      </c>
      <c r="BO106" s="206">
        <v>4</v>
      </c>
      <c r="BP106" s="204" t="s">
        <v>585</v>
      </c>
      <c r="BQ106" s="206">
        <v>4</v>
      </c>
      <c r="BR106" s="203">
        <v>4</v>
      </c>
      <c r="BS106" s="204">
        <v>6</v>
      </c>
      <c r="BT106" s="204">
        <v>2</v>
      </c>
      <c r="BU106" s="204" t="s">
        <v>585</v>
      </c>
      <c r="BV106" s="204" t="s">
        <v>585</v>
      </c>
      <c r="BW106" s="204" t="s">
        <v>585</v>
      </c>
      <c r="BX106" s="204">
        <v>14</v>
      </c>
      <c r="BY106" s="204" t="s">
        <v>585</v>
      </c>
      <c r="BZ106" s="204">
        <v>2</v>
      </c>
      <c r="CA106" s="204" t="s">
        <v>585</v>
      </c>
      <c r="CB106" s="204" t="s">
        <v>585</v>
      </c>
      <c r="CC106" s="204" t="s">
        <v>585</v>
      </c>
      <c r="CD106" s="204" t="s">
        <v>585</v>
      </c>
      <c r="CE106" s="204" t="s">
        <v>585</v>
      </c>
      <c r="CF106" s="202">
        <v>28</v>
      </c>
      <c r="CG106" s="206">
        <v>61</v>
      </c>
      <c r="CH106" s="204" t="s">
        <v>585</v>
      </c>
      <c r="CI106" s="206">
        <v>61</v>
      </c>
      <c r="CJ106" s="193" t="s">
        <v>585</v>
      </c>
      <c r="CK106" s="206">
        <v>43129</v>
      </c>
      <c r="CL106" s="204">
        <v>1</v>
      </c>
      <c r="CM106" s="204">
        <v>140648</v>
      </c>
      <c r="CN106" s="204">
        <v>9398</v>
      </c>
      <c r="CO106" s="204">
        <v>0</v>
      </c>
      <c r="CP106" s="204" t="s">
        <v>585</v>
      </c>
      <c r="CQ106" s="204">
        <v>11</v>
      </c>
      <c r="CR106" s="204" t="s">
        <v>585</v>
      </c>
      <c r="CS106" s="204">
        <v>18</v>
      </c>
      <c r="CT106" s="204" t="s">
        <v>585</v>
      </c>
      <c r="CU106" s="204" t="s">
        <v>585</v>
      </c>
      <c r="CV106" s="206">
        <v>193205</v>
      </c>
      <c r="CW106" s="203">
        <v>1085</v>
      </c>
      <c r="CX106" s="204">
        <v>32</v>
      </c>
      <c r="CY106" s="204">
        <v>1266</v>
      </c>
      <c r="CZ106" s="204">
        <v>7</v>
      </c>
      <c r="DA106" s="204" t="s">
        <v>585</v>
      </c>
      <c r="DB106" s="204" t="s">
        <v>585</v>
      </c>
      <c r="DC106" s="204" t="s">
        <v>585</v>
      </c>
      <c r="DD106" s="202">
        <v>2390</v>
      </c>
      <c r="DE106" s="206" t="s">
        <v>585</v>
      </c>
      <c r="DF106" s="203" t="s">
        <v>585</v>
      </c>
      <c r="DG106" s="204" t="s">
        <v>585</v>
      </c>
      <c r="DH106" s="202" t="s">
        <v>585</v>
      </c>
      <c r="DI106" s="206" t="s">
        <v>585</v>
      </c>
      <c r="DJ106" s="204" t="s">
        <v>585</v>
      </c>
      <c r="DK106" s="206" t="s">
        <v>585</v>
      </c>
      <c r="DL106" s="193">
        <v>20</v>
      </c>
      <c r="DM106" s="206" t="s">
        <v>585</v>
      </c>
      <c r="DN106" s="204" t="s">
        <v>585</v>
      </c>
      <c r="DO106" s="206" t="s">
        <v>585</v>
      </c>
      <c r="DP106" s="203">
        <v>510</v>
      </c>
      <c r="DQ106" s="204" t="s">
        <v>585</v>
      </c>
      <c r="DR106" s="202">
        <v>510</v>
      </c>
      <c r="DS106" s="206">
        <v>3</v>
      </c>
      <c r="DT106" s="193" t="s">
        <v>585</v>
      </c>
      <c r="DU106" s="206">
        <v>678</v>
      </c>
      <c r="DV106" s="204" t="s">
        <v>585</v>
      </c>
      <c r="DW106" s="206">
        <v>678</v>
      </c>
      <c r="DX106" s="193" t="s">
        <v>585</v>
      </c>
      <c r="DY106" s="193" t="s">
        <v>585</v>
      </c>
      <c r="DZ106" s="206">
        <v>51</v>
      </c>
      <c r="EA106" s="204" t="s">
        <v>585</v>
      </c>
      <c r="EB106" s="204">
        <v>7</v>
      </c>
      <c r="EC106" s="204">
        <v>20</v>
      </c>
      <c r="ED106" s="204" t="s">
        <v>585</v>
      </c>
      <c r="EE106" s="204" t="s">
        <v>585</v>
      </c>
      <c r="EF106" s="204" t="s">
        <v>585</v>
      </c>
      <c r="EG106" s="206">
        <v>78</v>
      </c>
      <c r="EH106" s="203">
        <v>210</v>
      </c>
      <c r="EI106" s="204">
        <v>64</v>
      </c>
      <c r="EJ106" s="204">
        <v>0</v>
      </c>
      <c r="EK106" s="204">
        <v>490</v>
      </c>
      <c r="EL106" s="204">
        <v>73</v>
      </c>
      <c r="EM106" s="204">
        <v>52</v>
      </c>
      <c r="EN106" s="204">
        <v>8</v>
      </c>
      <c r="EO106" s="204" t="s">
        <v>585</v>
      </c>
      <c r="EP106" s="204">
        <v>99</v>
      </c>
      <c r="EQ106" s="204">
        <v>2</v>
      </c>
      <c r="ER106" s="204" t="s">
        <v>585</v>
      </c>
      <c r="ES106" s="204" t="s">
        <v>585</v>
      </c>
      <c r="ET106" s="204" t="s">
        <v>585</v>
      </c>
      <c r="EU106" s="202">
        <v>998</v>
      </c>
      <c r="EV106" s="206" t="s">
        <v>585</v>
      </c>
      <c r="EW106" s="193" t="s">
        <v>585</v>
      </c>
      <c r="EX106" s="206" t="s">
        <v>585</v>
      </c>
      <c r="EY106" s="204" t="s">
        <v>585</v>
      </c>
      <c r="EZ106" s="204" t="s">
        <v>585</v>
      </c>
      <c r="FA106" s="206" t="s">
        <v>585</v>
      </c>
      <c r="FB106" s="193" t="s">
        <v>585</v>
      </c>
      <c r="FC106" s="206" t="s">
        <v>585</v>
      </c>
      <c r="FD106" s="203">
        <v>1</v>
      </c>
      <c r="FE106" s="204" t="s">
        <v>585</v>
      </c>
      <c r="FF106" s="204" t="s">
        <v>585</v>
      </c>
      <c r="FG106" s="204">
        <v>1</v>
      </c>
      <c r="FH106" s="202">
        <v>2</v>
      </c>
      <c r="FI106" s="206" t="s">
        <v>585</v>
      </c>
      <c r="FJ106" s="204" t="s">
        <v>585</v>
      </c>
      <c r="FK106" s="206" t="s">
        <v>585</v>
      </c>
      <c r="FL106" s="203" t="s">
        <v>585</v>
      </c>
      <c r="FM106" s="204" t="s">
        <v>585</v>
      </c>
      <c r="FN106" s="202" t="s">
        <v>585</v>
      </c>
      <c r="FO106" s="206" t="s">
        <v>585</v>
      </c>
      <c r="FP106" s="193">
        <v>32</v>
      </c>
      <c r="FQ106" s="206">
        <v>2</v>
      </c>
      <c r="FR106" s="204">
        <v>10</v>
      </c>
      <c r="FS106" s="204" t="s">
        <v>585</v>
      </c>
      <c r="FT106" s="206">
        <v>12</v>
      </c>
      <c r="FU106" s="203">
        <v>12</v>
      </c>
      <c r="FV106" s="204">
        <v>5</v>
      </c>
      <c r="FW106" s="202">
        <v>17</v>
      </c>
      <c r="FX106" s="206" t="s">
        <v>585</v>
      </c>
      <c r="FY106" s="203">
        <v>2</v>
      </c>
      <c r="FZ106" s="204">
        <v>3</v>
      </c>
      <c r="GA106" s="204" t="s">
        <v>585</v>
      </c>
      <c r="GB106" s="202">
        <v>5</v>
      </c>
      <c r="GC106" s="206">
        <v>12</v>
      </c>
      <c r="GD106" s="203">
        <v>6</v>
      </c>
      <c r="GE106" s="204">
        <v>9</v>
      </c>
      <c r="GF106" s="204" t="s">
        <v>585</v>
      </c>
      <c r="GG106" s="204" t="s">
        <v>585</v>
      </c>
      <c r="GH106" s="202">
        <v>15</v>
      </c>
      <c r="GI106" s="193">
        <v>212970</v>
      </c>
      <c r="GJ106" s="368">
        <f>212970/45058286</f>
        <v>4.7265446359854874E-3</v>
      </c>
      <c r="GK106" s="382"/>
    </row>
    <row r="107" spans="2:193" ht="12" customHeight="1" x14ac:dyDescent="0.2">
      <c r="B107" s="359" t="s">
        <v>124</v>
      </c>
      <c r="C107" s="203">
        <v>221</v>
      </c>
      <c r="D107" s="204" t="s">
        <v>585</v>
      </c>
      <c r="E107" s="204" t="s">
        <v>585</v>
      </c>
      <c r="F107" s="204" t="s">
        <v>585</v>
      </c>
      <c r="G107" s="202">
        <v>221</v>
      </c>
      <c r="H107" s="193" t="s">
        <v>585</v>
      </c>
      <c r="I107" s="206">
        <v>43</v>
      </c>
      <c r="J107" s="204" t="s">
        <v>585</v>
      </c>
      <c r="K107" s="206">
        <v>43</v>
      </c>
      <c r="L107" s="193" t="s">
        <v>585</v>
      </c>
      <c r="M107" s="193">
        <v>1064</v>
      </c>
      <c r="N107" s="206">
        <v>4</v>
      </c>
      <c r="O107" s="204" t="s">
        <v>585</v>
      </c>
      <c r="P107" s="204">
        <v>935</v>
      </c>
      <c r="Q107" s="204">
        <v>8</v>
      </c>
      <c r="R107" s="204">
        <v>265</v>
      </c>
      <c r="S107" s="204" t="s">
        <v>585</v>
      </c>
      <c r="T107" s="204" t="s">
        <v>585</v>
      </c>
      <c r="U107" s="206">
        <v>1212</v>
      </c>
      <c r="V107" s="203">
        <v>14</v>
      </c>
      <c r="W107" s="204">
        <v>2</v>
      </c>
      <c r="X107" s="202">
        <v>16</v>
      </c>
      <c r="Y107" s="206">
        <v>431</v>
      </c>
      <c r="Z107" s="204">
        <v>1</v>
      </c>
      <c r="AA107" s="204" t="s">
        <v>585</v>
      </c>
      <c r="AB107" s="206">
        <v>432</v>
      </c>
      <c r="AC107" s="203">
        <v>5225</v>
      </c>
      <c r="AD107" s="204" t="s">
        <v>585</v>
      </c>
      <c r="AE107" s="204" t="s">
        <v>585</v>
      </c>
      <c r="AF107" s="202">
        <v>5225</v>
      </c>
      <c r="AG107" s="206">
        <v>22</v>
      </c>
      <c r="AH107" s="204" t="s">
        <v>585</v>
      </c>
      <c r="AI107" s="204" t="s">
        <v>585</v>
      </c>
      <c r="AJ107" s="204" t="s">
        <v>585</v>
      </c>
      <c r="AK107" s="206">
        <v>22</v>
      </c>
      <c r="AL107" s="193" t="s">
        <v>585</v>
      </c>
      <c r="AM107" s="193" t="s">
        <v>585</v>
      </c>
      <c r="AN107" s="206">
        <v>1</v>
      </c>
      <c r="AO107" s="204" t="s">
        <v>585</v>
      </c>
      <c r="AP107" s="206">
        <v>1</v>
      </c>
      <c r="AQ107" s="203">
        <v>3</v>
      </c>
      <c r="AR107" s="204">
        <v>2</v>
      </c>
      <c r="AS107" s="204">
        <v>3</v>
      </c>
      <c r="AT107" s="204" t="s">
        <v>585</v>
      </c>
      <c r="AU107" s="204" t="s">
        <v>585</v>
      </c>
      <c r="AV107" s="204" t="s">
        <v>585</v>
      </c>
      <c r="AW107" s="204" t="s">
        <v>585</v>
      </c>
      <c r="AX107" s="202">
        <v>8</v>
      </c>
      <c r="AY107" s="206" t="s">
        <v>585</v>
      </c>
      <c r="AZ107" s="193">
        <v>3</v>
      </c>
      <c r="BA107" s="206">
        <v>25</v>
      </c>
      <c r="BB107" s="377">
        <v>260</v>
      </c>
      <c r="BC107" s="206">
        <v>363</v>
      </c>
      <c r="BD107" s="206">
        <v>169</v>
      </c>
      <c r="BE107" s="378">
        <v>32</v>
      </c>
      <c r="BF107" s="206">
        <v>849</v>
      </c>
      <c r="BG107" s="193" t="s">
        <v>585</v>
      </c>
      <c r="BH107" s="193" t="s">
        <v>585</v>
      </c>
      <c r="BI107" s="193">
        <v>1</v>
      </c>
      <c r="BJ107" s="193" t="s">
        <v>585</v>
      </c>
      <c r="BK107" s="206">
        <v>18</v>
      </c>
      <c r="BL107" s="204" t="s">
        <v>585</v>
      </c>
      <c r="BM107" s="206">
        <v>18</v>
      </c>
      <c r="BN107" s="193" t="s">
        <v>585</v>
      </c>
      <c r="BO107" s="206">
        <v>3</v>
      </c>
      <c r="BP107" s="204">
        <v>1</v>
      </c>
      <c r="BQ107" s="206">
        <v>4</v>
      </c>
      <c r="BR107" s="203">
        <v>3</v>
      </c>
      <c r="BS107" s="204">
        <v>2</v>
      </c>
      <c r="BT107" s="204" t="s">
        <v>585</v>
      </c>
      <c r="BU107" s="204" t="s">
        <v>585</v>
      </c>
      <c r="BV107" s="204" t="s">
        <v>585</v>
      </c>
      <c r="BW107" s="204" t="s">
        <v>585</v>
      </c>
      <c r="BX107" s="204" t="s">
        <v>585</v>
      </c>
      <c r="BY107" s="204" t="s">
        <v>585</v>
      </c>
      <c r="BZ107" s="204">
        <v>2</v>
      </c>
      <c r="CA107" s="204" t="s">
        <v>585</v>
      </c>
      <c r="CB107" s="204" t="s">
        <v>585</v>
      </c>
      <c r="CC107" s="204" t="s">
        <v>585</v>
      </c>
      <c r="CD107" s="204" t="s">
        <v>585</v>
      </c>
      <c r="CE107" s="204" t="s">
        <v>585</v>
      </c>
      <c r="CF107" s="202">
        <v>7</v>
      </c>
      <c r="CG107" s="206">
        <v>4</v>
      </c>
      <c r="CH107" s="204" t="s">
        <v>585</v>
      </c>
      <c r="CI107" s="206">
        <v>4</v>
      </c>
      <c r="CJ107" s="193" t="s">
        <v>585</v>
      </c>
      <c r="CK107" s="206">
        <v>18102</v>
      </c>
      <c r="CL107" s="204" t="s">
        <v>585</v>
      </c>
      <c r="CM107" s="204">
        <v>60931</v>
      </c>
      <c r="CN107" s="204">
        <v>12232</v>
      </c>
      <c r="CO107" s="204">
        <v>50</v>
      </c>
      <c r="CP107" s="204">
        <v>1</v>
      </c>
      <c r="CQ107" s="204">
        <v>1</v>
      </c>
      <c r="CR107" s="204" t="s">
        <v>585</v>
      </c>
      <c r="CS107" s="204" t="s">
        <v>585</v>
      </c>
      <c r="CT107" s="204" t="s">
        <v>585</v>
      </c>
      <c r="CU107" s="204" t="s">
        <v>585</v>
      </c>
      <c r="CV107" s="206">
        <v>91317</v>
      </c>
      <c r="CW107" s="203">
        <v>1583</v>
      </c>
      <c r="CX107" s="204" t="s">
        <v>585</v>
      </c>
      <c r="CY107" s="204">
        <v>141</v>
      </c>
      <c r="CZ107" s="204" t="s">
        <v>585</v>
      </c>
      <c r="DA107" s="204" t="s">
        <v>585</v>
      </c>
      <c r="DB107" s="204" t="s">
        <v>585</v>
      </c>
      <c r="DC107" s="204" t="s">
        <v>585</v>
      </c>
      <c r="DD107" s="202">
        <v>1724</v>
      </c>
      <c r="DE107" s="206" t="s">
        <v>585</v>
      </c>
      <c r="DF107" s="203" t="s">
        <v>585</v>
      </c>
      <c r="DG107" s="204" t="s">
        <v>585</v>
      </c>
      <c r="DH107" s="202" t="s">
        <v>585</v>
      </c>
      <c r="DI107" s="206" t="s">
        <v>585</v>
      </c>
      <c r="DJ107" s="204" t="s">
        <v>585</v>
      </c>
      <c r="DK107" s="206" t="s">
        <v>585</v>
      </c>
      <c r="DL107" s="193">
        <v>30</v>
      </c>
      <c r="DM107" s="206" t="s">
        <v>585</v>
      </c>
      <c r="DN107" s="204" t="s">
        <v>585</v>
      </c>
      <c r="DO107" s="206" t="s">
        <v>585</v>
      </c>
      <c r="DP107" s="203">
        <v>6</v>
      </c>
      <c r="DQ107" s="204" t="s">
        <v>585</v>
      </c>
      <c r="DR107" s="202">
        <v>6</v>
      </c>
      <c r="DS107" s="206" t="s">
        <v>585</v>
      </c>
      <c r="DT107" s="193" t="s">
        <v>585</v>
      </c>
      <c r="DU107" s="206">
        <v>69</v>
      </c>
      <c r="DV107" s="204" t="s">
        <v>585</v>
      </c>
      <c r="DW107" s="206">
        <v>69</v>
      </c>
      <c r="DX107" s="193">
        <v>1</v>
      </c>
      <c r="DY107" s="193" t="s">
        <v>585</v>
      </c>
      <c r="DZ107" s="206">
        <v>2</v>
      </c>
      <c r="EA107" s="204">
        <v>2</v>
      </c>
      <c r="EB107" s="204">
        <v>8</v>
      </c>
      <c r="EC107" s="204" t="s">
        <v>585</v>
      </c>
      <c r="ED107" s="204" t="s">
        <v>585</v>
      </c>
      <c r="EE107" s="204" t="s">
        <v>585</v>
      </c>
      <c r="EF107" s="204" t="s">
        <v>585</v>
      </c>
      <c r="EG107" s="206">
        <v>12</v>
      </c>
      <c r="EH107" s="203">
        <v>146</v>
      </c>
      <c r="EI107" s="204">
        <v>73</v>
      </c>
      <c r="EJ107" s="204">
        <v>4</v>
      </c>
      <c r="EK107" s="204">
        <v>48</v>
      </c>
      <c r="EL107" s="204">
        <v>528</v>
      </c>
      <c r="EM107" s="204">
        <v>99</v>
      </c>
      <c r="EN107" s="204">
        <v>26</v>
      </c>
      <c r="EO107" s="204" t="s">
        <v>585</v>
      </c>
      <c r="EP107" s="204">
        <v>49</v>
      </c>
      <c r="EQ107" s="204">
        <v>1</v>
      </c>
      <c r="ER107" s="204" t="s">
        <v>585</v>
      </c>
      <c r="ES107" s="204" t="s">
        <v>585</v>
      </c>
      <c r="ET107" s="204" t="s">
        <v>585</v>
      </c>
      <c r="EU107" s="202">
        <v>974</v>
      </c>
      <c r="EV107" s="206" t="s">
        <v>585</v>
      </c>
      <c r="EW107" s="193" t="s">
        <v>585</v>
      </c>
      <c r="EX107" s="206" t="s">
        <v>585</v>
      </c>
      <c r="EY107" s="204" t="s">
        <v>585</v>
      </c>
      <c r="EZ107" s="204" t="s">
        <v>585</v>
      </c>
      <c r="FA107" s="206" t="s">
        <v>585</v>
      </c>
      <c r="FB107" s="193" t="s">
        <v>585</v>
      </c>
      <c r="FC107" s="206">
        <v>1</v>
      </c>
      <c r="FD107" s="203">
        <v>5</v>
      </c>
      <c r="FE107" s="204" t="s">
        <v>585</v>
      </c>
      <c r="FF107" s="204">
        <v>1</v>
      </c>
      <c r="FG107" s="204" t="s">
        <v>585</v>
      </c>
      <c r="FH107" s="202">
        <v>6</v>
      </c>
      <c r="FI107" s="206">
        <v>1</v>
      </c>
      <c r="FJ107" s="204" t="s">
        <v>585</v>
      </c>
      <c r="FK107" s="206">
        <v>1</v>
      </c>
      <c r="FL107" s="203" t="s">
        <v>585</v>
      </c>
      <c r="FM107" s="204" t="s">
        <v>585</v>
      </c>
      <c r="FN107" s="202" t="s">
        <v>585</v>
      </c>
      <c r="FO107" s="206" t="s">
        <v>585</v>
      </c>
      <c r="FP107" s="193">
        <v>23</v>
      </c>
      <c r="FQ107" s="206" t="s">
        <v>585</v>
      </c>
      <c r="FR107" s="204" t="s">
        <v>585</v>
      </c>
      <c r="FS107" s="204" t="s">
        <v>585</v>
      </c>
      <c r="FT107" s="206" t="s">
        <v>585</v>
      </c>
      <c r="FU107" s="203">
        <v>9</v>
      </c>
      <c r="FV107" s="204" t="s">
        <v>585</v>
      </c>
      <c r="FW107" s="202">
        <v>9</v>
      </c>
      <c r="FX107" s="206" t="s">
        <v>585</v>
      </c>
      <c r="FY107" s="203" t="s">
        <v>585</v>
      </c>
      <c r="FZ107" s="204">
        <v>10</v>
      </c>
      <c r="GA107" s="204">
        <v>4</v>
      </c>
      <c r="GB107" s="202">
        <v>14</v>
      </c>
      <c r="GC107" s="206" t="s">
        <v>585</v>
      </c>
      <c r="GD107" s="203">
        <v>3</v>
      </c>
      <c r="GE107" s="204" t="s">
        <v>585</v>
      </c>
      <c r="GF107" s="204" t="s">
        <v>585</v>
      </c>
      <c r="GG107" s="204" t="s">
        <v>585</v>
      </c>
      <c r="GH107" s="202">
        <v>3</v>
      </c>
      <c r="GI107" s="193">
        <v>103320</v>
      </c>
      <c r="GJ107" s="368">
        <f>103320/45058286</f>
        <v>2.2930299656760134E-3</v>
      </c>
      <c r="GK107" s="382"/>
    </row>
    <row r="108" spans="2:193" ht="12" customHeight="1" x14ac:dyDescent="0.2">
      <c r="B108" s="359" t="s">
        <v>127</v>
      </c>
      <c r="C108" s="203">
        <v>215</v>
      </c>
      <c r="D108" s="204" t="s">
        <v>585</v>
      </c>
      <c r="E108" s="204" t="s">
        <v>585</v>
      </c>
      <c r="F108" s="204" t="s">
        <v>585</v>
      </c>
      <c r="G108" s="202">
        <v>215</v>
      </c>
      <c r="H108" s="193" t="s">
        <v>585</v>
      </c>
      <c r="I108" s="206">
        <v>4</v>
      </c>
      <c r="J108" s="204" t="s">
        <v>585</v>
      </c>
      <c r="K108" s="206">
        <v>4</v>
      </c>
      <c r="L108" s="193">
        <v>1</v>
      </c>
      <c r="M108" s="193">
        <v>2390</v>
      </c>
      <c r="N108" s="206">
        <v>56</v>
      </c>
      <c r="O108" s="204">
        <v>246</v>
      </c>
      <c r="P108" s="204">
        <v>5278</v>
      </c>
      <c r="Q108" s="204">
        <v>54</v>
      </c>
      <c r="R108" s="204">
        <v>230</v>
      </c>
      <c r="S108" s="204">
        <v>3</v>
      </c>
      <c r="T108" s="204" t="s">
        <v>585</v>
      </c>
      <c r="U108" s="206">
        <v>5867</v>
      </c>
      <c r="V108" s="203">
        <v>18</v>
      </c>
      <c r="W108" s="204">
        <v>57</v>
      </c>
      <c r="X108" s="202">
        <v>75</v>
      </c>
      <c r="Y108" s="206">
        <v>280</v>
      </c>
      <c r="Z108" s="204" t="s">
        <v>585</v>
      </c>
      <c r="AA108" s="204" t="s">
        <v>585</v>
      </c>
      <c r="AB108" s="206">
        <v>280</v>
      </c>
      <c r="AC108" s="203">
        <v>9095</v>
      </c>
      <c r="AD108" s="204">
        <v>10</v>
      </c>
      <c r="AE108" s="204">
        <v>5</v>
      </c>
      <c r="AF108" s="202">
        <v>9110</v>
      </c>
      <c r="AG108" s="206">
        <v>240</v>
      </c>
      <c r="AH108" s="204" t="s">
        <v>585</v>
      </c>
      <c r="AI108" s="204" t="s">
        <v>585</v>
      </c>
      <c r="AJ108" s="204" t="s">
        <v>585</v>
      </c>
      <c r="AK108" s="206">
        <v>240</v>
      </c>
      <c r="AL108" s="193" t="s">
        <v>585</v>
      </c>
      <c r="AM108" s="193" t="s">
        <v>585</v>
      </c>
      <c r="AN108" s="206" t="s">
        <v>585</v>
      </c>
      <c r="AO108" s="204" t="s">
        <v>585</v>
      </c>
      <c r="AP108" s="206" t="s">
        <v>585</v>
      </c>
      <c r="AQ108" s="203">
        <v>108</v>
      </c>
      <c r="AR108" s="204" t="s">
        <v>585</v>
      </c>
      <c r="AS108" s="204">
        <v>20</v>
      </c>
      <c r="AT108" s="204">
        <v>1</v>
      </c>
      <c r="AU108" s="204" t="s">
        <v>585</v>
      </c>
      <c r="AV108" s="204" t="s">
        <v>585</v>
      </c>
      <c r="AW108" s="204" t="s">
        <v>585</v>
      </c>
      <c r="AX108" s="202">
        <v>129</v>
      </c>
      <c r="AY108" s="206">
        <v>3</v>
      </c>
      <c r="AZ108" s="193">
        <v>12</v>
      </c>
      <c r="BA108" s="206">
        <v>93</v>
      </c>
      <c r="BB108" s="377">
        <v>710</v>
      </c>
      <c r="BC108" s="206">
        <v>625</v>
      </c>
      <c r="BD108" s="206">
        <v>166</v>
      </c>
      <c r="BE108" s="378">
        <v>81</v>
      </c>
      <c r="BF108" s="206">
        <v>1675</v>
      </c>
      <c r="BG108" s="193" t="s">
        <v>585</v>
      </c>
      <c r="BH108" s="193" t="s">
        <v>585</v>
      </c>
      <c r="BI108" s="193" t="s">
        <v>585</v>
      </c>
      <c r="BJ108" s="193">
        <v>4</v>
      </c>
      <c r="BK108" s="206">
        <v>60</v>
      </c>
      <c r="BL108" s="204" t="s">
        <v>585</v>
      </c>
      <c r="BM108" s="206">
        <v>60</v>
      </c>
      <c r="BN108" s="193" t="s">
        <v>585</v>
      </c>
      <c r="BO108" s="206">
        <v>5</v>
      </c>
      <c r="BP108" s="204">
        <v>3</v>
      </c>
      <c r="BQ108" s="206">
        <v>8</v>
      </c>
      <c r="BR108" s="203">
        <v>8</v>
      </c>
      <c r="BS108" s="204">
        <v>2</v>
      </c>
      <c r="BT108" s="204" t="s">
        <v>585</v>
      </c>
      <c r="BU108" s="204">
        <v>1</v>
      </c>
      <c r="BV108" s="204">
        <v>2</v>
      </c>
      <c r="BW108" s="204">
        <v>1</v>
      </c>
      <c r="BX108" s="204" t="s">
        <v>585</v>
      </c>
      <c r="BY108" s="204" t="s">
        <v>585</v>
      </c>
      <c r="BZ108" s="204" t="s">
        <v>585</v>
      </c>
      <c r="CA108" s="204">
        <v>1</v>
      </c>
      <c r="CB108" s="204" t="s">
        <v>585</v>
      </c>
      <c r="CC108" s="204" t="s">
        <v>585</v>
      </c>
      <c r="CD108" s="204" t="s">
        <v>585</v>
      </c>
      <c r="CE108" s="204" t="s">
        <v>585</v>
      </c>
      <c r="CF108" s="202">
        <v>15</v>
      </c>
      <c r="CG108" s="206">
        <v>4</v>
      </c>
      <c r="CH108" s="204" t="s">
        <v>585</v>
      </c>
      <c r="CI108" s="206">
        <v>4</v>
      </c>
      <c r="CJ108" s="193">
        <v>1</v>
      </c>
      <c r="CK108" s="206">
        <v>18571</v>
      </c>
      <c r="CL108" s="204" t="s">
        <v>585</v>
      </c>
      <c r="CM108" s="204">
        <v>75748</v>
      </c>
      <c r="CN108" s="204">
        <v>15972</v>
      </c>
      <c r="CO108" s="204">
        <v>275</v>
      </c>
      <c r="CP108" s="204">
        <v>2</v>
      </c>
      <c r="CQ108" s="204" t="s">
        <v>585</v>
      </c>
      <c r="CR108" s="204">
        <v>2</v>
      </c>
      <c r="CS108" s="204">
        <v>11</v>
      </c>
      <c r="CT108" s="204" t="s">
        <v>585</v>
      </c>
      <c r="CU108" s="204" t="s">
        <v>585</v>
      </c>
      <c r="CV108" s="206">
        <v>110581</v>
      </c>
      <c r="CW108" s="203">
        <v>2268</v>
      </c>
      <c r="CX108" s="204" t="s">
        <v>585</v>
      </c>
      <c r="CY108" s="204">
        <v>488</v>
      </c>
      <c r="CZ108" s="204">
        <v>4</v>
      </c>
      <c r="DA108" s="204">
        <v>39</v>
      </c>
      <c r="DB108" s="204" t="s">
        <v>585</v>
      </c>
      <c r="DC108" s="204">
        <v>1</v>
      </c>
      <c r="DD108" s="202">
        <v>2800</v>
      </c>
      <c r="DE108" s="206" t="s">
        <v>585</v>
      </c>
      <c r="DF108" s="203" t="s">
        <v>585</v>
      </c>
      <c r="DG108" s="204" t="s">
        <v>585</v>
      </c>
      <c r="DH108" s="202" t="s">
        <v>585</v>
      </c>
      <c r="DI108" s="206" t="s">
        <v>585</v>
      </c>
      <c r="DJ108" s="204" t="s">
        <v>585</v>
      </c>
      <c r="DK108" s="206" t="s">
        <v>585</v>
      </c>
      <c r="DL108" s="193">
        <v>16</v>
      </c>
      <c r="DM108" s="206" t="s">
        <v>585</v>
      </c>
      <c r="DN108" s="204" t="s">
        <v>585</v>
      </c>
      <c r="DO108" s="206" t="s">
        <v>585</v>
      </c>
      <c r="DP108" s="203">
        <v>7</v>
      </c>
      <c r="DQ108" s="204" t="s">
        <v>585</v>
      </c>
      <c r="DR108" s="202">
        <v>7</v>
      </c>
      <c r="DS108" s="206">
        <v>6</v>
      </c>
      <c r="DT108" s="193" t="s">
        <v>585</v>
      </c>
      <c r="DU108" s="206">
        <v>238</v>
      </c>
      <c r="DV108" s="204" t="s">
        <v>585</v>
      </c>
      <c r="DW108" s="206">
        <v>238</v>
      </c>
      <c r="DX108" s="193">
        <v>2</v>
      </c>
      <c r="DY108" s="193" t="s">
        <v>585</v>
      </c>
      <c r="DZ108" s="206">
        <v>13</v>
      </c>
      <c r="EA108" s="204">
        <v>5</v>
      </c>
      <c r="EB108" s="204">
        <v>14</v>
      </c>
      <c r="EC108" s="204" t="s">
        <v>585</v>
      </c>
      <c r="ED108" s="204" t="s">
        <v>585</v>
      </c>
      <c r="EE108" s="204" t="s">
        <v>585</v>
      </c>
      <c r="EF108" s="204" t="s">
        <v>585</v>
      </c>
      <c r="EG108" s="206">
        <v>32</v>
      </c>
      <c r="EH108" s="203">
        <v>683</v>
      </c>
      <c r="EI108" s="204">
        <v>1159</v>
      </c>
      <c r="EJ108" s="204">
        <v>77</v>
      </c>
      <c r="EK108" s="204">
        <v>193</v>
      </c>
      <c r="EL108" s="204">
        <v>1050</v>
      </c>
      <c r="EM108" s="204">
        <v>815</v>
      </c>
      <c r="EN108" s="204">
        <v>219</v>
      </c>
      <c r="EO108" s="204">
        <v>62</v>
      </c>
      <c r="EP108" s="204">
        <v>397</v>
      </c>
      <c r="EQ108" s="204">
        <v>140</v>
      </c>
      <c r="ER108" s="204">
        <v>15</v>
      </c>
      <c r="ES108" s="204">
        <v>1</v>
      </c>
      <c r="ET108" s="204" t="s">
        <v>585</v>
      </c>
      <c r="EU108" s="202">
        <v>4811</v>
      </c>
      <c r="EV108" s="206" t="s">
        <v>585</v>
      </c>
      <c r="EW108" s="193">
        <v>6</v>
      </c>
      <c r="EX108" s="206" t="s">
        <v>585</v>
      </c>
      <c r="EY108" s="204">
        <v>2</v>
      </c>
      <c r="EZ108" s="204" t="s">
        <v>585</v>
      </c>
      <c r="FA108" s="206">
        <v>2</v>
      </c>
      <c r="FB108" s="193" t="s">
        <v>585</v>
      </c>
      <c r="FC108" s="206" t="s">
        <v>585</v>
      </c>
      <c r="FD108" s="203" t="s">
        <v>585</v>
      </c>
      <c r="FE108" s="204">
        <v>11</v>
      </c>
      <c r="FF108" s="204" t="s">
        <v>585</v>
      </c>
      <c r="FG108" s="204" t="s">
        <v>585</v>
      </c>
      <c r="FH108" s="202">
        <v>11</v>
      </c>
      <c r="FI108" s="206" t="s">
        <v>585</v>
      </c>
      <c r="FJ108" s="204" t="s">
        <v>585</v>
      </c>
      <c r="FK108" s="206" t="s">
        <v>585</v>
      </c>
      <c r="FL108" s="203" t="s">
        <v>585</v>
      </c>
      <c r="FM108" s="204" t="s">
        <v>585</v>
      </c>
      <c r="FN108" s="202" t="s">
        <v>585</v>
      </c>
      <c r="FO108" s="206">
        <v>1</v>
      </c>
      <c r="FP108" s="193">
        <v>393</v>
      </c>
      <c r="FQ108" s="206">
        <v>2</v>
      </c>
      <c r="FR108" s="204" t="s">
        <v>585</v>
      </c>
      <c r="FS108" s="204" t="s">
        <v>585</v>
      </c>
      <c r="FT108" s="206">
        <v>2</v>
      </c>
      <c r="FU108" s="203">
        <v>150</v>
      </c>
      <c r="FV108" s="204">
        <v>4</v>
      </c>
      <c r="FW108" s="202">
        <v>154</v>
      </c>
      <c r="FX108" s="206" t="s">
        <v>585</v>
      </c>
      <c r="FY108" s="203" t="s">
        <v>585</v>
      </c>
      <c r="FZ108" s="204">
        <v>6</v>
      </c>
      <c r="GA108" s="204" t="s">
        <v>585</v>
      </c>
      <c r="GB108" s="202">
        <v>6</v>
      </c>
      <c r="GC108" s="206">
        <v>3</v>
      </c>
      <c r="GD108" s="203" t="s">
        <v>585</v>
      </c>
      <c r="GE108" s="204" t="s">
        <v>585</v>
      </c>
      <c r="GF108" s="204" t="s">
        <v>585</v>
      </c>
      <c r="GG108" s="204" t="s">
        <v>585</v>
      </c>
      <c r="GH108" s="202" t="s">
        <v>585</v>
      </c>
      <c r="GI108" s="193">
        <v>139164</v>
      </c>
      <c r="GJ108" s="368">
        <f>139164/45058286</f>
        <v>3.0885329282165771E-3</v>
      </c>
      <c r="GK108" s="382"/>
    </row>
    <row r="109" spans="2:193" ht="12" customHeight="1" x14ac:dyDescent="0.2">
      <c r="B109" s="359" t="s">
        <v>167</v>
      </c>
      <c r="C109" s="203">
        <v>16</v>
      </c>
      <c r="D109" s="204" t="s">
        <v>585</v>
      </c>
      <c r="E109" s="204" t="s">
        <v>585</v>
      </c>
      <c r="F109" s="204" t="s">
        <v>585</v>
      </c>
      <c r="G109" s="202">
        <v>16</v>
      </c>
      <c r="H109" s="193" t="s">
        <v>585</v>
      </c>
      <c r="I109" s="206">
        <v>2</v>
      </c>
      <c r="J109" s="204" t="s">
        <v>585</v>
      </c>
      <c r="K109" s="206">
        <v>2</v>
      </c>
      <c r="L109" s="193" t="s">
        <v>585</v>
      </c>
      <c r="M109" s="193">
        <v>265</v>
      </c>
      <c r="N109" s="206">
        <v>4</v>
      </c>
      <c r="O109" s="204">
        <v>1</v>
      </c>
      <c r="P109" s="204">
        <v>548</v>
      </c>
      <c r="Q109" s="204">
        <v>8</v>
      </c>
      <c r="R109" s="204">
        <v>18</v>
      </c>
      <c r="S109" s="204" t="s">
        <v>585</v>
      </c>
      <c r="T109" s="204" t="s">
        <v>585</v>
      </c>
      <c r="U109" s="206">
        <v>579</v>
      </c>
      <c r="V109" s="203">
        <v>0</v>
      </c>
      <c r="W109" s="204">
        <v>1</v>
      </c>
      <c r="X109" s="202">
        <v>1</v>
      </c>
      <c r="Y109" s="206">
        <v>35</v>
      </c>
      <c r="Z109" s="204" t="s">
        <v>585</v>
      </c>
      <c r="AA109" s="204" t="s">
        <v>585</v>
      </c>
      <c r="AB109" s="206">
        <v>35</v>
      </c>
      <c r="AC109" s="203">
        <v>3021</v>
      </c>
      <c r="AD109" s="204">
        <v>6</v>
      </c>
      <c r="AE109" s="204" t="s">
        <v>585</v>
      </c>
      <c r="AF109" s="202">
        <v>3027</v>
      </c>
      <c r="AG109" s="206">
        <v>25</v>
      </c>
      <c r="AH109" s="204" t="s">
        <v>585</v>
      </c>
      <c r="AI109" s="204" t="s">
        <v>585</v>
      </c>
      <c r="AJ109" s="204" t="s">
        <v>585</v>
      </c>
      <c r="AK109" s="206">
        <v>25</v>
      </c>
      <c r="AL109" s="193" t="s">
        <v>585</v>
      </c>
      <c r="AM109" s="193" t="s">
        <v>585</v>
      </c>
      <c r="AN109" s="206" t="s">
        <v>585</v>
      </c>
      <c r="AO109" s="204">
        <v>3</v>
      </c>
      <c r="AP109" s="206">
        <v>3</v>
      </c>
      <c r="AQ109" s="203">
        <v>30</v>
      </c>
      <c r="AR109" s="204" t="s">
        <v>585</v>
      </c>
      <c r="AS109" s="204" t="s">
        <v>585</v>
      </c>
      <c r="AT109" s="204" t="s">
        <v>585</v>
      </c>
      <c r="AU109" s="204" t="s">
        <v>585</v>
      </c>
      <c r="AV109" s="204" t="s">
        <v>585</v>
      </c>
      <c r="AW109" s="204" t="s">
        <v>585</v>
      </c>
      <c r="AX109" s="202">
        <v>30</v>
      </c>
      <c r="AY109" s="206" t="s">
        <v>585</v>
      </c>
      <c r="AZ109" s="193" t="s">
        <v>585</v>
      </c>
      <c r="BA109" s="206">
        <v>8</v>
      </c>
      <c r="BB109" s="377">
        <v>100</v>
      </c>
      <c r="BC109" s="206">
        <v>311</v>
      </c>
      <c r="BD109" s="206">
        <v>110</v>
      </c>
      <c r="BE109" s="378">
        <v>6</v>
      </c>
      <c r="BF109" s="206">
        <v>535</v>
      </c>
      <c r="BG109" s="193" t="s">
        <v>585</v>
      </c>
      <c r="BH109" s="193" t="s">
        <v>585</v>
      </c>
      <c r="BI109" s="193" t="s">
        <v>585</v>
      </c>
      <c r="BJ109" s="193" t="s">
        <v>585</v>
      </c>
      <c r="BK109" s="206">
        <v>1</v>
      </c>
      <c r="BL109" s="204" t="s">
        <v>585</v>
      </c>
      <c r="BM109" s="206">
        <v>1</v>
      </c>
      <c r="BN109" s="193" t="s">
        <v>585</v>
      </c>
      <c r="BO109" s="206" t="s">
        <v>585</v>
      </c>
      <c r="BP109" s="204" t="s">
        <v>585</v>
      </c>
      <c r="BQ109" s="206" t="s">
        <v>585</v>
      </c>
      <c r="BR109" s="203" t="s">
        <v>585</v>
      </c>
      <c r="BS109" s="204" t="s">
        <v>585</v>
      </c>
      <c r="BT109" s="204" t="s">
        <v>585</v>
      </c>
      <c r="BU109" s="204" t="s">
        <v>585</v>
      </c>
      <c r="BV109" s="204" t="s">
        <v>585</v>
      </c>
      <c r="BW109" s="204" t="s">
        <v>585</v>
      </c>
      <c r="BX109" s="204" t="s">
        <v>585</v>
      </c>
      <c r="BY109" s="204" t="s">
        <v>585</v>
      </c>
      <c r="BZ109" s="204" t="s">
        <v>585</v>
      </c>
      <c r="CA109" s="204" t="s">
        <v>585</v>
      </c>
      <c r="CB109" s="204" t="s">
        <v>585</v>
      </c>
      <c r="CC109" s="204" t="s">
        <v>585</v>
      </c>
      <c r="CD109" s="204" t="s">
        <v>585</v>
      </c>
      <c r="CE109" s="204" t="s">
        <v>585</v>
      </c>
      <c r="CF109" s="202" t="s">
        <v>585</v>
      </c>
      <c r="CG109" s="206" t="s">
        <v>585</v>
      </c>
      <c r="CH109" s="204" t="s">
        <v>585</v>
      </c>
      <c r="CI109" s="206" t="s">
        <v>585</v>
      </c>
      <c r="CJ109" s="193" t="s">
        <v>585</v>
      </c>
      <c r="CK109" s="206">
        <v>5137</v>
      </c>
      <c r="CL109" s="204" t="s">
        <v>585</v>
      </c>
      <c r="CM109" s="204">
        <v>37226</v>
      </c>
      <c r="CN109" s="204">
        <v>8204</v>
      </c>
      <c r="CO109" s="204">
        <v>99</v>
      </c>
      <c r="CP109" s="204" t="s">
        <v>585</v>
      </c>
      <c r="CQ109" s="204">
        <v>1</v>
      </c>
      <c r="CR109" s="204" t="s">
        <v>585</v>
      </c>
      <c r="CS109" s="204" t="s">
        <v>585</v>
      </c>
      <c r="CT109" s="204" t="s">
        <v>585</v>
      </c>
      <c r="CU109" s="204" t="s">
        <v>585</v>
      </c>
      <c r="CV109" s="206">
        <v>50667</v>
      </c>
      <c r="CW109" s="203">
        <v>386</v>
      </c>
      <c r="CX109" s="204">
        <v>1</v>
      </c>
      <c r="CY109" s="204">
        <v>9656</v>
      </c>
      <c r="CZ109" s="204" t="s">
        <v>585</v>
      </c>
      <c r="DA109" s="204" t="s">
        <v>585</v>
      </c>
      <c r="DB109" s="204" t="s">
        <v>585</v>
      </c>
      <c r="DC109" s="204" t="s">
        <v>585</v>
      </c>
      <c r="DD109" s="202">
        <v>10043</v>
      </c>
      <c r="DE109" s="206" t="s">
        <v>585</v>
      </c>
      <c r="DF109" s="203" t="s">
        <v>585</v>
      </c>
      <c r="DG109" s="204" t="s">
        <v>585</v>
      </c>
      <c r="DH109" s="202" t="s">
        <v>585</v>
      </c>
      <c r="DI109" s="206" t="s">
        <v>585</v>
      </c>
      <c r="DJ109" s="204" t="s">
        <v>585</v>
      </c>
      <c r="DK109" s="206" t="s">
        <v>585</v>
      </c>
      <c r="DL109" s="193">
        <v>19</v>
      </c>
      <c r="DM109" s="206" t="s">
        <v>585</v>
      </c>
      <c r="DN109" s="204" t="s">
        <v>585</v>
      </c>
      <c r="DO109" s="206" t="s">
        <v>585</v>
      </c>
      <c r="DP109" s="203" t="s">
        <v>585</v>
      </c>
      <c r="DQ109" s="204" t="s">
        <v>585</v>
      </c>
      <c r="DR109" s="202" t="s">
        <v>585</v>
      </c>
      <c r="DS109" s="206" t="s">
        <v>585</v>
      </c>
      <c r="DT109" s="193" t="s">
        <v>585</v>
      </c>
      <c r="DU109" s="206">
        <v>35</v>
      </c>
      <c r="DV109" s="204" t="s">
        <v>585</v>
      </c>
      <c r="DW109" s="206">
        <v>35</v>
      </c>
      <c r="DX109" s="193" t="s">
        <v>585</v>
      </c>
      <c r="DY109" s="193" t="s">
        <v>585</v>
      </c>
      <c r="DZ109" s="206" t="s">
        <v>585</v>
      </c>
      <c r="EA109" s="204">
        <v>3</v>
      </c>
      <c r="EB109" s="204">
        <v>5</v>
      </c>
      <c r="EC109" s="204" t="s">
        <v>585</v>
      </c>
      <c r="ED109" s="204" t="s">
        <v>585</v>
      </c>
      <c r="EE109" s="204" t="s">
        <v>585</v>
      </c>
      <c r="EF109" s="204" t="s">
        <v>585</v>
      </c>
      <c r="EG109" s="206">
        <v>8</v>
      </c>
      <c r="EH109" s="203">
        <v>167</v>
      </c>
      <c r="EI109" s="204">
        <v>89</v>
      </c>
      <c r="EJ109" s="204">
        <v>24</v>
      </c>
      <c r="EK109" s="204">
        <v>49</v>
      </c>
      <c r="EL109" s="204">
        <v>619</v>
      </c>
      <c r="EM109" s="204">
        <v>114</v>
      </c>
      <c r="EN109" s="204">
        <v>16</v>
      </c>
      <c r="EO109" s="204">
        <v>24</v>
      </c>
      <c r="EP109" s="204">
        <v>60</v>
      </c>
      <c r="EQ109" s="204">
        <v>51</v>
      </c>
      <c r="ER109" s="204">
        <v>17</v>
      </c>
      <c r="ES109" s="204">
        <v>5</v>
      </c>
      <c r="ET109" s="204" t="s">
        <v>585</v>
      </c>
      <c r="EU109" s="202">
        <v>1235</v>
      </c>
      <c r="EV109" s="206" t="s">
        <v>585</v>
      </c>
      <c r="EW109" s="193">
        <v>7</v>
      </c>
      <c r="EX109" s="206" t="s">
        <v>585</v>
      </c>
      <c r="EY109" s="204" t="s">
        <v>585</v>
      </c>
      <c r="EZ109" s="204" t="s">
        <v>585</v>
      </c>
      <c r="FA109" s="206" t="s">
        <v>585</v>
      </c>
      <c r="FB109" s="193" t="s">
        <v>585</v>
      </c>
      <c r="FC109" s="206" t="s">
        <v>585</v>
      </c>
      <c r="FD109" s="203" t="s">
        <v>585</v>
      </c>
      <c r="FE109" s="204" t="s">
        <v>585</v>
      </c>
      <c r="FF109" s="204" t="s">
        <v>585</v>
      </c>
      <c r="FG109" s="204" t="s">
        <v>585</v>
      </c>
      <c r="FH109" s="202" t="s">
        <v>585</v>
      </c>
      <c r="FI109" s="206" t="s">
        <v>585</v>
      </c>
      <c r="FJ109" s="204" t="s">
        <v>585</v>
      </c>
      <c r="FK109" s="206" t="s">
        <v>585</v>
      </c>
      <c r="FL109" s="203" t="s">
        <v>585</v>
      </c>
      <c r="FM109" s="204" t="s">
        <v>585</v>
      </c>
      <c r="FN109" s="202" t="s">
        <v>585</v>
      </c>
      <c r="FO109" s="206" t="s">
        <v>585</v>
      </c>
      <c r="FP109" s="193">
        <v>6</v>
      </c>
      <c r="FQ109" s="206">
        <v>1</v>
      </c>
      <c r="FR109" s="204" t="s">
        <v>585</v>
      </c>
      <c r="FS109" s="204" t="s">
        <v>585</v>
      </c>
      <c r="FT109" s="206">
        <v>1</v>
      </c>
      <c r="FU109" s="203">
        <v>7</v>
      </c>
      <c r="FV109" s="204" t="s">
        <v>585</v>
      </c>
      <c r="FW109" s="202">
        <v>7</v>
      </c>
      <c r="FX109" s="206" t="s">
        <v>585</v>
      </c>
      <c r="FY109" s="203" t="s">
        <v>585</v>
      </c>
      <c r="FZ109" s="204">
        <v>3</v>
      </c>
      <c r="GA109" s="204" t="s">
        <v>585</v>
      </c>
      <c r="GB109" s="202">
        <v>3</v>
      </c>
      <c r="GC109" s="206">
        <v>2</v>
      </c>
      <c r="GD109" s="203">
        <v>4</v>
      </c>
      <c r="GE109" s="204">
        <v>1</v>
      </c>
      <c r="GF109" s="204" t="s">
        <v>585</v>
      </c>
      <c r="GG109" s="204" t="s">
        <v>585</v>
      </c>
      <c r="GH109" s="202">
        <v>5</v>
      </c>
      <c r="GI109" s="193">
        <v>66557</v>
      </c>
      <c r="GJ109" s="368">
        <f>66557/45058286</f>
        <v>1.4771311984659158E-3</v>
      </c>
      <c r="GK109" s="382"/>
    </row>
    <row r="110" spans="2:193" ht="12.75" customHeight="1" thickBot="1" x14ac:dyDescent="0.25">
      <c r="B110" s="359" t="s">
        <v>255</v>
      </c>
      <c r="C110" s="203">
        <v>37</v>
      </c>
      <c r="D110" s="204" t="s">
        <v>585</v>
      </c>
      <c r="E110" s="204" t="s">
        <v>585</v>
      </c>
      <c r="F110" s="204" t="s">
        <v>585</v>
      </c>
      <c r="G110" s="202">
        <v>37</v>
      </c>
      <c r="H110" s="193" t="s">
        <v>585</v>
      </c>
      <c r="I110" s="206">
        <v>10</v>
      </c>
      <c r="J110" s="204" t="s">
        <v>585</v>
      </c>
      <c r="K110" s="206">
        <v>10</v>
      </c>
      <c r="L110" s="193" t="s">
        <v>585</v>
      </c>
      <c r="M110" s="193">
        <v>213</v>
      </c>
      <c r="N110" s="206">
        <v>9</v>
      </c>
      <c r="O110" s="204">
        <v>5</v>
      </c>
      <c r="P110" s="204">
        <v>722</v>
      </c>
      <c r="Q110" s="204">
        <v>9</v>
      </c>
      <c r="R110" s="204">
        <v>157</v>
      </c>
      <c r="S110" s="204">
        <v>3</v>
      </c>
      <c r="T110" s="204" t="s">
        <v>585</v>
      </c>
      <c r="U110" s="206">
        <v>905</v>
      </c>
      <c r="V110" s="203">
        <v>19</v>
      </c>
      <c r="W110" s="204">
        <v>7</v>
      </c>
      <c r="X110" s="202">
        <v>26</v>
      </c>
      <c r="Y110" s="206">
        <v>81</v>
      </c>
      <c r="Z110" s="204" t="s">
        <v>585</v>
      </c>
      <c r="AA110" s="204" t="s">
        <v>585</v>
      </c>
      <c r="AB110" s="206">
        <v>81</v>
      </c>
      <c r="AC110" s="203">
        <v>1428</v>
      </c>
      <c r="AD110" s="204">
        <v>10</v>
      </c>
      <c r="AE110" s="204">
        <v>1</v>
      </c>
      <c r="AF110" s="202">
        <v>1439</v>
      </c>
      <c r="AG110" s="206">
        <v>40</v>
      </c>
      <c r="AH110" s="204" t="s">
        <v>585</v>
      </c>
      <c r="AI110" s="204" t="s">
        <v>585</v>
      </c>
      <c r="AJ110" s="204" t="s">
        <v>585</v>
      </c>
      <c r="AK110" s="206">
        <v>40</v>
      </c>
      <c r="AL110" s="193" t="s">
        <v>585</v>
      </c>
      <c r="AM110" s="193" t="s">
        <v>585</v>
      </c>
      <c r="AN110" s="206" t="s">
        <v>585</v>
      </c>
      <c r="AO110" s="204" t="s">
        <v>585</v>
      </c>
      <c r="AP110" s="206" t="s">
        <v>585</v>
      </c>
      <c r="AQ110" s="203">
        <v>10</v>
      </c>
      <c r="AR110" s="204">
        <v>2</v>
      </c>
      <c r="AS110" s="204">
        <v>1</v>
      </c>
      <c r="AT110" s="204" t="s">
        <v>585</v>
      </c>
      <c r="AU110" s="204" t="s">
        <v>585</v>
      </c>
      <c r="AV110" s="204" t="s">
        <v>585</v>
      </c>
      <c r="AW110" s="204" t="s">
        <v>585</v>
      </c>
      <c r="AX110" s="202">
        <v>13</v>
      </c>
      <c r="AY110" s="206">
        <v>3</v>
      </c>
      <c r="AZ110" s="193">
        <v>3</v>
      </c>
      <c r="BA110" s="206">
        <v>10</v>
      </c>
      <c r="BB110" s="377">
        <v>201</v>
      </c>
      <c r="BC110" s="206">
        <v>177</v>
      </c>
      <c r="BD110" s="206">
        <v>76</v>
      </c>
      <c r="BE110" s="378">
        <v>6</v>
      </c>
      <c r="BF110" s="206">
        <v>470</v>
      </c>
      <c r="BG110" s="193" t="s">
        <v>585</v>
      </c>
      <c r="BH110" s="193" t="s">
        <v>585</v>
      </c>
      <c r="BI110" s="193" t="s">
        <v>585</v>
      </c>
      <c r="BJ110" s="193" t="s">
        <v>585</v>
      </c>
      <c r="BK110" s="206">
        <v>2</v>
      </c>
      <c r="BL110" s="204" t="s">
        <v>585</v>
      </c>
      <c r="BM110" s="206">
        <v>2</v>
      </c>
      <c r="BN110" s="193" t="s">
        <v>585</v>
      </c>
      <c r="BO110" s="206" t="s">
        <v>585</v>
      </c>
      <c r="BP110" s="204" t="s">
        <v>585</v>
      </c>
      <c r="BQ110" s="206" t="s">
        <v>585</v>
      </c>
      <c r="BR110" s="203">
        <v>1</v>
      </c>
      <c r="BS110" s="204" t="s">
        <v>585</v>
      </c>
      <c r="BT110" s="204" t="s">
        <v>585</v>
      </c>
      <c r="BU110" s="204" t="s">
        <v>585</v>
      </c>
      <c r="BV110" s="204" t="s">
        <v>585</v>
      </c>
      <c r="BW110" s="204" t="s">
        <v>585</v>
      </c>
      <c r="BX110" s="204" t="s">
        <v>585</v>
      </c>
      <c r="BY110" s="204" t="s">
        <v>585</v>
      </c>
      <c r="BZ110" s="204" t="s">
        <v>585</v>
      </c>
      <c r="CA110" s="204" t="s">
        <v>585</v>
      </c>
      <c r="CB110" s="204" t="s">
        <v>585</v>
      </c>
      <c r="CC110" s="204" t="s">
        <v>585</v>
      </c>
      <c r="CD110" s="204" t="s">
        <v>585</v>
      </c>
      <c r="CE110" s="204" t="s">
        <v>585</v>
      </c>
      <c r="CF110" s="202">
        <v>1</v>
      </c>
      <c r="CG110" s="206" t="s">
        <v>585</v>
      </c>
      <c r="CH110" s="204" t="s">
        <v>585</v>
      </c>
      <c r="CI110" s="206" t="s">
        <v>585</v>
      </c>
      <c r="CJ110" s="193" t="s">
        <v>585</v>
      </c>
      <c r="CK110" s="206">
        <v>1455</v>
      </c>
      <c r="CL110" s="204">
        <v>4</v>
      </c>
      <c r="CM110" s="204">
        <v>9906</v>
      </c>
      <c r="CN110" s="204">
        <v>3669</v>
      </c>
      <c r="CO110" s="204">
        <v>32</v>
      </c>
      <c r="CP110" s="204">
        <v>1</v>
      </c>
      <c r="CQ110" s="204">
        <v>1</v>
      </c>
      <c r="CR110" s="204" t="s">
        <v>585</v>
      </c>
      <c r="CS110" s="204">
        <v>4</v>
      </c>
      <c r="CT110" s="204" t="s">
        <v>585</v>
      </c>
      <c r="CU110" s="204" t="s">
        <v>585</v>
      </c>
      <c r="CV110" s="206">
        <v>15072</v>
      </c>
      <c r="CW110" s="203">
        <v>252</v>
      </c>
      <c r="CX110" s="204" t="s">
        <v>585</v>
      </c>
      <c r="CY110" s="204">
        <v>78</v>
      </c>
      <c r="CZ110" s="204" t="s">
        <v>585</v>
      </c>
      <c r="DA110" s="204">
        <v>6</v>
      </c>
      <c r="DB110" s="204" t="s">
        <v>585</v>
      </c>
      <c r="DC110" s="204">
        <v>2</v>
      </c>
      <c r="DD110" s="202">
        <v>338</v>
      </c>
      <c r="DE110" s="206" t="s">
        <v>585</v>
      </c>
      <c r="DF110" s="203" t="s">
        <v>585</v>
      </c>
      <c r="DG110" s="204" t="s">
        <v>585</v>
      </c>
      <c r="DH110" s="202" t="s">
        <v>585</v>
      </c>
      <c r="DI110" s="206" t="s">
        <v>585</v>
      </c>
      <c r="DJ110" s="204" t="s">
        <v>585</v>
      </c>
      <c r="DK110" s="206" t="s">
        <v>585</v>
      </c>
      <c r="DL110" s="193">
        <v>8</v>
      </c>
      <c r="DM110" s="206" t="s">
        <v>585</v>
      </c>
      <c r="DN110" s="204" t="s">
        <v>585</v>
      </c>
      <c r="DO110" s="206" t="s">
        <v>585</v>
      </c>
      <c r="DP110" s="203">
        <v>6</v>
      </c>
      <c r="DQ110" s="204" t="s">
        <v>585</v>
      </c>
      <c r="DR110" s="202">
        <v>6</v>
      </c>
      <c r="DS110" s="206" t="s">
        <v>585</v>
      </c>
      <c r="DT110" s="193" t="s">
        <v>585</v>
      </c>
      <c r="DU110" s="206">
        <v>115</v>
      </c>
      <c r="DV110" s="204" t="s">
        <v>585</v>
      </c>
      <c r="DW110" s="206">
        <v>115</v>
      </c>
      <c r="DX110" s="193" t="s">
        <v>585</v>
      </c>
      <c r="DY110" s="193" t="s">
        <v>585</v>
      </c>
      <c r="DZ110" s="206" t="s">
        <v>585</v>
      </c>
      <c r="EA110" s="204">
        <v>3</v>
      </c>
      <c r="EB110" s="204">
        <v>8</v>
      </c>
      <c r="EC110" s="204" t="s">
        <v>585</v>
      </c>
      <c r="ED110" s="204" t="s">
        <v>585</v>
      </c>
      <c r="EE110" s="204" t="s">
        <v>585</v>
      </c>
      <c r="EF110" s="204" t="s">
        <v>585</v>
      </c>
      <c r="EG110" s="206">
        <v>11</v>
      </c>
      <c r="EH110" s="203">
        <v>265</v>
      </c>
      <c r="EI110" s="204">
        <v>734</v>
      </c>
      <c r="EJ110" s="204">
        <v>22</v>
      </c>
      <c r="EK110" s="204">
        <v>145</v>
      </c>
      <c r="EL110" s="204">
        <v>255</v>
      </c>
      <c r="EM110" s="204">
        <v>269</v>
      </c>
      <c r="EN110" s="204">
        <v>34</v>
      </c>
      <c r="EO110" s="204">
        <v>104</v>
      </c>
      <c r="EP110" s="204">
        <v>131</v>
      </c>
      <c r="EQ110" s="204">
        <v>57</v>
      </c>
      <c r="ER110" s="204">
        <v>61</v>
      </c>
      <c r="ES110" s="204" t="s">
        <v>585</v>
      </c>
      <c r="ET110" s="204" t="s">
        <v>585</v>
      </c>
      <c r="EU110" s="202">
        <v>2077</v>
      </c>
      <c r="EV110" s="206" t="s">
        <v>585</v>
      </c>
      <c r="EW110" s="193" t="s">
        <v>585</v>
      </c>
      <c r="EX110" s="206" t="s">
        <v>585</v>
      </c>
      <c r="EY110" s="204" t="s">
        <v>585</v>
      </c>
      <c r="EZ110" s="204" t="s">
        <v>585</v>
      </c>
      <c r="FA110" s="206" t="s">
        <v>585</v>
      </c>
      <c r="FB110" s="193" t="s">
        <v>585</v>
      </c>
      <c r="FC110" s="206" t="s">
        <v>585</v>
      </c>
      <c r="FD110" s="203" t="s">
        <v>585</v>
      </c>
      <c r="FE110" s="204">
        <v>2</v>
      </c>
      <c r="FF110" s="204" t="s">
        <v>585</v>
      </c>
      <c r="FG110" s="204" t="s">
        <v>585</v>
      </c>
      <c r="FH110" s="202">
        <v>2</v>
      </c>
      <c r="FI110" s="206" t="s">
        <v>585</v>
      </c>
      <c r="FJ110" s="204" t="s">
        <v>585</v>
      </c>
      <c r="FK110" s="206" t="s">
        <v>585</v>
      </c>
      <c r="FL110" s="203">
        <v>1</v>
      </c>
      <c r="FM110" s="204" t="s">
        <v>585</v>
      </c>
      <c r="FN110" s="202">
        <v>1</v>
      </c>
      <c r="FO110" s="206" t="s">
        <v>585</v>
      </c>
      <c r="FP110" s="193">
        <v>14</v>
      </c>
      <c r="FQ110" s="206">
        <v>2</v>
      </c>
      <c r="FR110" s="204" t="s">
        <v>585</v>
      </c>
      <c r="FS110" s="204" t="s">
        <v>585</v>
      </c>
      <c r="FT110" s="206">
        <v>2</v>
      </c>
      <c r="FU110" s="203">
        <v>21</v>
      </c>
      <c r="FV110" s="204" t="s">
        <v>585</v>
      </c>
      <c r="FW110" s="202">
        <v>21</v>
      </c>
      <c r="FX110" s="206" t="s">
        <v>585</v>
      </c>
      <c r="FY110" s="203" t="s">
        <v>585</v>
      </c>
      <c r="FZ110" s="204">
        <v>1</v>
      </c>
      <c r="GA110" s="204">
        <v>1</v>
      </c>
      <c r="GB110" s="202">
        <v>2</v>
      </c>
      <c r="GC110" s="206" t="s">
        <v>585</v>
      </c>
      <c r="GD110" s="203" t="s">
        <v>585</v>
      </c>
      <c r="GE110" s="204" t="s">
        <v>585</v>
      </c>
      <c r="GF110" s="204" t="s">
        <v>585</v>
      </c>
      <c r="GG110" s="204" t="s">
        <v>585</v>
      </c>
      <c r="GH110" s="202" t="s">
        <v>585</v>
      </c>
      <c r="GI110" s="193">
        <v>20912</v>
      </c>
      <c r="GJ110" s="368">
        <f>20912/45058286</f>
        <v>4.6410997524406501E-4</v>
      </c>
      <c r="GK110" s="382"/>
    </row>
    <row r="111" spans="2:193" s="76" customFormat="1" ht="12.75" customHeight="1" thickBot="1" x14ac:dyDescent="0.25">
      <c r="B111" s="363" t="s">
        <v>555</v>
      </c>
      <c r="C111" s="266">
        <v>3468</v>
      </c>
      <c r="D111" s="264" t="s">
        <v>585</v>
      </c>
      <c r="E111" s="264">
        <v>21</v>
      </c>
      <c r="F111" s="264">
        <v>2</v>
      </c>
      <c r="G111" s="267">
        <v>3491</v>
      </c>
      <c r="H111" s="265" t="s">
        <v>585</v>
      </c>
      <c r="I111" s="263">
        <v>96</v>
      </c>
      <c r="J111" s="264">
        <v>3</v>
      </c>
      <c r="K111" s="263">
        <v>99</v>
      </c>
      <c r="L111" s="265">
        <v>1</v>
      </c>
      <c r="M111" s="265">
        <v>16712</v>
      </c>
      <c r="N111" s="263">
        <v>194</v>
      </c>
      <c r="O111" s="264">
        <v>276</v>
      </c>
      <c r="P111" s="264">
        <v>27297</v>
      </c>
      <c r="Q111" s="264">
        <v>334</v>
      </c>
      <c r="R111" s="264">
        <v>3168</v>
      </c>
      <c r="S111" s="264">
        <v>18</v>
      </c>
      <c r="T111" s="264" t="s">
        <v>585</v>
      </c>
      <c r="U111" s="263">
        <v>31287</v>
      </c>
      <c r="V111" s="266">
        <v>197</v>
      </c>
      <c r="W111" s="264">
        <v>560</v>
      </c>
      <c r="X111" s="267">
        <v>757</v>
      </c>
      <c r="Y111" s="263">
        <v>3003</v>
      </c>
      <c r="Z111" s="264">
        <v>22</v>
      </c>
      <c r="AA111" s="264" t="s">
        <v>585</v>
      </c>
      <c r="AB111" s="263">
        <v>3025</v>
      </c>
      <c r="AC111" s="266">
        <v>82409</v>
      </c>
      <c r="AD111" s="264">
        <v>91</v>
      </c>
      <c r="AE111" s="264">
        <v>15</v>
      </c>
      <c r="AF111" s="267">
        <v>82515</v>
      </c>
      <c r="AG111" s="263">
        <v>2202</v>
      </c>
      <c r="AH111" s="264" t="s">
        <v>585</v>
      </c>
      <c r="AI111" s="264" t="s">
        <v>585</v>
      </c>
      <c r="AJ111" s="264" t="s">
        <v>585</v>
      </c>
      <c r="AK111" s="263">
        <v>2202</v>
      </c>
      <c r="AL111" s="265" t="s">
        <v>585</v>
      </c>
      <c r="AM111" s="265" t="s">
        <v>585</v>
      </c>
      <c r="AN111" s="263">
        <v>19</v>
      </c>
      <c r="AO111" s="264">
        <v>9</v>
      </c>
      <c r="AP111" s="263">
        <v>28</v>
      </c>
      <c r="AQ111" s="266">
        <v>1251</v>
      </c>
      <c r="AR111" s="264">
        <v>6</v>
      </c>
      <c r="AS111" s="264">
        <v>271</v>
      </c>
      <c r="AT111" s="264">
        <v>1</v>
      </c>
      <c r="AU111" s="264" t="s">
        <v>585</v>
      </c>
      <c r="AV111" s="264">
        <v>13</v>
      </c>
      <c r="AW111" s="264" t="s">
        <v>585</v>
      </c>
      <c r="AX111" s="267">
        <v>1542</v>
      </c>
      <c r="AY111" s="263">
        <v>10</v>
      </c>
      <c r="AZ111" s="265">
        <v>67</v>
      </c>
      <c r="BA111" s="263">
        <v>555</v>
      </c>
      <c r="BB111" s="379">
        <v>14952</v>
      </c>
      <c r="BC111" s="263">
        <v>5312</v>
      </c>
      <c r="BD111" s="263">
        <v>1567</v>
      </c>
      <c r="BE111" s="380">
        <v>445</v>
      </c>
      <c r="BF111" s="263">
        <v>22831</v>
      </c>
      <c r="BG111" s="265">
        <v>5</v>
      </c>
      <c r="BH111" s="265" t="s">
        <v>585</v>
      </c>
      <c r="BI111" s="265">
        <v>5</v>
      </c>
      <c r="BJ111" s="265">
        <v>9</v>
      </c>
      <c r="BK111" s="263">
        <v>207</v>
      </c>
      <c r="BL111" s="264" t="s">
        <v>585</v>
      </c>
      <c r="BM111" s="263">
        <v>207</v>
      </c>
      <c r="BN111" s="265">
        <v>1</v>
      </c>
      <c r="BO111" s="263">
        <v>20</v>
      </c>
      <c r="BP111" s="264">
        <v>32</v>
      </c>
      <c r="BQ111" s="263">
        <v>52</v>
      </c>
      <c r="BR111" s="266">
        <v>99</v>
      </c>
      <c r="BS111" s="264">
        <v>263</v>
      </c>
      <c r="BT111" s="264">
        <v>2</v>
      </c>
      <c r="BU111" s="264">
        <v>3</v>
      </c>
      <c r="BV111" s="264">
        <v>2</v>
      </c>
      <c r="BW111" s="264">
        <v>2</v>
      </c>
      <c r="BX111" s="264">
        <v>14</v>
      </c>
      <c r="BY111" s="264" t="s">
        <v>585</v>
      </c>
      <c r="BZ111" s="264">
        <v>4</v>
      </c>
      <c r="CA111" s="264">
        <v>1</v>
      </c>
      <c r="CB111" s="264" t="s">
        <v>585</v>
      </c>
      <c r="CC111" s="264" t="s">
        <v>585</v>
      </c>
      <c r="CD111" s="264" t="s">
        <v>585</v>
      </c>
      <c r="CE111" s="264" t="s">
        <v>585</v>
      </c>
      <c r="CF111" s="267">
        <v>390</v>
      </c>
      <c r="CG111" s="263">
        <v>70</v>
      </c>
      <c r="CH111" s="264" t="s">
        <v>585</v>
      </c>
      <c r="CI111" s="263">
        <v>70</v>
      </c>
      <c r="CJ111" s="265">
        <v>3</v>
      </c>
      <c r="CK111" s="263">
        <v>176535</v>
      </c>
      <c r="CL111" s="264">
        <v>5</v>
      </c>
      <c r="CM111" s="264">
        <v>714260</v>
      </c>
      <c r="CN111" s="264">
        <v>112892</v>
      </c>
      <c r="CO111" s="264">
        <v>2978</v>
      </c>
      <c r="CP111" s="264">
        <v>12</v>
      </c>
      <c r="CQ111" s="264">
        <v>80</v>
      </c>
      <c r="CR111" s="264">
        <v>8</v>
      </c>
      <c r="CS111" s="264">
        <v>82</v>
      </c>
      <c r="CT111" s="264" t="s">
        <v>585</v>
      </c>
      <c r="CU111" s="264" t="s">
        <v>585</v>
      </c>
      <c r="CV111" s="263">
        <v>1006852</v>
      </c>
      <c r="CW111" s="266">
        <v>13806</v>
      </c>
      <c r="CX111" s="264">
        <v>52</v>
      </c>
      <c r="CY111" s="264">
        <v>15003</v>
      </c>
      <c r="CZ111" s="264">
        <v>31</v>
      </c>
      <c r="DA111" s="264">
        <v>175</v>
      </c>
      <c r="DB111" s="264">
        <v>14</v>
      </c>
      <c r="DC111" s="264">
        <v>6</v>
      </c>
      <c r="DD111" s="267">
        <v>29087</v>
      </c>
      <c r="DE111" s="263" t="s">
        <v>585</v>
      </c>
      <c r="DF111" s="266" t="s">
        <v>585</v>
      </c>
      <c r="DG111" s="264" t="s">
        <v>585</v>
      </c>
      <c r="DH111" s="267" t="s">
        <v>585</v>
      </c>
      <c r="DI111" s="263" t="s">
        <v>585</v>
      </c>
      <c r="DJ111" s="264" t="s">
        <v>585</v>
      </c>
      <c r="DK111" s="263" t="s">
        <v>585</v>
      </c>
      <c r="DL111" s="265">
        <v>272</v>
      </c>
      <c r="DM111" s="263" t="s">
        <v>585</v>
      </c>
      <c r="DN111" s="264" t="s">
        <v>585</v>
      </c>
      <c r="DO111" s="263" t="s">
        <v>585</v>
      </c>
      <c r="DP111" s="266">
        <v>559</v>
      </c>
      <c r="DQ111" s="264">
        <v>9</v>
      </c>
      <c r="DR111" s="267">
        <v>568</v>
      </c>
      <c r="DS111" s="263">
        <v>293</v>
      </c>
      <c r="DT111" s="265" t="s">
        <v>585</v>
      </c>
      <c r="DU111" s="263">
        <v>2136</v>
      </c>
      <c r="DV111" s="264" t="s">
        <v>585</v>
      </c>
      <c r="DW111" s="263">
        <v>2136</v>
      </c>
      <c r="DX111" s="265">
        <v>3</v>
      </c>
      <c r="DY111" s="265" t="s">
        <v>585</v>
      </c>
      <c r="DZ111" s="263">
        <v>1942</v>
      </c>
      <c r="EA111" s="264">
        <v>59</v>
      </c>
      <c r="EB111" s="264">
        <v>150</v>
      </c>
      <c r="EC111" s="264">
        <v>20</v>
      </c>
      <c r="ED111" s="264" t="s">
        <v>585</v>
      </c>
      <c r="EE111" s="264" t="s">
        <v>585</v>
      </c>
      <c r="EF111" s="264">
        <v>2</v>
      </c>
      <c r="EG111" s="263">
        <v>2173</v>
      </c>
      <c r="EH111" s="266">
        <v>5639</v>
      </c>
      <c r="EI111" s="264">
        <v>5502</v>
      </c>
      <c r="EJ111" s="264">
        <v>590</v>
      </c>
      <c r="EK111" s="264">
        <v>2143</v>
      </c>
      <c r="EL111" s="264">
        <v>6753</v>
      </c>
      <c r="EM111" s="264">
        <v>4759</v>
      </c>
      <c r="EN111" s="264">
        <v>1799</v>
      </c>
      <c r="EO111" s="264">
        <v>600</v>
      </c>
      <c r="EP111" s="264">
        <v>3466</v>
      </c>
      <c r="EQ111" s="264">
        <v>929</v>
      </c>
      <c r="ER111" s="264">
        <v>300</v>
      </c>
      <c r="ES111" s="264">
        <v>9</v>
      </c>
      <c r="ET111" s="264" t="s">
        <v>585</v>
      </c>
      <c r="EU111" s="267">
        <v>32489</v>
      </c>
      <c r="EV111" s="263" t="s">
        <v>585</v>
      </c>
      <c r="EW111" s="265">
        <v>68</v>
      </c>
      <c r="EX111" s="263" t="s">
        <v>585</v>
      </c>
      <c r="EY111" s="264">
        <v>6</v>
      </c>
      <c r="EZ111" s="264" t="s">
        <v>585</v>
      </c>
      <c r="FA111" s="263">
        <v>6</v>
      </c>
      <c r="FB111" s="265" t="s">
        <v>585</v>
      </c>
      <c r="FC111" s="263">
        <v>9</v>
      </c>
      <c r="FD111" s="266">
        <v>6</v>
      </c>
      <c r="FE111" s="264">
        <v>55</v>
      </c>
      <c r="FF111" s="264">
        <v>1</v>
      </c>
      <c r="FG111" s="264">
        <v>1</v>
      </c>
      <c r="FH111" s="267">
        <v>63</v>
      </c>
      <c r="FI111" s="263">
        <v>2</v>
      </c>
      <c r="FJ111" s="264" t="s">
        <v>585</v>
      </c>
      <c r="FK111" s="263">
        <v>2</v>
      </c>
      <c r="FL111" s="266">
        <v>4</v>
      </c>
      <c r="FM111" s="264" t="s">
        <v>585</v>
      </c>
      <c r="FN111" s="267">
        <v>4</v>
      </c>
      <c r="FO111" s="263">
        <v>1</v>
      </c>
      <c r="FP111" s="265">
        <v>1859</v>
      </c>
      <c r="FQ111" s="263">
        <v>38</v>
      </c>
      <c r="FR111" s="264">
        <v>10</v>
      </c>
      <c r="FS111" s="264" t="s">
        <v>585</v>
      </c>
      <c r="FT111" s="263">
        <v>48</v>
      </c>
      <c r="FU111" s="266">
        <v>489</v>
      </c>
      <c r="FV111" s="264">
        <v>11</v>
      </c>
      <c r="FW111" s="267">
        <v>500</v>
      </c>
      <c r="FX111" s="263" t="s">
        <v>585</v>
      </c>
      <c r="FY111" s="266">
        <v>2</v>
      </c>
      <c r="FZ111" s="264">
        <v>33</v>
      </c>
      <c r="GA111" s="264">
        <v>10</v>
      </c>
      <c r="GB111" s="267">
        <v>45</v>
      </c>
      <c r="GC111" s="263">
        <v>24</v>
      </c>
      <c r="GD111" s="266">
        <v>13</v>
      </c>
      <c r="GE111" s="264">
        <v>10</v>
      </c>
      <c r="GF111" s="264" t="s">
        <v>585</v>
      </c>
      <c r="GG111" s="264" t="s">
        <v>585</v>
      </c>
      <c r="GH111" s="267">
        <v>23</v>
      </c>
      <c r="GI111" s="265">
        <v>1241834</v>
      </c>
      <c r="GJ111" s="369">
        <f>1241834/45058286</f>
        <v>2.7560613379745514E-2</v>
      </c>
      <c r="GK111" s="383"/>
    </row>
    <row r="112" spans="2:193" s="76" customFormat="1" ht="12.75" customHeight="1" thickBot="1" x14ac:dyDescent="0.25">
      <c r="B112" s="363" t="s">
        <v>556</v>
      </c>
      <c r="C112" s="266">
        <v>1132</v>
      </c>
      <c r="D112" s="264" t="s">
        <v>585</v>
      </c>
      <c r="E112" s="264" t="s">
        <v>585</v>
      </c>
      <c r="F112" s="264" t="s">
        <v>585</v>
      </c>
      <c r="G112" s="267">
        <v>1132</v>
      </c>
      <c r="H112" s="265" t="s">
        <v>585</v>
      </c>
      <c r="I112" s="263">
        <v>1</v>
      </c>
      <c r="J112" s="264" t="s">
        <v>585</v>
      </c>
      <c r="K112" s="263">
        <v>1</v>
      </c>
      <c r="L112" s="265" t="s">
        <v>585</v>
      </c>
      <c r="M112" s="265">
        <v>1016</v>
      </c>
      <c r="N112" s="263" t="s">
        <v>585</v>
      </c>
      <c r="O112" s="264" t="s">
        <v>585</v>
      </c>
      <c r="P112" s="264">
        <v>19804</v>
      </c>
      <c r="Q112" s="264">
        <v>146</v>
      </c>
      <c r="R112" s="264">
        <v>16</v>
      </c>
      <c r="S112" s="264" t="s">
        <v>585</v>
      </c>
      <c r="T112" s="264" t="s">
        <v>585</v>
      </c>
      <c r="U112" s="263">
        <v>19966</v>
      </c>
      <c r="V112" s="266">
        <v>7</v>
      </c>
      <c r="W112" s="264" t="s">
        <v>585</v>
      </c>
      <c r="X112" s="267">
        <v>7</v>
      </c>
      <c r="Y112" s="263">
        <v>38</v>
      </c>
      <c r="Z112" s="264" t="s">
        <v>585</v>
      </c>
      <c r="AA112" s="264" t="s">
        <v>585</v>
      </c>
      <c r="AB112" s="263">
        <v>38</v>
      </c>
      <c r="AC112" s="266" t="s">
        <v>585</v>
      </c>
      <c r="AD112" s="264" t="s">
        <v>585</v>
      </c>
      <c r="AE112" s="264" t="s">
        <v>585</v>
      </c>
      <c r="AF112" s="267" t="s">
        <v>585</v>
      </c>
      <c r="AG112" s="263">
        <v>4</v>
      </c>
      <c r="AH112" s="264" t="s">
        <v>585</v>
      </c>
      <c r="AI112" s="264">
        <v>14</v>
      </c>
      <c r="AJ112" s="264" t="s">
        <v>585</v>
      </c>
      <c r="AK112" s="263">
        <v>18</v>
      </c>
      <c r="AL112" s="265" t="s">
        <v>585</v>
      </c>
      <c r="AM112" s="265" t="s">
        <v>585</v>
      </c>
      <c r="AN112" s="263" t="s">
        <v>585</v>
      </c>
      <c r="AO112" s="264" t="s">
        <v>585</v>
      </c>
      <c r="AP112" s="263" t="s">
        <v>585</v>
      </c>
      <c r="AQ112" s="266">
        <v>2</v>
      </c>
      <c r="AR112" s="264" t="s">
        <v>585</v>
      </c>
      <c r="AS112" s="264" t="s">
        <v>585</v>
      </c>
      <c r="AT112" s="264" t="s">
        <v>585</v>
      </c>
      <c r="AU112" s="264" t="s">
        <v>585</v>
      </c>
      <c r="AV112" s="264" t="s">
        <v>585</v>
      </c>
      <c r="AW112" s="264" t="s">
        <v>585</v>
      </c>
      <c r="AX112" s="267">
        <v>2</v>
      </c>
      <c r="AY112" s="263" t="s">
        <v>585</v>
      </c>
      <c r="AZ112" s="265">
        <v>116</v>
      </c>
      <c r="BA112" s="263">
        <v>140</v>
      </c>
      <c r="BB112" s="379">
        <v>239</v>
      </c>
      <c r="BC112" s="263">
        <v>973</v>
      </c>
      <c r="BD112" s="263">
        <v>4</v>
      </c>
      <c r="BE112" s="380">
        <v>2</v>
      </c>
      <c r="BF112" s="263">
        <v>1358</v>
      </c>
      <c r="BG112" s="265">
        <v>16</v>
      </c>
      <c r="BH112" s="265" t="s">
        <v>585</v>
      </c>
      <c r="BI112" s="265" t="s">
        <v>585</v>
      </c>
      <c r="BJ112" s="265">
        <v>11</v>
      </c>
      <c r="BK112" s="263">
        <v>470</v>
      </c>
      <c r="BL112" s="264" t="s">
        <v>585</v>
      </c>
      <c r="BM112" s="263">
        <v>470</v>
      </c>
      <c r="BN112" s="265" t="s">
        <v>585</v>
      </c>
      <c r="BO112" s="263">
        <v>2</v>
      </c>
      <c r="BP112" s="264">
        <v>4</v>
      </c>
      <c r="BQ112" s="263">
        <v>6</v>
      </c>
      <c r="BR112" s="266">
        <v>12</v>
      </c>
      <c r="BS112" s="264">
        <v>4</v>
      </c>
      <c r="BT112" s="264">
        <v>2</v>
      </c>
      <c r="BU112" s="264">
        <v>2</v>
      </c>
      <c r="BV112" s="264" t="s">
        <v>585</v>
      </c>
      <c r="BW112" s="264">
        <v>1</v>
      </c>
      <c r="BX112" s="264" t="s">
        <v>585</v>
      </c>
      <c r="BY112" s="264" t="s">
        <v>585</v>
      </c>
      <c r="BZ112" s="264" t="s">
        <v>585</v>
      </c>
      <c r="CA112" s="264" t="s">
        <v>585</v>
      </c>
      <c r="CB112" s="264" t="s">
        <v>585</v>
      </c>
      <c r="CC112" s="264">
        <v>2</v>
      </c>
      <c r="CD112" s="264" t="s">
        <v>585</v>
      </c>
      <c r="CE112" s="264" t="s">
        <v>585</v>
      </c>
      <c r="CF112" s="267">
        <v>23</v>
      </c>
      <c r="CG112" s="263" t="s">
        <v>585</v>
      </c>
      <c r="CH112" s="264" t="s">
        <v>585</v>
      </c>
      <c r="CI112" s="263" t="s">
        <v>585</v>
      </c>
      <c r="CJ112" s="265" t="s">
        <v>585</v>
      </c>
      <c r="CK112" s="263">
        <v>9501</v>
      </c>
      <c r="CL112" s="264" t="s">
        <v>585</v>
      </c>
      <c r="CM112" s="264">
        <v>36195</v>
      </c>
      <c r="CN112" s="264">
        <v>23586</v>
      </c>
      <c r="CO112" s="264" t="s">
        <v>585</v>
      </c>
      <c r="CP112" s="264">
        <v>9</v>
      </c>
      <c r="CQ112" s="264">
        <v>11</v>
      </c>
      <c r="CR112" s="264" t="s">
        <v>585</v>
      </c>
      <c r="CS112" s="264">
        <v>20</v>
      </c>
      <c r="CT112" s="264">
        <v>1</v>
      </c>
      <c r="CU112" s="264" t="s">
        <v>585</v>
      </c>
      <c r="CV112" s="263">
        <v>69323</v>
      </c>
      <c r="CW112" s="266">
        <v>1561</v>
      </c>
      <c r="CX112" s="264">
        <v>72</v>
      </c>
      <c r="CY112" s="264">
        <v>3</v>
      </c>
      <c r="CZ112" s="264" t="s">
        <v>585</v>
      </c>
      <c r="DA112" s="264" t="s">
        <v>585</v>
      </c>
      <c r="DB112" s="264" t="s">
        <v>585</v>
      </c>
      <c r="DC112" s="264" t="s">
        <v>585</v>
      </c>
      <c r="DD112" s="267">
        <v>1636</v>
      </c>
      <c r="DE112" s="263" t="s">
        <v>585</v>
      </c>
      <c r="DF112" s="266" t="s">
        <v>585</v>
      </c>
      <c r="DG112" s="264" t="s">
        <v>585</v>
      </c>
      <c r="DH112" s="267" t="s">
        <v>585</v>
      </c>
      <c r="DI112" s="263" t="s">
        <v>585</v>
      </c>
      <c r="DJ112" s="264" t="s">
        <v>585</v>
      </c>
      <c r="DK112" s="263" t="s">
        <v>585</v>
      </c>
      <c r="DL112" s="265">
        <v>59</v>
      </c>
      <c r="DM112" s="263">
        <v>3</v>
      </c>
      <c r="DN112" s="264" t="s">
        <v>585</v>
      </c>
      <c r="DO112" s="263">
        <v>3</v>
      </c>
      <c r="DP112" s="266">
        <v>47</v>
      </c>
      <c r="DQ112" s="264" t="s">
        <v>585</v>
      </c>
      <c r="DR112" s="267">
        <v>47</v>
      </c>
      <c r="DS112" s="263">
        <v>27</v>
      </c>
      <c r="DT112" s="265" t="s">
        <v>585</v>
      </c>
      <c r="DU112" s="263">
        <v>61</v>
      </c>
      <c r="DV112" s="264" t="s">
        <v>585</v>
      </c>
      <c r="DW112" s="263">
        <v>61</v>
      </c>
      <c r="DX112" s="265" t="s">
        <v>585</v>
      </c>
      <c r="DY112" s="265" t="s">
        <v>585</v>
      </c>
      <c r="DZ112" s="263">
        <v>8</v>
      </c>
      <c r="EA112" s="264" t="s">
        <v>585</v>
      </c>
      <c r="EB112" s="264">
        <v>16</v>
      </c>
      <c r="EC112" s="264" t="s">
        <v>585</v>
      </c>
      <c r="ED112" s="264" t="s">
        <v>585</v>
      </c>
      <c r="EE112" s="264" t="s">
        <v>585</v>
      </c>
      <c r="EF112" s="264" t="s">
        <v>585</v>
      </c>
      <c r="EG112" s="263">
        <v>24</v>
      </c>
      <c r="EH112" s="266">
        <v>2</v>
      </c>
      <c r="EI112" s="264">
        <v>456</v>
      </c>
      <c r="EJ112" s="264" t="s">
        <v>585</v>
      </c>
      <c r="EK112" s="264">
        <v>1</v>
      </c>
      <c r="EL112" s="264">
        <v>11</v>
      </c>
      <c r="EM112" s="264">
        <v>301</v>
      </c>
      <c r="EN112" s="264" t="s">
        <v>585</v>
      </c>
      <c r="EO112" s="264">
        <v>1</v>
      </c>
      <c r="EP112" s="264">
        <v>8</v>
      </c>
      <c r="EQ112" s="264" t="s">
        <v>585</v>
      </c>
      <c r="ER112" s="264">
        <v>2</v>
      </c>
      <c r="ES112" s="264" t="s">
        <v>585</v>
      </c>
      <c r="ET112" s="264" t="s">
        <v>585</v>
      </c>
      <c r="EU112" s="267">
        <v>782</v>
      </c>
      <c r="EV112" s="263" t="s">
        <v>585</v>
      </c>
      <c r="EW112" s="265" t="s">
        <v>585</v>
      </c>
      <c r="EX112" s="263" t="s">
        <v>585</v>
      </c>
      <c r="EY112" s="264" t="s">
        <v>585</v>
      </c>
      <c r="EZ112" s="264" t="s">
        <v>585</v>
      </c>
      <c r="FA112" s="263" t="s">
        <v>585</v>
      </c>
      <c r="FB112" s="265" t="s">
        <v>585</v>
      </c>
      <c r="FC112" s="263">
        <v>64</v>
      </c>
      <c r="FD112" s="266" t="s">
        <v>585</v>
      </c>
      <c r="FE112" s="264">
        <v>13</v>
      </c>
      <c r="FF112" s="264">
        <v>1</v>
      </c>
      <c r="FG112" s="264" t="s">
        <v>585</v>
      </c>
      <c r="FH112" s="267">
        <v>14</v>
      </c>
      <c r="FI112" s="263" t="s">
        <v>585</v>
      </c>
      <c r="FJ112" s="264" t="s">
        <v>585</v>
      </c>
      <c r="FK112" s="263" t="s">
        <v>585</v>
      </c>
      <c r="FL112" s="266" t="s">
        <v>585</v>
      </c>
      <c r="FM112" s="264" t="s">
        <v>585</v>
      </c>
      <c r="FN112" s="267" t="s">
        <v>585</v>
      </c>
      <c r="FO112" s="263" t="s">
        <v>585</v>
      </c>
      <c r="FP112" s="265">
        <v>167</v>
      </c>
      <c r="FQ112" s="263">
        <v>5</v>
      </c>
      <c r="FR112" s="264">
        <v>1</v>
      </c>
      <c r="FS112" s="264" t="s">
        <v>585</v>
      </c>
      <c r="FT112" s="263">
        <v>6</v>
      </c>
      <c r="FU112" s="266">
        <v>30</v>
      </c>
      <c r="FV112" s="264" t="s">
        <v>585</v>
      </c>
      <c r="FW112" s="267">
        <v>30</v>
      </c>
      <c r="FX112" s="263" t="s">
        <v>585</v>
      </c>
      <c r="FY112" s="266" t="s">
        <v>585</v>
      </c>
      <c r="FZ112" s="264">
        <v>1</v>
      </c>
      <c r="GA112" s="264" t="s">
        <v>585</v>
      </c>
      <c r="GB112" s="267">
        <v>1</v>
      </c>
      <c r="GC112" s="263" t="s">
        <v>585</v>
      </c>
      <c r="GD112" s="266" t="s">
        <v>585</v>
      </c>
      <c r="GE112" s="264" t="s">
        <v>585</v>
      </c>
      <c r="GF112" s="264" t="s">
        <v>585</v>
      </c>
      <c r="GG112" s="264" t="s">
        <v>585</v>
      </c>
      <c r="GH112" s="267" t="s">
        <v>585</v>
      </c>
      <c r="GI112" s="265">
        <v>96424</v>
      </c>
      <c r="GJ112" s="369">
        <f>96424/45058286</f>
        <v>2.1399837534876493E-3</v>
      </c>
      <c r="GK112" s="383"/>
    </row>
    <row r="113" spans="2:193" s="76" customFormat="1" ht="12.75" customHeight="1" thickBot="1" x14ac:dyDescent="0.25">
      <c r="B113" s="363" t="s">
        <v>557</v>
      </c>
      <c r="C113" s="266" t="s">
        <v>585</v>
      </c>
      <c r="D113" s="264" t="s">
        <v>585</v>
      </c>
      <c r="E113" s="264" t="s">
        <v>585</v>
      </c>
      <c r="F113" s="264" t="s">
        <v>585</v>
      </c>
      <c r="G113" s="267" t="s">
        <v>585</v>
      </c>
      <c r="H113" s="265" t="s">
        <v>585</v>
      </c>
      <c r="I113" s="263">
        <v>1</v>
      </c>
      <c r="J113" s="264" t="s">
        <v>585</v>
      </c>
      <c r="K113" s="263">
        <v>1</v>
      </c>
      <c r="L113" s="265" t="s">
        <v>585</v>
      </c>
      <c r="M113" s="265">
        <v>4</v>
      </c>
      <c r="N113" s="263" t="s">
        <v>585</v>
      </c>
      <c r="O113" s="264">
        <v>5</v>
      </c>
      <c r="P113" s="264">
        <v>31</v>
      </c>
      <c r="Q113" s="264">
        <v>1</v>
      </c>
      <c r="R113" s="264" t="s">
        <v>585</v>
      </c>
      <c r="S113" s="264" t="s">
        <v>585</v>
      </c>
      <c r="T113" s="264" t="s">
        <v>585</v>
      </c>
      <c r="U113" s="263">
        <v>37</v>
      </c>
      <c r="V113" s="266" t="s">
        <v>585</v>
      </c>
      <c r="W113" s="264" t="s">
        <v>585</v>
      </c>
      <c r="X113" s="267" t="s">
        <v>585</v>
      </c>
      <c r="Y113" s="263" t="s">
        <v>585</v>
      </c>
      <c r="Z113" s="264" t="s">
        <v>585</v>
      </c>
      <c r="AA113" s="264" t="s">
        <v>585</v>
      </c>
      <c r="AB113" s="263" t="s">
        <v>585</v>
      </c>
      <c r="AC113" s="266">
        <v>2</v>
      </c>
      <c r="AD113" s="264" t="s">
        <v>585</v>
      </c>
      <c r="AE113" s="264" t="s">
        <v>585</v>
      </c>
      <c r="AF113" s="267">
        <v>2</v>
      </c>
      <c r="AG113" s="263" t="s">
        <v>585</v>
      </c>
      <c r="AH113" s="264" t="s">
        <v>585</v>
      </c>
      <c r="AI113" s="264" t="s">
        <v>585</v>
      </c>
      <c r="AJ113" s="264" t="s">
        <v>585</v>
      </c>
      <c r="AK113" s="263" t="s">
        <v>585</v>
      </c>
      <c r="AL113" s="265" t="s">
        <v>585</v>
      </c>
      <c r="AM113" s="265" t="s">
        <v>585</v>
      </c>
      <c r="AN113" s="263">
        <v>2</v>
      </c>
      <c r="AO113" s="264" t="s">
        <v>585</v>
      </c>
      <c r="AP113" s="263">
        <v>2</v>
      </c>
      <c r="AQ113" s="266" t="s">
        <v>585</v>
      </c>
      <c r="AR113" s="264" t="s">
        <v>585</v>
      </c>
      <c r="AS113" s="264" t="s">
        <v>585</v>
      </c>
      <c r="AT113" s="264" t="s">
        <v>585</v>
      </c>
      <c r="AU113" s="264" t="s">
        <v>585</v>
      </c>
      <c r="AV113" s="264" t="s">
        <v>585</v>
      </c>
      <c r="AW113" s="264" t="s">
        <v>585</v>
      </c>
      <c r="AX113" s="267" t="s">
        <v>585</v>
      </c>
      <c r="AY113" s="263" t="s">
        <v>585</v>
      </c>
      <c r="AZ113" s="265" t="s">
        <v>585</v>
      </c>
      <c r="BA113" s="263" t="s">
        <v>585</v>
      </c>
      <c r="BB113" s="379">
        <v>6</v>
      </c>
      <c r="BC113" s="263">
        <v>4</v>
      </c>
      <c r="BD113" s="263" t="s">
        <v>585</v>
      </c>
      <c r="BE113" s="380" t="s">
        <v>585</v>
      </c>
      <c r="BF113" s="263">
        <v>10</v>
      </c>
      <c r="BG113" s="265" t="s">
        <v>585</v>
      </c>
      <c r="BH113" s="265" t="s">
        <v>585</v>
      </c>
      <c r="BI113" s="265" t="s">
        <v>585</v>
      </c>
      <c r="BJ113" s="265" t="s">
        <v>585</v>
      </c>
      <c r="BK113" s="263" t="s">
        <v>585</v>
      </c>
      <c r="BL113" s="264" t="s">
        <v>585</v>
      </c>
      <c r="BM113" s="263" t="s">
        <v>585</v>
      </c>
      <c r="BN113" s="265">
        <v>24</v>
      </c>
      <c r="BO113" s="263" t="s">
        <v>585</v>
      </c>
      <c r="BP113" s="264" t="s">
        <v>585</v>
      </c>
      <c r="BQ113" s="263" t="s">
        <v>585</v>
      </c>
      <c r="BR113" s="266" t="s">
        <v>585</v>
      </c>
      <c r="BS113" s="264">
        <v>7</v>
      </c>
      <c r="BT113" s="264" t="s">
        <v>585</v>
      </c>
      <c r="BU113" s="264">
        <v>4</v>
      </c>
      <c r="BV113" s="264" t="s">
        <v>585</v>
      </c>
      <c r="BW113" s="264" t="s">
        <v>585</v>
      </c>
      <c r="BX113" s="264" t="s">
        <v>585</v>
      </c>
      <c r="BY113" s="264" t="s">
        <v>585</v>
      </c>
      <c r="BZ113" s="264" t="s">
        <v>585</v>
      </c>
      <c r="CA113" s="264">
        <v>16</v>
      </c>
      <c r="CB113" s="264" t="s">
        <v>585</v>
      </c>
      <c r="CC113" s="264" t="s">
        <v>585</v>
      </c>
      <c r="CD113" s="264" t="s">
        <v>585</v>
      </c>
      <c r="CE113" s="264" t="s">
        <v>585</v>
      </c>
      <c r="CF113" s="267">
        <v>27</v>
      </c>
      <c r="CG113" s="263" t="s">
        <v>585</v>
      </c>
      <c r="CH113" s="264" t="s">
        <v>585</v>
      </c>
      <c r="CI113" s="263" t="s">
        <v>585</v>
      </c>
      <c r="CJ113" s="265" t="s">
        <v>585</v>
      </c>
      <c r="CK113" s="263">
        <v>46</v>
      </c>
      <c r="CL113" s="264">
        <v>1</v>
      </c>
      <c r="CM113" s="264">
        <v>161</v>
      </c>
      <c r="CN113" s="264">
        <v>21</v>
      </c>
      <c r="CO113" s="264" t="s">
        <v>585</v>
      </c>
      <c r="CP113" s="264" t="s">
        <v>585</v>
      </c>
      <c r="CQ113" s="264">
        <v>12</v>
      </c>
      <c r="CR113" s="264" t="s">
        <v>585</v>
      </c>
      <c r="CS113" s="264" t="s">
        <v>585</v>
      </c>
      <c r="CT113" s="264" t="s">
        <v>585</v>
      </c>
      <c r="CU113" s="264" t="s">
        <v>585</v>
      </c>
      <c r="CV113" s="263">
        <v>241</v>
      </c>
      <c r="CW113" s="266">
        <v>8</v>
      </c>
      <c r="CX113" s="264">
        <v>11</v>
      </c>
      <c r="CY113" s="264" t="s">
        <v>585</v>
      </c>
      <c r="CZ113" s="264">
        <v>25</v>
      </c>
      <c r="DA113" s="264" t="s">
        <v>585</v>
      </c>
      <c r="DB113" s="264" t="s">
        <v>585</v>
      </c>
      <c r="DC113" s="264" t="s">
        <v>585</v>
      </c>
      <c r="DD113" s="267">
        <v>44</v>
      </c>
      <c r="DE113" s="263" t="s">
        <v>585</v>
      </c>
      <c r="DF113" s="266" t="s">
        <v>585</v>
      </c>
      <c r="DG113" s="264" t="s">
        <v>585</v>
      </c>
      <c r="DH113" s="267" t="s">
        <v>585</v>
      </c>
      <c r="DI113" s="263" t="s">
        <v>585</v>
      </c>
      <c r="DJ113" s="264" t="s">
        <v>585</v>
      </c>
      <c r="DK113" s="263" t="s">
        <v>585</v>
      </c>
      <c r="DL113" s="265" t="s">
        <v>585</v>
      </c>
      <c r="DM113" s="263" t="s">
        <v>585</v>
      </c>
      <c r="DN113" s="264" t="s">
        <v>585</v>
      </c>
      <c r="DO113" s="263" t="s">
        <v>585</v>
      </c>
      <c r="DP113" s="266">
        <v>30</v>
      </c>
      <c r="DQ113" s="264" t="s">
        <v>585</v>
      </c>
      <c r="DR113" s="267">
        <v>30</v>
      </c>
      <c r="DS113" s="263" t="s">
        <v>585</v>
      </c>
      <c r="DT113" s="265" t="s">
        <v>585</v>
      </c>
      <c r="DU113" s="263" t="s">
        <v>585</v>
      </c>
      <c r="DV113" s="264" t="s">
        <v>585</v>
      </c>
      <c r="DW113" s="263" t="s">
        <v>585</v>
      </c>
      <c r="DX113" s="265" t="s">
        <v>585</v>
      </c>
      <c r="DY113" s="265" t="s">
        <v>585</v>
      </c>
      <c r="DZ113" s="263">
        <v>449</v>
      </c>
      <c r="EA113" s="264" t="s">
        <v>585</v>
      </c>
      <c r="EB113" s="264" t="s">
        <v>585</v>
      </c>
      <c r="EC113" s="264" t="s">
        <v>585</v>
      </c>
      <c r="ED113" s="264" t="s">
        <v>585</v>
      </c>
      <c r="EE113" s="264" t="s">
        <v>585</v>
      </c>
      <c r="EF113" s="264" t="s">
        <v>585</v>
      </c>
      <c r="EG113" s="263">
        <v>449</v>
      </c>
      <c r="EH113" s="266">
        <v>1</v>
      </c>
      <c r="EI113" s="264">
        <v>10</v>
      </c>
      <c r="EJ113" s="264" t="s">
        <v>585</v>
      </c>
      <c r="EK113" s="264" t="s">
        <v>585</v>
      </c>
      <c r="EL113" s="264" t="s">
        <v>585</v>
      </c>
      <c r="EM113" s="264">
        <v>7</v>
      </c>
      <c r="EN113" s="264" t="s">
        <v>585</v>
      </c>
      <c r="EO113" s="264" t="s">
        <v>585</v>
      </c>
      <c r="EP113" s="264">
        <v>186</v>
      </c>
      <c r="EQ113" s="264" t="s">
        <v>585</v>
      </c>
      <c r="ER113" s="264">
        <v>1</v>
      </c>
      <c r="ES113" s="264" t="s">
        <v>585</v>
      </c>
      <c r="ET113" s="264" t="s">
        <v>585</v>
      </c>
      <c r="EU113" s="267">
        <v>205</v>
      </c>
      <c r="EV113" s="263" t="s">
        <v>585</v>
      </c>
      <c r="EW113" s="265" t="s">
        <v>585</v>
      </c>
      <c r="EX113" s="263" t="s">
        <v>585</v>
      </c>
      <c r="EY113" s="264" t="s">
        <v>585</v>
      </c>
      <c r="EZ113" s="264" t="s">
        <v>585</v>
      </c>
      <c r="FA113" s="263" t="s">
        <v>585</v>
      </c>
      <c r="FB113" s="265" t="s">
        <v>585</v>
      </c>
      <c r="FC113" s="263" t="s">
        <v>585</v>
      </c>
      <c r="FD113" s="266">
        <v>19</v>
      </c>
      <c r="FE113" s="264" t="s">
        <v>585</v>
      </c>
      <c r="FF113" s="264" t="s">
        <v>585</v>
      </c>
      <c r="FG113" s="264" t="s">
        <v>585</v>
      </c>
      <c r="FH113" s="267">
        <v>19</v>
      </c>
      <c r="FI113" s="263" t="s">
        <v>585</v>
      </c>
      <c r="FJ113" s="264" t="s">
        <v>585</v>
      </c>
      <c r="FK113" s="263" t="s">
        <v>585</v>
      </c>
      <c r="FL113" s="266" t="s">
        <v>585</v>
      </c>
      <c r="FM113" s="264" t="s">
        <v>585</v>
      </c>
      <c r="FN113" s="267" t="s">
        <v>585</v>
      </c>
      <c r="FO113" s="263" t="s">
        <v>585</v>
      </c>
      <c r="FP113" s="265">
        <v>1</v>
      </c>
      <c r="FQ113" s="263" t="s">
        <v>585</v>
      </c>
      <c r="FR113" s="264">
        <v>11</v>
      </c>
      <c r="FS113" s="264">
        <v>11</v>
      </c>
      <c r="FT113" s="263">
        <v>22</v>
      </c>
      <c r="FU113" s="266" t="s">
        <v>585</v>
      </c>
      <c r="FV113" s="264">
        <v>1</v>
      </c>
      <c r="FW113" s="267">
        <v>1</v>
      </c>
      <c r="FX113" s="263" t="s">
        <v>585</v>
      </c>
      <c r="FY113" s="266" t="s">
        <v>585</v>
      </c>
      <c r="FZ113" s="264" t="s">
        <v>585</v>
      </c>
      <c r="GA113" s="264" t="s">
        <v>585</v>
      </c>
      <c r="GB113" s="267" t="s">
        <v>585</v>
      </c>
      <c r="GC113" s="263" t="s">
        <v>585</v>
      </c>
      <c r="GD113" s="266" t="s">
        <v>585</v>
      </c>
      <c r="GE113" s="264" t="s">
        <v>585</v>
      </c>
      <c r="GF113" s="264" t="s">
        <v>585</v>
      </c>
      <c r="GG113" s="264" t="s">
        <v>585</v>
      </c>
      <c r="GH113" s="267" t="s">
        <v>585</v>
      </c>
      <c r="GI113" s="265">
        <v>1119</v>
      </c>
      <c r="GJ113" s="369">
        <f>1119/45058286</f>
        <v>2.4834499918616523E-5</v>
      </c>
      <c r="GK113" s="383"/>
    </row>
    <row r="114" spans="2:193" s="76" customFormat="1" ht="12.75" thickBot="1" x14ac:dyDescent="0.25">
      <c r="B114" s="363" t="s">
        <v>616</v>
      </c>
      <c r="C114" s="266">
        <v>134106</v>
      </c>
      <c r="D114" s="264">
        <v>307</v>
      </c>
      <c r="E114" s="264">
        <v>975</v>
      </c>
      <c r="F114" s="264">
        <v>1235</v>
      </c>
      <c r="G114" s="267">
        <v>136623</v>
      </c>
      <c r="H114" s="265" t="s">
        <v>585</v>
      </c>
      <c r="I114" s="263">
        <v>403638</v>
      </c>
      <c r="J114" s="264">
        <v>5</v>
      </c>
      <c r="K114" s="263">
        <v>403643</v>
      </c>
      <c r="L114" s="265">
        <v>23</v>
      </c>
      <c r="M114" s="265">
        <v>589090</v>
      </c>
      <c r="N114" s="263">
        <v>15109</v>
      </c>
      <c r="O114" s="264">
        <v>6660</v>
      </c>
      <c r="P114" s="264">
        <v>14306869</v>
      </c>
      <c r="Q114" s="264">
        <v>298390</v>
      </c>
      <c r="R114" s="264">
        <v>22947</v>
      </c>
      <c r="S114" s="264">
        <v>467</v>
      </c>
      <c r="T114" s="264">
        <v>39</v>
      </c>
      <c r="U114" s="263">
        <v>14650481</v>
      </c>
      <c r="V114" s="266">
        <v>46603</v>
      </c>
      <c r="W114" s="264">
        <v>41255</v>
      </c>
      <c r="X114" s="267">
        <v>87858</v>
      </c>
      <c r="Y114" s="263">
        <v>2290050</v>
      </c>
      <c r="Z114" s="264">
        <v>1425</v>
      </c>
      <c r="AA114" s="264">
        <v>937</v>
      </c>
      <c r="AB114" s="263">
        <v>2292412</v>
      </c>
      <c r="AC114" s="266">
        <v>183636</v>
      </c>
      <c r="AD114" s="264">
        <v>1245</v>
      </c>
      <c r="AE114" s="264">
        <v>746</v>
      </c>
      <c r="AF114" s="267">
        <v>185627</v>
      </c>
      <c r="AG114" s="263">
        <v>43798</v>
      </c>
      <c r="AH114" s="264">
        <v>99</v>
      </c>
      <c r="AI114" s="264">
        <v>464</v>
      </c>
      <c r="AJ114" s="264">
        <v>3842</v>
      </c>
      <c r="AK114" s="263">
        <v>48203</v>
      </c>
      <c r="AL114" s="265">
        <v>897</v>
      </c>
      <c r="AM114" s="265">
        <v>2</v>
      </c>
      <c r="AN114" s="263">
        <v>8400</v>
      </c>
      <c r="AO114" s="264">
        <v>1262</v>
      </c>
      <c r="AP114" s="263">
        <v>9662</v>
      </c>
      <c r="AQ114" s="266">
        <v>3948</v>
      </c>
      <c r="AR114" s="264">
        <v>264</v>
      </c>
      <c r="AS114" s="264">
        <v>2211</v>
      </c>
      <c r="AT114" s="264">
        <v>149</v>
      </c>
      <c r="AU114" s="264">
        <v>353</v>
      </c>
      <c r="AV114" s="264">
        <v>955</v>
      </c>
      <c r="AW114" s="264">
        <v>35</v>
      </c>
      <c r="AX114" s="267">
        <v>7915</v>
      </c>
      <c r="AY114" s="263">
        <v>58880</v>
      </c>
      <c r="AZ114" s="265">
        <v>25742</v>
      </c>
      <c r="BA114" s="263">
        <v>679380</v>
      </c>
      <c r="BB114" s="379">
        <v>818344</v>
      </c>
      <c r="BC114" s="263">
        <v>2532018</v>
      </c>
      <c r="BD114" s="263">
        <v>19612</v>
      </c>
      <c r="BE114" s="380">
        <v>299211</v>
      </c>
      <c r="BF114" s="263">
        <v>4348565</v>
      </c>
      <c r="BG114" s="265">
        <v>9814</v>
      </c>
      <c r="BH114" s="265">
        <v>14</v>
      </c>
      <c r="BI114" s="265">
        <v>411</v>
      </c>
      <c r="BJ114" s="265">
        <v>27643</v>
      </c>
      <c r="BK114" s="263">
        <v>65254</v>
      </c>
      <c r="BL114" s="264">
        <v>46675</v>
      </c>
      <c r="BM114" s="263">
        <v>111929</v>
      </c>
      <c r="BN114" s="265">
        <v>6748</v>
      </c>
      <c r="BO114" s="263">
        <v>87949</v>
      </c>
      <c r="BP114" s="264">
        <v>28075</v>
      </c>
      <c r="BQ114" s="263">
        <v>116024</v>
      </c>
      <c r="BR114" s="266">
        <v>26759</v>
      </c>
      <c r="BS114" s="264">
        <v>17029</v>
      </c>
      <c r="BT114" s="264">
        <v>3702</v>
      </c>
      <c r="BU114" s="264">
        <v>3584</v>
      </c>
      <c r="BV114" s="264">
        <v>449</v>
      </c>
      <c r="BW114" s="264">
        <v>146246</v>
      </c>
      <c r="BX114" s="264">
        <v>630</v>
      </c>
      <c r="BY114" s="264">
        <v>1447</v>
      </c>
      <c r="BZ114" s="264">
        <v>2028</v>
      </c>
      <c r="CA114" s="264">
        <v>3924</v>
      </c>
      <c r="CB114" s="264">
        <v>7116</v>
      </c>
      <c r="CC114" s="264">
        <v>349</v>
      </c>
      <c r="CD114" s="264">
        <v>167</v>
      </c>
      <c r="CE114" s="264">
        <v>104</v>
      </c>
      <c r="CF114" s="267">
        <v>213534</v>
      </c>
      <c r="CG114" s="263">
        <v>251777</v>
      </c>
      <c r="CH114" s="264" t="s">
        <v>585</v>
      </c>
      <c r="CI114" s="263">
        <v>251777</v>
      </c>
      <c r="CJ114" s="265">
        <v>35363</v>
      </c>
      <c r="CK114" s="263">
        <v>2513210</v>
      </c>
      <c r="CL114" s="264">
        <v>5553</v>
      </c>
      <c r="CM114" s="264">
        <v>8662383</v>
      </c>
      <c r="CN114" s="264">
        <v>3684533</v>
      </c>
      <c r="CO114" s="264">
        <v>9448</v>
      </c>
      <c r="CP114" s="264">
        <v>2565</v>
      </c>
      <c r="CQ114" s="264">
        <v>16115</v>
      </c>
      <c r="CR114" s="264">
        <v>352</v>
      </c>
      <c r="CS114" s="264">
        <v>11206</v>
      </c>
      <c r="CT114" s="264">
        <v>1280</v>
      </c>
      <c r="CU114" s="264">
        <v>18</v>
      </c>
      <c r="CV114" s="263">
        <v>14906663</v>
      </c>
      <c r="CW114" s="266">
        <v>1113348</v>
      </c>
      <c r="CX114" s="264">
        <v>21204</v>
      </c>
      <c r="CY114" s="264">
        <v>72177</v>
      </c>
      <c r="CZ114" s="264">
        <v>12870</v>
      </c>
      <c r="DA114" s="264">
        <v>1636</v>
      </c>
      <c r="DB114" s="264">
        <v>1860</v>
      </c>
      <c r="DC114" s="264">
        <v>23</v>
      </c>
      <c r="DD114" s="267">
        <v>1223118</v>
      </c>
      <c r="DE114" s="263">
        <v>9</v>
      </c>
      <c r="DF114" s="266">
        <v>84</v>
      </c>
      <c r="DG114" s="264">
        <v>3</v>
      </c>
      <c r="DH114" s="267">
        <v>87</v>
      </c>
      <c r="DI114" s="263">
        <v>787</v>
      </c>
      <c r="DJ114" s="264">
        <v>44</v>
      </c>
      <c r="DK114" s="263">
        <v>831</v>
      </c>
      <c r="DL114" s="265">
        <v>92064</v>
      </c>
      <c r="DM114" s="263">
        <v>137984</v>
      </c>
      <c r="DN114" s="264">
        <v>3</v>
      </c>
      <c r="DO114" s="263">
        <v>137987</v>
      </c>
      <c r="DP114" s="266">
        <v>68107</v>
      </c>
      <c r="DQ114" s="264">
        <v>126</v>
      </c>
      <c r="DR114" s="267">
        <v>68233</v>
      </c>
      <c r="DS114" s="263">
        <v>26749</v>
      </c>
      <c r="DT114" s="265">
        <v>3414</v>
      </c>
      <c r="DU114" s="263">
        <v>524106</v>
      </c>
      <c r="DV114" s="264">
        <v>47</v>
      </c>
      <c r="DW114" s="263">
        <v>524153</v>
      </c>
      <c r="DX114" s="265">
        <v>2184</v>
      </c>
      <c r="DY114" s="265">
        <v>9</v>
      </c>
      <c r="DZ114" s="263">
        <v>59533</v>
      </c>
      <c r="EA114" s="264">
        <v>6330</v>
      </c>
      <c r="EB114" s="264">
        <v>15345</v>
      </c>
      <c r="EC114" s="264">
        <v>5559</v>
      </c>
      <c r="ED114" s="264">
        <v>96</v>
      </c>
      <c r="EE114" s="264">
        <v>33</v>
      </c>
      <c r="EF114" s="264">
        <v>15</v>
      </c>
      <c r="EG114" s="263">
        <v>86911</v>
      </c>
      <c r="EH114" s="266">
        <v>226864</v>
      </c>
      <c r="EI114" s="264">
        <v>1680192</v>
      </c>
      <c r="EJ114" s="264">
        <v>3778</v>
      </c>
      <c r="EK114" s="264">
        <v>24968</v>
      </c>
      <c r="EL114" s="264">
        <v>190095</v>
      </c>
      <c r="EM114" s="264">
        <v>942797</v>
      </c>
      <c r="EN114" s="264">
        <v>25554</v>
      </c>
      <c r="EO114" s="264">
        <v>3923</v>
      </c>
      <c r="EP114" s="264">
        <v>116136</v>
      </c>
      <c r="EQ114" s="264">
        <v>5102</v>
      </c>
      <c r="ER114" s="264">
        <v>2133</v>
      </c>
      <c r="ES114" s="264">
        <v>53</v>
      </c>
      <c r="ET114" s="264">
        <v>143</v>
      </c>
      <c r="EU114" s="267">
        <v>3221738</v>
      </c>
      <c r="EV114" s="263">
        <v>161</v>
      </c>
      <c r="EW114" s="265">
        <v>799</v>
      </c>
      <c r="EX114" s="263">
        <v>1782</v>
      </c>
      <c r="EY114" s="264">
        <v>7168</v>
      </c>
      <c r="EZ114" s="264">
        <v>292</v>
      </c>
      <c r="FA114" s="263">
        <v>9242</v>
      </c>
      <c r="FB114" s="265">
        <v>8</v>
      </c>
      <c r="FC114" s="263">
        <v>8821</v>
      </c>
      <c r="FD114" s="266">
        <v>27654</v>
      </c>
      <c r="FE114" s="264">
        <v>43262</v>
      </c>
      <c r="FF114" s="264">
        <v>3548</v>
      </c>
      <c r="FG114" s="264">
        <v>471</v>
      </c>
      <c r="FH114" s="267">
        <v>74935</v>
      </c>
      <c r="FI114" s="263">
        <v>28</v>
      </c>
      <c r="FJ114" s="264">
        <v>3</v>
      </c>
      <c r="FK114" s="263">
        <v>31</v>
      </c>
      <c r="FL114" s="266">
        <v>62</v>
      </c>
      <c r="FM114" s="264">
        <v>29</v>
      </c>
      <c r="FN114" s="267">
        <v>91</v>
      </c>
      <c r="FO114" s="263">
        <v>265</v>
      </c>
      <c r="FP114" s="265">
        <v>478463</v>
      </c>
      <c r="FQ114" s="263">
        <v>1729</v>
      </c>
      <c r="FR114" s="264">
        <v>19730</v>
      </c>
      <c r="FS114" s="264">
        <v>3212</v>
      </c>
      <c r="FT114" s="263">
        <v>24671</v>
      </c>
      <c r="FU114" s="266">
        <v>187485</v>
      </c>
      <c r="FV114" s="264">
        <v>8773</v>
      </c>
      <c r="FW114" s="267">
        <v>196258</v>
      </c>
      <c r="FX114" s="263">
        <v>4</v>
      </c>
      <c r="FY114" s="266">
        <v>103</v>
      </c>
      <c r="FZ114" s="264">
        <v>318550</v>
      </c>
      <c r="GA114" s="264">
        <v>9673</v>
      </c>
      <c r="GB114" s="267">
        <v>328326</v>
      </c>
      <c r="GC114" s="263">
        <v>7700</v>
      </c>
      <c r="GD114" s="266">
        <v>5365</v>
      </c>
      <c r="GE114" s="264">
        <v>2561</v>
      </c>
      <c r="GF114" s="264">
        <v>5965</v>
      </c>
      <c r="GG114" s="264">
        <v>1590</v>
      </c>
      <c r="GH114" s="267">
        <v>15481</v>
      </c>
      <c r="GI114" s="265">
        <v>45058286</v>
      </c>
      <c r="GJ114" s="369">
        <f>45058286/45058286</f>
        <v>1</v>
      </c>
      <c r="GK114" s="383"/>
    </row>
  </sheetData>
  <mergeCells count="43">
    <mergeCell ref="B1:U1"/>
    <mergeCell ref="V1:AP1"/>
    <mergeCell ref="FU1:GJ1"/>
    <mergeCell ref="Y2:AB2"/>
    <mergeCell ref="CG2:CI2"/>
    <mergeCell ref="CK2:CV2"/>
    <mergeCell ref="CW2:DD2"/>
    <mergeCell ref="DF2:DH2"/>
    <mergeCell ref="B2:B3"/>
    <mergeCell ref="C2:G2"/>
    <mergeCell ref="I2:K2"/>
    <mergeCell ref="N2:U2"/>
    <mergeCell ref="V2:X2"/>
    <mergeCell ref="AQ1:BJ1"/>
    <mergeCell ref="BK1:CF1"/>
    <mergeCell ref="CG1:DD1"/>
    <mergeCell ref="DE1:DY1"/>
    <mergeCell ref="DZ1:EW1"/>
    <mergeCell ref="EX1:FT1"/>
    <mergeCell ref="FY2:GB2"/>
    <mergeCell ref="GD2:GH2"/>
    <mergeCell ref="EH2:EU2"/>
    <mergeCell ref="EX2:FA2"/>
    <mergeCell ref="FD2:FH2"/>
    <mergeCell ref="FI2:FK2"/>
    <mergeCell ref="FL2:FN2"/>
    <mergeCell ref="DP2:DR2"/>
    <mergeCell ref="GI2:GI3"/>
    <mergeCell ref="GJ2:GJ3"/>
    <mergeCell ref="AC2:AF2"/>
    <mergeCell ref="AG2:AK2"/>
    <mergeCell ref="AN2:AP2"/>
    <mergeCell ref="AQ2:AX2"/>
    <mergeCell ref="BA2:BF2"/>
    <mergeCell ref="BK2:BM2"/>
    <mergeCell ref="BO2:BQ2"/>
    <mergeCell ref="BR2:CF2"/>
    <mergeCell ref="FQ2:FT2"/>
    <mergeCell ref="FU2:FW2"/>
    <mergeCell ref="DI2:DK2"/>
    <mergeCell ref="DM2:DO2"/>
    <mergeCell ref="DU2:DW2"/>
    <mergeCell ref="DZ2:EG2"/>
  </mergeCells>
  <printOptions horizontalCentered="1" verticalCentered="1"/>
  <pageMargins left="0.11811023622047245" right="0.11811023622047245" top="0.15748031496062992" bottom="0.11811023622047245" header="0.15748031496062992" footer="0.11811023622047245"/>
  <pageSetup scale="61" orientation="landscape" r:id="rId1"/>
  <headerFooter alignWithMargins="0"/>
  <rowBreaks count="1" manualBreakCount="1">
    <brk id="57" min="1" max="191" man="1"/>
  </rowBreaks>
  <colBreaks count="8" manualBreakCount="8">
    <brk id="21" max="113" man="1"/>
    <brk id="42" max="113" man="1"/>
    <brk id="62" max="113" man="1"/>
    <brk id="84" max="113" man="1"/>
    <brk id="108" max="113" man="1"/>
    <brk id="129" max="113" man="1"/>
    <brk id="153" max="113" man="1"/>
    <brk id="176" max="11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G17"/>
  <sheetViews>
    <sheetView view="pageBreakPreview" zoomScaleNormal="100" zoomScaleSheetLayoutView="100" workbookViewId="0">
      <selection activeCell="A4" sqref="A4"/>
    </sheetView>
  </sheetViews>
  <sheetFormatPr defaultColWidth="9.140625" defaultRowHeight="12.75" x14ac:dyDescent="0.2"/>
  <cols>
    <col min="1" max="1" width="9.140625" style="104"/>
    <col min="2" max="2" width="10.7109375" style="106" customWidth="1"/>
    <col min="3" max="7" width="15.140625" style="104" customWidth="1"/>
    <col min="8" max="16384" width="9.140625" style="104"/>
  </cols>
  <sheetData>
    <row r="1" spans="2:7" ht="30" customHeight="1" x14ac:dyDescent="0.2">
      <c r="B1" s="576" t="s">
        <v>701</v>
      </c>
      <c r="C1" s="620"/>
      <c r="D1" s="620"/>
      <c r="E1" s="620"/>
      <c r="F1" s="620"/>
      <c r="G1" s="620"/>
    </row>
    <row r="2" spans="2:7" ht="15" customHeight="1" thickBot="1" x14ac:dyDescent="0.25">
      <c r="B2" s="100"/>
      <c r="C2" s="105"/>
      <c r="D2" s="105"/>
      <c r="E2" s="105"/>
      <c r="F2" s="105"/>
      <c r="G2" s="105"/>
    </row>
    <row r="3" spans="2:7" ht="15" customHeight="1" thickBot="1" x14ac:dyDescent="0.25">
      <c r="B3" s="621" t="s">
        <v>263</v>
      </c>
      <c r="C3" s="578" t="s">
        <v>1</v>
      </c>
      <c r="D3" s="578"/>
      <c r="E3" s="578"/>
      <c r="F3" s="578" t="s">
        <v>264</v>
      </c>
      <c r="G3" s="578"/>
    </row>
    <row r="4" spans="2:7" ht="15" customHeight="1" thickBot="1" x14ac:dyDescent="0.25">
      <c r="B4" s="622"/>
      <c r="C4" s="108">
        <v>2017</v>
      </c>
      <c r="D4" s="108">
        <v>2018</v>
      </c>
      <c r="E4" s="108">
        <v>2019</v>
      </c>
      <c r="F4" s="108" t="s">
        <v>591</v>
      </c>
      <c r="G4" s="108" t="s">
        <v>629</v>
      </c>
    </row>
    <row r="5" spans="2:7" ht="15" customHeight="1" x14ac:dyDescent="0.2">
      <c r="B5" s="29" t="s">
        <v>5</v>
      </c>
      <c r="C5" s="103">
        <v>4726</v>
      </c>
      <c r="D5" s="103">
        <v>5005</v>
      </c>
      <c r="E5" s="103">
        <v>7589</v>
      </c>
      <c r="F5" s="107">
        <v>5.903512484130343</v>
      </c>
      <c r="G5" s="107">
        <v>51.628371628371632</v>
      </c>
    </row>
    <row r="6" spans="2:7" ht="15" customHeight="1" x14ac:dyDescent="0.2">
      <c r="B6" s="29" t="s">
        <v>6</v>
      </c>
      <c r="C6" s="103">
        <v>3624</v>
      </c>
      <c r="D6" s="103">
        <v>4526</v>
      </c>
      <c r="E6" s="103">
        <v>8565</v>
      </c>
      <c r="F6" s="107">
        <v>24.889624724061811</v>
      </c>
      <c r="G6" s="107">
        <v>89.239946973044624</v>
      </c>
    </row>
    <row r="7" spans="2:7" ht="15" customHeight="1" x14ac:dyDescent="0.2">
      <c r="B7" s="29" t="s">
        <v>7</v>
      </c>
      <c r="C7" s="103">
        <v>9686</v>
      </c>
      <c r="D7" s="103">
        <v>6473</v>
      </c>
      <c r="E7" s="103">
        <v>13594</v>
      </c>
      <c r="F7" s="107">
        <v>-33.171587858765228</v>
      </c>
      <c r="G7" s="107">
        <v>110.01081415108914</v>
      </c>
    </row>
    <row r="8" spans="2:7" ht="15" customHeight="1" x14ac:dyDescent="0.2">
      <c r="B8" s="29" t="s">
        <v>8</v>
      </c>
      <c r="C8" s="103">
        <v>34144</v>
      </c>
      <c r="D8" s="103">
        <v>15107</v>
      </c>
      <c r="E8" s="103">
        <v>33640</v>
      </c>
      <c r="F8" s="107">
        <v>-55.755037488284913</v>
      </c>
      <c r="G8" s="107">
        <v>122.67822863573178</v>
      </c>
    </row>
    <row r="9" spans="2:7" ht="15" customHeight="1" x14ac:dyDescent="0.2">
      <c r="B9" s="29" t="s">
        <v>9</v>
      </c>
      <c r="C9" s="103">
        <v>47719</v>
      </c>
      <c r="D9" s="103">
        <v>38777</v>
      </c>
      <c r="E9" s="103">
        <v>58228</v>
      </c>
      <c r="F9" s="107">
        <v>-18.738867117919487</v>
      </c>
      <c r="G9" s="107">
        <v>50.161178017897207</v>
      </c>
    </row>
    <row r="10" spans="2:7" ht="15" customHeight="1" x14ac:dyDescent="0.2">
      <c r="B10" s="29" t="s">
        <v>10</v>
      </c>
      <c r="C10" s="103">
        <v>41991</v>
      </c>
      <c r="D10" s="103">
        <v>42111</v>
      </c>
      <c r="E10" s="103">
        <v>60198</v>
      </c>
      <c r="F10" s="107">
        <v>0.28577552332642708</v>
      </c>
      <c r="G10" s="107">
        <v>42.950772957184583</v>
      </c>
    </row>
    <row r="11" spans="2:7" ht="15" customHeight="1" x14ac:dyDescent="0.2">
      <c r="B11" s="29" t="s">
        <v>11</v>
      </c>
      <c r="C11" s="103">
        <v>46483</v>
      </c>
      <c r="D11" s="103">
        <v>54250</v>
      </c>
      <c r="E11" s="103">
        <v>77293</v>
      </c>
      <c r="F11" s="107">
        <v>16.709334595443494</v>
      </c>
      <c r="G11" s="107">
        <v>42.475576036866357</v>
      </c>
    </row>
    <row r="12" spans="2:7" ht="15" customHeight="1" x14ac:dyDescent="0.2">
      <c r="B12" s="29" t="s">
        <v>12</v>
      </c>
      <c r="C12" s="103">
        <v>52776</v>
      </c>
      <c r="D12" s="103">
        <v>59217</v>
      </c>
      <c r="E12" s="103">
        <v>84888</v>
      </c>
      <c r="F12" s="107">
        <v>12.204411095952706</v>
      </c>
      <c r="G12" s="107">
        <v>43.350726987182732</v>
      </c>
    </row>
    <row r="13" spans="2:7" ht="15" customHeight="1" x14ac:dyDescent="0.2">
      <c r="B13" s="29" t="s">
        <v>13</v>
      </c>
      <c r="C13" s="103">
        <v>60800</v>
      </c>
      <c r="D13" s="103">
        <v>52254</v>
      </c>
      <c r="E13" s="103">
        <v>75094</v>
      </c>
      <c r="F13" s="107">
        <v>-14.055921052631579</v>
      </c>
      <c r="G13" s="107">
        <v>43.709572472920733</v>
      </c>
    </row>
    <row r="14" spans="2:7" ht="15" customHeight="1" x14ac:dyDescent="0.2">
      <c r="B14" s="29" t="s">
        <v>14</v>
      </c>
      <c r="C14" s="103">
        <v>40647</v>
      </c>
      <c r="D14" s="103">
        <v>48989</v>
      </c>
      <c r="E14" s="103">
        <v>54225</v>
      </c>
      <c r="F14" s="107">
        <v>20.523039830737815</v>
      </c>
      <c r="G14" s="107">
        <v>10.68811365816816</v>
      </c>
    </row>
    <row r="15" spans="2:7" ht="15" customHeight="1" x14ac:dyDescent="0.2">
      <c r="B15" s="29" t="s">
        <v>15</v>
      </c>
      <c r="C15" s="103">
        <v>16431</v>
      </c>
      <c r="D15" s="103">
        <v>9407</v>
      </c>
      <c r="E15" s="103">
        <v>34240</v>
      </c>
      <c r="F15" s="107">
        <v>-42.748463270646951</v>
      </c>
      <c r="G15" s="107">
        <v>263.98426703518658</v>
      </c>
    </row>
    <row r="16" spans="2:7" ht="15" customHeight="1" thickBot="1" x14ac:dyDescent="0.25">
      <c r="B16" s="29" t="s">
        <v>16</v>
      </c>
      <c r="C16" s="103">
        <v>7833</v>
      </c>
      <c r="D16" s="103">
        <v>6114</v>
      </c>
      <c r="E16" s="103">
        <v>31164</v>
      </c>
      <c r="F16" s="107">
        <v>-21.945614707008808</v>
      </c>
      <c r="G16" s="107">
        <v>409.71540726202159</v>
      </c>
    </row>
    <row r="17" spans="2:7" ht="15" customHeight="1" thickBot="1" x14ac:dyDescent="0.25">
      <c r="B17" s="109" t="s">
        <v>17</v>
      </c>
      <c r="C17" s="194">
        <v>366860</v>
      </c>
      <c r="D17" s="194">
        <v>342230</v>
      </c>
      <c r="E17" s="194">
        <v>538718</v>
      </c>
      <c r="F17" s="110">
        <v>-6.7137327590906617</v>
      </c>
      <c r="G17" s="110">
        <v>57.414019811238056</v>
      </c>
    </row>
  </sheetData>
  <mergeCells count="4">
    <mergeCell ref="B1:G1"/>
    <mergeCell ref="C3:E3"/>
    <mergeCell ref="F3:G3"/>
    <mergeCell ref="B3:B4"/>
  </mergeCells>
  <printOptions horizontalCentered="1"/>
  <pageMargins left="0.74803149606299213" right="0.74803149606299213" top="0.59055118110236227" bottom="0.19685039370078741" header="0.51181102362204722" footer="0.11811023622047245"/>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T56"/>
  <sheetViews>
    <sheetView view="pageBreakPreview" zoomScaleNormal="100" zoomScaleSheetLayoutView="100" workbookViewId="0">
      <selection activeCell="A4" sqref="A4"/>
    </sheetView>
  </sheetViews>
  <sheetFormatPr defaultColWidth="9.140625" defaultRowHeight="12" x14ac:dyDescent="0.2"/>
  <cols>
    <col min="1" max="1" width="9.140625" style="102"/>
    <col min="2" max="2" width="11.5703125" style="102" customWidth="1"/>
    <col min="3" max="3" width="26.28515625" style="102" customWidth="1"/>
    <col min="4" max="4" width="8.140625" style="102" customWidth="1"/>
    <col min="5" max="10" width="8.7109375" style="102" customWidth="1"/>
    <col min="11" max="11" width="11.5703125" style="102" customWidth="1"/>
    <col min="12" max="12" width="26.42578125" style="102" customWidth="1"/>
    <col min="13" max="13" width="8.140625" style="102" customWidth="1"/>
    <col min="14" max="14" width="7.7109375" style="102" customWidth="1"/>
    <col min="15" max="15" width="8.85546875" style="102" customWidth="1"/>
    <col min="16" max="16" width="7.140625" style="102" bestFit="1" customWidth="1"/>
    <col min="17" max="17" width="6.85546875" style="102" customWidth="1"/>
    <col min="18" max="18" width="6.5703125" style="102" customWidth="1"/>
    <col min="19" max="19" width="6.85546875" style="102" customWidth="1"/>
    <col min="20" max="20" width="8.7109375" style="102" customWidth="1"/>
    <col min="21" max="16384" width="9.140625" style="102"/>
  </cols>
  <sheetData>
    <row r="1" spans="1:20" ht="30" customHeight="1" thickBot="1" x14ac:dyDescent="0.25">
      <c r="A1" s="205"/>
      <c r="B1" s="616" t="s">
        <v>702</v>
      </c>
      <c r="C1" s="616"/>
      <c r="D1" s="616"/>
      <c r="E1" s="616"/>
      <c r="F1" s="616"/>
      <c r="G1" s="616"/>
      <c r="H1" s="616"/>
      <c r="I1" s="616"/>
      <c r="J1" s="616"/>
      <c r="K1" s="616" t="s">
        <v>702</v>
      </c>
      <c r="L1" s="616"/>
      <c r="M1" s="616"/>
      <c r="N1" s="616"/>
      <c r="O1" s="616"/>
      <c r="P1" s="616"/>
      <c r="Q1" s="616"/>
      <c r="R1" s="616"/>
      <c r="S1" s="616"/>
      <c r="T1" s="616"/>
    </row>
    <row r="2" spans="1:20" ht="15" customHeight="1" x14ac:dyDescent="0.2">
      <c r="A2" s="205"/>
      <c r="B2" s="362" t="s">
        <v>0</v>
      </c>
      <c r="C2" s="362" t="s">
        <v>0</v>
      </c>
      <c r="D2" s="362" t="s">
        <v>0</v>
      </c>
      <c r="E2" s="630" t="s">
        <v>263</v>
      </c>
      <c r="F2" s="630"/>
      <c r="G2" s="630"/>
      <c r="H2" s="630"/>
      <c r="I2" s="630"/>
      <c r="J2" s="630"/>
      <c r="K2" s="362" t="s">
        <v>0</v>
      </c>
      <c r="L2" s="362" t="s">
        <v>0</v>
      </c>
      <c r="M2" s="362" t="s">
        <v>0</v>
      </c>
      <c r="N2" s="630" t="s">
        <v>263</v>
      </c>
      <c r="O2" s="630"/>
      <c r="P2" s="630"/>
      <c r="Q2" s="630"/>
      <c r="R2" s="630"/>
      <c r="S2" s="630"/>
      <c r="T2" s="362"/>
    </row>
    <row r="3" spans="1:20" ht="15" customHeight="1" thickBot="1" x14ac:dyDescent="0.25">
      <c r="A3" s="205"/>
      <c r="B3" s="623" t="s">
        <v>618</v>
      </c>
      <c r="C3" s="623"/>
      <c r="D3" s="623"/>
      <c r="E3" s="385" t="s">
        <v>5</v>
      </c>
      <c r="F3" s="385" t="s">
        <v>6</v>
      </c>
      <c r="G3" s="385" t="s">
        <v>7</v>
      </c>
      <c r="H3" s="385" t="s">
        <v>8</v>
      </c>
      <c r="I3" s="385" t="s">
        <v>9</v>
      </c>
      <c r="J3" s="385" t="s">
        <v>10</v>
      </c>
      <c r="K3" s="623" t="s">
        <v>618</v>
      </c>
      <c r="L3" s="623"/>
      <c r="M3" s="623"/>
      <c r="N3" s="385" t="s">
        <v>11</v>
      </c>
      <c r="O3" s="385" t="s">
        <v>12</v>
      </c>
      <c r="P3" s="385" t="s">
        <v>13</v>
      </c>
      <c r="Q3" s="385" t="s">
        <v>14</v>
      </c>
      <c r="R3" s="385" t="s">
        <v>15</v>
      </c>
      <c r="S3" s="385" t="s">
        <v>16</v>
      </c>
      <c r="T3" s="387" t="s">
        <v>17</v>
      </c>
    </row>
    <row r="4" spans="1:20" ht="15" customHeight="1" x14ac:dyDescent="0.2">
      <c r="A4" s="205"/>
      <c r="B4" s="626" t="s">
        <v>475</v>
      </c>
      <c r="C4" s="384" t="s">
        <v>362</v>
      </c>
      <c r="D4" s="627" t="s">
        <v>267</v>
      </c>
      <c r="E4" s="394">
        <v>17</v>
      </c>
      <c r="F4" s="394">
        <v>11</v>
      </c>
      <c r="G4" s="394">
        <v>16</v>
      </c>
      <c r="H4" s="394">
        <v>46</v>
      </c>
      <c r="I4" s="394">
        <v>24</v>
      </c>
      <c r="J4" s="394">
        <v>27</v>
      </c>
      <c r="K4" s="626" t="s">
        <v>475</v>
      </c>
      <c r="L4" s="384" t="s">
        <v>362</v>
      </c>
      <c r="M4" s="627" t="s">
        <v>267</v>
      </c>
      <c r="N4" s="394">
        <v>23</v>
      </c>
      <c r="O4" s="394">
        <v>35</v>
      </c>
      <c r="P4" s="394">
        <v>18</v>
      </c>
      <c r="Q4" s="394">
        <v>70</v>
      </c>
      <c r="R4" s="394">
        <v>27</v>
      </c>
      <c r="S4" s="394">
        <v>26</v>
      </c>
      <c r="T4" s="402">
        <v>340</v>
      </c>
    </row>
    <row r="5" spans="1:20" ht="15" customHeight="1" x14ac:dyDescent="0.2">
      <c r="A5" s="205"/>
      <c r="B5" s="626"/>
      <c r="C5" s="384" t="s">
        <v>361</v>
      </c>
      <c r="D5" s="628"/>
      <c r="E5" s="394">
        <v>18</v>
      </c>
      <c r="F5" s="394">
        <v>7</v>
      </c>
      <c r="G5" s="394">
        <v>12</v>
      </c>
      <c r="H5" s="394">
        <v>38</v>
      </c>
      <c r="I5" s="394">
        <v>24</v>
      </c>
      <c r="J5" s="394">
        <v>34</v>
      </c>
      <c r="K5" s="626"/>
      <c r="L5" s="384" t="s">
        <v>361</v>
      </c>
      <c r="M5" s="628"/>
      <c r="N5" s="394">
        <v>16</v>
      </c>
      <c r="O5" s="394">
        <v>22</v>
      </c>
      <c r="P5" s="394">
        <v>7</v>
      </c>
      <c r="Q5" s="394">
        <v>28</v>
      </c>
      <c r="R5" s="394">
        <v>19</v>
      </c>
      <c r="S5" s="394">
        <v>20</v>
      </c>
      <c r="T5" s="402">
        <v>245</v>
      </c>
    </row>
    <row r="6" spans="1:20" ht="15" customHeight="1" x14ac:dyDescent="0.2">
      <c r="A6" s="205"/>
      <c r="B6" s="626"/>
      <c r="C6" s="384" t="s">
        <v>594</v>
      </c>
      <c r="D6" s="628"/>
      <c r="E6" s="394">
        <v>1</v>
      </c>
      <c r="F6" s="394">
        <v>20</v>
      </c>
      <c r="G6" s="394">
        <v>3</v>
      </c>
      <c r="H6" s="394">
        <v>9</v>
      </c>
      <c r="I6" s="394" t="s">
        <v>585</v>
      </c>
      <c r="J6" s="394">
        <v>4</v>
      </c>
      <c r="K6" s="626"/>
      <c r="L6" s="384" t="s">
        <v>594</v>
      </c>
      <c r="M6" s="628"/>
      <c r="N6" s="394">
        <v>9</v>
      </c>
      <c r="O6" s="394">
        <v>6</v>
      </c>
      <c r="P6" s="394">
        <v>2</v>
      </c>
      <c r="Q6" s="394" t="s">
        <v>585</v>
      </c>
      <c r="R6" s="394">
        <v>23</v>
      </c>
      <c r="S6" s="394">
        <v>17</v>
      </c>
      <c r="T6" s="402">
        <v>94</v>
      </c>
    </row>
    <row r="7" spans="1:20" ht="15" customHeight="1" thickBot="1" x14ac:dyDescent="0.25">
      <c r="A7" s="205"/>
      <c r="B7" s="626"/>
      <c r="C7" s="180" t="s">
        <v>17</v>
      </c>
      <c r="D7" s="180" t="s">
        <v>262</v>
      </c>
      <c r="E7" s="395">
        <v>36</v>
      </c>
      <c r="F7" s="395">
        <v>38</v>
      </c>
      <c r="G7" s="395">
        <v>31</v>
      </c>
      <c r="H7" s="395">
        <v>93</v>
      </c>
      <c r="I7" s="395">
        <v>48</v>
      </c>
      <c r="J7" s="395">
        <v>65</v>
      </c>
      <c r="K7" s="626"/>
      <c r="L7" s="180" t="s">
        <v>17</v>
      </c>
      <c r="M7" s="180" t="s">
        <v>262</v>
      </c>
      <c r="N7" s="395">
        <v>48</v>
      </c>
      <c r="O7" s="395">
        <v>63</v>
      </c>
      <c r="P7" s="395">
        <v>27</v>
      </c>
      <c r="Q7" s="395">
        <v>98</v>
      </c>
      <c r="R7" s="395">
        <v>69</v>
      </c>
      <c r="S7" s="395">
        <v>63</v>
      </c>
      <c r="T7" s="403">
        <v>679</v>
      </c>
    </row>
    <row r="8" spans="1:20" ht="15" customHeight="1" x14ac:dyDescent="0.2">
      <c r="A8" s="205"/>
      <c r="B8" s="624" t="s">
        <v>480</v>
      </c>
      <c r="C8" s="389" t="s">
        <v>366</v>
      </c>
      <c r="D8" s="627" t="s">
        <v>267</v>
      </c>
      <c r="E8" s="396">
        <v>10</v>
      </c>
      <c r="F8" s="396">
        <v>29</v>
      </c>
      <c r="G8" s="396">
        <v>50</v>
      </c>
      <c r="H8" s="396">
        <v>146</v>
      </c>
      <c r="I8" s="396">
        <v>169</v>
      </c>
      <c r="J8" s="396">
        <v>295</v>
      </c>
      <c r="K8" s="624" t="s">
        <v>480</v>
      </c>
      <c r="L8" s="389" t="s">
        <v>366</v>
      </c>
      <c r="M8" s="627" t="s">
        <v>267</v>
      </c>
      <c r="N8" s="396">
        <v>779</v>
      </c>
      <c r="O8" s="396">
        <v>828</v>
      </c>
      <c r="P8" s="396">
        <v>613</v>
      </c>
      <c r="Q8" s="396">
        <v>205</v>
      </c>
      <c r="R8" s="396">
        <v>15</v>
      </c>
      <c r="S8" s="396">
        <v>20</v>
      </c>
      <c r="T8" s="404">
        <v>3159</v>
      </c>
    </row>
    <row r="9" spans="1:20" ht="15" customHeight="1" x14ac:dyDescent="0.2">
      <c r="A9" s="205"/>
      <c r="B9" s="625"/>
      <c r="C9" s="390" t="s">
        <v>635</v>
      </c>
      <c r="D9" s="629"/>
      <c r="E9" s="397">
        <v>765</v>
      </c>
      <c r="F9" s="397">
        <v>942</v>
      </c>
      <c r="G9" s="397">
        <v>320</v>
      </c>
      <c r="H9" s="397">
        <v>472</v>
      </c>
      <c r="I9" s="397">
        <v>372</v>
      </c>
      <c r="J9" s="397">
        <v>254</v>
      </c>
      <c r="K9" s="625"/>
      <c r="L9" s="390" t="s">
        <v>635</v>
      </c>
      <c r="M9" s="629"/>
      <c r="N9" s="397">
        <v>187</v>
      </c>
      <c r="O9" s="397">
        <v>235</v>
      </c>
      <c r="P9" s="397">
        <v>107</v>
      </c>
      <c r="Q9" s="397">
        <v>115</v>
      </c>
      <c r="R9" s="397">
        <v>139</v>
      </c>
      <c r="S9" s="397">
        <v>109</v>
      </c>
      <c r="T9" s="405">
        <v>4017</v>
      </c>
    </row>
    <row r="10" spans="1:20" ht="15" customHeight="1" x14ac:dyDescent="0.2">
      <c r="A10" s="205"/>
      <c r="B10" s="625"/>
      <c r="C10" s="390" t="s">
        <v>365</v>
      </c>
      <c r="D10" s="629"/>
      <c r="E10" s="397" t="s">
        <v>585</v>
      </c>
      <c r="F10" s="397" t="s">
        <v>585</v>
      </c>
      <c r="G10" s="397" t="s">
        <v>585</v>
      </c>
      <c r="H10" s="397" t="s">
        <v>585</v>
      </c>
      <c r="I10" s="397">
        <v>151</v>
      </c>
      <c r="J10" s="397">
        <v>335</v>
      </c>
      <c r="K10" s="625"/>
      <c r="L10" s="390" t="s">
        <v>365</v>
      </c>
      <c r="M10" s="629"/>
      <c r="N10" s="397">
        <v>863</v>
      </c>
      <c r="O10" s="397">
        <v>1551</v>
      </c>
      <c r="P10" s="397">
        <v>749</v>
      </c>
      <c r="Q10" s="397" t="s">
        <v>585</v>
      </c>
      <c r="R10" s="397">
        <v>4301</v>
      </c>
      <c r="S10" s="397">
        <v>6184</v>
      </c>
      <c r="T10" s="405">
        <v>14134</v>
      </c>
    </row>
    <row r="11" spans="1:20" ht="15" customHeight="1" thickBot="1" x14ac:dyDescent="0.25">
      <c r="A11" s="205"/>
      <c r="B11" s="623"/>
      <c r="C11" s="391" t="s">
        <v>17</v>
      </c>
      <c r="D11" s="391" t="s">
        <v>262</v>
      </c>
      <c r="E11" s="398">
        <v>775</v>
      </c>
      <c r="F11" s="398">
        <v>971</v>
      </c>
      <c r="G11" s="398">
        <v>370</v>
      </c>
      <c r="H11" s="398">
        <v>618</v>
      </c>
      <c r="I11" s="398">
        <v>692</v>
      </c>
      <c r="J11" s="398">
        <v>884</v>
      </c>
      <c r="K11" s="623"/>
      <c r="L11" s="391" t="s">
        <v>17</v>
      </c>
      <c r="M11" s="391" t="s">
        <v>262</v>
      </c>
      <c r="N11" s="398">
        <v>1829</v>
      </c>
      <c r="O11" s="398">
        <v>2614</v>
      </c>
      <c r="P11" s="398">
        <v>1469</v>
      </c>
      <c r="Q11" s="398">
        <v>320</v>
      </c>
      <c r="R11" s="398">
        <v>4455</v>
      </c>
      <c r="S11" s="398">
        <v>6313</v>
      </c>
      <c r="T11" s="406">
        <v>21310</v>
      </c>
    </row>
    <row r="12" spans="1:20" ht="15" customHeight="1" x14ac:dyDescent="0.2">
      <c r="A12" s="205"/>
      <c r="B12" s="626" t="s">
        <v>483</v>
      </c>
      <c r="C12" s="384" t="s">
        <v>372</v>
      </c>
      <c r="D12" s="627" t="s">
        <v>267</v>
      </c>
      <c r="E12" s="394" t="s">
        <v>585</v>
      </c>
      <c r="F12" s="394">
        <v>583</v>
      </c>
      <c r="G12" s="394">
        <v>3643</v>
      </c>
      <c r="H12" s="394">
        <v>10348</v>
      </c>
      <c r="I12" s="394">
        <v>16275</v>
      </c>
      <c r="J12" s="394">
        <v>19682</v>
      </c>
      <c r="K12" s="626" t="s">
        <v>483</v>
      </c>
      <c r="L12" s="384" t="s">
        <v>372</v>
      </c>
      <c r="M12" s="627" t="s">
        <v>267</v>
      </c>
      <c r="N12" s="394">
        <v>23150</v>
      </c>
      <c r="O12" s="394">
        <v>24157</v>
      </c>
      <c r="P12" s="394">
        <v>20643</v>
      </c>
      <c r="Q12" s="394">
        <v>18098</v>
      </c>
      <c r="R12" s="394">
        <v>5427</v>
      </c>
      <c r="S12" s="394">
        <v>8823</v>
      </c>
      <c r="T12" s="402">
        <v>150829</v>
      </c>
    </row>
    <row r="13" spans="1:20" ht="15" customHeight="1" x14ac:dyDescent="0.2">
      <c r="A13" s="205"/>
      <c r="B13" s="626"/>
      <c r="C13" s="384" t="s">
        <v>637</v>
      </c>
      <c r="D13" s="628"/>
      <c r="E13" s="394" t="s">
        <v>585</v>
      </c>
      <c r="F13" s="394" t="s">
        <v>585</v>
      </c>
      <c r="G13" s="394" t="s">
        <v>585</v>
      </c>
      <c r="H13" s="394" t="s">
        <v>585</v>
      </c>
      <c r="I13" s="394" t="s">
        <v>585</v>
      </c>
      <c r="J13" s="394" t="s">
        <v>585</v>
      </c>
      <c r="K13" s="626"/>
      <c r="L13" s="384" t="s">
        <v>637</v>
      </c>
      <c r="M13" s="628"/>
      <c r="N13" s="394">
        <v>302</v>
      </c>
      <c r="O13" s="394">
        <v>339</v>
      </c>
      <c r="P13" s="394" t="s">
        <v>585</v>
      </c>
      <c r="Q13" s="394" t="s">
        <v>585</v>
      </c>
      <c r="R13" s="394" t="s">
        <v>585</v>
      </c>
      <c r="S13" s="394" t="s">
        <v>585</v>
      </c>
      <c r="T13" s="402">
        <v>641</v>
      </c>
    </row>
    <row r="14" spans="1:20" ht="15" customHeight="1" thickBot="1" x14ac:dyDescent="0.25">
      <c r="A14" s="205"/>
      <c r="B14" s="626"/>
      <c r="C14" s="180" t="s">
        <v>17</v>
      </c>
      <c r="D14" s="180" t="s">
        <v>262</v>
      </c>
      <c r="E14" s="395" t="s">
        <v>585</v>
      </c>
      <c r="F14" s="395">
        <v>583</v>
      </c>
      <c r="G14" s="395">
        <v>3643</v>
      </c>
      <c r="H14" s="395">
        <v>10348</v>
      </c>
      <c r="I14" s="395">
        <v>16275</v>
      </c>
      <c r="J14" s="395">
        <v>19682</v>
      </c>
      <c r="K14" s="626"/>
      <c r="L14" s="180" t="s">
        <v>17</v>
      </c>
      <c r="M14" s="180" t="s">
        <v>262</v>
      </c>
      <c r="N14" s="395">
        <v>23452</v>
      </c>
      <c r="O14" s="395">
        <v>24496</v>
      </c>
      <c r="P14" s="395">
        <v>20643</v>
      </c>
      <c r="Q14" s="395">
        <v>18098</v>
      </c>
      <c r="R14" s="395">
        <v>5427</v>
      </c>
      <c r="S14" s="395">
        <v>8823</v>
      </c>
      <c r="T14" s="403">
        <v>151470</v>
      </c>
    </row>
    <row r="15" spans="1:20" ht="15" customHeight="1" thickBot="1" x14ac:dyDescent="0.25">
      <c r="A15" s="205"/>
      <c r="B15" s="386" t="s">
        <v>487</v>
      </c>
      <c r="C15" s="392" t="s">
        <v>378</v>
      </c>
      <c r="D15" s="392" t="s">
        <v>267</v>
      </c>
      <c r="E15" s="399" t="s">
        <v>585</v>
      </c>
      <c r="F15" s="399" t="s">
        <v>585</v>
      </c>
      <c r="G15" s="399" t="s">
        <v>585</v>
      </c>
      <c r="H15" s="399">
        <v>986</v>
      </c>
      <c r="I15" s="399">
        <v>990</v>
      </c>
      <c r="J15" s="399">
        <v>745</v>
      </c>
      <c r="K15" s="392" t="s">
        <v>487</v>
      </c>
      <c r="L15" s="392" t="s">
        <v>378</v>
      </c>
      <c r="M15" s="392" t="s">
        <v>267</v>
      </c>
      <c r="N15" s="399">
        <v>995</v>
      </c>
      <c r="O15" s="399">
        <v>749</v>
      </c>
      <c r="P15" s="399">
        <v>816</v>
      </c>
      <c r="Q15" s="399">
        <v>778</v>
      </c>
      <c r="R15" s="399">
        <v>705</v>
      </c>
      <c r="S15" s="399">
        <v>867</v>
      </c>
      <c r="T15" s="400">
        <v>7631</v>
      </c>
    </row>
    <row r="16" spans="1:20" ht="15" customHeight="1" x14ac:dyDescent="0.2">
      <c r="A16" s="205"/>
      <c r="B16" s="626" t="s">
        <v>488</v>
      </c>
      <c r="C16" s="384" t="s">
        <v>598</v>
      </c>
      <c r="D16" s="627" t="s">
        <v>267</v>
      </c>
      <c r="E16" s="394" t="s">
        <v>585</v>
      </c>
      <c r="F16" s="394" t="s">
        <v>585</v>
      </c>
      <c r="G16" s="394" t="s">
        <v>585</v>
      </c>
      <c r="H16" s="394" t="s">
        <v>585</v>
      </c>
      <c r="I16" s="394">
        <v>44</v>
      </c>
      <c r="J16" s="394">
        <v>35</v>
      </c>
      <c r="K16" s="626" t="s">
        <v>488</v>
      </c>
      <c r="L16" s="384" t="s">
        <v>598</v>
      </c>
      <c r="M16" s="627" t="s">
        <v>267</v>
      </c>
      <c r="N16" s="394">
        <v>94</v>
      </c>
      <c r="O16" s="394">
        <v>109</v>
      </c>
      <c r="P16" s="394">
        <v>56</v>
      </c>
      <c r="Q16" s="394" t="s">
        <v>585</v>
      </c>
      <c r="R16" s="394" t="s">
        <v>585</v>
      </c>
      <c r="S16" s="394" t="s">
        <v>585</v>
      </c>
      <c r="T16" s="402">
        <v>338</v>
      </c>
    </row>
    <row r="17" spans="1:20" ht="15" customHeight="1" x14ac:dyDescent="0.2">
      <c r="A17" s="205"/>
      <c r="B17" s="626"/>
      <c r="C17" s="384" t="s">
        <v>379</v>
      </c>
      <c r="D17" s="628"/>
      <c r="E17" s="394" t="s">
        <v>585</v>
      </c>
      <c r="F17" s="394" t="s">
        <v>585</v>
      </c>
      <c r="G17" s="394" t="s">
        <v>585</v>
      </c>
      <c r="H17" s="394" t="s">
        <v>585</v>
      </c>
      <c r="I17" s="394" t="s">
        <v>585</v>
      </c>
      <c r="J17" s="394" t="s">
        <v>585</v>
      </c>
      <c r="K17" s="626"/>
      <c r="L17" s="384" t="s">
        <v>379</v>
      </c>
      <c r="M17" s="628"/>
      <c r="N17" s="394" t="s">
        <v>585</v>
      </c>
      <c r="O17" s="394" t="s">
        <v>585</v>
      </c>
      <c r="P17" s="394" t="s">
        <v>585</v>
      </c>
      <c r="Q17" s="394">
        <v>1530</v>
      </c>
      <c r="R17" s="394">
        <v>1234</v>
      </c>
      <c r="S17" s="394" t="s">
        <v>585</v>
      </c>
      <c r="T17" s="402">
        <v>2764</v>
      </c>
    </row>
    <row r="18" spans="1:20" ht="15" customHeight="1" thickBot="1" x14ac:dyDescent="0.25">
      <c r="A18" s="205"/>
      <c r="B18" s="626"/>
      <c r="C18" s="180" t="s">
        <v>17</v>
      </c>
      <c r="D18" s="180" t="s">
        <v>262</v>
      </c>
      <c r="E18" s="395" t="s">
        <v>585</v>
      </c>
      <c r="F18" s="395" t="s">
        <v>585</v>
      </c>
      <c r="G18" s="395" t="s">
        <v>585</v>
      </c>
      <c r="H18" s="395" t="s">
        <v>585</v>
      </c>
      <c r="I18" s="395">
        <v>44</v>
      </c>
      <c r="J18" s="395">
        <v>35</v>
      </c>
      <c r="K18" s="626"/>
      <c r="L18" s="180" t="s">
        <v>17</v>
      </c>
      <c r="M18" s="180" t="s">
        <v>262</v>
      </c>
      <c r="N18" s="395">
        <v>94</v>
      </c>
      <c r="O18" s="395">
        <v>109</v>
      </c>
      <c r="P18" s="395">
        <v>56</v>
      </c>
      <c r="Q18" s="395">
        <v>1530</v>
      </c>
      <c r="R18" s="395">
        <v>1234</v>
      </c>
      <c r="S18" s="395" t="s">
        <v>585</v>
      </c>
      <c r="T18" s="403">
        <v>3102</v>
      </c>
    </row>
    <row r="19" spans="1:20" ht="15" customHeight="1" thickBot="1" x14ac:dyDescent="0.25">
      <c r="A19" s="205"/>
      <c r="B19" s="386" t="s">
        <v>497</v>
      </c>
      <c r="C19" s="392" t="s">
        <v>646</v>
      </c>
      <c r="D19" s="392" t="s">
        <v>267</v>
      </c>
      <c r="E19" s="399">
        <v>176</v>
      </c>
      <c r="F19" s="399">
        <v>419</v>
      </c>
      <c r="G19" s="399">
        <v>556</v>
      </c>
      <c r="H19" s="399">
        <v>218</v>
      </c>
      <c r="I19" s="399">
        <v>1813</v>
      </c>
      <c r="J19" s="399">
        <v>344</v>
      </c>
      <c r="K19" s="392" t="s">
        <v>497</v>
      </c>
      <c r="L19" s="392" t="s">
        <v>646</v>
      </c>
      <c r="M19" s="392" t="s">
        <v>267</v>
      </c>
      <c r="N19" s="399">
        <v>360</v>
      </c>
      <c r="O19" s="399">
        <v>229</v>
      </c>
      <c r="P19" s="399">
        <v>129</v>
      </c>
      <c r="Q19" s="399">
        <v>129</v>
      </c>
      <c r="R19" s="399">
        <v>28</v>
      </c>
      <c r="S19" s="399">
        <v>298</v>
      </c>
      <c r="T19" s="400">
        <v>4699</v>
      </c>
    </row>
    <row r="20" spans="1:20" ht="15" customHeight="1" x14ac:dyDescent="0.2">
      <c r="A20" s="205"/>
      <c r="B20" s="626" t="s">
        <v>499</v>
      </c>
      <c r="C20" s="384" t="s">
        <v>599</v>
      </c>
      <c r="D20" s="627" t="s">
        <v>267</v>
      </c>
      <c r="E20" s="394">
        <v>69</v>
      </c>
      <c r="F20" s="394">
        <v>47</v>
      </c>
      <c r="G20" s="394">
        <v>77</v>
      </c>
      <c r="H20" s="394">
        <v>80</v>
      </c>
      <c r="I20" s="394">
        <v>15</v>
      </c>
      <c r="J20" s="394">
        <v>26</v>
      </c>
      <c r="K20" s="626" t="s">
        <v>499</v>
      </c>
      <c r="L20" s="384" t="s">
        <v>599</v>
      </c>
      <c r="M20" s="627" t="s">
        <v>267</v>
      </c>
      <c r="N20" s="394">
        <v>11</v>
      </c>
      <c r="O20" s="394">
        <v>15</v>
      </c>
      <c r="P20" s="394">
        <v>27</v>
      </c>
      <c r="Q20" s="394">
        <v>34</v>
      </c>
      <c r="R20" s="394">
        <v>8</v>
      </c>
      <c r="S20" s="394" t="s">
        <v>585</v>
      </c>
      <c r="T20" s="402">
        <v>409</v>
      </c>
    </row>
    <row r="21" spans="1:20" ht="15" customHeight="1" x14ac:dyDescent="0.2">
      <c r="A21" s="205"/>
      <c r="B21" s="626"/>
      <c r="C21" s="384" t="s">
        <v>606</v>
      </c>
      <c r="D21" s="628"/>
      <c r="E21" s="394">
        <v>1</v>
      </c>
      <c r="F21" s="394">
        <v>15</v>
      </c>
      <c r="G21" s="394">
        <v>2</v>
      </c>
      <c r="H21" s="394" t="s">
        <v>585</v>
      </c>
      <c r="I21" s="394">
        <v>2</v>
      </c>
      <c r="J21" s="394">
        <v>13</v>
      </c>
      <c r="K21" s="626"/>
      <c r="L21" s="384" t="s">
        <v>606</v>
      </c>
      <c r="M21" s="628"/>
      <c r="N21" s="394">
        <v>1</v>
      </c>
      <c r="O21" s="394">
        <v>9</v>
      </c>
      <c r="P21" s="394">
        <v>14</v>
      </c>
      <c r="Q21" s="394">
        <v>25</v>
      </c>
      <c r="R21" s="394">
        <v>13</v>
      </c>
      <c r="S21" s="394">
        <v>4</v>
      </c>
      <c r="T21" s="402">
        <v>99</v>
      </c>
    </row>
    <row r="22" spans="1:20" ht="15" customHeight="1" x14ac:dyDescent="0.2">
      <c r="A22" s="205"/>
      <c r="B22" s="626"/>
      <c r="C22" s="384" t="s">
        <v>603</v>
      </c>
      <c r="D22" s="628"/>
      <c r="E22" s="394">
        <v>273</v>
      </c>
      <c r="F22" s="394">
        <v>196</v>
      </c>
      <c r="G22" s="394">
        <v>330</v>
      </c>
      <c r="H22" s="394">
        <v>335</v>
      </c>
      <c r="I22" s="394">
        <v>336</v>
      </c>
      <c r="J22" s="394">
        <v>236</v>
      </c>
      <c r="K22" s="626"/>
      <c r="L22" s="384" t="s">
        <v>603</v>
      </c>
      <c r="M22" s="628"/>
      <c r="N22" s="394">
        <v>390</v>
      </c>
      <c r="O22" s="394">
        <v>220</v>
      </c>
      <c r="P22" s="394">
        <v>259</v>
      </c>
      <c r="Q22" s="394">
        <v>336</v>
      </c>
      <c r="R22" s="394">
        <v>344</v>
      </c>
      <c r="S22" s="394">
        <v>351</v>
      </c>
      <c r="T22" s="402">
        <v>3606</v>
      </c>
    </row>
    <row r="23" spans="1:20" ht="15" customHeight="1" x14ac:dyDescent="0.2">
      <c r="A23" s="205"/>
      <c r="B23" s="626"/>
      <c r="C23" s="384" t="s">
        <v>394</v>
      </c>
      <c r="D23" s="628"/>
      <c r="E23" s="394">
        <v>897</v>
      </c>
      <c r="F23" s="394">
        <v>698</v>
      </c>
      <c r="G23" s="394">
        <v>1149</v>
      </c>
      <c r="H23" s="394">
        <v>1275</v>
      </c>
      <c r="I23" s="394">
        <v>1156</v>
      </c>
      <c r="J23" s="394">
        <v>890</v>
      </c>
      <c r="K23" s="626"/>
      <c r="L23" s="384" t="s">
        <v>394</v>
      </c>
      <c r="M23" s="628"/>
      <c r="N23" s="394">
        <v>1056</v>
      </c>
      <c r="O23" s="394">
        <v>975</v>
      </c>
      <c r="P23" s="394">
        <v>1204</v>
      </c>
      <c r="Q23" s="394">
        <v>930</v>
      </c>
      <c r="R23" s="394">
        <v>1642</v>
      </c>
      <c r="S23" s="394">
        <v>1053</v>
      </c>
      <c r="T23" s="402">
        <v>12925</v>
      </c>
    </row>
    <row r="24" spans="1:20" ht="15" customHeight="1" thickBot="1" x14ac:dyDescent="0.25">
      <c r="A24" s="205"/>
      <c r="B24" s="626"/>
      <c r="C24" s="180" t="s">
        <v>17</v>
      </c>
      <c r="D24" s="180" t="s">
        <v>262</v>
      </c>
      <c r="E24" s="395">
        <v>1240</v>
      </c>
      <c r="F24" s="395">
        <v>956</v>
      </c>
      <c r="G24" s="395">
        <v>1558</v>
      </c>
      <c r="H24" s="395">
        <v>1690</v>
      </c>
      <c r="I24" s="395">
        <v>1509</v>
      </c>
      <c r="J24" s="395">
        <v>1165</v>
      </c>
      <c r="K24" s="626"/>
      <c r="L24" s="180" t="s">
        <v>17</v>
      </c>
      <c r="M24" s="180" t="s">
        <v>262</v>
      </c>
      <c r="N24" s="395">
        <v>1458</v>
      </c>
      <c r="O24" s="395">
        <v>1219</v>
      </c>
      <c r="P24" s="395">
        <v>1504</v>
      </c>
      <c r="Q24" s="395">
        <v>1325</v>
      </c>
      <c r="R24" s="395">
        <v>2007</v>
      </c>
      <c r="S24" s="395">
        <v>1408</v>
      </c>
      <c r="T24" s="403">
        <v>17039</v>
      </c>
    </row>
    <row r="25" spans="1:20" ht="15" customHeight="1" x14ac:dyDescent="0.2">
      <c r="A25" s="205"/>
      <c r="B25" s="624" t="s">
        <v>515</v>
      </c>
      <c r="C25" s="389" t="s">
        <v>397</v>
      </c>
      <c r="D25" s="627" t="s">
        <v>267</v>
      </c>
      <c r="E25" s="396">
        <v>144</v>
      </c>
      <c r="F25" s="396">
        <v>267</v>
      </c>
      <c r="G25" s="396">
        <v>191</v>
      </c>
      <c r="H25" s="396">
        <v>204</v>
      </c>
      <c r="I25" s="396">
        <v>195</v>
      </c>
      <c r="J25" s="396">
        <v>295</v>
      </c>
      <c r="K25" s="624" t="s">
        <v>515</v>
      </c>
      <c r="L25" s="389" t="s">
        <v>397</v>
      </c>
      <c r="M25" s="627" t="s">
        <v>267</v>
      </c>
      <c r="N25" s="396">
        <v>539</v>
      </c>
      <c r="O25" s="396">
        <v>394</v>
      </c>
      <c r="P25" s="396">
        <v>339</v>
      </c>
      <c r="Q25" s="396">
        <v>267</v>
      </c>
      <c r="R25" s="396">
        <v>214</v>
      </c>
      <c r="S25" s="396">
        <v>149</v>
      </c>
      <c r="T25" s="404">
        <v>3198</v>
      </c>
    </row>
    <row r="26" spans="1:20" ht="15" customHeight="1" x14ac:dyDescent="0.2">
      <c r="A26" s="205"/>
      <c r="B26" s="625"/>
      <c r="C26" s="390" t="s">
        <v>649</v>
      </c>
      <c r="D26" s="629"/>
      <c r="E26" s="397">
        <v>1923</v>
      </c>
      <c r="F26" s="397">
        <v>1672</v>
      </c>
      <c r="G26" s="397">
        <v>2179</v>
      </c>
      <c r="H26" s="397">
        <v>2470</v>
      </c>
      <c r="I26" s="397">
        <v>2304</v>
      </c>
      <c r="J26" s="397">
        <v>2160</v>
      </c>
      <c r="K26" s="625"/>
      <c r="L26" s="390" t="s">
        <v>649</v>
      </c>
      <c r="M26" s="629"/>
      <c r="N26" s="397">
        <v>2163</v>
      </c>
      <c r="O26" s="397">
        <v>2189</v>
      </c>
      <c r="P26" s="397">
        <v>2446</v>
      </c>
      <c r="Q26" s="397">
        <v>2793</v>
      </c>
      <c r="R26" s="397">
        <v>2639</v>
      </c>
      <c r="S26" s="397">
        <v>2742</v>
      </c>
      <c r="T26" s="405">
        <v>27680</v>
      </c>
    </row>
    <row r="27" spans="1:20" ht="15" customHeight="1" x14ac:dyDescent="0.2">
      <c r="A27" s="205"/>
      <c r="B27" s="625"/>
      <c r="C27" s="390" t="s">
        <v>398</v>
      </c>
      <c r="D27" s="629"/>
      <c r="E27" s="397">
        <v>106</v>
      </c>
      <c r="F27" s="397">
        <v>145</v>
      </c>
      <c r="G27" s="397">
        <v>275</v>
      </c>
      <c r="H27" s="397">
        <v>400</v>
      </c>
      <c r="I27" s="397">
        <v>238</v>
      </c>
      <c r="J27" s="397">
        <v>263</v>
      </c>
      <c r="K27" s="625"/>
      <c r="L27" s="390" t="s">
        <v>398</v>
      </c>
      <c r="M27" s="629"/>
      <c r="N27" s="397">
        <v>212</v>
      </c>
      <c r="O27" s="397">
        <v>216</v>
      </c>
      <c r="P27" s="397">
        <v>186</v>
      </c>
      <c r="Q27" s="397">
        <v>251</v>
      </c>
      <c r="R27" s="397">
        <v>263</v>
      </c>
      <c r="S27" s="397">
        <v>143</v>
      </c>
      <c r="T27" s="405">
        <v>2698</v>
      </c>
    </row>
    <row r="28" spans="1:20" ht="15" customHeight="1" x14ac:dyDescent="0.2">
      <c r="A28" s="205"/>
      <c r="B28" s="625"/>
      <c r="C28" s="390" t="s">
        <v>650</v>
      </c>
      <c r="D28" s="629"/>
      <c r="E28" s="397" t="s">
        <v>585</v>
      </c>
      <c r="F28" s="397">
        <v>18</v>
      </c>
      <c r="G28" s="397" t="s">
        <v>585</v>
      </c>
      <c r="H28" s="397" t="s">
        <v>585</v>
      </c>
      <c r="I28" s="397">
        <v>6</v>
      </c>
      <c r="J28" s="397">
        <v>37</v>
      </c>
      <c r="K28" s="625"/>
      <c r="L28" s="390" t="s">
        <v>650</v>
      </c>
      <c r="M28" s="629"/>
      <c r="N28" s="397" t="s">
        <v>585</v>
      </c>
      <c r="O28" s="397" t="s">
        <v>585</v>
      </c>
      <c r="P28" s="397">
        <v>21</v>
      </c>
      <c r="Q28" s="397">
        <v>9</v>
      </c>
      <c r="R28" s="397">
        <v>5</v>
      </c>
      <c r="S28" s="397" t="s">
        <v>585</v>
      </c>
      <c r="T28" s="405">
        <v>96</v>
      </c>
    </row>
    <row r="29" spans="1:20" ht="15" customHeight="1" thickBot="1" x14ac:dyDescent="0.25">
      <c r="A29" s="205"/>
      <c r="B29" s="623"/>
      <c r="C29" s="391" t="s">
        <v>17</v>
      </c>
      <c r="D29" s="391" t="s">
        <v>262</v>
      </c>
      <c r="E29" s="398">
        <v>2173</v>
      </c>
      <c r="F29" s="398">
        <v>2102</v>
      </c>
      <c r="G29" s="398">
        <v>2645</v>
      </c>
      <c r="H29" s="398">
        <v>3074</v>
      </c>
      <c r="I29" s="398">
        <v>2743</v>
      </c>
      <c r="J29" s="398">
        <v>2755</v>
      </c>
      <c r="K29" s="623"/>
      <c r="L29" s="391" t="s">
        <v>17</v>
      </c>
      <c r="M29" s="391" t="s">
        <v>262</v>
      </c>
      <c r="N29" s="398">
        <v>2914</v>
      </c>
      <c r="O29" s="398">
        <v>2799</v>
      </c>
      <c r="P29" s="398">
        <v>2992</v>
      </c>
      <c r="Q29" s="398">
        <v>3320</v>
      </c>
      <c r="R29" s="398">
        <v>3121</v>
      </c>
      <c r="S29" s="398">
        <v>3034</v>
      </c>
      <c r="T29" s="406">
        <v>33672</v>
      </c>
    </row>
    <row r="30" spans="1:20" ht="15" customHeight="1" thickBot="1" x14ac:dyDescent="0.25">
      <c r="A30" s="205"/>
      <c r="B30" s="91" t="s">
        <v>502</v>
      </c>
      <c r="C30" s="180" t="s">
        <v>619</v>
      </c>
      <c r="D30" s="180" t="s">
        <v>267</v>
      </c>
      <c r="E30" s="395" t="s">
        <v>585</v>
      </c>
      <c r="F30" s="395" t="s">
        <v>585</v>
      </c>
      <c r="G30" s="395" t="s">
        <v>585</v>
      </c>
      <c r="H30" s="395" t="s">
        <v>585</v>
      </c>
      <c r="I30" s="395">
        <v>26</v>
      </c>
      <c r="J30" s="395">
        <v>722</v>
      </c>
      <c r="K30" s="180" t="s">
        <v>502</v>
      </c>
      <c r="L30" s="180" t="s">
        <v>619</v>
      </c>
      <c r="M30" s="180" t="s">
        <v>267</v>
      </c>
      <c r="N30" s="395">
        <v>82</v>
      </c>
      <c r="O30" s="395">
        <v>970</v>
      </c>
      <c r="P30" s="395" t="s">
        <v>585</v>
      </c>
      <c r="Q30" s="395">
        <v>3331</v>
      </c>
      <c r="R30" s="395">
        <v>3111</v>
      </c>
      <c r="S30" s="395" t="s">
        <v>585</v>
      </c>
      <c r="T30" s="403">
        <v>8242</v>
      </c>
    </row>
    <row r="31" spans="1:20" ht="15" customHeight="1" thickBot="1" x14ac:dyDescent="0.25">
      <c r="A31" s="205"/>
      <c r="B31" s="386" t="s">
        <v>506</v>
      </c>
      <c r="C31" s="392" t="s">
        <v>413</v>
      </c>
      <c r="D31" s="392" t="s">
        <v>267</v>
      </c>
      <c r="E31" s="399">
        <v>14</v>
      </c>
      <c r="F31" s="399">
        <v>12</v>
      </c>
      <c r="G31" s="399">
        <v>50</v>
      </c>
      <c r="H31" s="399">
        <v>16</v>
      </c>
      <c r="I31" s="399">
        <v>37</v>
      </c>
      <c r="J31" s="399">
        <v>65</v>
      </c>
      <c r="K31" s="392" t="s">
        <v>506</v>
      </c>
      <c r="L31" s="392" t="s">
        <v>413</v>
      </c>
      <c r="M31" s="392" t="s">
        <v>267</v>
      </c>
      <c r="N31" s="399">
        <v>71</v>
      </c>
      <c r="O31" s="399" t="s">
        <v>585</v>
      </c>
      <c r="P31" s="399" t="s">
        <v>585</v>
      </c>
      <c r="Q31" s="399">
        <v>42</v>
      </c>
      <c r="R31" s="399" t="s">
        <v>585</v>
      </c>
      <c r="S31" s="399" t="s">
        <v>585</v>
      </c>
      <c r="T31" s="400">
        <v>307</v>
      </c>
    </row>
    <row r="32" spans="1:20" ht="15" customHeight="1" thickBot="1" x14ac:dyDescent="0.25">
      <c r="A32" s="205"/>
      <c r="B32" s="91" t="s">
        <v>510</v>
      </c>
      <c r="C32" s="180" t="s">
        <v>417</v>
      </c>
      <c r="D32" s="180" t="s">
        <v>267</v>
      </c>
      <c r="E32" s="395" t="s">
        <v>585</v>
      </c>
      <c r="F32" s="395" t="s">
        <v>585</v>
      </c>
      <c r="G32" s="395" t="s">
        <v>585</v>
      </c>
      <c r="H32" s="395">
        <v>3530</v>
      </c>
      <c r="I32" s="395">
        <v>3500</v>
      </c>
      <c r="J32" s="395">
        <v>2780</v>
      </c>
      <c r="K32" s="180" t="s">
        <v>510</v>
      </c>
      <c r="L32" s="180" t="s">
        <v>417</v>
      </c>
      <c r="M32" s="180" t="s">
        <v>267</v>
      </c>
      <c r="N32" s="395">
        <v>3434</v>
      </c>
      <c r="O32" s="395" t="s">
        <v>585</v>
      </c>
      <c r="P32" s="395">
        <v>3853</v>
      </c>
      <c r="Q32" s="395">
        <v>3619</v>
      </c>
      <c r="R32" s="395">
        <v>3374</v>
      </c>
      <c r="S32" s="395">
        <v>29</v>
      </c>
      <c r="T32" s="403">
        <v>24119</v>
      </c>
    </row>
    <row r="33" spans="1:20" ht="15" customHeight="1" x14ac:dyDescent="0.2">
      <c r="A33" s="205"/>
      <c r="B33" s="631" t="s">
        <v>516</v>
      </c>
      <c r="C33" s="389" t="s">
        <v>420</v>
      </c>
      <c r="D33" s="627" t="s">
        <v>267</v>
      </c>
      <c r="E33" s="396">
        <v>64</v>
      </c>
      <c r="F33" s="396">
        <v>120</v>
      </c>
      <c r="G33" s="396">
        <v>30</v>
      </c>
      <c r="H33" s="396">
        <v>2085</v>
      </c>
      <c r="I33" s="396">
        <v>9608</v>
      </c>
      <c r="J33" s="396">
        <v>12517</v>
      </c>
      <c r="K33" s="631" t="s">
        <v>516</v>
      </c>
      <c r="L33" s="389" t="s">
        <v>420</v>
      </c>
      <c r="M33" s="627" t="s">
        <v>267</v>
      </c>
      <c r="N33" s="396">
        <v>17593</v>
      </c>
      <c r="O33" s="396">
        <v>19875</v>
      </c>
      <c r="P33" s="396">
        <v>16704</v>
      </c>
      <c r="Q33" s="396">
        <v>9872</v>
      </c>
      <c r="R33" s="396" t="s">
        <v>585</v>
      </c>
      <c r="S33" s="396" t="s">
        <v>585</v>
      </c>
      <c r="T33" s="404">
        <v>88468</v>
      </c>
    </row>
    <row r="34" spans="1:20" ht="15" customHeight="1" x14ac:dyDescent="0.2">
      <c r="A34" s="205"/>
      <c r="B34" s="632"/>
      <c r="C34" s="390" t="s">
        <v>426</v>
      </c>
      <c r="D34" s="629"/>
      <c r="E34" s="397" t="s">
        <v>585</v>
      </c>
      <c r="F34" s="397" t="s">
        <v>585</v>
      </c>
      <c r="G34" s="397">
        <v>390</v>
      </c>
      <c r="H34" s="397">
        <v>2502</v>
      </c>
      <c r="I34" s="397">
        <v>13263</v>
      </c>
      <c r="J34" s="397">
        <v>9825</v>
      </c>
      <c r="K34" s="632"/>
      <c r="L34" s="390" t="s">
        <v>426</v>
      </c>
      <c r="M34" s="629"/>
      <c r="N34" s="397">
        <v>13525</v>
      </c>
      <c r="O34" s="397">
        <v>17696</v>
      </c>
      <c r="P34" s="397">
        <v>16030</v>
      </c>
      <c r="Q34" s="397">
        <v>6060</v>
      </c>
      <c r="R34" s="397">
        <v>6356</v>
      </c>
      <c r="S34" s="397">
        <v>4209</v>
      </c>
      <c r="T34" s="405">
        <v>89856</v>
      </c>
    </row>
    <row r="35" spans="1:20" ht="15" customHeight="1" x14ac:dyDescent="0.2">
      <c r="A35" s="205"/>
      <c r="B35" s="632"/>
      <c r="C35" s="390" t="s">
        <v>611</v>
      </c>
      <c r="D35" s="629"/>
      <c r="E35" s="397" t="s">
        <v>585</v>
      </c>
      <c r="F35" s="397" t="s">
        <v>585</v>
      </c>
      <c r="G35" s="397" t="s">
        <v>585</v>
      </c>
      <c r="H35" s="397">
        <v>4807</v>
      </c>
      <c r="I35" s="397">
        <v>4070</v>
      </c>
      <c r="J35" s="397">
        <v>5089</v>
      </c>
      <c r="K35" s="632"/>
      <c r="L35" s="390" t="s">
        <v>611</v>
      </c>
      <c r="M35" s="629"/>
      <c r="N35" s="397">
        <v>5921</v>
      </c>
      <c r="O35" s="397">
        <v>8092</v>
      </c>
      <c r="P35" s="397">
        <v>4845</v>
      </c>
      <c r="Q35" s="397" t="s">
        <v>585</v>
      </c>
      <c r="R35" s="397" t="s">
        <v>585</v>
      </c>
      <c r="S35" s="397" t="s">
        <v>585</v>
      </c>
      <c r="T35" s="405">
        <v>32824</v>
      </c>
    </row>
    <row r="36" spans="1:20" ht="15" customHeight="1" x14ac:dyDescent="0.2">
      <c r="A36" s="205"/>
      <c r="B36" s="632"/>
      <c r="C36" s="390" t="s">
        <v>427</v>
      </c>
      <c r="D36" s="629"/>
      <c r="E36" s="397" t="s">
        <v>585</v>
      </c>
      <c r="F36" s="397" t="s">
        <v>585</v>
      </c>
      <c r="G36" s="397" t="s">
        <v>585</v>
      </c>
      <c r="H36" s="397" t="s">
        <v>585</v>
      </c>
      <c r="I36" s="397">
        <v>367</v>
      </c>
      <c r="J36" s="397">
        <v>149</v>
      </c>
      <c r="K36" s="632"/>
      <c r="L36" s="390" t="s">
        <v>427</v>
      </c>
      <c r="M36" s="629"/>
      <c r="N36" s="397">
        <v>306</v>
      </c>
      <c r="O36" s="397">
        <v>448</v>
      </c>
      <c r="P36" s="397">
        <v>402</v>
      </c>
      <c r="Q36" s="397">
        <v>65</v>
      </c>
      <c r="R36" s="397" t="s">
        <v>585</v>
      </c>
      <c r="S36" s="397" t="s">
        <v>585</v>
      </c>
      <c r="T36" s="405">
        <v>1737</v>
      </c>
    </row>
    <row r="37" spans="1:20" ht="15" customHeight="1" x14ac:dyDescent="0.2">
      <c r="A37" s="205"/>
      <c r="B37" s="632"/>
      <c r="C37" s="390" t="s">
        <v>421</v>
      </c>
      <c r="D37" s="629"/>
      <c r="E37" s="397" t="s">
        <v>585</v>
      </c>
      <c r="F37" s="397" t="s">
        <v>585</v>
      </c>
      <c r="G37" s="397" t="s">
        <v>585</v>
      </c>
      <c r="H37" s="397" t="s">
        <v>585</v>
      </c>
      <c r="I37" s="397" t="s">
        <v>585</v>
      </c>
      <c r="J37" s="397">
        <v>198</v>
      </c>
      <c r="K37" s="632"/>
      <c r="L37" s="390" t="s">
        <v>421</v>
      </c>
      <c r="M37" s="629"/>
      <c r="N37" s="397">
        <v>384</v>
      </c>
      <c r="O37" s="397">
        <v>593</v>
      </c>
      <c r="P37" s="397">
        <v>228</v>
      </c>
      <c r="Q37" s="397">
        <v>239</v>
      </c>
      <c r="R37" s="397" t="s">
        <v>585</v>
      </c>
      <c r="S37" s="397" t="s">
        <v>585</v>
      </c>
      <c r="T37" s="405">
        <v>1642</v>
      </c>
    </row>
    <row r="38" spans="1:20" ht="15" customHeight="1" thickBot="1" x14ac:dyDescent="0.25">
      <c r="A38" s="205"/>
      <c r="B38" s="633"/>
      <c r="C38" s="391" t="s">
        <v>17</v>
      </c>
      <c r="D38" s="391" t="s">
        <v>262</v>
      </c>
      <c r="E38" s="398">
        <v>64</v>
      </c>
      <c r="F38" s="398">
        <v>120</v>
      </c>
      <c r="G38" s="398">
        <v>420</v>
      </c>
      <c r="H38" s="398">
        <v>9394</v>
      </c>
      <c r="I38" s="398">
        <v>27308</v>
      </c>
      <c r="J38" s="398">
        <v>27778</v>
      </c>
      <c r="K38" s="633"/>
      <c r="L38" s="391" t="s">
        <v>17</v>
      </c>
      <c r="M38" s="391" t="s">
        <v>262</v>
      </c>
      <c r="N38" s="398">
        <v>37729</v>
      </c>
      <c r="O38" s="398">
        <v>46704</v>
      </c>
      <c r="P38" s="398">
        <v>38209</v>
      </c>
      <c r="Q38" s="398">
        <v>16236</v>
      </c>
      <c r="R38" s="398">
        <v>6356</v>
      </c>
      <c r="S38" s="398">
        <v>4209</v>
      </c>
      <c r="T38" s="406">
        <v>214527</v>
      </c>
    </row>
    <row r="39" spans="1:20" ht="12.75" customHeight="1" x14ac:dyDescent="0.2">
      <c r="B39" s="626" t="s">
        <v>519</v>
      </c>
      <c r="C39" s="384" t="s">
        <v>432</v>
      </c>
      <c r="D39" s="627" t="s">
        <v>267</v>
      </c>
      <c r="E39" s="394">
        <v>6</v>
      </c>
      <c r="F39" s="394">
        <v>6</v>
      </c>
      <c r="G39" s="394">
        <v>32</v>
      </c>
      <c r="H39" s="394">
        <v>4</v>
      </c>
      <c r="I39" s="394" t="s">
        <v>585</v>
      </c>
      <c r="J39" s="394" t="s">
        <v>585</v>
      </c>
      <c r="K39" s="626" t="s">
        <v>519</v>
      </c>
      <c r="L39" s="384" t="s">
        <v>432</v>
      </c>
      <c r="M39" s="627" t="s">
        <v>267</v>
      </c>
      <c r="N39" s="394" t="s">
        <v>585</v>
      </c>
      <c r="O39" s="394" t="s">
        <v>585</v>
      </c>
      <c r="P39" s="394" t="s">
        <v>585</v>
      </c>
      <c r="Q39" s="394">
        <v>13</v>
      </c>
      <c r="R39" s="394" t="s">
        <v>585</v>
      </c>
      <c r="S39" s="394" t="s">
        <v>585</v>
      </c>
      <c r="T39" s="402">
        <v>61</v>
      </c>
    </row>
    <row r="40" spans="1:20" x14ac:dyDescent="0.2">
      <c r="B40" s="626"/>
      <c r="C40" s="384" t="s">
        <v>431</v>
      </c>
      <c r="D40" s="628"/>
      <c r="E40" s="394">
        <v>106</v>
      </c>
      <c r="F40" s="394">
        <v>87</v>
      </c>
      <c r="G40" s="394">
        <v>130</v>
      </c>
      <c r="H40" s="394">
        <v>43</v>
      </c>
      <c r="I40" s="394">
        <v>143</v>
      </c>
      <c r="J40" s="394" t="s">
        <v>585</v>
      </c>
      <c r="K40" s="626"/>
      <c r="L40" s="384" t="s">
        <v>431</v>
      </c>
      <c r="M40" s="628"/>
      <c r="N40" s="394">
        <v>207</v>
      </c>
      <c r="O40" s="394">
        <v>70</v>
      </c>
      <c r="P40" s="394" t="s">
        <v>585</v>
      </c>
      <c r="Q40" s="394">
        <v>142</v>
      </c>
      <c r="R40" s="394" t="s">
        <v>585</v>
      </c>
      <c r="S40" s="394">
        <v>134</v>
      </c>
      <c r="T40" s="402">
        <v>1062</v>
      </c>
    </row>
    <row r="41" spans="1:20" ht="12.75" customHeight="1" thickBot="1" x14ac:dyDescent="0.25">
      <c r="B41" s="626"/>
      <c r="C41" s="180" t="s">
        <v>17</v>
      </c>
      <c r="D41" s="180" t="s">
        <v>262</v>
      </c>
      <c r="E41" s="395">
        <v>112</v>
      </c>
      <c r="F41" s="395">
        <v>93</v>
      </c>
      <c r="G41" s="395">
        <v>162</v>
      </c>
      <c r="H41" s="395">
        <v>47</v>
      </c>
      <c r="I41" s="395">
        <v>143</v>
      </c>
      <c r="J41" s="395" t="s">
        <v>585</v>
      </c>
      <c r="K41" s="626"/>
      <c r="L41" s="180" t="s">
        <v>17</v>
      </c>
      <c r="M41" s="180" t="s">
        <v>262</v>
      </c>
      <c r="N41" s="395">
        <v>207</v>
      </c>
      <c r="O41" s="395">
        <v>70</v>
      </c>
      <c r="P41" s="395" t="s">
        <v>585</v>
      </c>
      <c r="Q41" s="395">
        <v>155</v>
      </c>
      <c r="R41" s="395" t="s">
        <v>585</v>
      </c>
      <c r="S41" s="395">
        <v>134</v>
      </c>
      <c r="T41" s="403">
        <v>1123</v>
      </c>
    </row>
    <row r="42" spans="1:20" ht="12.75" thickBot="1" x14ac:dyDescent="0.25">
      <c r="B42" s="386" t="s">
        <v>521</v>
      </c>
      <c r="C42" s="392" t="s">
        <v>433</v>
      </c>
      <c r="D42" s="392" t="s">
        <v>267</v>
      </c>
      <c r="E42" s="399">
        <v>349</v>
      </c>
      <c r="F42" s="399">
        <v>325</v>
      </c>
      <c r="G42" s="399">
        <v>299</v>
      </c>
      <c r="H42" s="399">
        <v>296</v>
      </c>
      <c r="I42" s="399">
        <v>229</v>
      </c>
      <c r="J42" s="399" t="s">
        <v>585</v>
      </c>
      <c r="K42" s="392" t="s">
        <v>521</v>
      </c>
      <c r="L42" s="392" t="s">
        <v>433</v>
      </c>
      <c r="M42" s="392" t="s">
        <v>267</v>
      </c>
      <c r="N42" s="399">
        <v>593</v>
      </c>
      <c r="O42" s="399">
        <v>1167</v>
      </c>
      <c r="P42" s="399">
        <v>1069</v>
      </c>
      <c r="Q42" s="399" t="s">
        <v>585</v>
      </c>
      <c r="R42" s="399">
        <v>4</v>
      </c>
      <c r="S42" s="399">
        <v>1008</v>
      </c>
      <c r="T42" s="400">
        <v>5339</v>
      </c>
    </row>
    <row r="43" spans="1:20" ht="12.75" customHeight="1" x14ac:dyDescent="0.2">
      <c r="B43" s="626" t="s">
        <v>522</v>
      </c>
      <c r="C43" s="384" t="s">
        <v>434</v>
      </c>
      <c r="D43" s="627" t="s">
        <v>267</v>
      </c>
      <c r="E43" s="394">
        <v>29</v>
      </c>
      <c r="F43" s="394">
        <v>46</v>
      </c>
      <c r="G43" s="394">
        <v>31</v>
      </c>
      <c r="H43" s="394">
        <v>41</v>
      </c>
      <c r="I43" s="394">
        <v>58</v>
      </c>
      <c r="J43" s="394">
        <v>50</v>
      </c>
      <c r="K43" s="626" t="s">
        <v>522</v>
      </c>
      <c r="L43" s="384" t="s">
        <v>434</v>
      </c>
      <c r="M43" s="627" t="s">
        <v>267</v>
      </c>
      <c r="N43" s="394">
        <v>47</v>
      </c>
      <c r="O43" s="394">
        <v>20</v>
      </c>
      <c r="P43" s="394">
        <v>20</v>
      </c>
      <c r="Q43" s="394">
        <v>68</v>
      </c>
      <c r="R43" s="394">
        <v>165</v>
      </c>
      <c r="S43" s="394">
        <v>137</v>
      </c>
      <c r="T43" s="402">
        <v>712</v>
      </c>
    </row>
    <row r="44" spans="1:20" x14ac:dyDescent="0.2">
      <c r="B44" s="626"/>
      <c r="C44" s="384" t="s">
        <v>664</v>
      </c>
      <c r="D44" s="628"/>
      <c r="E44" s="394">
        <v>1327</v>
      </c>
      <c r="F44" s="394">
        <v>1515</v>
      </c>
      <c r="G44" s="394">
        <v>1619</v>
      </c>
      <c r="H44" s="394">
        <v>1307</v>
      </c>
      <c r="I44" s="394">
        <v>1420</v>
      </c>
      <c r="J44" s="394">
        <v>1529</v>
      </c>
      <c r="K44" s="626"/>
      <c r="L44" s="384" t="s">
        <v>664</v>
      </c>
      <c r="M44" s="628"/>
      <c r="N44" s="394">
        <v>2168</v>
      </c>
      <c r="O44" s="394">
        <v>1738</v>
      </c>
      <c r="P44" s="394">
        <v>1738</v>
      </c>
      <c r="Q44" s="394">
        <v>1985</v>
      </c>
      <c r="R44" s="394">
        <v>1555</v>
      </c>
      <c r="S44" s="394">
        <v>2296</v>
      </c>
      <c r="T44" s="402">
        <v>20197</v>
      </c>
    </row>
    <row r="45" spans="1:20" x14ac:dyDescent="0.2">
      <c r="B45" s="626"/>
      <c r="C45" s="384" t="s">
        <v>362</v>
      </c>
      <c r="D45" s="628"/>
      <c r="E45" s="394">
        <v>23</v>
      </c>
      <c r="F45" s="394">
        <v>41</v>
      </c>
      <c r="G45" s="394">
        <v>22</v>
      </c>
      <c r="H45" s="394">
        <v>23</v>
      </c>
      <c r="I45" s="394">
        <v>24</v>
      </c>
      <c r="J45" s="394">
        <v>21</v>
      </c>
      <c r="K45" s="626"/>
      <c r="L45" s="384" t="s">
        <v>362</v>
      </c>
      <c r="M45" s="628"/>
      <c r="N45" s="394" t="s">
        <v>585</v>
      </c>
      <c r="O45" s="394" t="s">
        <v>585</v>
      </c>
      <c r="P45" s="394" t="s">
        <v>585</v>
      </c>
      <c r="Q45" s="394" t="s">
        <v>585</v>
      </c>
      <c r="R45" s="394" t="s">
        <v>585</v>
      </c>
      <c r="S45" s="394">
        <v>3</v>
      </c>
      <c r="T45" s="402">
        <v>157</v>
      </c>
    </row>
    <row r="46" spans="1:20" ht="12.75" thickBot="1" x14ac:dyDescent="0.25">
      <c r="B46" s="626"/>
      <c r="C46" s="180" t="s">
        <v>17</v>
      </c>
      <c r="D46" s="180" t="s">
        <v>262</v>
      </c>
      <c r="E46" s="395">
        <v>1379</v>
      </c>
      <c r="F46" s="395">
        <v>1602</v>
      </c>
      <c r="G46" s="395">
        <v>1672</v>
      </c>
      <c r="H46" s="395">
        <v>1371</v>
      </c>
      <c r="I46" s="395">
        <v>1502</v>
      </c>
      <c r="J46" s="395">
        <v>1600</v>
      </c>
      <c r="K46" s="626"/>
      <c r="L46" s="180" t="s">
        <v>17</v>
      </c>
      <c r="M46" s="180" t="s">
        <v>262</v>
      </c>
      <c r="N46" s="395">
        <v>2215</v>
      </c>
      <c r="O46" s="395">
        <v>1758</v>
      </c>
      <c r="P46" s="395">
        <v>1758</v>
      </c>
      <c r="Q46" s="395">
        <v>2053</v>
      </c>
      <c r="R46" s="395">
        <v>1720</v>
      </c>
      <c r="S46" s="395">
        <v>2436</v>
      </c>
      <c r="T46" s="403">
        <v>21066</v>
      </c>
    </row>
    <row r="47" spans="1:20" ht="12.75" thickBot="1" x14ac:dyDescent="0.25">
      <c r="B47" s="386" t="s">
        <v>527</v>
      </c>
      <c r="C47" s="392" t="s">
        <v>670</v>
      </c>
      <c r="D47" s="392" t="s">
        <v>267</v>
      </c>
      <c r="E47" s="399">
        <v>892</v>
      </c>
      <c r="F47" s="399">
        <v>809</v>
      </c>
      <c r="G47" s="399">
        <v>883</v>
      </c>
      <c r="H47" s="399">
        <v>846</v>
      </c>
      <c r="I47" s="399">
        <v>1092</v>
      </c>
      <c r="J47" s="399">
        <v>987</v>
      </c>
      <c r="K47" s="392" t="s">
        <v>527</v>
      </c>
      <c r="L47" s="392" t="s">
        <v>670</v>
      </c>
      <c r="M47" s="392" t="s">
        <v>267</v>
      </c>
      <c r="N47" s="399">
        <v>921</v>
      </c>
      <c r="O47" s="399">
        <v>854</v>
      </c>
      <c r="P47" s="399">
        <v>1013</v>
      </c>
      <c r="Q47" s="399">
        <v>842</v>
      </c>
      <c r="R47" s="399">
        <v>706</v>
      </c>
      <c r="S47" s="399">
        <v>952</v>
      </c>
      <c r="T47" s="400">
        <v>10797</v>
      </c>
    </row>
    <row r="48" spans="1:20" ht="12.75" thickBot="1" x14ac:dyDescent="0.25">
      <c r="B48" s="386" t="s">
        <v>528</v>
      </c>
      <c r="C48" s="392" t="s">
        <v>671</v>
      </c>
      <c r="D48" s="392" t="s">
        <v>267</v>
      </c>
      <c r="E48" s="399">
        <v>379</v>
      </c>
      <c r="F48" s="399">
        <v>295</v>
      </c>
      <c r="G48" s="399">
        <v>258</v>
      </c>
      <c r="H48" s="399">
        <v>207</v>
      </c>
      <c r="I48" s="399">
        <v>277</v>
      </c>
      <c r="J48" s="399">
        <v>255</v>
      </c>
      <c r="K48" s="392" t="s">
        <v>528</v>
      </c>
      <c r="L48" s="392" t="s">
        <v>671</v>
      </c>
      <c r="M48" s="392" t="s">
        <v>267</v>
      </c>
      <c r="N48" s="399">
        <v>360</v>
      </c>
      <c r="O48" s="399">
        <v>325</v>
      </c>
      <c r="P48" s="399">
        <v>451</v>
      </c>
      <c r="Q48" s="399">
        <v>681</v>
      </c>
      <c r="R48" s="399">
        <v>509</v>
      </c>
      <c r="S48" s="399">
        <v>588</v>
      </c>
      <c r="T48" s="400">
        <v>4585</v>
      </c>
    </row>
    <row r="49" spans="2:20" x14ac:dyDescent="0.2">
      <c r="B49" s="626" t="s">
        <v>532</v>
      </c>
      <c r="C49" s="384" t="s">
        <v>676</v>
      </c>
      <c r="D49" s="627" t="s">
        <v>267</v>
      </c>
      <c r="E49" s="394" t="s">
        <v>585</v>
      </c>
      <c r="F49" s="394" t="s">
        <v>585</v>
      </c>
      <c r="G49" s="394">
        <v>288</v>
      </c>
      <c r="H49" s="394">
        <v>137</v>
      </c>
      <c r="I49" s="394" t="s">
        <v>585</v>
      </c>
      <c r="J49" s="394">
        <v>133</v>
      </c>
      <c r="K49" s="626" t="s">
        <v>532</v>
      </c>
      <c r="L49" s="384" t="s">
        <v>676</v>
      </c>
      <c r="M49" s="627" t="s">
        <v>267</v>
      </c>
      <c r="N49" s="394">
        <v>97</v>
      </c>
      <c r="O49" s="394">
        <v>98</v>
      </c>
      <c r="P49" s="394">
        <v>165</v>
      </c>
      <c r="Q49" s="394">
        <v>227</v>
      </c>
      <c r="R49" s="394">
        <v>290</v>
      </c>
      <c r="S49" s="394">
        <v>279</v>
      </c>
      <c r="T49" s="402">
        <v>1714</v>
      </c>
    </row>
    <row r="50" spans="2:20" x14ac:dyDescent="0.2">
      <c r="B50" s="626"/>
      <c r="C50" s="384" t="s">
        <v>536</v>
      </c>
      <c r="D50" s="628"/>
      <c r="E50" s="394" t="s">
        <v>585</v>
      </c>
      <c r="F50" s="394" t="s">
        <v>585</v>
      </c>
      <c r="G50" s="394">
        <v>326</v>
      </c>
      <c r="H50" s="394">
        <v>167</v>
      </c>
      <c r="I50" s="394" t="s">
        <v>585</v>
      </c>
      <c r="J50" s="394" t="s">
        <v>585</v>
      </c>
      <c r="K50" s="626"/>
      <c r="L50" s="384" t="s">
        <v>536</v>
      </c>
      <c r="M50" s="628"/>
      <c r="N50" s="394">
        <v>193</v>
      </c>
      <c r="O50" s="394">
        <v>320</v>
      </c>
      <c r="P50" s="394">
        <v>229</v>
      </c>
      <c r="Q50" s="394">
        <v>373</v>
      </c>
      <c r="R50" s="394">
        <v>275</v>
      </c>
      <c r="S50" s="394">
        <v>195</v>
      </c>
      <c r="T50" s="402">
        <v>2078</v>
      </c>
    </row>
    <row r="51" spans="2:20" x14ac:dyDescent="0.2">
      <c r="B51" s="626"/>
      <c r="C51" s="384" t="s">
        <v>612</v>
      </c>
      <c r="D51" s="628"/>
      <c r="E51" s="394" t="s">
        <v>585</v>
      </c>
      <c r="F51" s="394" t="s">
        <v>585</v>
      </c>
      <c r="G51" s="394">
        <v>238</v>
      </c>
      <c r="H51" s="394">
        <v>355</v>
      </c>
      <c r="I51" s="394" t="s">
        <v>585</v>
      </c>
      <c r="J51" s="394">
        <v>187</v>
      </c>
      <c r="K51" s="626"/>
      <c r="L51" s="384" t="s">
        <v>612</v>
      </c>
      <c r="M51" s="628"/>
      <c r="N51" s="394">
        <v>241</v>
      </c>
      <c r="O51" s="394">
        <v>328</v>
      </c>
      <c r="P51" s="394">
        <v>207</v>
      </c>
      <c r="Q51" s="394">
        <v>219</v>
      </c>
      <c r="R51" s="394">
        <v>296</v>
      </c>
      <c r="S51" s="394">
        <v>107</v>
      </c>
      <c r="T51" s="402">
        <v>2178</v>
      </c>
    </row>
    <row r="52" spans="2:20" ht="12.75" thickBot="1" x14ac:dyDescent="0.25">
      <c r="B52" s="626"/>
      <c r="C52" s="180" t="s">
        <v>17</v>
      </c>
      <c r="D52" s="180" t="s">
        <v>262</v>
      </c>
      <c r="E52" s="395" t="s">
        <v>585</v>
      </c>
      <c r="F52" s="395" t="s">
        <v>585</v>
      </c>
      <c r="G52" s="395">
        <v>852</v>
      </c>
      <c r="H52" s="395">
        <v>659</v>
      </c>
      <c r="I52" s="395" t="s">
        <v>585</v>
      </c>
      <c r="J52" s="395">
        <v>320</v>
      </c>
      <c r="K52" s="626"/>
      <c r="L52" s="180" t="s">
        <v>17</v>
      </c>
      <c r="M52" s="180" t="s">
        <v>262</v>
      </c>
      <c r="N52" s="395">
        <v>531</v>
      </c>
      <c r="O52" s="395">
        <v>746</v>
      </c>
      <c r="P52" s="395">
        <v>601</v>
      </c>
      <c r="Q52" s="395">
        <v>819</v>
      </c>
      <c r="R52" s="395">
        <v>861</v>
      </c>
      <c r="S52" s="395">
        <v>581</v>
      </c>
      <c r="T52" s="403">
        <v>5970</v>
      </c>
    </row>
    <row r="53" spans="2:20" ht="12.75" thickBot="1" x14ac:dyDescent="0.25">
      <c r="B53" s="386" t="s">
        <v>485</v>
      </c>
      <c r="C53" s="392" t="s">
        <v>677</v>
      </c>
      <c r="D53" s="392" t="s">
        <v>267</v>
      </c>
      <c r="E53" s="399" t="s">
        <v>585</v>
      </c>
      <c r="F53" s="399" t="s">
        <v>585</v>
      </c>
      <c r="G53" s="399" t="s">
        <v>585</v>
      </c>
      <c r="H53" s="399">
        <v>84</v>
      </c>
      <c r="I53" s="399" t="s">
        <v>585</v>
      </c>
      <c r="J53" s="399" t="s">
        <v>585</v>
      </c>
      <c r="K53" s="392" t="s">
        <v>485</v>
      </c>
      <c r="L53" s="392" t="s">
        <v>677</v>
      </c>
      <c r="M53" s="392" t="s">
        <v>267</v>
      </c>
      <c r="N53" s="399" t="s">
        <v>585</v>
      </c>
      <c r="O53" s="399" t="s">
        <v>585</v>
      </c>
      <c r="P53" s="399" t="s">
        <v>585</v>
      </c>
      <c r="Q53" s="399" t="s">
        <v>585</v>
      </c>
      <c r="R53" s="399" t="s">
        <v>585</v>
      </c>
      <c r="S53" s="399" t="s">
        <v>585</v>
      </c>
      <c r="T53" s="400">
        <v>84</v>
      </c>
    </row>
    <row r="54" spans="2:20" ht="12.75" thickBot="1" x14ac:dyDescent="0.25">
      <c r="B54" s="386" t="s">
        <v>531</v>
      </c>
      <c r="C54" s="392" t="s">
        <v>444</v>
      </c>
      <c r="D54" s="392" t="s">
        <v>267</v>
      </c>
      <c r="E54" s="399" t="s">
        <v>585</v>
      </c>
      <c r="F54" s="399">
        <v>240</v>
      </c>
      <c r="G54" s="399">
        <v>195</v>
      </c>
      <c r="H54" s="399">
        <v>163</v>
      </c>
      <c r="I54" s="399" t="s">
        <v>585</v>
      </c>
      <c r="J54" s="399">
        <v>16</v>
      </c>
      <c r="K54" s="392" t="s">
        <v>531</v>
      </c>
      <c r="L54" s="392" t="s">
        <v>444</v>
      </c>
      <c r="M54" s="392" t="s">
        <v>267</v>
      </c>
      <c r="N54" s="399" t="s">
        <v>585</v>
      </c>
      <c r="O54" s="399">
        <v>16</v>
      </c>
      <c r="P54" s="399">
        <v>504</v>
      </c>
      <c r="Q54" s="399">
        <v>849</v>
      </c>
      <c r="R54" s="399">
        <v>553</v>
      </c>
      <c r="S54" s="399">
        <v>421</v>
      </c>
      <c r="T54" s="400">
        <v>2957</v>
      </c>
    </row>
    <row r="55" spans="2:20" ht="12.75" thickBot="1" x14ac:dyDescent="0.25">
      <c r="B55" s="388" t="s">
        <v>17</v>
      </c>
      <c r="C55" s="393" t="s">
        <v>262</v>
      </c>
      <c r="D55" s="393"/>
      <c r="E55" s="400">
        <v>7589</v>
      </c>
      <c r="F55" s="400">
        <v>8565</v>
      </c>
      <c r="G55" s="400">
        <v>13594</v>
      </c>
      <c r="H55" s="400">
        <v>33640</v>
      </c>
      <c r="I55" s="400">
        <v>58228</v>
      </c>
      <c r="J55" s="400">
        <v>60198</v>
      </c>
      <c r="K55" s="393" t="s">
        <v>17</v>
      </c>
      <c r="L55" s="393" t="s">
        <v>262</v>
      </c>
      <c r="M55" s="393"/>
      <c r="N55" s="400">
        <v>77293</v>
      </c>
      <c r="O55" s="400">
        <v>84888</v>
      </c>
      <c r="P55" s="400">
        <v>75094</v>
      </c>
      <c r="Q55" s="400">
        <v>54225</v>
      </c>
      <c r="R55" s="400">
        <v>34240</v>
      </c>
      <c r="S55" s="400">
        <v>31164</v>
      </c>
      <c r="T55" s="400">
        <v>538718</v>
      </c>
    </row>
    <row r="56" spans="2:20" ht="12.75" thickBot="1" x14ac:dyDescent="0.25">
      <c r="B56" s="386" t="s">
        <v>294</v>
      </c>
      <c r="C56" s="392" t="s">
        <v>0</v>
      </c>
      <c r="D56" s="392" t="s">
        <v>0</v>
      </c>
      <c r="E56" s="401">
        <v>1.4087147635683233</v>
      </c>
      <c r="F56" s="401">
        <v>1.5898856173359717</v>
      </c>
      <c r="G56" s="401">
        <v>2.5233981415137419</v>
      </c>
      <c r="H56" s="401">
        <v>6.2444544269914868</v>
      </c>
      <c r="I56" s="401">
        <v>10.808623435637941</v>
      </c>
      <c r="J56" s="401">
        <v>11.174306408918952</v>
      </c>
      <c r="K56" s="392" t="s">
        <v>294</v>
      </c>
      <c r="L56" s="392" t="s">
        <v>0</v>
      </c>
      <c r="M56" s="392" t="s">
        <v>0</v>
      </c>
      <c r="N56" s="401">
        <v>14.347580737974228</v>
      </c>
      <c r="O56" s="401">
        <v>15.757409256791123</v>
      </c>
      <c r="P56" s="401">
        <v>13.939389439372732</v>
      </c>
      <c r="Q56" s="401">
        <v>10.065563058965916</v>
      </c>
      <c r="R56" s="401">
        <v>6.3558299518486479</v>
      </c>
      <c r="S56" s="401">
        <v>5.7848447610809366</v>
      </c>
      <c r="T56" s="407">
        <v>100</v>
      </c>
    </row>
  </sheetData>
  <mergeCells count="46">
    <mergeCell ref="B33:B38"/>
    <mergeCell ref="D33:D37"/>
    <mergeCell ref="K33:K38"/>
    <mergeCell ref="M33:M37"/>
    <mergeCell ref="B49:B52"/>
    <mergeCell ref="D49:D51"/>
    <mergeCell ref="K49:K52"/>
    <mergeCell ref="M49:M51"/>
    <mergeCell ref="B39:B41"/>
    <mergeCell ref="D39:D40"/>
    <mergeCell ref="K39:K41"/>
    <mergeCell ref="M39:M40"/>
    <mergeCell ref="B43:B46"/>
    <mergeCell ref="D43:D45"/>
    <mergeCell ref="K43:K46"/>
    <mergeCell ref="M43:M45"/>
    <mergeCell ref="B1:J1"/>
    <mergeCell ref="K1:T1"/>
    <mergeCell ref="B25:B29"/>
    <mergeCell ref="D25:D28"/>
    <mergeCell ref="K25:K29"/>
    <mergeCell ref="M25:M28"/>
    <mergeCell ref="B12:B14"/>
    <mergeCell ref="D12:D13"/>
    <mergeCell ref="K12:K14"/>
    <mergeCell ref="M12:M13"/>
    <mergeCell ref="N2:S2"/>
    <mergeCell ref="E2:J2"/>
    <mergeCell ref="D8:D10"/>
    <mergeCell ref="K8:K11"/>
    <mergeCell ref="M8:M10"/>
    <mergeCell ref="B3:D3"/>
    <mergeCell ref="B20:B24"/>
    <mergeCell ref="D20:D23"/>
    <mergeCell ref="K20:K24"/>
    <mergeCell ref="M20:M23"/>
    <mergeCell ref="B16:B18"/>
    <mergeCell ref="D16:D17"/>
    <mergeCell ref="K16:K18"/>
    <mergeCell ref="M16:M17"/>
    <mergeCell ref="K3:M3"/>
    <mergeCell ref="B8:B11"/>
    <mergeCell ref="B4:B7"/>
    <mergeCell ref="D4:D6"/>
    <mergeCell ref="K4:K7"/>
    <mergeCell ref="M4:M6"/>
  </mergeCells>
  <pageMargins left="0.74803149606299213" right="0.74803149606299213" top="0.47244094488188981" bottom="0.47244094488188981" header="0.51181102362204722" footer="0.51181102362204722"/>
  <pageSetup scale="92" orientation="portrait" r:id="rId1"/>
  <headerFooter alignWithMargins="0"/>
  <colBreaks count="1" manualBreakCount="1">
    <brk id="10" max="5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DA113"/>
  <sheetViews>
    <sheetView view="pageBreakPreview" zoomScaleNormal="100" zoomScaleSheetLayoutView="100" workbookViewId="0">
      <selection activeCell="A4" sqref="A4"/>
    </sheetView>
  </sheetViews>
  <sheetFormatPr defaultColWidth="9.140625" defaultRowHeight="12.75" x14ac:dyDescent="0.2"/>
  <cols>
    <col min="1" max="1" width="9.140625" style="99"/>
    <col min="2" max="2" width="26.28515625" customWidth="1"/>
    <col min="3" max="3" width="6.7109375" customWidth="1"/>
    <col min="4" max="4" width="7" customWidth="1"/>
    <col min="5" max="5" width="6.42578125" customWidth="1"/>
    <col min="6" max="7" width="7.5703125" customWidth="1"/>
    <col min="8" max="8" width="8.140625" customWidth="1"/>
    <col min="9" max="9" width="7.28515625" customWidth="1"/>
    <col min="10" max="10" width="7" customWidth="1"/>
    <col min="11" max="11" width="7.85546875" customWidth="1"/>
    <col min="12" max="12" width="7.7109375" customWidth="1"/>
    <col min="13" max="13" width="8.140625" customWidth="1"/>
    <col min="14" max="14" width="9.5703125" customWidth="1"/>
    <col min="15" max="15" width="6.85546875" customWidth="1"/>
    <col min="16" max="16" width="7.85546875" customWidth="1"/>
    <col min="17" max="17" width="8.7109375" customWidth="1"/>
    <col min="18" max="18" width="9.5703125" customWidth="1"/>
    <col min="19" max="19" width="7.42578125" customWidth="1"/>
    <col min="20" max="20" width="10" customWidth="1"/>
    <col min="21" max="21" width="8.7109375" customWidth="1"/>
    <col min="22" max="22" width="8" style="99" customWidth="1"/>
    <col min="23" max="23" width="7.28515625" style="99" customWidth="1"/>
    <col min="24" max="24" width="7.5703125" style="99" customWidth="1"/>
    <col min="25" max="25" width="8.7109375" style="99" customWidth="1"/>
    <col min="26" max="26" width="10.85546875" style="99" customWidth="1"/>
    <col min="27" max="27" width="10.5703125" style="99" customWidth="1"/>
    <col min="28" max="28" width="6.5703125" customWidth="1"/>
    <col min="29" max="29" width="10.140625" customWidth="1"/>
    <col min="30" max="30" width="10.5703125" style="99" customWidth="1"/>
    <col min="31" max="31" width="9.28515625" style="99" customWidth="1"/>
    <col min="32" max="32" width="11.85546875" style="99" customWidth="1"/>
    <col min="33" max="33" width="8.140625" style="99" customWidth="1"/>
    <col min="34" max="34" width="7.28515625" style="99" customWidth="1"/>
    <col min="35" max="35" width="7" style="99" customWidth="1"/>
    <col min="36" max="36" width="9.85546875" style="99" customWidth="1"/>
    <col min="37" max="38" width="7.42578125" style="99" customWidth="1"/>
    <col min="39" max="39" width="8.7109375" style="99" customWidth="1"/>
    <col min="40" max="40" width="7.28515625" style="99" customWidth="1"/>
    <col min="41" max="41" width="9" style="99" customWidth="1"/>
    <col min="42" max="42" width="7.7109375" style="99" customWidth="1"/>
    <col min="43" max="43" width="7.85546875" style="99" customWidth="1"/>
    <col min="44" max="44" width="11.42578125" style="99" customWidth="1"/>
    <col min="45" max="45" width="11.42578125" customWidth="1"/>
    <col min="46" max="46" width="5.7109375" customWidth="1"/>
    <col min="47" max="47" width="9.5703125" customWidth="1"/>
    <col min="48" max="48" width="11.7109375" customWidth="1"/>
    <col min="49" max="49" width="7" customWidth="1"/>
    <col min="50" max="50" width="8.5703125" customWidth="1"/>
    <col min="51" max="51" width="8.28515625" customWidth="1"/>
    <col min="52" max="52" width="6.85546875" customWidth="1"/>
    <col min="53" max="53" width="7.140625" customWidth="1"/>
    <col min="54" max="54" width="7.28515625" customWidth="1"/>
    <col min="55" max="55" width="10.85546875" customWidth="1"/>
    <col min="56" max="56" width="5.28515625" customWidth="1"/>
    <col min="57" max="57" width="5.140625" customWidth="1"/>
    <col min="58" max="58" width="7.7109375" customWidth="1"/>
    <col min="59" max="59" width="12.7109375" customWidth="1"/>
    <col min="60" max="60" width="9" customWidth="1"/>
    <col min="61" max="61" width="11.85546875" customWidth="1"/>
    <col min="62" max="62" width="7.5703125" customWidth="1"/>
    <col min="63" max="63" width="7.28515625" customWidth="1"/>
    <col min="64" max="64" width="7.140625" customWidth="1"/>
    <col min="65" max="65" width="11" customWidth="1"/>
    <col min="66" max="66" width="7.28515625" customWidth="1"/>
    <col min="67" max="67" width="8.5703125" customWidth="1"/>
    <col min="68" max="68" width="9.42578125" customWidth="1"/>
    <col min="69" max="70" width="7.85546875" customWidth="1"/>
    <col min="71" max="71" width="5.85546875" customWidth="1"/>
    <col min="72" max="72" width="7.42578125" customWidth="1"/>
    <col min="73" max="73" width="9.7109375" customWidth="1"/>
    <col min="74" max="74" width="9.85546875" customWidth="1"/>
    <col min="75" max="75" width="9.5703125" customWidth="1"/>
    <col min="76" max="76" width="8.5703125" customWidth="1"/>
    <col min="77" max="77" width="9.42578125" customWidth="1"/>
    <col min="78" max="78" width="6.85546875" customWidth="1"/>
    <col min="79" max="79" width="7.85546875" customWidth="1"/>
    <col min="80" max="80" width="9.7109375" style="269" customWidth="1"/>
    <col min="81" max="81" width="7.85546875" style="269" customWidth="1"/>
    <col min="82" max="82" width="6.140625" style="269" customWidth="1"/>
    <col min="83" max="83" width="5.85546875" style="269" customWidth="1"/>
    <col min="84" max="84" width="7.85546875" style="269" customWidth="1"/>
    <col min="85" max="85" width="7.28515625" style="269" customWidth="1"/>
    <col min="86" max="86" width="9.7109375" style="269" customWidth="1"/>
    <col min="87" max="87" width="8.5703125" style="269" customWidth="1"/>
    <col min="88" max="88" width="8.7109375" style="269" customWidth="1"/>
    <col min="89" max="89" width="7.28515625" style="269" customWidth="1"/>
    <col min="90" max="90" width="8.28515625" style="269" customWidth="1"/>
    <col min="91" max="91" width="7.5703125" style="269" customWidth="1"/>
    <col min="92" max="92" width="9" style="269" customWidth="1"/>
    <col min="93" max="93" width="8.7109375" style="269" customWidth="1"/>
    <col min="94" max="94" width="9" style="269" customWidth="1"/>
    <col min="95" max="95" width="9.7109375" style="269" customWidth="1"/>
    <col min="96" max="96" width="9.140625" style="269" customWidth="1"/>
    <col min="97" max="97" width="6.140625" style="269" customWidth="1"/>
    <col min="98" max="98" width="10.28515625" style="269" customWidth="1"/>
    <col min="99" max="99" width="10.28515625" style="408" customWidth="1"/>
    <col min="100" max="100" width="10.42578125" style="408" bestFit="1" customWidth="1"/>
    <col min="101" max="104" width="8.85546875" style="408" customWidth="1"/>
    <col min="105" max="105" width="8.85546875" style="269" customWidth="1"/>
  </cols>
  <sheetData>
    <row r="1" spans="1:105" ht="30" customHeight="1" thickBot="1" x14ac:dyDescent="0.25">
      <c r="A1" s="207"/>
      <c r="B1" s="604" t="s">
        <v>703</v>
      </c>
      <c r="C1" s="604"/>
      <c r="D1" s="604"/>
      <c r="E1" s="604"/>
      <c r="F1" s="604"/>
      <c r="G1" s="604"/>
      <c r="H1" s="604"/>
      <c r="I1" s="604"/>
      <c r="J1" s="604"/>
      <c r="K1" s="604"/>
      <c r="L1" s="604"/>
      <c r="M1" s="604"/>
      <c r="N1" s="604"/>
      <c r="O1" s="604"/>
      <c r="P1" s="604"/>
      <c r="Q1" s="604"/>
      <c r="R1" s="604"/>
      <c r="S1" s="604"/>
      <c r="T1" s="604"/>
      <c r="U1" s="604"/>
      <c r="V1" s="604"/>
      <c r="W1" s="604"/>
      <c r="X1" s="604" t="s">
        <v>703</v>
      </c>
      <c r="Y1" s="604"/>
      <c r="Z1" s="604"/>
      <c r="AA1" s="604"/>
      <c r="AB1" s="604"/>
      <c r="AC1" s="604"/>
      <c r="AD1" s="604"/>
      <c r="AE1" s="604"/>
      <c r="AF1" s="604"/>
      <c r="AG1" s="604"/>
      <c r="AH1" s="604"/>
      <c r="AI1" s="604"/>
      <c r="AJ1" s="604"/>
      <c r="AK1" s="604"/>
      <c r="AL1" s="604"/>
      <c r="AM1" s="604"/>
      <c r="AN1" s="604"/>
      <c r="AO1" s="604"/>
      <c r="AP1" s="604"/>
      <c r="AQ1" s="604" t="s">
        <v>703</v>
      </c>
      <c r="AR1" s="604"/>
      <c r="AS1" s="604"/>
      <c r="AT1" s="604"/>
      <c r="AU1" s="604"/>
      <c r="AV1" s="604"/>
      <c r="AW1" s="604"/>
      <c r="AX1" s="604"/>
      <c r="AY1" s="604"/>
      <c r="AZ1" s="604"/>
      <c r="BA1" s="604"/>
      <c r="BB1" s="604"/>
      <c r="BC1" s="604"/>
      <c r="BD1" s="604"/>
      <c r="BE1" s="604"/>
      <c r="BF1" s="604"/>
      <c r="BG1" s="604"/>
      <c r="BH1" s="604"/>
      <c r="BI1" s="604"/>
      <c r="BJ1" s="604" t="s">
        <v>703</v>
      </c>
      <c r="BK1" s="604"/>
      <c r="BL1" s="604"/>
      <c r="BM1" s="604"/>
      <c r="BN1" s="604"/>
      <c r="BO1" s="604"/>
      <c r="BP1" s="604"/>
      <c r="BQ1" s="604"/>
      <c r="BR1" s="604"/>
      <c r="BS1" s="604"/>
      <c r="BT1" s="604"/>
      <c r="BU1" s="604"/>
      <c r="BV1" s="604"/>
      <c r="BW1" s="604"/>
      <c r="BX1" s="604"/>
      <c r="BY1" s="604"/>
      <c r="BZ1" s="604"/>
      <c r="CA1" s="604"/>
      <c r="CB1" s="604"/>
      <c r="CC1" s="604"/>
      <c r="CD1" s="604" t="s">
        <v>703</v>
      </c>
      <c r="CE1" s="604"/>
      <c r="CF1" s="604"/>
      <c r="CG1" s="604"/>
      <c r="CH1" s="604"/>
      <c r="CI1" s="604"/>
      <c r="CJ1" s="604"/>
      <c r="CK1" s="604"/>
      <c r="CL1" s="604"/>
      <c r="CM1" s="604"/>
      <c r="CN1" s="604"/>
      <c r="CO1" s="604"/>
      <c r="CP1" s="604"/>
      <c r="CQ1" s="604"/>
      <c r="CR1" s="604"/>
      <c r="CS1" s="604"/>
      <c r="CT1" s="604"/>
      <c r="CU1" s="604"/>
      <c r="CV1" s="604"/>
      <c r="CW1" s="604"/>
      <c r="CX1" s="604"/>
      <c r="CY1" s="453"/>
      <c r="CZ1" s="453"/>
      <c r="DA1" s="274"/>
    </row>
    <row r="2" spans="1:105" ht="16.5" customHeight="1" thickBot="1" x14ac:dyDescent="0.25">
      <c r="A2" s="207"/>
      <c r="B2" s="639" t="s">
        <v>265</v>
      </c>
      <c r="C2" s="637" t="s">
        <v>475</v>
      </c>
      <c r="D2" s="635"/>
      <c r="E2" s="635"/>
      <c r="F2" s="638"/>
      <c r="G2" s="634" t="s">
        <v>480</v>
      </c>
      <c r="H2" s="635"/>
      <c r="I2" s="635"/>
      <c r="J2" s="635"/>
      <c r="K2" s="635"/>
      <c r="L2" s="636"/>
      <c r="M2" s="409" t="s">
        <v>482</v>
      </c>
      <c r="N2" s="634" t="s">
        <v>483</v>
      </c>
      <c r="O2" s="635"/>
      <c r="P2" s="635"/>
      <c r="Q2" s="636"/>
      <c r="R2" s="637" t="s">
        <v>484</v>
      </c>
      <c r="S2" s="635"/>
      <c r="T2" s="635"/>
      <c r="U2" s="638"/>
      <c r="V2" s="413" t="s">
        <v>485</v>
      </c>
      <c r="W2" s="409" t="s">
        <v>487</v>
      </c>
      <c r="X2" s="634" t="s">
        <v>488</v>
      </c>
      <c r="Y2" s="635"/>
      <c r="Z2" s="635"/>
      <c r="AA2" s="635"/>
      <c r="AB2" s="635"/>
      <c r="AC2" s="635"/>
      <c r="AD2" s="636"/>
      <c r="AE2" s="409" t="s">
        <v>497</v>
      </c>
      <c r="AF2" s="634" t="s">
        <v>499</v>
      </c>
      <c r="AG2" s="635"/>
      <c r="AH2" s="635"/>
      <c r="AI2" s="635"/>
      <c r="AJ2" s="635"/>
      <c r="AK2" s="635"/>
      <c r="AL2" s="635"/>
      <c r="AM2" s="635"/>
      <c r="AN2" s="635"/>
      <c r="AO2" s="635"/>
      <c r="AP2" s="636"/>
      <c r="AQ2" s="637" t="s">
        <v>502</v>
      </c>
      <c r="AR2" s="635"/>
      <c r="AS2" s="635"/>
      <c r="AT2" s="635"/>
      <c r="AU2" s="635"/>
      <c r="AV2" s="635"/>
      <c r="AW2" s="635"/>
      <c r="AX2" s="635"/>
      <c r="AY2" s="638"/>
      <c r="AZ2" s="634" t="s">
        <v>503</v>
      </c>
      <c r="BA2" s="635"/>
      <c r="BB2" s="635"/>
      <c r="BC2" s="635"/>
      <c r="BD2" s="635"/>
      <c r="BE2" s="635"/>
      <c r="BF2" s="636"/>
      <c r="BG2" s="409" t="s">
        <v>506</v>
      </c>
      <c r="BH2" s="409" t="s">
        <v>510</v>
      </c>
      <c r="BI2" s="409" t="s">
        <v>508</v>
      </c>
      <c r="BJ2" s="634" t="s">
        <v>515</v>
      </c>
      <c r="BK2" s="635"/>
      <c r="BL2" s="635"/>
      <c r="BM2" s="635"/>
      <c r="BN2" s="635"/>
      <c r="BO2" s="635"/>
      <c r="BP2" s="635"/>
      <c r="BQ2" s="636"/>
      <c r="BR2" s="637" t="s">
        <v>516</v>
      </c>
      <c r="BS2" s="635"/>
      <c r="BT2" s="635"/>
      <c r="BU2" s="635"/>
      <c r="BV2" s="635"/>
      <c r="BW2" s="635"/>
      <c r="BX2" s="635"/>
      <c r="BY2" s="635"/>
      <c r="BZ2" s="635"/>
      <c r="CA2" s="635"/>
      <c r="CB2" s="635"/>
      <c r="CC2" s="638"/>
      <c r="CD2" s="634" t="s">
        <v>519</v>
      </c>
      <c r="CE2" s="635"/>
      <c r="CF2" s="636"/>
      <c r="CG2" s="409" t="s">
        <v>520</v>
      </c>
      <c r="CH2" s="409" t="s">
        <v>521</v>
      </c>
      <c r="CI2" s="634" t="s">
        <v>522</v>
      </c>
      <c r="CJ2" s="635"/>
      <c r="CK2" s="635"/>
      <c r="CL2" s="636"/>
      <c r="CM2" s="409" t="s">
        <v>523</v>
      </c>
      <c r="CN2" s="634" t="s">
        <v>527</v>
      </c>
      <c r="CO2" s="635"/>
      <c r="CP2" s="636"/>
      <c r="CQ2" s="409" t="s">
        <v>528</v>
      </c>
      <c r="CR2" s="409" t="s">
        <v>531</v>
      </c>
      <c r="CS2" s="634" t="s">
        <v>532</v>
      </c>
      <c r="CT2" s="635"/>
      <c r="CU2" s="635"/>
      <c r="CV2" s="636"/>
      <c r="CW2" s="641" t="s">
        <v>534</v>
      </c>
      <c r="CX2" s="643" t="s">
        <v>473</v>
      </c>
      <c r="CY2" s="275"/>
      <c r="CZ2" s="275"/>
      <c r="DA2" s="275"/>
    </row>
    <row r="3" spans="1:105" ht="62.25" customHeight="1" thickBot="1" x14ac:dyDescent="0.25">
      <c r="A3" s="207"/>
      <c r="B3" s="640"/>
      <c r="C3" s="449" t="s">
        <v>594</v>
      </c>
      <c r="D3" s="114" t="s">
        <v>362</v>
      </c>
      <c r="E3" s="114" t="s">
        <v>361</v>
      </c>
      <c r="F3" s="450" t="s">
        <v>447</v>
      </c>
      <c r="G3" s="451" t="s">
        <v>365</v>
      </c>
      <c r="H3" s="114" t="s">
        <v>635</v>
      </c>
      <c r="I3" s="114" t="s">
        <v>366</v>
      </c>
      <c r="J3" s="114" t="s">
        <v>367</v>
      </c>
      <c r="K3" s="114" t="s">
        <v>368</v>
      </c>
      <c r="L3" s="452" t="s">
        <v>448</v>
      </c>
      <c r="M3" s="115" t="s">
        <v>369</v>
      </c>
      <c r="N3" s="451" t="s">
        <v>372</v>
      </c>
      <c r="O3" s="114" t="s">
        <v>373</v>
      </c>
      <c r="P3" s="114" t="s">
        <v>637</v>
      </c>
      <c r="Q3" s="452" t="s">
        <v>451</v>
      </c>
      <c r="R3" s="449" t="s">
        <v>376</v>
      </c>
      <c r="S3" s="114" t="s">
        <v>597</v>
      </c>
      <c r="T3" s="114" t="s">
        <v>375</v>
      </c>
      <c r="U3" s="450" t="s">
        <v>453</v>
      </c>
      <c r="V3" s="112" t="s">
        <v>677</v>
      </c>
      <c r="W3" s="115" t="s">
        <v>378</v>
      </c>
      <c r="X3" s="451" t="s">
        <v>379</v>
      </c>
      <c r="Y3" s="114" t="s">
        <v>382</v>
      </c>
      <c r="Z3" s="114" t="s">
        <v>598</v>
      </c>
      <c r="AA3" s="114" t="s">
        <v>380</v>
      </c>
      <c r="AB3" s="114" t="s">
        <v>381</v>
      </c>
      <c r="AC3" s="114" t="s">
        <v>558</v>
      </c>
      <c r="AD3" s="452" t="s">
        <v>470</v>
      </c>
      <c r="AE3" s="115" t="s">
        <v>646</v>
      </c>
      <c r="AF3" s="451" t="s">
        <v>394</v>
      </c>
      <c r="AG3" s="114" t="s">
        <v>604</v>
      </c>
      <c r="AH3" s="114" t="s">
        <v>607</v>
      </c>
      <c r="AI3" s="114" t="s">
        <v>600</v>
      </c>
      <c r="AJ3" s="114" t="s">
        <v>599</v>
      </c>
      <c r="AK3" s="114" t="s">
        <v>601</v>
      </c>
      <c r="AL3" s="114" t="s">
        <v>602</v>
      </c>
      <c r="AM3" s="114" t="s">
        <v>603</v>
      </c>
      <c r="AN3" s="114" t="s">
        <v>606</v>
      </c>
      <c r="AO3" s="114" t="s">
        <v>605</v>
      </c>
      <c r="AP3" s="452" t="s">
        <v>458</v>
      </c>
      <c r="AQ3" s="449" t="s">
        <v>403</v>
      </c>
      <c r="AR3" s="114" t="s">
        <v>619</v>
      </c>
      <c r="AS3" s="114" t="s">
        <v>405</v>
      </c>
      <c r="AT3" s="114" t="s">
        <v>535</v>
      </c>
      <c r="AU3" s="114" t="s">
        <v>609</v>
      </c>
      <c r="AV3" s="114" t="s">
        <v>399</v>
      </c>
      <c r="AW3" s="114" t="s">
        <v>401</v>
      </c>
      <c r="AX3" s="114" t="s">
        <v>404</v>
      </c>
      <c r="AY3" s="450" t="s">
        <v>471</v>
      </c>
      <c r="AZ3" s="451" t="s">
        <v>407</v>
      </c>
      <c r="BA3" s="114" t="s">
        <v>406</v>
      </c>
      <c r="BB3" s="114" t="s">
        <v>653</v>
      </c>
      <c r="BC3" s="114" t="s">
        <v>409</v>
      </c>
      <c r="BD3" s="114" t="s">
        <v>410</v>
      </c>
      <c r="BE3" s="114" t="s">
        <v>411</v>
      </c>
      <c r="BF3" s="452" t="s">
        <v>472</v>
      </c>
      <c r="BG3" s="115" t="s">
        <v>413</v>
      </c>
      <c r="BH3" s="115" t="s">
        <v>417</v>
      </c>
      <c r="BI3" s="115" t="s">
        <v>610</v>
      </c>
      <c r="BJ3" s="451" t="s">
        <v>649</v>
      </c>
      <c r="BK3" s="114" t="s">
        <v>396</v>
      </c>
      <c r="BL3" s="114" t="s">
        <v>397</v>
      </c>
      <c r="BM3" s="114" t="s">
        <v>398</v>
      </c>
      <c r="BN3" s="114" t="s">
        <v>650</v>
      </c>
      <c r="BO3" s="114" t="s">
        <v>608</v>
      </c>
      <c r="BP3" s="114" t="s">
        <v>651</v>
      </c>
      <c r="BQ3" s="452" t="s">
        <v>461</v>
      </c>
      <c r="BR3" s="449" t="s">
        <v>420</v>
      </c>
      <c r="BS3" s="114" t="s">
        <v>424</v>
      </c>
      <c r="BT3" s="114" t="s">
        <v>427</v>
      </c>
      <c r="BU3" s="114" t="s">
        <v>426</v>
      </c>
      <c r="BV3" s="114" t="s">
        <v>421</v>
      </c>
      <c r="BW3" s="114" t="s">
        <v>428</v>
      </c>
      <c r="BX3" s="114" t="s">
        <v>611</v>
      </c>
      <c r="BY3" s="114" t="s">
        <v>429</v>
      </c>
      <c r="BZ3" s="114" t="s">
        <v>660</v>
      </c>
      <c r="CA3" s="114" t="s">
        <v>425</v>
      </c>
      <c r="CB3" s="114" t="s">
        <v>659</v>
      </c>
      <c r="CC3" s="450" t="s">
        <v>462</v>
      </c>
      <c r="CD3" s="451" t="s">
        <v>431</v>
      </c>
      <c r="CE3" s="114" t="s">
        <v>432</v>
      </c>
      <c r="CF3" s="452" t="s">
        <v>463</v>
      </c>
      <c r="CG3" s="115" t="s">
        <v>663</v>
      </c>
      <c r="CH3" s="115" t="s">
        <v>433</v>
      </c>
      <c r="CI3" s="451" t="s">
        <v>664</v>
      </c>
      <c r="CJ3" s="114" t="s">
        <v>434</v>
      </c>
      <c r="CK3" s="114" t="s">
        <v>362</v>
      </c>
      <c r="CL3" s="452" t="s">
        <v>464</v>
      </c>
      <c r="CM3" s="115" t="s">
        <v>666</v>
      </c>
      <c r="CN3" s="451" t="s">
        <v>670</v>
      </c>
      <c r="CO3" s="114" t="s">
        <v>669</v>
      </c>
      <c r="CP3" s="452" t="s">
        <v>466</v>
      </c>
      <c r="CQ3" s="115" t="s">
        <v>671</v>
      </c>
      <c r="CR3" s="115" t="s">
        <v>444</v>
      </c>
      <c r="CS3" s="451" t="s">
        <v>536</v>
      </c>
      <c r="CT3" s="114" t="s">
        <v>612</v>
      </c>
      <c r="CU3" s="114" t="s">
        <v>676</v>
      </c>
      <c r="CV3" s="452" t="s">
        <v>469</v>
      </c>
      <c r="CW3" s="642"/>
      <c r="CX3" s="644"/>
      <c r="CY3" s="275"/>
      <c r="CZ3" s="275"/>
      <c r="DA3" s="275"/>
    </row>
    <row r="4" spans="1:105" x14ac:dyDescent="0.2">
      <c r="A4" s="211"/>
      <c r="B4" s="304" t="s">
        <v>60</v>
      </c>
      <c r="C4" s="414" t="s">
        <v>585</v>
      </c>
      <c r="D4" s="305" t="s">
        <v>585</v>
      </c>
      <c r="E4" s="305" t="s">
        <v>585</v>
      </c>
      <c r="F4" s="415" t="s">
        <v>585</v>
      </c>
      <c r="G4" s="416">
        <v>1</v>
      </c>
      <c r="H4" s="305" t="s">
        <v>585</v>
      </c>
      <c r="I4" s="305" t="s">
        <v>585</v>
      </c>
      <c r="J4" s="305" t="s">
        <v>585</v>
      </c>
      <c r="K4" s="305" t="s">
        <v>585</v>
      </c>
      <c r="L4" s="417">
        <v>1</v>
      </c>
      <c r="M4" s="307" t="s">
        <v>585</v>
      </c>
      <c r="N4" s="416">
        <v>4</v>
      </c>
      <c r="O4" s="305" t="s">
        <v>585</v>
      </c>
      <c r="P4" s="305" t="s">
        <v>585</v>
      </c>
      <c r="Q4" s="417">
        <v>4</v>
      </c>
      <c r="R4" s="414" t="s">
        <v>585</v>
      </c>
      <c r="S4" s="305" t="s">
        <v>585</v>
      </c>
      <c r="T4" s="305" t="s">
        <v>585</v>
      </c>
      <c r="U4" s="415" t="s">
        <v>585</v>
      </c>
      <c r="V4" s="306" t="s">
        <v>585</v>
      </c>
      <c r="W4" s="307">
        <v>36</v>
      </c>
      <c r="X4" s="416" t="s">
        <v>585</v>
      </c>
      <c r="Y4" s="305" t="s">
        <v>585</v>
      </c>
      <c r="Z4" s="305" t="s">
        <v>585</v>
      </c>
      <c r="AA4" s="305" t="s">
        <v>585</v>
      </c>
      <c r="AB4" s="305" t="s">
        <v>585</v>
      </c>
      <c r="AC4" s="305" t="s">
        <v>585</v>
      </c>
      <c r="AD4" s="417" t="s">
        <v>585</v>
      </c>
      <c r="AE4" s="307" t="s">
        <v>585</v>
      </c>
      <c r="AF4" s="416" t="s">
        <v>585</v>
      </c>
      <c r="AG4" s="305" t="s">
        <v>585</v>
      </c>
      <c r="AH4" s="305" t="s">
        <v>585</v>
      </c>
      <c r="AI4" s="305" t="s">
        <v>585</v>
      </c>
      <c r="AJ4" s="305" t="s">
        <v>585</v>
      </c>
      <c r="AK4" s="305" t="s">
        <v>585</v>
      </c>
      <c r="AL4" s="305" t="s">
        <v>585</v>
      </c>
      <c r="AM4" s="305" t="s">
        <v>585</v>
      </c>
      <c r="AN4" s="305" t="s">
        <v>585</v>
      </c>
      <c r="AO4" s="305" t="s">
        <v>585</v>
      </c>
      <c r="AP4" s="417" t="s">
        <v>585</v>
      </c>
      <c r="AQ4" s="414" t="s">
        <v>585</v>
      </c>
      <c r="AR4" s="305" t="s">
        <v>585</v>
      </c>
      <c r="AS4" s="305" t="s">
        <v>585</v>
      </c>
      <c r="AT4" s="305" t="s">
        <v>585</v>
      </c>
      <c r="AU4" s="305" t="s">
        <v>585</v>
      </c>
      <c r="AV4" s="305" t="s">
        <v>585</v>
      </c>
      <c r="AW4" s="305" t="s">
        <v>585</v>
      </c>
      <c r="AX4" s="305" t="s">
        <v>585</v>
      </c>
      <c r="AY4" s="415" t="s">
        <v>585</v>
      </c>
      <c r="AZ4" s="416" t="s">
        <v>585</v>
      </c>
      <c r="BA4" s="305" t="s">
        <v>585</v>
      </c>
      <c r="BB4" s="305" t="s">
        <v>585</v>
      </c>
      <c r="BC4" s="305" t="s">
        <v>585</v>
      </c>
      <c r="BD4" s="305" t="s">
        <v>585</v>
      </c>
      <c r="BE4" s="305" t="s">
        <v>585</v>
      </c>
      <c r="BF4" s="417" t="s">
        <v>585</v>
      </c>
      <c r="BG4" s="307" t="s">
        <v>585</v>
      </c>
      <c r="BH4" s="307">
        <v>30</v>
      </c>
      <c r="BI4" s="307" t="s">
        <v>585</v>
      </c>
      <c r="BJ4" s="416" t="s">
        <v>585</v>
      </c>
      <c r="BK4" s="305" t="s">
        <v>585</v>
      </c>
      <c r="BL4" s="305">
        <v>1</v>
      </c>
      <c r="BM4" s="305" t="s">
        <v>585</v>
      </c>
      <c r="BN4" s="305" t="s">
        <v>585</v>
      </c>
      <c r="BO4" s="305" t="s">
        <v>585</v>
      </c>
      <c r="BP4" s="305" t="s">
        <v>585</v>
      </c>
      <c r="BQ4" s="417">
        <v>1</v>
      </c>
      <c r="BR4" s="414">
        <v>4</v>
      </c>
      <c r="BS4" s="305" t="s">
        <v>585</v>
      </c>
      <c r="BT4" s="305" t="s">
        <v>585</v>
      </c>
      <c r="BU4" s="305">
        <v>14</v>
      </c>
      <c r="BV4" s="305">
        <v>1</v>
      </c>
      <c r="BW4" s="305" t="s">
        <v>585</v>
      </c>
      <c r="BX4" s="305" t="s">
        <v>585</v>
      </c>
      <c r="BY4" s="305" t="s">
        <v>585</v>
      </c>
      <c r="BZ4" s="305" t="s">
        <v>585</v>
      </c>
      <c r="CA4" s="305" t="s">
        <v>585</v>
      </c>
      <c r="CB4" s="305" t="s">
        <v>585</v>
      </c>
      <c r="CC4" s="415">
        <v>19</v>
      </c>
      <c r="CD4" s="416">
        <v>76</v>
      </c>
      <c r="CE4" s="305" t="s">
        <v>585</v>
      </c>
      <c r="CF4" s="417">
        <v>76</v>
      </c>
      <c r="CG4" s="307" t="s">
        <v>585</v>
      </c>
      <c r="CH4" s="307" t="s">
        <v>585</v>
      </c>
      <c r="CI4" s="416" t="s">
        <v>585</v>
      </c>
      <c r="CJ4" s="305" t="s">
        <v>585</v>
      </c>
      <c r="CK4" s="305" t="s">
        <v>585</v>
      </c>
      <c r="CL4" s="417" t="s">
        <v>585</v>
      </c>
      <c r="CM4" s="307" t="s">
        <v>585</v>
      </c>
      <c r="CN4" s="416">
        <v>788</v>
      </c>
      <c r="CO4" s="305" t="s">
        <v>585</v>
      </c>
      <c r="CP4" s="417">
        <v>788</v>
      </c>
      <c r="CQ4" s="307" t="s">
        <v>585</v>
      </c>
      <c r="CR4" s="307" t="s">
        <v>585</v>
      </c>
      <c r="CS4" s="416" t="s">
        <v>585</v>
      </c>
      <c r="CT4" s="305" t="s">
        <v>585</v>
      </c>
      <c r="CU4" s="305" t="s">
        <v>585</v>
      </c>
      <c r="CV4" s="417" t="s">
        <v>585</v>
      </c>
      <c r="CW4" s="418">
        <v>955</v>
      </c>
      <c r="CX4" s="308">
        <f>955/538718</f>
        <v>1.7727271039764776E-3</v>
      </c>
      <c r="CY4" s="276"/>
      <c r="CZ4" s="276"/>
      <c r="DA4" s="276"/>
    </row>
    <row r="5" spans="1:105" x14ac:dyDescent="0.2">
      <c r="A5" s="211"/>
      <c r="B5" s="410" t="s">
        <v>80</v>
      </c>
      <c r="C5" s="419" t="s">
        <v>585</v>
      </c>
      <c r="D5" s="420" t="s">
        <v>585</v>
      </c>
      <c r="E5" s="420" t="s">
        <v>585</v>
      </c>
      <c r="F5" s="421" t="s">
        <v>585</v>
      </c>
      <c r="G5" s="422">
        <v>3</v>
      </c>
      <c r="H5" s="420" t="s">
        <v>585</v>
      </c>
      <c r="I5" s="420" t="s">
        <v>585</v>
      </c>
      <c r="J5" s="420" t="s">
        <v>585</v>
      </c>
      <c r="K5" s="420" t="s">
        <v>585</v>
      </c>
      <c r="L5" s="423">
        <v>3</v>
      </c>
      <c r="M5" s="424" t="s">
        <v>585</v>
      </c>
      <c r="N5" s="422">
        <v>171</v>
      </c>
      <c r="O5" s="420" t="s">
        <v>585</v>
      </c>
      <c r="P5" s="420" t="s">
        <v>585</v>
      </c>
      <c r="Q5" s="423">
        <v>171</v>
      </c>
      <c r="R5" s="419" t="s">
        <v>585</v>
      </c>
      <c r="S5" s="420" t="s">
        <v>585</v>
      </c>
      <c r="T5" s="420" t="s">
        <v>585</v>
      </c>
      <c r="U5" s="421" t="s">
        <v>585</v>
      </c>
      <c r="V5" s="425" t="s">
        <v>585</v>
      </c>
      <c r="W5" s="424" t="s">
        <v>585</v>
      </c>
      <c r="X5" s="422">
        <v>1</v>
      </c>
      <c r="Y5" s="420" t="s">
        <v>585</v>
      </c>
      <c r="Z5" s="420" t="s">
        <v>585</v>
      </c>
      <c r="AA5" s="420" t="s">
        <v>585</v>
      </c>
      <c r="AB5" s="420" t="s">
        <v>585</v>
      </c>
      <c r="AC5" s="420" t="s">
        <v>585</v>
      </c>
      <c r="AD5" s="423">
        <v>1</v>
      </c>
      <c r="AE5" s="424" t="s">
        <v>585</v>
      </c>
      <c r="AF5" s="422" t="s">
        <v>585</v>
      </c>
      <c r="AG5" s="420" t="s">
        <v>585</v>
      </c>
      <c r="AH5" s="420" t="s">
        <v>585</v>
      </c>
      <c r="AI5" s="420" t="s">
        <v>585</v>
      </c>
      <c r="AJ5" s="420" t="s">
        <v>585</v>
      </c>
      <c r="AK5" s="420" t="s">
        <v>585</v>
      </c>
      <c r="AL5" s="420" t="s">
        <v>585</v>
      </c>
      <c r="AM5" s="420" t="s">
        <v>585</v>
      </c>
      <c r="AN5" s="420" t="s">
        <v>585</v>
      </c>
      <c r="AO5" s="420" t="s">
        <v>585</v>
      </c>
      <c r="AP5" s="423" t="s">
        <v>585</v>
      </c>
      <c r="AQ5" s="419" t="s">
        <v>585</v>
      </c>
      <c r="AR5" s="420">
        <v>1</v>
      </c>
      <c r="AS5" s="420" t="s">
        <v>585</v>
      </c>
      <c r="AT5" s="420" t="s">
        <v>585</v>
      </c>
      <c r="AU5" s="420" t="s">
        <v>585</v>
      </c>
      <c r="AV5" s="420" t="s">
        <v>585</v>
      </c>
      <c r="AW5" s="420" t="s">
        <v>585</v>
      </c>
      <c r="AX5" s="420" t="s">
        <v>585</v>
      </c>
      <c r="AY5" s="421">
        <v>1</v>
      </c>
      <c r="AZ5" s="422" t="s">
        <v>585</v>
      </c>
      <c r="BA5" s="420" t="s">
        <v>585</v>
      </c>
      <c r="BB5" s="420" t="s">
        <v>585</v>
      </c>
      <c r="BC5" s="420" t="s">
        <v>585</v>
      </c>
      <c r="BD5" s="420" t="s">
        <v>585</v>
      </c>
      <c r="BE5" s="420" t="s">
        <v>585</v>
      </c>
      <c r="BF5" s="423" t="s">
        <v>585</v>
      </c>
      <c r="BG5" s="424" t="s">
        <v>585</v>
      </c>
      <c r="BH5" s="424">
        <v>1</v>
      </c>
      <c r="BI5" s="424" t="s">
        <v>585</v>
      </c>
      <c r="BJ5" s="422">
        <v>1</v>
      </c>
      <c r="BK5" s="420" t="s">
        <v>585</v>
      </c>
      <c r="BL5" s="420">
        <v>26</v>
      </c>
      <c r="BM5" s="420" t="s">
        <v>585</v>
      </c>
      <c r="BN5" s="420" t="s">
        <v>585</v>
      </c>
      <c r="BO5" s="420" t="s">
        <v>585</v>
      </c>
      <c r="BP5" s="420" t="s">
        <v>585</v>
      </c>
      <c r="BQ5" s="423">
        <v>27</v>
      </c>
      <c r="BR5" s="419">
        <v>47</v>
      </c>
      <c r="BS5" s="420" t="s">
        <v>585</v>
      </c>
      <c r="BT5" s="420" t="s">
        <v>585</v>
      </c>
      <c r="BU5" s="420">
        <v>57</v>
      </c>
      <c r="BV5" s="420" t="s">
        <v>585</v>
      </c>
      <c r="BW5" s="420" t="s">
        <v>585</v>
      </c>
      <c r="BX5" s="420">
        <v>11</v>
      </c>
      <c r="BY5" s="420" t="s">
        <v>585</v>
      </c>
      <c r="BZ5" s="420" t="s">
        <v>585</v>
      </c>
      <c r="CA5" s="420" t="s">
        <v>585</v>
      </c>
      <c r="CB5" s="420" t="s">
        <v>585</v>
      </c>
      <c r="CC5" s="421">
        <v>115</v>
      </c>
      <c r="CD5" s="422" t="s">
        <v>585</v>
      </c>
      <c r="CE5" s="420" t="s">
        <v>585</v>
      </c>
      <c r="CF5" s="423" t="s">
        <v>585</v>
      </c>
      <c r="CG5" s="424" t="s">
        <v>585</v>
      </c>
      <c r="CH5" s="424" t="s">
        <v>585</v>
      </c>
      <c r="CI5" s="422">
        <v>1</v>
      </c>
      <c r="CJ5" s="420" t="s">
        <v>585</v>
      </c>
      <c r="CK5" s="420" t="s">
        <v>585</v>
      </c>
      <c r="CL5" s="423">
        <v>1</v>
      </c>
      <c r="CM5" s="424" t="s">
        <v>585</v>
      </c>
      <c r="CN5" s="422" t="s">
        <v>585</v>
      </c>
      <c r="CO5" s="420" t="s">
        <v>585</v>
      </c>
      <c r="CP5" s="423" t="s">
        <v>585</v>
      </c>
      <c r="CQ5" s="424" t="s">
        <v>585</v>
      </c>
      <c r="CR5" s="424" t="s">
        <v>585</v>
      </c>
      <c r="CS5" s="422" t="s">
        <v>585</v>
      </c>
      <c r="CT5" s="420" t="s">
        <v>585</v>
      </c>
      <c r="CU5" s="420" t="s">
        <v>585</v>
      </c>
      <c r="CV5" s="423" t="s">
        <v>585</v>
      </c>
      <c r="CW5" s="426">
        <v>320</v>
      </c>
      <c r="CX5" s="427">
        <f>320/538718</f>
        <v>5.9400279923819141E-4</v>
      </c>
      <c r="CY5" s="276"/>
      <c r="CZ5" s="276"/>
      <c r="DA5" s="276"/>
    </row>
    <row r="6" spans="1:105" x14ac:dyDescent="0.2">
      <c r="A6" s="211"/>
      <c r="B6" s="410" t="s">
        <v>100</v>
      </c>
      <c r="C6" s="419" t="s">
        <v>585</v>
      </c>
      <c r="D6" s="420" t="s">
        <v>585</v>
      </c>
      <c r="E6" s="420" t="s">
        <v>585</v>
      </c>
      <c r="F6" s="421" t="s">
        <v>585</v>
      </c>
      <c r="G6" s="422">
        <v>8</v>
      </c>
      <c r="H6" s="420">
        <v>3</v>
      </c>
      <c r="I6" s="420" t="s">
        <v>585</v>
      </c>
      <c r="J6" s="420" t="s">
        <v>585</v>
      </c>
      <c r="K6" s="420" t="s">
        <v>585</v>
      </c>
      <c r="L6" s="423">
        <v>11</v>
      </c>
      <c r="M6" s="424" t="s">
        <v>585</v>
      </c>
      <c r="N6" s="422">
        <v>322</v>
      </c>
      <c r="O6" s="420" t="s">
        <v>585</v>
      </c>
      <c r="P6" s="420" t="s">
        <v>585</v>
      </c>
      <c r="Q6" s="423">
        <v>322</v>
      </c>
      <c r="R6" s="419" t="s">
        <v>585</v>
      </c>
      <c r="S6" s="420" t="s">
        <v>585</v>
      </c>
      <c r="T6" s="420" t="s">
        <v>585</v>
      </c>
      <c r="U6" s="421" t="s">
        <v>585</v>
      </c>
      <c r="V6" s="425" t="s">
        <v>585</v>
      </c>
      <c r="W6" s="424" t="s">
        <v>585</v>
      </c>
      <c r="X6" s="422">
        <v>5</v>
      </c>
      <c r="Y6" s="420" t="s">
        <v>585</v>
      </c>
      <c r="Z6" s="420">
        <v>2</v>
      </c>
      <c r="AA6" s="420" t="s">
        <v>585</v>
      </c>
      <c r="AB6" s="420" t="s">
        <v>585</v>
      </c>
      <c r="AC6" s="420" t="s">
        <v>585</v>
      </c>
      <c r="AD6" s="423">
        <v>7</v>
      </c>
      <c r="AE6" s="424" t="s">
        <v>585</v>
      </c>
      <c r="AF6" s="422">
        <v>2</v>
      </c>
      <c r="AG6" s="420" t="s">
        <v>585</v>
      </c>
      <c r="AH6" s="420" t="s">
        <v>585</v>
      </c>
      <c r="AI6" s="420" t="s">
        <v>585</v>
      </c>
      <c r="AJ6" s="420" t="s">
        <v>585</v>
      </c>
      <c r="AK6" s="420" t="s">
        <v>585</v>
      </c>
      <c r="AL6" s="420" t="s">
        <v>585</v>
      </c>
      <c r="AM6" s="420" t="s">
        <v>585</v>
      </c>
      <c r="AN6" s="420" t="s">
        <v>585</v>
      </c>
      <c r="AO6" s="420" t="s">
        <v>585</v>
      </c>
      <c r="AP6" s="423">
        <v>2</v>
      </c>
      <c r="AQ6" s="419" t="s">
        <v>585</v>
      </c>
      <c r="AR6" s="420">
        <v>19</v>
      </c>
      <c r="AS6" s="420" t="s">
        <v>585</v>
      </c>
      <c r="AT6" s="420" t="s">
        <v>585</v>
      </c>
      <c r="AU6" s="420" t="s">
        <v>585</v>
      </c>
      <c r="AV6" s="420" t="s">
        <v>585</v>
      </c>
      <c r="AW6" s="420" t="s">
        <v>585</v>
      </c>
      <c r="AX6" s="420" t="s">
        <v>585</v>
      </c>
      <c r="AY6" s="421">
        <v>19</v>
      </c>
      <c r="AZ6" s="422" t="s">
        <v>585</v>
      </c>
      <c r="BA6" s="420" t="s">
        <v>585</v>
      </c>
      <c r="BB6" s="420" t="s">
        <v>585</v>
      </c>
      <c r="BC6" s="420" t="s">
        <v>585</v>
      </c>
      <c r="BD6" s="420" t="s">
        <v>585</v>
      </c>
      <c r="BE6" s="420" t="s">
        <v>585</v>
      </c>
      <c r="BF6" s="423" t="s">
        <v>585</v>
      </c>
      <c r="BG6" s="424" t="s">
        <v>585</v>
      </c>
      <c r="BH6" s="424">
        <v>6</v>
      </c>
      <c r="BI6" s="424" t="s">
        <v>585</v>
      </c>
      <c r="BJ6" s="422">
        <v>42</v>
      </c>
      <c r="BK6" s="420" t="s">
        <v>585</v>
      </c>
      <c r="BL6" s="420" t="s">
        <v>585</v>
      </c>
      <c r="BM6" s="420" t="s">
        <v>585</v>
      </c>
      <c r="BN6" s="420" t="s">
        <v>585</v>
      </c>
      <c r="BO6" s="420" t="s">
        <v>585</v>
      </c>
      <c r="BP6" s="420" t="s">
        <v>585</v>
      </c>
      <c r="BQ6" s="423">
        <v>42</v>
      </c>
      <c r="BR6" s="419">
        <v>25</v>
      </c>
      <c r="BS6" s="420" t="s">
        <v>585</v>
      </c>
      <c r="BT6" s="420">
        <v>6</v>
      </c>
      <c r="BU6" s="420">
        <v>54</v>
      </c>
      <c r="BV6" s="420" t="s">
        <v>585</v>
      </c>
      <c r="BW6" s="420" t="s">
        <v>585</v>
      </c>
      <c r="BX6" s="420">
        <v>18</v>
      </c>
      <c r="BY6" s="420" t="s">
        <v>585</v>
      </c>
      <c r="BZ6" s="420" t="s">
        <v>585</v>
      </c>
      <c r="CA6" s="420" t="s">
        <v>585</v>
      </c>
      <c r="CB6" s="420" t="s">
        <v>585</v>
      </c>
      <c r="CC6" s="421">
        <v>103</v>
      </c>
      <c r="CD6" s="422" t="s">
        <v>585</v>
      </c>
      <c r="CE6" s="420" t="s">
        <v>585</v>
      </c>
      <c r="CF6" s="423" t="s">
        <v>585</v>
      </c>
      <c r="CG6" s="424" t="s">
        <v>585</v>
      </c>
      <c r="CH6" s="424" t="s">
        <v>585</v>
      </c>
      <c r="CI6" s="422">
        <v>6</v>
      </c>
      <c r="CJ6" s="420" t="s">
        <v>585</v>
      </c>
      <c r="CK6" s="420" t="s">
        <v>585</v>
      </c>
      <c r="CL6" s="423">
        <v>6</v>
      </c>
      <c r="CM6" s="424" t="s">
        <v>585</v>
      </c>
      <c r="CN6" s="422">
        <v>1</v>
      </c>
      <c r="CO6" s="420" t="s">
        <v>585</v>
      </c>
      <c r="CP6" s="423">
        <v>1</v>
      </c>
      <c r="CQ6" s="424">
        <v>7</v>
      </c>
      <c r="CR6" s="424" t="s">
        <v>585</v>
      </c>
      <c r="CS6" s="422" t="s">
        <v>585</v>
      </c>
      <c r="CT6" s="420" t="s">
        <v>585</v>
      </c>
      <c r="CU6" s="420" t="s">
        <v>585</v>
      </c>
      <c r="CV6" s="423" t="s">
        <v>585</v>
      </c>
      <c r="CW6" s="426">
        <v>526</v>
      </c>
      <c r="CX6" s="427">
        <f>526/538718</f>
        <v>9.7639210124777717E-4</v>
      </c>
      <c r="CY6" s="276"/>
      <c r="CZ6" s="276"/>
      <c r="DA6" s="276"/>
    </row>
    <row r="7" spans="1:105" x14ac:dyDescent="0.2">
      <c r="A7" s="211"/>
      <c r="B7" s="410" t="s">
        <v>149</v>
      </c>
      <c r="C7" s="419" t="s">
        <v>585</v>
      </c>
      <c r="D7" s="420" t="s">
        <v>585</v>
      </c>
      <c r="E7" s="420" t="s">
        <v>585</v>
      </c>
      <c r="F7" s="421" t="s">
        <v>585</v>
      </c>
      <c r="G7" s="422" t="s">
        <v>585</v>
      </c>
      <c r="H7" s="420" t="s">
        <v>585</v>
      </c>
      <c r="I7" s="420" t="s">
        <v>585</v>
      </c>
      <c r="J7" s="420" t="s">
        <v>585</v>
      </c>
      <c r="K7" s="420" t="s">
        <v>585</v>
      </c>
      <c r="L7" s="423" t="s">
        <v>585</v>
      </c>
      <c r="M7" s="424" t="s">
        <v>585</v>
      </c>
      <c r="N7" s="422" t="s">
        <v>585</v>
      </c>
      <c r="O7" s="420" t="s">
        <v>585</v>
      </c>
      <c r="P7" s="420" t="s">
        <v>585</v>
      </c>
      <c r="Q7" s="423" t="s">
        <v>585</v>
      </c>
      <c r="R7" s="419" t="s">
        <v>585</v>
      </c>
      <c r="S7" s="420" t="s">
        <v>585</v>
      </c>
      <c r="T7" s="420" t="s">
        <v>585</v>
      </c>
      <c r="U7" s="421" t="s">
        <v>585</v>
      </c>
      <c r="V7" s="425" t="s">
        <v>585</v>
      </c>
      <c r="W7" s="424" t="s">
        <v>585</v>
      </c>
      <c r="X7" s="422" t="s">
        <v>585</v>
      </c>
      <c r="Y7" s="420" t="s">
        <v>585</v>
      </c>
      <c r="Z7" s="420" t="s">
        <v>585</v>
      </c>
      <c r="AA7" s="420" t="s">
        <v>585</v>
      </c>
      <c r="AB7" s="420" t="s">
        <v>585</v>
      </c>
      <c r="AC7" s="420" t="s">
        <v>585</v>
      </c>
      <c r="AD7" s="423" t="s">
        <v>585</v>
      </c>
      <c r="AE7" s="424" t="s">
        <v>585</v>
      </c>
      <c r="AF7" s="422" t="s">
        <v>585</v>
      </c>
      <c r="AG7" s="420" t="s">
        <v>585</v>
      </c>
      <c r="AH7" s="420" t="s">
        <v>585</v>
      </c>
      <c r="AI7" s="420" t="s">
        <v>585</v>
      </c>
      <c r="AJ7" s="420" t="s">
        <v>585</v>
      </c>
      <c r="AK7" s="420" t="s">
        <v>585</v>
      </c>
      <c r="AL7" s="420" t="s">
        <v>585</v>
      </c>
      <c r="AM7" s="420" t="s">
        <v>585</v>
      </c>
      <c r="AN7" s="420" t="s">
        <v>585</v>
      </c>
      <c r="AO7" s="420" t="s">
        <v>585</v>
      </c>
      <c r="AP7" s="423">
        <v>0</v>
      </c>
      <c r="AQ7" s="419" t="s">
        <v>585</v>
      </c>
      <c r="AR7" s="420" t="s">
        <v>585</v>
      </c>
      <c r="AS7" s="420" t="s">
        <v>585</v>
      </c>
      <c r="AT7" s="420" t="s">
        <v>585</v>
      </c>
      <c r="AU7" s="420" t="s">
        <v>585</v>
      </c>
      <c r="AV7" s="420" t="s">
        <v>585</v>
      </c>
      <c r="AW7" s="420" t="s">
        <v>585</v>
      </c>
      <c r="AX7" s="420" t="s">
        <v>585</v>
      </c>
      <c r="AY7" s="421" t="s">
        <v>585</v>
      </c>
      <c r="AZ7" s="422" t="s">
        <v>585</v>
      </c>
      <c r="BA7" s="420" t="s">
        <v>585</v>
      </c>
      <c r="BB7" s="420" t="s">
        <v>585</v>
      </c>
      <c r="BC7" s="420" t="s">
        <v>585</v>
      </c>
      <c r="BD7" s="420" t="s">
        <v>585</v>
      </c>
      <c r="BE7" s="420" t="s">
        <v>585</v>
      </c>
      <c r="BF7" s="423" t="s">
        <v>585</v>
      </c>
      <c r="BG7" s="424" t="s">
        <v>585</v>
      </c>
      <c r="BH7" s="424">
        <v>1</v>
      </c>
      <c r="BI7" s="424" t="s">
        <v>585</v>
      </c>
      <c r="BJ7" s="422" t="s">
        <v>585</v>
      </c>
      <c r="BK7" s="420" t="s">
        <v>585</v>
      </c>
      <c r="BL7" s="420" t="s">
        <v>585</v>
      </c>
      <c r="BM7" s="420" t="s">
        <v>585</v>
      </c>
      <c r="BN7" s="420" t="s">
        <v>585</v>
      </c>
      <c r="BO7" s="420" t="s">
        <v>585</v>
      </c>
      <c r="BP7" s="420" t="s">
        <v>585</v>
      </c>
      <c r="BQ7" s="423" t="s">
        <v>585</v>
      </c>
      <c r="BR7" s="419">
        <v>1</v>
      </c>
      <c r="BS7" s="420" t="s">
        <v>585</v>
      </c>
      <c r="BT7" s="420" t="s">
        <v>585</v>
      </c>
      <c r="BU7" s="420" t="s">
        <v>585</v>
      </c>
      <c r="BV7" s="420" t="s">
        <v>585</v>
      </c>
      <c r="BW7" s="420" t="s">
        <v>585</v>
      </c>
      <c r="BX7" s="420" t="s">
        <v>585</v>
      </c>
      <c r="BY7" s="420" t="s">
        <v>585</v>
      </c>
      <c r="BZ7" s="420" t="s">
        <v>585</v>
      </c>
      <c r="CA7" s="420" t="s">
        <v>585</v>
      </c>
      <c r="CB7" s="420" t="s">
        <v>585</v>
      </c>
      <c r="CC7" s="421">
        <v>1</v>
      </c>
      <c r="CD7" s="422" t="s">
        <v>585</v>
      </c>
      <c r="CE7" s="420" t="s">
        <v>585</v>
      </c>
      <c r="CF7" s="423" t="s">
        <v>585</v>
      </c>
      <c r="CG7" s="424" t="s">
        <v>585</v>
      </c>
      <c r="CH7" s="424">
        <v>3</v>
      </c>
      <c r="CI7" s="422" t="s">
        <v>585</v>
      </c>
      <c r="CJ7" s="420" t="s">
        <v>585</v>
      </c>
      <c r="CK7" s="420" t="s">
        <v>585</v>
      </c>
      <c r="CL7" s="423" t="s">
        <v>585</v>
      </c>
      <c r="CM7" s="424" t="s">
        <v>585</v>
      </c>
      <c r="CN7" s="422" t="s">
        <v>585</v>
      </c>
      <c r="CO7" s="420" t="s">
        <v>585</v>
      </c>
      <c r="CP7" s="423" t="s">
        <v>585</v>
      </c>
      <c r="CQ7" s="424" t="s">
        <v>585</v>
      </c>
      <c r="CR7" s="424" t="s">
        <v>585</v>
      </c>
      <c r="CS7" s="422" t="s">
        <v>585</v>
      </c>
      <c r="CT7" s="420" t="s">
        <v>585</v>
      </c>
      <c r="CU7" s="420" t="s">
        <v>585</v>
      </c>
      <c r="CV7" s="423" t="s">
        <v>585</v>
      </c>
      <c r="CW7" s="426">
        <v>5</v>
      </c>
      <c r="CX7" s="427">
        <f>5/538718</f>
        <v>9.2812937380967408E-6</v>
      </c>
      <c r="CY7" s="276"/>
      <c r="CZ7" s="276"/>
      <c r="DA7" s="276"/>
    </row>
    <row r="8" spans="1:105" x14ac:dyDescent="0.2">
      <c r="A8" s="211"/>
      <c r="B8" s="410" t="s">
        <v>168</v>
      </c>
      <c r="C8" s="419">
        <v>1</v>
      </c>
      <c r="D8" s="420">
        <v>11</v>
      </c>
      <c r="E8" s="420" t="s">
        <v>585</v>
      </c>
      <c r="F8" s="421">
        <v>12</v>
      </c>
      <c r="G8" s="422">
        <v>112</v>
      </c>
      <c r="H8" s="420">
        <v>551</v>
      </c>
      <c r="I8" s="420" t="s">
        <v>585</v>
      </c>
      <c r="J8" s="420" t="s">
        <v>585</v>
      </c>
      <c r="K8" s="420" t="s">
        <v>585</v>
      </c>
      <c r="L8" s="423">
        <v>663</v>
      </c>
      <c r="M8" s="424" t="s">
        <v>585</v>
      </c>
      <c r="N8" s="422">
        <v>58</v>
      </c>
      <c r="O8" s="420" t="s">
        <v>585</v>
      </c>
      <c r="P8" s="420" t="s">
        <v>585</v>
      </c>
      <c r="Q8" s="423">
        <v>58</v>
      </c>
      <c r="R8" s="419" t="s">
        <v>585</v>
      </c>
      <c r="S8" s="420" t="s">
        <v>585</v>
      </c>
      <c r="T8" s="420" t="s">
        <v>585</v>
      </c>
      <c r="U8" s="421" t="s">
        <v>585</v>
      </c>
      <c r="V8" s="425">
        <v>4</v>
      </c>
      <c r="W8" s="424">
        <v>174</v>
      </c>
      <c r="X8" s="422" t="s">
        <v>585</v>
      </c>
      <c r="Y8" s="420" t="s">
        <v>585</v>
      </c>
      <c r="Z8" s="420" t="s">
        <v>585</v>
      </c>
      <c r="AA8" s="420" t="s">
        <v>585</v>
      </c>
      <c r="AB8" s="420" t="s">
        <v>585</v>
      </c>
      <c r="AC8" s="420" t="s">
        <v>585</v>
      </c>
      <c r="AD8" s="423" t="s">
        <v>585</v>
      </c>
      <c r="AE8" s="424">
        <v>7</v>
      </c>
      <c r="AF8" s="422">
        <v>491</v>
      </c>
      <c r="AG8" s="420" t="s">
        <v>585</v>
      </c>
      <c r="AH8" s="420" t="s">
        <v>585</v>
      </c>
      <c r="AI8" s="420" t="s">
        <v>585</v>
      </c>
      <c r="AJ8" s="420">
        <v>1</v>
      </c>
      <c r="AK8" s="420" t="s">
        <v>585</v>
      </c>
      <c r="AL8" s="420" t="s">
        <v>585</v>
      </c>
      <c r="AM8" s="420">
        <v>169</v>
      </c>
      <c r="AN8" s="420" t="s">
        <v>585</v>
      </c>
      <c r="AO8" s="420" t="s">
        <v>585</v>
      </c>
      <c r="AP8" s="423">
        <v>661</v>
      </c>
      <c r="AQ8" s="419" t="s">
        <v>585</v>
      </c>
      <c r="AR8" s="420" t="s">
        <v>585</v>
      </c>
      <c r="AS8" s="420" t="s">
        <v>585</v>
      </c>
      <c r="AT8" s="420" t="s">
        <v>585</v>
      </c>
      <c r="AU8" s="420" t="s">
        <v>585</v>
      </c>
      <c r="AV8" s="420" t="s">
        <v>585</v>
      </c>
      <c r="AW8" s="420" t="s">
        <v>585</v>
      </c>
      <c r="AX8" s="420" t="s">
        <v>585</v>
      </c>
      <c r="AY8" s="421" t="s">
        <v>585</v>
      </c>
      <c r="AZ8" s="422" t="s">
        <v>585</v>
      </c>
      <c r="BA8" s="420" t="s">
        <v>585</v>
      </c>
      <c r="BB8" s="420" t="s">
        <v>585</v>
      </c>
      <c r="BC8" s="420" t="s">
        <v>585</v>
      </c>
      <c r="BD8" s="420" t="s">
        <v>585</v>
      </c>
      <c r="BE8" s="420" t="s">
        <v>585</v>
      </c>
      <c r="BF8" s="423" t="s">
        <v>585</v>
      </c>
      <c r="BG8" s="424">
        <v>10</v>
      </c>
      <c r="BH8" s="424">
        <v>60</v>
      </c>
      <c r="BI8" s="424" t="s">
        <v>585</v>
      </c>
      <c r="BJ8" s="422">
        <v>1493</v>
      </c>
      <c r="BK8" s="420" t="s">
        <v>585</v>
      </c>
      <c r="BL8" s="420">
        <v>120</v>
      </c>
      <c r="BM8" s="420">
        <v>77</v>
      </c>
      <c r="BN8" s="420" t="s">
        <v>585</v>
      </c>
      <c r="BO8" s="420" t="s">
        <v>585</v>
      </c>
      <c r="BP8" s="420" t="s">
        <v>585</v>
      </c>
      <c r="BQ8" s="423">
        <v>1690</v>
      </c>
      <c r="BR8" s="419">
        <v>5</v>
      </c>
      <c r="BS8" s="420" t="s">
        <v>585</v>
      </c>
      <c r="BT8" s="420" t="s">
        <v>585</v>
      </c>
      <c r="BU8" s="420">
        <v>330</v>
      </c>
      <c r="BV8" s="420" t="s">
        <v>585</v>
      </c>
      <c r="BW8" s="420" t="s">
        <v>585</v>
      </c>
      <c r="BX8" s="420">
        <v>127</v>
      </c>
      <c r="BY8" s="420" t="s">
        <v>585</v>
      </c>
      <c r="BZ8" s="420" t="s">
        <v>585</v>
      </c>
      <c r="CA8" s="420" t="s">
        <v>585</v>
      </c>
      <c r="CB8" s="420" t="s">
        <v>585</v>
      </c>
      <c r="CC8" s="421">
        <v>462</v>
      </c>
      <c r="CD8" s="422">
        <v>18</v>
      </c>
      <c r="CE8" s="420" t="s">
        <v>585</v>
      </c>
      <c r="CF8" s="423">
        <v>18</v>
      </c>
      <c r="CG8" s="424" t="s">
        <v>585</v>
      </c>
      <c r="CH8" s="424">
        <v>6</v>
      </c>
      <c r="CI8" s="422">
        <v>206</v>
      </c>
      <c r="CJ8" s="420">
        <v>21</v>
      </c>
      <c r="CK8" s="420" t="s">
        <v>585</v>
      </c>
      <c r="CL8" s="423">
        <v>227</v>
      </c>
      <c r="CM8" s="424" t="s">
        <v>585</v>
      </c>
      <c r="CN8" s="422">
        <v>169</v>
      </c>
      <c r="CO8" s="420" t="s">
        <v>585</v>
      </c>
      <c r="CP8" s="423">
        <v>169</v>
      </c>
      <c r="CQ8" s="424">
        <v>3</v>
      </c>
      <c r="CR8" s="424">
        <v>91</v>
      </c>
      <c r="CS8" s="422">
        <v>1</v>
      </c>
      <c r="CT8" s="420">
        <v>15</v>
      </c>
      <c r="CU8" s="420">
        <v>9</v>
      </c>
      <c r="CV8" s="423">
        <v>25</v>
      </c>
      <c r="CW8" s="426">
        <v>4340</v>
      </c>
      <c r="CX8" s="427">
        <f>4340/538718</f>
        <v>8.0561629646679709E-3</v>
      </c>
      <c r="CY8" s="276"/>
      <c r="CZ8" s="276"/>
      <c r="DA8" s="276"/>
    </row>
    <row r="9" spans="1:105" x14ac:dyDescent="0.2">
      <c r="A9" s="211"/>
      <c r="B9" s="410" t="s">
        <v>222</v>
      </c>
      <c r="C9" s="419" t="s">
        <v>585</v>
      </c>
      <c r="D9" s="420" t="s">
        <v>585</v>
      </c>
      <c r="E9" s="420" t="s">
        <v>585</v>
      </c>
      <c r="F9" s="421" t="s">
        <v>585</v>
      </c>
      <c r="G9" s="422" t="s">
        <v>585</v>
      </c>
      <c r="H9" s="420" t="s">
        <v>585</v>
      </c>
      <c r="I9" s="420" t="s">
        <v>585</v>
      </c>
      <c r="J9" s="420" t="s">
        <v>585</v>
      </c>
      <c r="K9" s="420" t="s">
        <v>585</v>
      </c>
      <c r="L9" s="423" t="s">
        <v>585</v>
      </c>
      <c r="M9" s="424" t="s">
        <v>585</v>
      </c>
      <c r="N9" s="422" t="s">
        <v>585</v>
      </c>
      <c r="O9" s="420" t="s">
        <v>585</v>
      </c>
      <c r="P9" s="420" t="s">
        <v>585</v>
      </c>
      <c r="Q9" s="423" t="s">
        <v>585</v>
      </c>
      <c r="R9" s="419" t="s">
        <v>585</v>
      </c>
      <c r="S9" s="420" t="s">
        <v>585</v>
      </c>
      <c r="T9" s="420" t="s">
        <v>585</v>
      </c>
      <c r="U9" s="421" t="s">
        <v>585</v>
      </c>
      <c r="V9" s="425" t="s">
        <v>585</v>
      </c>
      <c r="W9" s="424" t="s">
        <v>585</v>
      </c>
      <c r="X9" s="422" t="s">
        <v>585</v>
      </c>
      <c r="Y9" s="420" t="s">
        <v>585</v>
      </c>
      <c r="Z9" s="420" t="s">
        <v>585</v>
      </c>
      <c r="AA9" s="420" t="s">
        <v>585</v>
      </c>
      <c r="AB9" s="420" t="s">
        <v>585</v>
      </c>
      <c r="AC9" s="420" t="s">
        <v>585</v>
      </c>
      <c r="AD9" s="423" t="s">
        <v>585</v>
      </c>
      <c r="AE9" s="424" t="s">
        <v>585</v>
      </c>
      <c r="AF9" s="422">
        <v>1</v>
      </c>
      <c r="AG9" s="420" t="s">
        <v>585</v>
      </c>
      <c r="AH9" s="420" t="s">
        <v>585</v>
      </c>
      <c r="AI9" s="420" t="s">
        <v>585</v>
      </c>
      <c r="AJ9" s="420" t="s">
        <v>585</v>
      </c>
      <c r="AK9" s="420" t="s">
        <v>585</v>
      </c>
      <c r="AL9" s="420" t="s">
        <v>585</v>
      </c>
      <c r="AM9" s="420">
        <v>3</v>
      </c>
      <c r="AN9" s="420" t="s">
        <v>585</v>
      </c>
      <c r="AO9" s="420" t="s">
        <v>585</v>
      </c>
      <c r="AP9" s="423">
        <v>4</v>
      </c>
      <c r="AQ9" s="419" t="s">
        <v>585</v>
      </c>
      <c r="AR9" s="420" t="s">
        <v>585</v>
      </c>
      <c r="AS9" s="420" t="s">
        <v>585</v>
      </c>
      <c r="AT9" s="420" t="s">
        <v>585</v>
      </c>
      <c r="AU9" s="420" t="s">
        <v>585</v>
      </c>
      <c r="AV9" s="420" t="s">
        <v>585</v>
      </c>
      <c r="AW9" s="420" t="s">
        <v>585</v>
      </c>
      <c r="AX9" s="420" t="s">
        <v>585</v>
      </c>
      <c r="AY9" s="421" t="s">
        <v>585</v>
      </c>
      <c r="AZ9" s="422" t="s">
        <v>585</v>
      </c>
      <c r="BA9" s="420" t="s">
        <v>585</v>
      </c>
      <c r="BB9" s="420" t="s">
        <v>585</v>
      </c>
      <c r="BC9" s="420" t="s">
        <v>585</v>
      </c>
      <c r="BD9" s="420" t="s">
        <v>585</v>
      </c>
      <c r="BE9" s="420" t="s">
        <v>585</v>
      </c>
      <c r="BF9" s="423" t="s">
        <v>585</v>
      </c>
      <c r="BG9" s="424" t="s">
        <v>585</v>
      </c>
      <c r="BH9" s="424" t="s">
        <v>585</v>
      </c>
      <c r="BI9" s="424" t="s">
        <v>585</v>
      </c>
      <c r="BJ9" s="422">
        <v>7</v>
      </c>
      <c r="BK9" s="420" t="s">
        <v>585</v>
      </c>
      <c r="BL9" s="420" t="s">
        <v>585</v>
      </c>
      <c r="BM9" s="420" t="s">
        <v>585</v>
      </c>
      <c r="BN9" s="420" t="s">
        <v>585</v>
      </c>
      <c r="BO9" s="420" t="s">
        <v>585</v>
      </c>
      <c r="BP9" s="420" t="s">
        <v>585</v>
      </c>
      <c r="BQ9" s="423">
        <v>7</v>
      </c>
      <c r="BR9" s="419" t="s">
        <v>585</v>
      </c>
      <c r="BS9" s="420" t="s">
        <v>585</v>
      </c>
      <c r="BT9" s="420" t="s">
        <v>585</v>
      </c>
      <c r="BU9" s="420">
        <v>0</v>
      </c>
      <c r="BV9" s="420" t="s">
        <v>585</v>
      </c>
      <c r="BW9" s="420" t="s">
        <v>585</v>
      </c>
      <c r="BX9" s="420" t="s">
        <v>585</v>
      </c>
      <c r="BY9" s="420" t="s">
        <v>585</v>
      </c>
      <c r="BZ9" s="420" t="s">
        <v>585</v>
      </c>
      <c r="CA9" s="420" t="s">
        <v>585</v>
      </c>
      <c r="CB9" s="420" t="s">
        <v>585</v>
      </c>
      <c r="CC9" s="421" t="s">
        <v>585</v>
      </c>
      <c r="CD9" s="422" t="s">
        <v>585</v>
      </c>
      <c r="CE9" s="420" t="s">
        <v>585</v>
      </c>
      <c r="CF9" s="423" t="s">
        <v>585</v>
      </c>
      <c r="CG9" s="424" t="s">
        <v>585</v>
      </c>
      <c r="CH9" s="424" t="s">
        <v>585</v>
      </c>
      <c r="CI9" s="422" t="s">
        <v>585</v>
      </c>
      <c r="CJ9" s="420" t="s">
        <v>585</v>
      </c>
      <c r="CK9" s="420" t="s">
        <v>585</v>
      </c>
      <c r="CL9" s="423" t="s">
        <v>585</v>
      </c>
      <c r="CM9" s="424" t="s">
        <v>585</v>
      </c>
      <c r="CN9" s="422">
        <v>1</v>
      </c>
      <c r="CO9" s="420" t="s">
        <v>585</v>
      </c>
      <c r="CP9" s="423">
        <v>1</v>
      </c>
      <c r="CQ9" s="424" t="s">
        <v>585</v>
      </c>
      <c r="CR9" s="424" t="s">
        <v>585</v>
      </c>
      <c r="CS9" s="422" t="s">
        <v>585</v>
      </c>
      <c r="CT9" s="420" t="s">
        <v>585</v>
      </c>
      <c r="CU9" s="420" t="s">
        <v>585</v>
      </c>
      <c r="CV9" s="423" t="s">
        <v>585</v>
      </c>
      <c r="CW9" s="426">
        <v>12</v>
      </c>
      <c r="CX9" s="427">
        <f>12/538718</f>
        <v>2.2275104971432177E-5</v>
      </c>
      <c r="CY9" s="276"/>
      <c r="CZ9" s="276"/>
      <c r="DA9" s="276"/>
    </row>
    <row r="10" spans="1:105" x14ac:dyDescent="0.2">
      <c r="A10" s="211"/>
      <c r="B10" s="410" t="s">
        <v>238</v>
      </c>
      <c r="C10" s="419" t="s">
        <v>585</v>
      </c>
      <c r="D10" s="420" t="s">
        <v>585</v>
      </c>
      <c r="E10" s="420" t="s">
        <v>585</v>
      </c>
      <c r="F10" s="421" t="s">
        <v>585</v>
      </c>
      <c r="G10" s="422">
        <v>2</v>
      </c>
      <c r="H10" s="420" t="s">
        <v>585</v>
      </c>
      <c r="I10" s="420" t="s">
        <v>585</v>
      </c>
      <c r="J10" s="420" t="s">
        <v>585</v>
      </c>
      <c r="K10" s="420" t="s">
        <v>585</v>
      </c>
      <c r="L10" s="423">
        <v>2</v>
      </c>
      <c r="M10" s="424" t="s">
        <v>585</v>
      </c>
      <c r="N10" s="422">
        <v>21</v>
      </c>
      <c r="O10" s="420" t="s">
        <v>585</v>
      </c>
      <c r="P10" s="420" t="s">
        <v>585</v>
      </c>
      <c r="Q10" s="423">
        <v>21</v>
      </c>
      <c r="R10" s="419" t="s">
        <v>585</v>
      </c>
      <c r="S10" s="420" t="s">
        <v>585</v>
      </c>
      <c r="T10" s="420" t="s">
        <v>585</v>
      </c>
      <c r="U10" s="421" t="s">
        <v>585</v>
      </c>
      <c r="V10" s="425" t="s">
        <v>585</v>
      </c>
      <c r="W10" s="424" t="s">
        <v>585</v>
      </c>
      <c r="X10" s="422" t="s">
        <v>585</v>
      </c>
      <c r="Y10" s="420" t="s">
        <v>585</v>
      </c>
      <c r="Z10" s="420" t="s">
        <v>585</v>
      </c>
      <c r="AA10" s="420" t="s">
        <v>585</v>
      </c>
      <c r="AB10" s="420" t="s">
        <v>585</v>
      </c>
      <c r="AC10" s="420" t="s">
        <v>585</v>
      </c>
      <c r="AD10" s="423" t="s">
        <v>585</v>
      </c>
      <c r="AE10" s="424" t="s">
        <v>585</v>
      </c>
      <c r="AF10" s="422">
        <v>1</v>
      </c>
      <c r="AG10" s="420" t="s">
        <v>585</v>
      </c>
      <c r="AH10" s="420" t="s">
        <v>585</v>
      </c>
      <c r="AI10" s="420" t="s">
        <v>585</v>
      </c>
      <c r="AJ10" s="420" t="s">
        <v>585</v>
      </c>
      <c r="AK10" s="420" t="s">
        <v>585</v>
      </c>
      <c r="AL10" s="420" t="s">
        <v>585</v>
      </c>
      <c r="AM10" s="420" t="s">
        <v>585</v>
      </c>
      <c r="AN10" s="420" t="s">
        <v>585</v>
      </c>
      <c r="AO10" s="420" t="s">
        <v>585</v>
      </c>
      <c r="AP10" s="423">
        <v>1</v>
      </c>
      <c r="AQ10" s="419" t="s">
        <v>585</v>
      </c>
      <c r="AR10" s="420" t="s">
        <v>585</v>
      </c>
      <c r="AS10" s="420" t="s">
        <v>585</v>
      </c>
      <c r="AT10" s="420" t="s">
        <v>585</v>
      </c>
      <c r="AU10" s="420" t="s">
        <v>585</v>
      </c>
      <c r="AV10" s="420" t="s">
        <v>585</v>
      </c>
      <c r="AW10" s="420" t="s">
        <v>585</v>
      </c>
      <c r="AX10" s="420" t="s">
        <v>585</v>
      </c>
      <c r="AY10" s="421" t="s">
        <v>585</v>
      </c>
      <c r="AZ10" s="422" t="s">
        <v>585</v>
      </c>
      <c r="BA10" s="420" t="s">
        <v>585</v>
      </c>
      <c r="BB10" s="420" t="s">
        <v>585</v>
      </c>
      <c r="BC10" s="420" t="s">
        <v>585</v>
      </c>
      <c r="BD10" s="420" t="s">
        <v>585</v>
      </c>
      <c r="BE10" s="420" t="s">
        <v>585</v>
      </c>
      <c r="BF10" s="423" t="s">
        <v>585</v>
      </c>
      <c r="BG10" s="424" t="s">
        <v>585</v>
      </c>
      <c r="BH10" s="424">
        <v>43</v>
      </c>
      <c r="BI10" s="424" t="s">
        <v>585</v>
      </c>
      <c r="BJ10" s="422" t="s">
        <v>585</v>
      </c>
      <c r="BK10" s="420" t="s">
        <v>585</v>
      </c>
      <c r="BL10" s="420" t="s">
        <v>585</v>
      </c>
      <c r="BM10" s="420" t="s">
        <v>585</v>
      </c>
      <c r="BN10" s="420" t="s">
        <v>585</v>
      </c>
      <c r="BO10" s="420" t="s">
        <v>585</v>
      </c>
      <c r="BP10" s="420" t="s">
        <v>585</v>
      </c>
      <c r="BQ10" s="423" t="s">
        <v>585</v>
      </c>
      <c r="BR10" s="419">
        <v>22</v>
      </c>
      <c r="BS10" s="420" t="s">
        <v>585</v>
      </c>
      <c r="BT10" s="420" t="s">
        <v>585</v>
      </c>
      <c r="BU10" s="420">
        <v>168</v>
      </c>
      <c r="BV10" s="420" t="s">
        <v>585</v>
      </c>
      <c r="BW10" s="420" t="s">
        <v>585</v>
      </c>
      <c r="BX10" s="420">
        <v>37</v>
      </c>
      <c r="BY10" s="420" t="s">
        <v>585</v>
      </c>
      <c r="BZ10" s="420" t="s">
        <v>585</v>
      </c>
      <c r="CA10" s="420" t="s">
        <v>585</v>
      </c>
      <c r="CB10" s="420" t="s">
        <v>585</v>
      </c>
      <c r="CC10" s="421">
        <v>227</v>
      </c>
      <c r="CD10" s="422" t="s">
        <v>585</v>
      </c>
      <c r="CE10" s="420" t="s">
        <v>585</v>
      </c>
      <c r="CF10" s="423" t="s">
        <v>585</v>
      </c>
      <c r="CG10" s="424" t="s">
        <v>585</v>
      </c>
      <c r="CH10" s="424" t="s">
        <v>585</v>
      </c>
      <c r="CI10" s="422" t="s">
        <v>585</v>
      </c>
      <c r="CJ10" s="420" t="s">
        <v>585</v>
      </c>
      <c r="CK10" s="420" t="s">
        <v>585</v>
      </c>
      <c r="CL10" s="423" t="s">
        <v>585</v>
      </c>
      <c r="CM10" s="424" t="s">
        <v>585</v>
      </c>
      <c r="CN10" s="422" t="s">
        <v>585</v>
      </c>
      <c r="CO10" s="420" t="s">
        <v>585</v>
      </c>
      <c r="CP10" s="423" t="s">
        <v>585</v>
      </c>
      <c r="CQ10" s="424" t="s">
        <v>585</v>
      </c>
      <c r="CR10" s="424">
        <v>53</v>
      </c>
      <c r="CS10" s="422" t="s">
        <v>585</v>
      </c>
      <c r="CT10" s="420" t="s">
        <v>585</v>
      </c>
      <c r="CU10" s="420" t="s">
        <v>585</v>
      </c>
      <c r="CV10" s="423" t="s">
        <v>585</v>
      </c>
      <c r="CW10" s="426">
        <v>347</v>
      </c>
      <c r="CX10" s="427">
        <f>347/538718</f>
        <v>6.4412178542391384E-4</v>
      </c>
      <c r="CY10" s="276"/>
      <c r="CZ10" s="276"/>
      <c r="DA10" s="276"/>
    </row>
    <row r="11" spans="1:105" ht="13.5" thickBot="1" x14ac:dyDescent="0.25">
      <c r="A11" s="211"/>
      <c r="B11" s="411" t="s">
        <v>685</v>
      </c>
      <c r="C11" s="428" t="s">
        <v>585</v>
      </c>
      <c r="D11" s="429">
        <v>1</v>
      </c>
      <c r="E11" s="429">
        <v>3</v>
      </c>
      <c r="F11" s="430">
        <v>4</v>
      </c>
      <c r="G11" s="431">
        <v>34</v>
      </c>
      <c r="H11" s="429">
        <v>8</v>
      </c>
      <c r="I11" s="429" t="s">
        <v>585</v>
      </c>
      <c r="J11" s="429" t="s">
        <v>585</v>
      </c>
      <c r="K11" s="429" t="s">
        <v>585</v>
      </c>
      <c r="L11" s="432">
        <v>42</v>
      </c>
      <c r="M11" s="433" t="s">
        <v>585</v>
      </c>
      <c r="N11" s="431">
        <v>243</v>
      </c>
      <c r="O11" s="429" t="s">
        <v>585</v>
      </c>
      <c r="P11" s="429" t="s">
        <v>585</v>
      </c>
      <c r="Q11" s="432">
        <v>243</v>
      </c>
      <c r="R11" s="428" t="s">
        <v>585</v>
      </c>
      <c r="S11" s="429" t="s">
        <v>585</v>
      </c>
      <c r="T11" s="429" t="s">
        <v>585</v>
      </c>
      <c r="U11" s="430" t="s">
        <v>585</v>
      </c>
      <c r="V11" s="434" t="s">
        <v>585</v>
      </c>
      <c r="W11" s="433">
        <v>34</v>
      </c>
      <c r="X11" s="431" t="s">
        <v>585</v>
      </c>
      <c r="Y11" s="429" t="s">
        <v>585</v>
      </c>
      <c r="Z11" s="429" t="s">
        <v>585</v>
      </c>
      <c r="AA11" s="429" t="s">
        <v>585</v>
      </c>
      <c r="AB11" s="429" t="s">
        <v>585</v>
      </c>
      <c r="AC11" s="429" t="s">
        <v>585</v>
      </c>
      <c r="AD11" s="432" t="s">
        <v>585</v>
      </c>
      <c r="AE11" s="433" t="s">
        <v>585</v>
      </c>
      <c r="AF11" s="431">
        <v>120</v>
      </c>
      <c r="AG11" s="429" t="s">
        <v>585</v>
      </c>
      <c r="AH11" s="429" t="s">
        <v>585</v>
      </c>
      <c r="AI11" s="429" t="s">
        <v>585</v>
      </c>
      <c r="AJ11" s="429" t="s">
        <v>585</v>
      </c>
      <c r="AK11" s="429" t="s">
        <v>585</v>
      </c>
      <c r="AL11" s="429" t="s">
        <v>585</v>
      </c>
      <c r="AM11" s="429">
        <v>47</v>
      </c>
      <c r="AN11" s="429" t="s">
        <v>585</v>
      </c>
      <c r="AO11" s="429" t="s">
        <v>585</v>
      </c>
      <c r="AP11" s="432">
        <v>167</v>
      </c>
      <c r="AQ11" s="428" t="s">
        <v>585</v>
      </c>
      <c r="AR11" s="429" t="s">
        <v>585</v>
      </c>
      <c r="AS11" s="429" t="s">
        <v>585</v>
      </c>
      <c r="AT11" s="429" t="s">
        <v>585</v>
      </c>
      <c r="AU11" s="429" t="s">
        <v>585</v>
      </c>
      <c r="AV11" s="429" t="s">
        <v>585</v>
      </c>
      <c r="AW11" s="429" t="s">
        <v>585</v>
      </c>
      <c r="AX11" s="429" t="s">
        <v>585</v>
      </c>
      <c r="AY11" s="430" t="s">
        <v>585</v>
      </c>
      <c r="AZ11" s="431" t="s">
        <v>585</v>
      </c>
      <c r="BA11" s="429" t="s">
        <v>585</v>
      </c>
      <c r="BB11" s="429" t="s">
        <v>585</v>
      </c>
      <c r="BC11" s="429" t="s">
        <v>585</v>
      </c>
      <c r="BD11" s="429" t="s">
        <v>585</v>
      </c>
      <c r="BE11" s="429" t="s">
        <v>585</v>
      </c>
      <c r="BF11" s="432" t="s">
        <v>585</v>
      </c>
      <c r="BG11" s="433" t="s">
        <v>585</v>
      </c>
      <c r="BH11" s="433">
        <v>54</v>
      </c>
      <c r="BI11" s="433" t="s">
        <v>585</v>
      </c>
      <c r="BJ11" s="431">
        <v>144</v>
      </c>
      <c r="BK11" s="429" t="s">
        <v>585</v>
      </c>
      <c r="BL11" s="429">
        <v>22</v>
      </c>
      <c r="BM11" s="429">
        <v>3</v>
      </c>
      <c r="BN11" s="429">
        <v>1</v>
      </c>
      <c r="BO11" s="429" t="s">
        <v>585</v>
      </c>
      <c r="BP11" s="429" t="s">
        <v>585</v>
      </c>
      <c r="BQ11" s="432">
        <v>170</v>
      </c>
      <c r="BR11" s="428">
        <v>114</v>
      </c>
      <c r="BS11" s="429" t="s">
        <v>585</v>
      </c>
      <c r="BT11" s="429" t="s">
        <v>585</v>
      </c>
      <c r="BU11" s="429">
        <v>661</v>
      </c>
      <c r="BV11" s="429">
        <v>83</v>
      </c>
      <c r="BW11" s="429" t="s">
        <v>585</v>
      </c>
      <c r="BX11" s="429">
        <v>455</v>
      </c>
      <c r="BY11" s="429" t="s">
        <v>585</v>
      </c>
      <c r="BZ11" s="429" t="s">
        <v>585</v>
      </c>
      <c r="CA11" s="429" t="s">
        <v>585</v>
      </c>
      <c r="CB11" s="429" t="s">
        <v>585</v>
      </c>
      <c r="CC11" s="430">
        <v>1313</v>
      </c>
      <c r="CD11" s="431">
        <v>8</v>
      </c>
      <c r="CE11" s="429" t="s">
        <v>585</v>
      </c>
      <c r="CF11" s="432">
        <v>8</v>
      </c>
      <c r="CG11" s="433" t="s">
        <v>585</v>
      </c>
      <c r="CH11" s="433">
        <v>5</v>
      </c>
      <c r="CI11" s="431">
        <v>22</v>
      </c>
      <c r="CJ11" s="429">
        <v>28</v>
      </c>
      <c r="CK11" s="429" t="s">
        <v>585</v>
      </c>
      <c r="CL11" s="432">
        <v>50</v>
      </c>
      <c r="CM11" s="433" t="s">
        <v>585</v>
      </c>
      <c r="CN11" s="431">
        <v>53</v>
      </c>
      <c r="CO11" s="429" t="s">
        <v>585</v>
      </c>
      <c r="CP11" s="432">
        <v>53</v>
      </c>
      <c r="CQ11" s="433">
        <v>12</v>
      </c>
      <c r="CR11" s="433">
        <v>24</v>
      </c>
      <c r="CS11" s="431" t="s">
        <v>585</v>
      </c>
      <c r="CT11" s="429">
        <v>1</v>
      </c>
      <c r="CU11" s="429">
        <v>1</v>
      </c>
      <c r="CV11" s="432">
        <v>2</v>
      </c>
      <c r="CW11" s="435">
        <v>2181</v>
      </c>
      <c r="CX11" s="436">
        <f>2181/538718</f>
        <v>4.0485003285577982E-3</v>
      </c>
      <c r="CY11" s="276"/>
      <c r="CZ11" s="276"/>
      <c r="DA11" s="276"/>
    </row>
    <row r="12" spans="1:105" s="101" customFormat="1" ht="13.5" thickBot="1" x14ac:dyDescent="0.25">
      <c r="A12" s="208"/>
      <c r="B12" s="113" t="s">
        <v>686</v>
      </c>
      <c r="C12" s="437">
        <v>1</v>
      </c>
      <c r="D12" s="212">
        <v>12</v>
      </c>
      <c r="E12" s="212">
        <v>3</v>
      </c>
      <c r="F12" s="438">
        <v>16</v>
      </c>
      <c r="G12" s="439">
        <v>160</v>
      </c>
      <c r="H12" s="212">
        <v>562</v>
      </c>
      <c r="I12" s="212" t="s">
        <v>585</v>
      </c>
      <c r="J12" s="212" t="s">
        <v>585</v>
      </c>
      <c r="K12" s="212" t="s">
        <v>585</v>
      </c>
      <c r="L12" s="440">
        <v>722</v>
      </c>
      <c r="M12" s="209" t="s">
        <v>585</v>
      </c>
      <c r="N12" s="439">
        <v>819</v>
      </c>
      <c r="O12" s="212" t="s">
        <v>585</v>
      </c>
      <c r="P12" s="212" t="s">
        <v>585</v>
      </c>
      <c r="Q12" s="440">
        <v>819</v>
      </c>
      <c r="R12" s="437" t="s">
        <v>585</v>
      </c>
      <c r="S12" s="212" t="s">
        <v>585</v>
      </c>
      <c r="T12" s="212" t="s">
        <v>585</v>
      </c>
      <c r="U12" s="438" t="s">
        <v>585</v>
      </c>
      <c r="V12" s="213">
        <v>4</v>
      </c>
      <c r="W12" s="209">
        <v>244</v>
      </c>
      <c r="X12" s="439">
        <v>6</v>
      </c>
      <c r="Y12" s="212" t="s">
        <v>585</v>
      </c>
      <c r="Z12" s="212">
        <v>2</v>
      </c>
      <c r="AA12" s="212" t="s">
        <v>585</v>
      </c>
      <c r="AB12" s="212" t="s">
        <v>585</v>
      </c>
      <c r="AC12" s="212" t="s">
        <v>585</v>
      </c>
      <c r="AD12" s="440">
        <v>8</v>
      </c>
      <c r="AE12" s="209">
        <v>7</v>
      </c>
      <c r="AF12" s="439">
        <v>615</v>
      </c>
      <c r="AG12" s="212" t="s">
        <v>585</v>
      </c>
      <c r="AH12" s="212" t="s">
        <v>585</v>
      </c>
      <c r="AI12" s="212" t="s">
        <v>585</v>
      </c>
      <c r="AJ12" s="212">
        <v>1</v>
      </c>
      <c r="AK12" s="212" t="s">
        <v>585</v>
      </c>
      <c r="AL12" s="212" t="s">
        <v>585</v>
      </c>
      <c r="AM12" s="212">
        <v>219</v>
      </c>
      <c r="AN12" s="212" t="s">
        <v>585</v>
      </c>
      <c r="AO12" s="212" t="s">
        <v>585</v>
      </c>
      <c r="AP12" s="440">
        <v>835</v>
      </c>
      <c r="AQ12" s="437" t="s">
        <v>585</v>
      </c>
      <c r="AR12" s="212">
        <v>20</v>
      </c>
      <c r="AS12" s="212" t="s">
        <v>585</v>
      </c>
      <c r="AT12" s="212" t="s">
        <v>585</v>
      </c>
      <c r="AU12" s="212" t="s">
        <v>585</v>
      </c>
      <c r="AV12" s="212" t="s">
        <v>585</v>
      </c>
      <c r="AW12" s="212" t="s">
        <v>585</v>
      </c>
      <c r="AX12" s="212" t="s">
        <v>585</v>
      </c>
      <c r="AY12" s="438">
        <v>20</v>
      </c>
      <c r="AZ12" s="439" t="s">
        <v>585</v>
      </c>
      <c r="BA12" s="212" t="s">
        <v>585</v>
      </c>
      <c r="BB12" s="212" t="s">
        <v>585</v>
      </c>
      <c r="BC12" s="212" t="s">
        <v>585</v>
      </c>
      <c r="BD12" s="212" t="s">
        <v>585</v>
      </c>
      <c r="BE12" s="212" t="s">
        <v>585</v>
      </c>
      <c r="BF12" s="440" t="s">
        <v>585</v>
      </c>
      <c r="BG12" s="209">
        <v>10</v>
      </c>
      <c r="BH12" s="209">
        <v>195</v>
      </c>
      <c r="BI12" s="209" t="s">
        <v>585</v>
      </c>
      <c r="BJ12" s="439">
        <v>1687</v>
      </c>
      <c r="BK12" s="212" t="s">
        <v>585</v>
      </c>
      <c r="BL12" s="212">
        <v>169</v>
      </c>
      <c r="BM12" s="212">
        <v>80</v>
      </c>
      <c r="BN12" s="212">
        <v>1</v>
      </c>
      <c r="BO12" s="212" t="s">
        <v>585</v>
      </c>
      <c r="BP12" s="212" t="s">
        <v>585</v>
      </c>
      <c r="BQ12" s="440">
        <v>1937</v>
      </c>
      <c r="BR12" s="437">
        <v>218</v>
      </c>
      <c r="BS12" s="212" t="s">
        <v>585</v>
      </c>
      <c r="BT12" s="212">
        <v>6</v>
      </c>
      <c r="BU12" s="212">
        <v>1284</v>
      </c>
      <c r="BV12" s="212">
        <v>84</v>
      </c>
      <c r="BW12" s="212" t="s">
        <v>585</v>
      </c>
      <c r="BX12" s="212">
        <v>648</v>
      </c>
      <c r="BY12" s="212" t="s">
        <v>585</v>
      </c>
      <c r="BZ12" s="212" t="s">
        <v>585</v>
      </c>
      <c r="CA12" s="212" t="s">
        <v>585</v>
      </c>
      <c r="CB12" s="212" t="s">
        <v>585</v>
      </c>
      <c r="CC12" s="438">
        <v>2240</v>
      </c>
      <c r="CD12" s="439">
        <v>102</v>
      </c>
      <c r="CE12" s="212" t="s">
        <v>585</v>
      </c>
      <c r="CF12" s="440">
        <v>102</v>
      </c>
      <c r="CG12" s="209" t="s">
        <v>585</v>
      </c>
      <c r="CH12" s="209">
        <v>14</v>
      </c>
      <c r="CI12" s="439">
        <v>235</v>
      </c>
      <c r="CJ12" s="212">
        <v>49</v>
      </c>
      <c r="CK12" s="212" t="s">
        <v>585</v>
      </c>
      <c r="CL12" s="440">
        <v>284</v>
      </c>
      <c r="CM12" s="209" t="s">
        <v>585</v>
      </c>
      <c r="CN12" s="439">
        <v>1012</v>
      </c>
      <c r="CO12" s="212" t="s">
        <v>585</v>
      </c>
      <c r="CP12" s="440">
        <v>1012</v>
      </c>
      <c r="CQ12" s="209">
        <v>22</v>
      </c>
      <c r="CR12" s="209">
        <v>168</v>
      </c>
      <c r="CS12" s="439">
        <v>1</v>
      </c>
      <c r="CT12" s="212">
        <v>16</v>
      </c>
      <c r="CU12" s="212">
        <v>10</v>
      </c>
      <c r="CV12" s="440">
        <v>27</v>
      </c>
      <c r="CW12" s="210">
        <v>8686</v>
      </c>
      <c r="CX12" s="270">
        <f>8686/538718</f>
        <v>1.6123463481821657E-2</v>
      </c>
      <c r="CY12" s="277"/>
      <c r="CZ12" s="277"/>
      <c r="DA12" s="277"/>
    </row>
    <row r="13" spans="1:105" x14ac:dyDescent="0.2">
      <c r="A13" s="211"/>
      <c r="B13" s="304" t="s">
        <v>28</v>
      </c>
      <c r="C13" s="414" t="s">
        <v>585</v>
      </c>
      <c r="D13" s="305" t="s">
        <v>585</v>
      </c>
      <c r="E13" s="305" t="s">
        <v>585</v>
      </c>
      <c r="F13" s="415" t="s">
        <v>585</v>
      </c>
      <c r="G13" s="416">
        <v>2</v>
      </c>
      <c r="H13" s="305">
        <v>1</v>
      </c>
      <c r="I13" s="305">
        <v>3</v>
      </c>
      <c r="J13" s="305" t="s">
        <v>585</v>
      </c>
      <c r="K13" s="305" t="s">
        <v>585</v>
      </c>
      <c r="L13" s="417">
        <v>6</v>
      </c>
      <c r="M13" s="307" t="s">
        <v>585</v>
      </c>
      <c r="N13" s="416">
        <v>2086</v>
      </c>
      <c r="O13" s="305" t="s">
        <v>585</v>
      </c>
      <c r="P13" s="305" t="s">
        <v>585</v>
      </c>
      <c r="Q13" s="417">
        <v>2086</v>
      </c>
      <c r="R13" s="414" t="s">
        <v>585</v>
      </c>
      <c r="S13" s="305" t="s">
        <v>585</v>
      </c>
      <c r="T13" s="305" t="s">
        <v>585</v>
      </c>
      <c r="U13" s="415" t="s">
        <v>585</v>
      </c>
      <c r="V13" s="306" t="s">
        <v>585</v>
      </c>
      <c r="W13" s="307" t="s">
        <v>585</v>
      </c>
      <c r="X13" s="416">
        <v>26</v>
      </c>
      <c r="Y13" s="305" t="s">
        <v>585</v>
      </c>
      <c r="Z13" s="305" t="s">
        <v>585</v>
      </c>
      <c r="AA13" s="305" t="s">
        <v>585</v>
      </c>
      <c r="AB13" s="305" t="s">
        <v>585</v>
      </c>
      <c r="AC13" s="305" t="s">
        <v>585</v>
      </c>
      <c r="AD13" s="417">
        <v>26</v>
      </c>
      <c r="AE13" s="307" t="s">
        <v>585</v>
      </c>
      <c r="AF13" s="416">
        <v>15</v>
      </c>
      <c r="AG13" s="305" t="s">
        <v>585</v>
      </c>
      <c r="AH13" s="305" t="s">
        <v>585</v>
      </c>
      <c r="AI13" s="305" t="s">
        <v>585</v>
      </c>
      <c r="AJ13" s="305" t="s">
        <v>585</v>
      </c>
      <c r="AK13" s="305" t="s">
        <v>585</v>
      </c>
      <c r="AL13" s="305" t="s">
        <v>585</v>
      </c>
      <c r="AM13" s="305" t="s">
        <v>585</v>
      </c>
      <c r="AN13" s="305" t="s">
        <v>585</v>
      </c>
      <c r="AO13" s="305" t="s">
        <v>585</v>
      </c>
      <c r="AP13" s="417">
        <v>15</v>
      </c>
      <c r="AQ13" s="414" t="s">
        <v>585</v>
      </c>
      <c r="AR13" s="305">
        <v>39</v>
      </c>
      <c r="AS13" s="305" t="s">
        <v>585</v>
      </c>
      <c r="AT13" s="305" t="s">
        <v>585</v>
      </c>
      <c r="AU13" s="305" t="s">
        <v>585</v>
      </c>
      <c r="AV13" s="305" t="s">
        <v>585</v>
      </c>
      <c r="AW13" s="305" t="s">
        <v>585</v>
      </c>
      <c r="AX13" s="305" t="s">
        <v>585</v>
      </c>
      <c r="AY13" s="415">
        <v>39</v>
      </c>
      <c r="AZ13" s="416" t="s">
        <v>585</v>
      </c>
      <c r="BA13" s="305" t="s">
        <v>585</v>
      </c>
      <c r="BB13" s="305" t="s">
        <v>585</v>
      </c>
      <c r="BC13" s="305" t="s">
        <v>585</v>
      </c>
      <c r="BD13" s="305" t="s">
        <v>585</v>
      </c>
      <c r="BE13" s="305" t="s">
        <v>585</v>
      </c>
      <c r="BF13" s="417" t="s">
        <v>585</v>
      </c>
      <c r="BG13" s="307" t="s">
        <v>585</v>
      </c>
      <c r="BH13" s="307" t="s">
        <v>585</v>
      </c>
      <c r="BI13" s="307" t="s">
        <v>585</v>
      </c>
      <c r="BJ13" s="416" t="s">
        <v>585</v>
      </c>
      <c r="BK13" s="305" t="s">
        <v>585</v>
      </c>
      <c r="BL13" s="305" t="s">
        <v>585</v>
      </c>
      <c r="BM13" s="305" t="s">
        <v>585</v>
      </c>
      <c r="BN13" s="305" t="s">
        <v>585</v>
      </c>
      <c r="BO13" s="305" t="s">
        <v>585</v>
      </c>
      <c r="BP13" s="305" t="s">
        <v>585</v>
      </c>
      <c r="BQ13" s="417" t="s">
        <v>585</v>
      </c>
      <c r="BR13" s="414">
        <v>9</v>
      </c>
      <c r="BS13" s="305" t="s">
        <v>585</v>
      </c>
      <c r="BT13" s="305" t="s">
        <v>585</v>
      </c>
      <c r="BU13" s="305">
        <v>746</v>
      </c>
      <c r="BV13" s="305" t="s">
        <v>585</v>
      </c>
      <c r="BW13" s="305" t="s">
        <v>585</v>
      </c>
      <c r="BX13" s="305">
        <v>7</v>
      </c>
      <c r="BY13" s="305" t="s">
        <v>585</v>
      </c>
      <c r="BZ13" s="305" t="s">
        <v>585</v>
      </c>
      <c r="CA13" s="305" t="s">
        <v>585</v>
      </c>
      <c r="CB13" s="305" t="s">
        <v>585</v>
      </c>
      <c r="CC13" s="415">
        <v>762</v>
      </c>
      <c r="CD13" s="416" t="s">
        <v>585</v>
      </c>
      <c r="CE13" s="305" t="s">
        <v>585</v>
      </c>
      <c r="CF13" s="417" t="s">
        <v>585</v>
      </c>
      <c r="CG13" s="307" t="s">
        <v>585</v>
      </c>
      <c r="CH13" s="307" t="s">
        <v>585</v>
      </c>
      <c r="CI13" s="416" t="s">
        <v>585</v>
      </c>
      <c r="CJ13" s="305" t="s">
        <v>585</v>
      </c>
      <c r="CK13" s="305" t="s">
        <v>585</v>
      </c>
      <c r="CL13" s="417" t="s">
        <v>585</v>
      </c>
      <c r="CM13" s="307" t="s">
        <v>585</v>
      </c>
      <c r="CN13" s="416" t="s">
        <v>585</v>
      </c>
      <c r="CO13" s="305" t="s">
        <v>585</v>
      </c>
      <c r="CP13" s="417" t="s">
        <v>585</v>
      </c>
      <c r="CQ13" s="307" t="s">
        <v>585</v>
      </c>
      <c r="CR13" s="307" t="s">
        <v>585</v>
      </c>
      <c r="CS13" s="416" t="s">
        <v>585</v>
      </c>
      <c r="CT13" s="305" t="s">
        <v>585</v>
      </c>
      <c r="CU13" s="305" t="s">
        <v>585</v>
      </c>
      <c r="CV13" s="417" t="s">
        <v>585</v>
      </c>
      <c r="CW13" s="418">
        <v>2934</v>
      </c>
      <c r="CX13" s="308">
        <f>2934/538718</f>
        <v>5.4462631655151673E-3</v>
      </c>
      <c r="CY13" s="276"/>
      <c r="CZ13" s="276"/>
      <c r="DA13" s="276"/>
    </row>
    <row r="14" spans="1:105" x14ac:dyDescent="0.2">
      <c r="A14" s="211"/>
      <c r="B14" s="410" t="s">
        <v>54</v>
      </c>
      <c r="C14" s="419" t="s">
        <v>585</v>
      </c>
      <c r="D14" s="420" t="s">
        <v>585</v>
      </c>
      <c r="E14" s="420" t="s">
        <v>585</v>
      </c>
      <c r="F14" s="421" t="s">
        <v>585</v>
      </c>
      <c r="G14" s="422">
        <v>33</v>
      </c>
      <c r="H14" s="420">
        <v>1</v>
      </c>
      <c r="I14" s="420">
        <v>1</v>
      </c>
      <c r="J14" s="420" t="s">
        <v>585</v>
      </c>
      <c r="K14" s="420" t="s">
        <v>585</v>
      </c>
      <c r="L14" s="423">
        <v>35</v>
      </c>
      <c r="M14" s="424" t="s">
        <v>585</v>
      </c>
      <c r="N14" s="422">
        <v>3563</v>
      </c>
      <c r="O14" s="420" t="s">
        <v>585</v>
      </c>
      <c r="P14" s="420" t="s">
        <v>585</v>
      </c>
      <c r="Q14" s="423">
        <v>3563</v>
      </c>
      <c r="R14" s="419" t="s">
        <v>585</v>
      </c>
      <c r="S14" s="420" t="s">
        <v>585</v>
      </c>
      <c r="T14" s="420" t="s">
        <v>585</v>
      </c>
      <c r="U14" s="421" t="s">
        <v>585</v>
      </c>
      <c r="V14" s="425" t="s">
        <v>585</v>
      </c>
      <c r="W14" s="424" t="s">
        <v>585</v>
      </c>
      <c r="X14" s="422">
        <v>39</v>
      </c>
      <c r="Y14" s="420" t="s">
        <v>585</v>
      </c>
      <c r="Z14" s="420" t="s">
        <v>585</v>
      </c>
      <c r="AA14" s="420" t="s">
        <v>585</v>
      </c>
      <c r="AB14" s="420" t="s">
        <v>585</v>
      </c>
      <c r="AC14" s="420" t="s">
        <v>585</v>
      </c>
      <c r="AD14" s="423">
        <v>39</v>
      </c>
      <c r="AE14" s="424" t="s">
        <v>585</v>
      </c>
      <c r="AF14" s="422">
        <v>141</v>
      </c>
      <c r="AG14" s="420" t="s">
        <v>585</v>
      </c>
      <c r="AH14" s="420" t="s">
        <v>585</v>
      </c>
      <c r="AI14" s="420" t="s">
        <v>585</v>
      </c>
      <c r="AJ14" s="420" t="s">
        <v>585</v>
      </c>
      <c r="AK14" s="420" t="s">
        <v>585</v>
      </c>
      <c r="AL14" s="420" t="s">
        <v>585</v>
      </c>
      <c r="AM14" s="420">
        <v>1</v>
      </c>
      <c r="AN14" s="420" t="s">
        <v>585</v>
      </c>
      <c r="AO14" s="420" t="s">
        <v>585</v>
      </c>
      <c r="AP14" s="423">
        <v>142</v>
      </c>
      <c r="AQ14" s="419" t="s">
        <v>585</v>
      </c>
      <c r="AR14" s="420">
        <v>135</v>
      </c>
      <c r="AS14" s="420" t="s">
        <v>585</v>
      </c>
      <c r="AT14" s="420" t="s">
        <v>585</v>
      </c>
      <c r="AU14" s="420" t="s">
        <v>585</v>
      </c>
      <c r="AV14" s="420" t="s">
        <v>585</v>
      </c>
      <c r="AW14" s="420" t="s">
        <v>585</v>
      </c>
      <c r="AX14" s="420" t="s">
        <v>585</v>
      </c>
      <c r="AY14" s="421">
        <v>135</v>
      </c>
      <c r="AZ14" s="422" t="s">
        <v>585</v>
      </c>
      <c r="BA14" s="420" t="s">
        <v>585</v>
      </c>
      <c r="BB14" s="420" t="s">
        <v>585</v>
      </c>
      <c r="BC14" s="420" t="s">
        <v>585</v>
      </c>
      <c r="BD14" s="420" t="s">
        <v>585</v>
      </c>
      <c r="BE14" s="420" t="s">
        <v>585</v>
      </c>
      <c r="BF14" s="423" t="s">
        <v>585</v>
      </c>
      <c r="BG14" s="424" t="s">
        <v>585</v>
      </c>
      <c r="BH14" s="424">
        <v>2</v>
      </c>
      <c r="BI14" s="424" t="s">
        <v>585</v>
      </c>
      <c r="BJ14" s="422">
        <v>5</v>
      </c>
      <c r="BK14" s="420" t="s">
        <v>585</v>
      </c>
      <c r="BL14" s="420">
        <v>2</v>
      </c>
      <c r="BM14" s="420">
        <v>1</v>
      </c>
      <c r="BN14" s="420" t="s">
        <v>585</v>
      </c>
      <c r="BO14" s="420" t="s">
        <v>585</v>
      </c>
      <c r="BP14" s="420" t="s">
        <v>585</v>
      </c>
      <c r="BQ14" s="423">
        <v>8</v>
      </c>
      <c r="BR14" s="419">
        <v>80</v>
      </c>
      <c r="BS14" s="420" t="s">
        <v>585</v>
      </c>
      <c r="BT14" s="420">
        <v>4</v>
      </c>
      <c r="BU14" s="420">
        <v>1575</v>
      </c>
      <c r="BV14" s="420" t="s">
        <v>585</v>
      </c>
      <c r="BW14" s="420" t="s">
        <v>585</v>
      </c>
      <c r="BX14" s="420">
        <v>54</v>
      </c>
      <c r="BY14" s="420" t="s">
        <v>585</v>
      </c>
      <c r="BZ14" s="420" t="s">
        <v>585</v>
      </c>
      <c r="CA14" s="420" t="s">
        <v>585</v>
      </c>
      <c r="CB14" s="420" t="s">
        <v>585</v>
      </c>
      <c r="CC14" s="421">
        <v>1713</v>
      </c>
      <c r="CD14" s="422" t="s">
        <v>585</v>
      </c>
      <c r="CE14" s="420" t="s">
        <v>585</v>
      </c>
      <c r="CF14" s="423" t="s">
        <v>585</v>
      </c>
      <c r="CG14" s="424" t="s">
        <v>585</v>
      </c>
      <c r="CH14" s="424" t="s">
        <v>585</v>
      </c>
      <c r="CI14" s="422">
        <v>15</v>
      </c>
      <c r="CJ14" s="420" t="s">
        <v>585</v>
      </c>
      <c r="CK14" s="420" t="s">
        <v>585</v>
      </c>
      <c r="CL14" s="423">
        <v>15</v>
      </c>
      <c r="CM14" s="424" t="s">
        <v>585</v>
      </c>
      <c r="CN14" s="422">
        <v>1</v>
      </c>
      <c r="CO14" s="420" t="s">
        <v>585</v>
      </c>
      <c r="CP14" s="423">
        <v>1</v>
      </c>
      <c r="CQ14" s="424" t="s">
        <v>585</v>
      </c>
      <c r="CR14" s="424" t="s">
        <v>585</v>
      </c>
      <c r="CS14" s="422" t="s">
        <v>585</v>
      </c>
      <c r="CT14" s="420" t="s">
        <v>585</v>
      </c>
      <c r="CU14" s="420" t="s">
        <v>585</v>
      </c>
      <c r="CV14" s="423" t="s">
        <v>585</v>
      </c>
      <c r="CW14" s="426">
        <v>5653</v>
      </c>
      <c r="CX14" s="427">
        <f>5653/538718</f>
        <v>1.0493430700292175E-2</v>
      </c>
      <c r="CY14" s="276"/>
      <c r="CZ14" s="276"/>
      <c r="DA14" s="276"/>
    </row>
    <row r="15" spans="1:105" x14ac:dyDescent="0.2">
      <c r="A15" s="211"/>
      <c r="B15" s="410" t="s">
        <v>135</v>
      </c>
      <c r="C15" s="419" t="s">
        <v>585</v>
      </c>
      <c r="D15" s="420" t="s">
        <v>585</v>
      </c>
      <c r="E15" s="420" t="s">
        <v>585</v>
      </c>
      <c r="F15" s="421" t="s">
        <v>585</v>
      </c>
      <c r="G15" s="422" t="s">
        <v>585</v>
      </c>
      <c r="H15" s="420" t="s">
        <v>585</v>
      </c>
      <c r="I15" s="420" t="s">
        <v>585</v>
      </c>
      <c r="J15" s="420" t="s">
        <v>585</v>
      </c>
      <c r="K15" s="420" t="s">
        <v>585</v>
      </c>
      <c r="L15" s="423" t="s">
        <v>585</v>
      </c>
      <c r="M15" s="424" t="s">
        <v>585</v>
      </c>
      <c r="N15" s="422">
        <v>1268</v>
      </c>
      <c r="O15" s="420" t="s">
        <v>585</v>
      </c>
      <c r="P15" s="420" t="s">
        <v>585</v>
      </c>
      <c r="Q15" s="423">
        <v>1268</v>
      </c>
      <c r="R15" s="419" t="s">
        <v>585</v>
      </c>
      <c r="S15" s="420" t="s">
        <v>585</v>
      </c>
      <c r="T15" s="420" t="s">
        <v>585</v>
      </c>
      <c r="U15" s="421" t="s">
        <v>585</v>
      </c>
      <c r="V15" s="425" t="s">
        <v>585</v>
      </c>
      <c r="W15" s="424" t="s">
        <v>585</v>
      </c>
      <c r="X15" s="422">
        <v>21</v>
      </c>
      <c r="Y15" s="420" t="s">
        <v>585</v>
      </c>
      <c r="Z15" s="420" t="s">
        <v>585</v>
      </c>
      <c r="AA15" s="420" t="s">
        <v>585</v>
      </c>
      <c r="AB15" s="420" t="s">
        <v>585</v>
      </c>
      <c r="AC15" s="420" t="s">
        <v>585</v>
      </c>
      <c r="AD15" s="423">
        <v>21</v>
      </c>
      <c r="AE15" s="424" t="s">
        <v>585</v>
      </c>
      <c r="AF15" s="422">
        <v>1</v>
      </c>
      <c r="AG15" s="420" t="s">
        <v>585</v>
      </c>
      <c r="AH15" s="420" t="s">
        <v>585</v>
      </c>
      <c r="AI15" s="420" t="s">
        <v>585</v>
      </c>
      <c r="AJ15" s="420" t="s">
        <v>585</v>
      </c>
      <c r="AK15" s="420" t="s">
        <v>585</v>
      </c>
      <c r="AL15" s="420" t="s">
        <v>585</v>
      </c>
      <c r="AM15" s="420" t="s">
        <v>585</v>
      </c>
      <c r="AN15" s="420" t="s">
        <v>585</v>
      </c>
      <c r="AO15" s="420" t="s">
        <v>585</v>
      </c>
      <c r="AP15" s="423">
        <v>1</v>
      </c>
      <c r="AQ15" s="419" t="s">
        <v>585</v>
      </c>
      <c r="AR15" s="420">
        <v>23</v>
      </c>
      <c r="AS15" s="420" t="s">
        <v>585</v>
      </c>
      <c r="AT15" s="420" t="s">
        <v>585</v>
      </c>
      <c r="AU15" s="420" t="s">
        <v>585</v>
      </c>
      <c r="AV15" s="420" t="s">
        <v>585</v>
      </c>
      <c r="AW15" s="420" t="s">
        <v>585</v>
      </c>
      <c r="AX15" s="420" t="s">
        <v>585</v>
      </c>
      <c r="AY15" s="421">
        <v>23</v>
      </c>
      <c r="AZ15" s="422" t="s">
        <v>585</v>
      </c>
      <c r="BA15" s="420" t="s">
        <v>585</v>
      </c>
      <c r="BB15" s="420" t="s">
        <v>585</v>
      </c>
      <c r="BC15" s="420" t="s">
        <v>585</v>
      </c>
      <c r="BD15" s="420" t="s">
        <v>585</v>
      </c>
      <c r="BE15" s="420" t="s">
        <v>585</v>
      </c>
      <c r="BF15" s="423" t="s">
        <v>585</v>
      </c>
      <c r="BG15" s="424" t="s">
        <v>585</v>
      </c>
      <c r="BH15" s="424" t="s">
        <v>585</v>
      </c>
      <c r="BI15" s="424" t="s">
        <v>585</v>
      </c>
      <c r="BJ15" s="422">
        <v>3</v>
      </c>
      <c r="BK15" s="420" t="s">
        <v>585</v>
      </c>
      <c r="BL15" s="420" t="s">
        <v>585</v>
      </c>
      <c r="BM15" s="420" t="s">
        <v>585</v>
      </c>
      <c r="BN15" s="420" t="s">
        <v>585</v>
      </c>
      <c r="BO15" s="420" t="s">
        <v>585</v>
      </c>
      <c r="BP15" s="420" t="s">
        <v>585</v>
      </c>
      <c r="BQ15" s="423">
        <v>3</v>
      </c>
      <c r="BR15" s="419">
        <v>19</v>
      </c>
      <c r="BS15" s="420" t="s">
        <v>585</v>
      </c>
      <c r="BT15" s="420" t="s">
        <v>585</v>
      </c>
      <c r="BU15" s="420">
        <v>669</v>
      </c>
      <c r="BV15" s="420" t="s">
        <v>585</v>
      </c>
      <c r="BW15" s="420" t="s">
        <v>585</v>
      </c>
      <c r="BX15" s="420">
        <v>3</v>
      </c>
      <c r="BY15" s="420" t="s">
        <v>585</v>
      </c>
      <c r="BZ15" s="420" t="s">
        <v>585</v>
      </c>
      <c r="CA15" s="420" t="s">
        <v>585</v>
      </c>
      <c r="CB15" s="420" t="s">
        <v>585</v>
      </c>
      <c r="CC15" s="421">
        <v>691</v>
      </c>
      <c r="CD15" s="422" t="s">
        <v>585</v>
      </c>
      <c r="CE15" s="420" t="s">
        <v>585</v>
      </c>
      <c r="CF15" s="423" t="s">
        <v>585</v>
      </c>
      <c r="CG15" s="424" t="s">
        <v>585</v>
      </c>
      <c r="CH15" s="424" t="s">
        <v>585</v>
      </c>
      <c r="CI15" s="422" t="s">
        <v>585</v>
      </c>
      <c r="CJ15" s="420" t="s">
        <v>585</v>
      </c>
      <c r="CK15" s="420" t="s">
        <v>585</v>
      </c>
      <c r="CL15" s="423" t="s">
        <v>585</v>
      </c>
      <c r="CM15" s="424" t="s">
        <v>585</v>
      </c>
      <c r="CN15" s="422" t="s">
        <v>585</v>
      </c>
      <c r="CO15" s="420" t="s">
        <v>585</v>
      </c>
      <c r="CP15" s="423" t="s">
        <v>585</v>
      </c>
      <c r="CQ15" s="424" t="s">
        <v>585</v>
      </c>
      <c r="CR15" s="424" t="s">
        <v>585</v>
      </c>
      <c r="CS15" s="422" t="s">
        <v>585</v>
      </c>
      <c r="CT15" s="420" t="s">
        <v>585</v>
      </c>
      <c r="CU15" s="420" t="s">
        <v>585</v>
      </c>
      <c r="CV15" s="423" t="s">
        <v>585</v>
      </c>
      <c r="CW15" s="426">
        <v>2007</v>
      </c>
      <c r="CX15" s="427">
        <f>2007/538718</f>
        <v>3.7255113064720317E-3</v>
      </c>
      <c r="CY15" s="276"/>
      <c r="CZ15" s="276"/>
      <c r="DA15" s="276"/>
    </row>
    <row r="16" spans="1:105" x14ac:dyDescent="0.2">
      <c r="A16" s="211"/>
      <c r="B16" s="410" t="s">
        <v>228</v>
      </c>
      <c r="C16" s="419" t="s">
        <v>585</v>
      </c>
      <c r="D16" s="420" t="s">
        <v>585</v>
      </c>
      <c r="E16" s="420" t="s">
        <v>585</v>
      </c>
      <c r="F16" s="421" t="s">
        <v>585</v>
      </c>
      <c r="G16" s="422" t="s">
        <v>585</v>
      </c>
      <c r="H16" s="420" t="s">
        <v>585</v>
      </c>
      <c r="I16" s="420" t="s">
        <v>585</v>
      </c>
      <c r="J16" s="420" t="s">
        <v>585</v>
      </c>
      <c r="K16" s="420" t="s">
        <v>585</v>
      </c>
      <c r="L16" s="423" t="s">
        <v>585</v>
      </c>
      <c r="M16" s="424" t="s">
        <v>585</v>
      </c>
      <c r="N16" s="422">
        <v>856</v>
      </c>
      <c r="O16" s="420" t="s">
        <v>585</v>
      </c>
      <c r="P16" s="420" t="s">
        <v>585</v>
      </c>
      <c r="Q16" s="423">
        <v>856</v>
      </c>
      <c r="R16" s="419" t="s">
        <v>585</v>
      </c>
      <c r="S16" s="420" t="s">
        <v>585</v>
      </c>
      <c r="T16" s="420" t="s">
        <v>585</v>
      </c>
      <c r="U16" s="421" t="s">
        <v>585</v>
      </c>
      <c r="V16" s="425" t="s">
        <v>585</v>
      </c>
      <c r="W16" s="424" t="s">
        <v>585</v>
      </c>
      <c r="X16" s="422">
        <v>32</v>
      </c>
      <c r="Y16" s="420" t="s">
        <v>585</v>
      </c>
      <c r="Z16" s="420" t="s">
        <v>585</v>
      </c>
      <c r="AA16" s="420" t="s">
        <v>585</v>
      </c>
      <c r="AB16" s="420" t="s">
        <v>585</v>
      </c>
      <c r="AC16" s="420" t="s">
        <v>585</v>
      </c>
      <c r="AD16" s="423">
        <v>32</v>
      </c>
      <c r="AE16" s="424" t="s">
        <v>585</v>
      </c>
      <c r="AF16" s="422" t="s">
        <v>585</v>
      </c>
      <c r="AG16" s="420" t="s">
        <v>585</v>
      </c>
      <c r="AH16" s="420" t="s">
        <v>585</v>
      </c>
      <c r="AI16" s="420" t="s">
        <v>585</v>
      </c>
      <c r="AJ16" s="420" t="s">
        <v>585</v>
      </c>
      <c r="AK16" s="420" t="s">
        <v>585</v>
      </c>
      <c r="AL16" s="420" t="s">
        <v>585</v>
      </c>
      <c r="AM16" s="420" t="s">
        <v>585</v>
      </c>
      <c r="AN16" s="420" t="s">
        <v>585</v>
      </c>
      <c r="AO16" s="420" t="s">
        <v>585</v>
      </c>
      <c r="AP16" s="423" t="s">
        <v>585</v>
      </c>
      <c r="AQ16" s="419" t="s">
        <v>585</v>
      </c>
      <c r="AR16" s="420">
        <v>45</v>
      </c>
      <c r="AS16" s="420" t="s">
        <v>585</v>
      </c>
      <c r="AT16" s="420" t="s">
        <v>585</v>
      </c>
      <c r="AU16" s="420" t="s">
        <v>585</v>
      </c>
      <c r="AV16" s="420" t="s">
        <v>585</v>
      </c>
      <c r="AW16" s="420" t="s">
        <v>585</v>
      </c>
      <c r="AX16" s="420" t="s">
        <v>585</v>
      </c>
      <c r="AY16" s="421">
        <v>45</v>
      </c>
      <c r="AZ16" s="422" t="s">
        <v>585</v>
      </c>
      <c r="BA16" s="420" t="s">
        <v>585</v>
      </c>
      <c r="BB16" s="420" t="s">
        <v>585</v>
      </c>
      <c r="BC16" s="420" t="s">
        <v>585</v>
      </c>
      <c r="BD16" s="420" t="s">
        <v>585</v>
      </c>
      <c r="BE16" s="420" t="s">
        <v>585</v>
      </c>
      <c r="BF16" s="423" t="s">
        <v>585</v>
      </c>
      <c r="BG16" s="424" t="s">
        <v>585</v>
      </c>
      <c r="BH16" s="424" t="s">
        <v>585</v>
      </c>
      <c r="BI16" s="424" t="s">
        <v>585</v>
      </c>
      <c r="BJ16" s="422" t="s">
        <v>585</v>
      </c>
      <c r="BK16" s="420" t="s">
        <v>585</v>
      </c>
      <c r="BL16" s="420" t="s">
        <v>585</v>
      </c>
      <c r="BM16" s="420" t="s">
        <v>585</v>
      </c>
      <c r="BN16" s="420" t="s">
        <v>585</v>
      </c>
      <c r="BO16" s="420" t="s">
        <v>585</v>
      </c>
      <c r="BP16" s="420" t="s">
        <v>585</v>
      </c>
      <c r="BQ16" s="423" t="s">
        <v>585</v>
      </c>
      <c r="BR16" s="419">
        <v>14</v>
      </c>
      <c r="BS16" s="420" t="s">
        <v>585</v>
      </c>
      <c r="BT16" s="420">
        <v>1</v>
      </c>
      <c r="BU16" s="420">
        <v>361</v>
      </c>
      <c r="BV16" s="420" t="s">
        <v>585</v>
      </c>
      <c r="BW16" s="420" t="s">
        <v>585</v>
      </c>
      <c r="BX16" s="420" t="s">
        <v>585</v>
      </c>
      <c r="BY16" s="420" t="s">
        <v>585</v>
      </c>
      <c r="BZ16" s="420" t="s">
        <v>585</v>
      </c>
      <c r="CA16" s="420" t="s">
        <v>585</v>
      </c>
      <c r="CB16" s="420" t="s">
        <v>585</v>
      </c>
      <c r="CC16" s="421">
        <v>376</v>
      </c>
      <c r="CD16" s="422" t="s">
        <v>585</v>
      </c>
      <c r="CE16" s="420" t="s">
        <v>585</v>
      </c>
      <c r="CF16" s="423" t="s">
        <v>585</v>
      </c>
      <c r="CG16" s="424" t="s">
        <v>585</v>
      </c>
      <c r="CH16" s="424" t="s">
        <v>585</v>
      </c>
      <c r="CI16" s="422" t="s">
        <v>585</v>
      </c>
      <c r="CJ16" s="420" t="s">
        <v>585</v>
      </c>
      <c r="CK16" s="420" t="s">
        <v>585</v>
      </c>
      <c r="CL16" s="423" t="s">
        <v>585</v>
      </c>
      <c r="CM16" s="424" t="s">
        <v>585</v>
      </c>
      <c r="CN16" s="422">
        <v>2</v>
      </c>
      <c r="CO16" s="420" t="s">
        <v>585</v>
      </c>
      <c r="CP16" s="423">
        <v>2</v>
      </c>
      <c r="CQ16" s="424" t="s">
        <v>585</v>
      </c>
      <c r="CR16" s="424">
        <v>2</v>
      </c>
      <c r="CS16" s="422" t="s">
        <v>585</v>
      </c>
      <c r="CT16" s="420" t="s">
        <v>585</v>
      </c>
      <c r="CU16" s="420" t="s">
        <v>585</v>
      </c>
      <c r="CV16" s="423" t="s">
        <v>585</v>
      </c>
      <c r="CW16" s="426">
        <v>1313</v>
      </c>
      <c r="CX16" s="427">
        <f>1313/538718</f>
        <v>2.4372677356242043E-3</v>
      </c>
      <c r="CY16" s="276"/>
      <c r="CZ16" s="276"/>
      <c r="DA16" s="276"/>
    </row>
    <row r="17" spans="1:105" x14ac:dyDescent="0.2">
      <c r="A17" s="211"/>
      <c r="B17" s="410" t="s">
        <v>249</v>
      </c>
      <c r="C17" s="419" t="s">
        <v>585</v>
      </c>
      <c r="D17" s="420" t="s">
        <v>585</v>
      </c>
      <c r="E17" s="420" t="s">
        <v>585</v>
      </c>
      <c r="F17" s="421" t="s">
        <v>585</v>
      </c>
      <c r="G17" s="422">
        <v>8</v>
      </c>
      <c r="H17" s="420" t="s">
        <v>585</v>
      </c>
      <c r="I17" s="420" t="s">
        <v>585</v>
      </c>
      <c r="J17" s="420" t="s">
        <v>585</v>
      </c>
      <c r="K17" s="420" t="s">
        <v>585</v>
      </c>
      <c r="L17" s="423">
        <v>8</v>
      </c>
      <c r="M17" s="424" t="s">
        <v>585</v>
      </c>
      <c r="N17" s="422">
        <v>68</v>
      </c>
      <c r="O17" s="420" t="s">
        <v>585</v>
      </c>
      <c r="P17" s="420" t="s">
        <v>585</v>
      </c>
      <c r="Q17" s="423">
        <v>68</v>
      </c>
      <c r="R17" s="419" t="s">
        <v>585</v>
      </c>
      <c r="S17" s="420" t="s">
        <v>585</v>
      </c>
      <c r="T17" s="420" t="s">
        <v>585</v>
      </c>
      <c r="U17" s="421" t="s">
        <v>585</v>
      </c>
      <c r="V17" s="425" t="s">
        <v>585</v>
      </c>
      <c r="W17" s="424" t="s">
        <v>585</v>
      </c>
      <c r="X17" s="422" t="s">
        <v>585</v>
      </c>
      <c r="Y17" s="420" t="s">
        <v>585</v>
      </c>
      <c r="Z17" s="420" t="s">
        <v>585</v>
      </c>
      <c r="AA17" s="420" t="s">
        <v>585</v>
      </c>
      <c r="AB17" s="420" t="s">
        <v>585</v>
      </c>
      <c r="AC17" s="420" t="s">
        <v>585</v>
      </c>
      <c r="AD17" s="423" t="s">
        <v>585</v>
      </c>
      <c r="AE17" s="424" t="s">
        <v>585</v>
      </c>
      <c r="AF17" s="422">
        <v>3</v>
      </c>
      <c r="AG17" s="420" t="s">
        <v>585</v>
      </c>
      <c r="AH17" s="420" t="s">
        <v>585</v>
      </c>
      <c r="AI17" s="420" t="s">
        <v>585</v>
      </c>
      <c r="AJ17" s="420" t="s">
        <v>585</v>
      </c>
      <c r="AK17" s="420" t="s">
        <v>585</v>
      </c>
      <c r="AL17" s="420" t="s">
        <v>585</v>
      </c>
      <c r="AM17" s="420" t="s">
        <v>585</v>
      </c>
      <c r="AN17" s="420" t="s">
        <v>585</v>
      </c>
      <c r="AO17" s="420" t="s">
        <v>585</v>
      </c>
      <c r="AP17" s="423">
        <v>3</v>
      </c>
      <c r="AQ17" s="419" t="s">
        <v>585</v>
      </c>
      <c r="AR17" s="420">
        <v>1</v>
      </c>
      <c r="AS17" s="420" t="s">
        <v>585</v>
      </c>
      <c r="AT17" s="420" t="s">
        <v>585</v>
      </c>
      <c r="AU17" s="420" t="s">
        <v>585</v>
      </c>
      <c r="AV17" s="420" t="s">
        <v>585</v>
      </c>
      <c r="AW17" s="420" t="s">
        <v>585</v>
      </c>
      <c r="AX17" s="420" t="s">
        <v>585</v>
      </c>
      <c r="AY17" s="421">
        <v>1</v>
      </c>
      <c r="AZ17" s="422" t="s">
        <v>585</v>
      </c>
      <c r="BA17" s="420" t="s">
        <v>585</v>
      </c>
      <c r="BB17" s="420" t="s">
        <v>585</v>
      </c>
      <c r="BC17" s="420" t="s">
        <v>585</v>
      </c>
      <c r="BD17" s="420" t="s">
        <v>585</v>
      </c>
      <c r="BE17" s="420" t="s">
        <v>585</v>
      </c>
      <c r="BF17" s="423" t="s">
        <v>585</v>
      </c>
      <c r="BG17" s="424" t="s">
        <v>585</v>
      </c>
      <c r="BH17" s="424">
        <v>20</v>
      </c>
      <c r="BI17" s="424" t="s">
        <v>585</v>
      </c>
      <c r="BJ17" s="422" t="s">
        <v>585</v>
      </c>
      <c r="BK17" s="420" t="s">
        <v>585</v>
      </c>
      <c r="BL17" s="420" t="s">
        <v>585</v>
      </c>
      <c r="BM17" s="420">
        <v>28</v>
      </c>
      <c r="BN17" s="420" t="s">
        <v>585</v>
      </c>
      <c r="BO17" s="420" t="s">
        <v>585</v>
      </c>
      <c r="BP17" s="420" t="s">
        <v>585</v>
      </c>
      <c r="BQ17" s="423">
        <v>28</v>
      </c>
      <c r="BR17" s="419">
        <v>7</v>
      </c>
      <c r="BS17" s="420" t="s">
        <v>585</v>
      </c>
      <c r="BT17" s="420" t="s">
        <v>585</v>
      </c>
      <c r="BU17" s="420">
        <v>62</v>
      </c>
      <c r="BV17" s="420" t="s">
        <v>585</v>
      </c>
      <c r="BW17" s="420" t="s">
        <v>585</v>
      </c>
      <c r="BX17" s="420">
        <v>7</v>
      </c>
      <c r="BY17" s="420" t="s">
        <v>585</v>
      </c>
      <c r="BZ17" s="420" t="s">
        <v>585</v>
      </c>
      <c r="CA17" s="420" t="s">
        <v>585</v>
      </c>
      <c r="CB17" s="420" t="s">
        <v>585</v>
      </c>
      <c r="CC17" s="421">
        <v>76</v>
      </c>
      <c r="CD17" s="422" t="s">
        <v>585</v>
      </c>
      <c r="CE17" s="420" t="s">
        <v>585</v>
      </c>
      <c r="CF17" s="423" t="s">
        <v>585</v>
      </c>
      <c r="CG17" s="424" t="s">
        <v>585</v>
      </c>
      <c r="CH17" s="424" t="s">
        <v>585</v>
      </c>
      <c r="CI17" s="422" t="s">
        <v>585</v>
      </c>
      <c r="CJ17" s="420" t="s">
        <v>585</v>
      </c>
      <c r="CK17" s="420" t="s">
        <v>585</v>
      </c>
      <c r="CL17" s="423" t="s">
        <v>585</v>
      </c>
      <c r="CM17" s="424" t="s">
        <v>585</v>
      </c>
      <c r="CN17" s="422" t="s">
        <v>585</v>
      </c>
      <c r="CO17" s="420" t="s">
        <v>585</v>
      </c>
      <c r="CP17" s="423" t="s">
        <v>585</v>
      </c>
      <c r="CQ17" s="424">
        <v>1</v>
      </c>
      <c r="CR17" s="424" t="s">
        <v>585</v>
      </c>
      <c r="CS17" s="422" t="s">
        <v>585</v>
      </c>
      <c r="CT17" s="420" t="s">
        <v>585</v>
      </c>
      <c r="CU17" s="420" t="s">
        <v>585</v>
      </c>
      <c r="CV17" s="423" t="s">
        <v>585</v>
      </c>
      <c r="CW17" s="426">
        <v>205</v>
      </c>
      <c r="CX17" s="427">
        <f>205/538718</f>
        <v>3.8053304326196639E-4</v>
      </c>
      <c r="CY17" s="276"/>
      <c r="CZ17" s="276"/>
      <c r="DA17" s="276"/>
    </row>
    <row r="18" spans="1:105" ht="13.5" thickBot="1" x14ac:dyDescent="0.25">
      <c r="A18" s="211"/>
      <c r="B18" s="411" t="s">
        <v>685</v>
      </c>
      <c r="C18" s="428" t="s">
        <v>585</v>
      </c>
      <c r="D18" s="429" t="s">
        <v>585</v>
      </c>
      <c r="E18" s="429">
        <v>11</v>
      </c>
      <c r="F18" s="430">
        <v>11</v>
      </c>
      <c r="G18" s="431">
        <v>2</v>
      </c>
      <c r="H18" s="429">
        <v>50</v>
      </c>
      <c r="I18" s="429" t="s">
        <v>585</v>
      </c>
      <c r="J18" s="429" t="s">
        <v>585</v>
      </c>
      <c r="K18" s="429" t="s">
        <v>585</v>
      </c>
      <c r="L18" s="432">
        <v>52</v>
      </c>
      <c r="M18" s="433" t="s">
        <v>585</v>
      </c>
      <c r="N18" s="431">
        <v>1049</v>
      </c>
      <c r="O18" s="429" t="s">
        <v>585</v>
      </c>
      <c r="P18" s="429" t="s">
        <v>585</v>
      </c>
      <c r="Q18" s="432">
        <v>1049</v>
      </c>
      <c r="R18" s="428" t="s">
        <v>585</v>
      </c>
      <c r="S18" s="429" t="s">
        <v>585</v>
      </c>
      <c r="T18" s="429" t="s">
        <v>585</v>
      </c>
      <c r="U18" s="430" t="s">
        <v>585</v>
      </c>
      <c r="V18" s="434" t="s">
        <v>585</v>
      </c>
      <c r="W18" s="433">
        <v>1</v>
      </c>
      <c r="X18" s="431">
        <v>8</v>
      </c>
      <c r="Y18" s="429" t="s">
        <v>585</v>
      </c>
      <c r="Z18" s="429" t="s">
        <v>585</v>
      </c>
      <c r="AA18" s="429" t="s">
        <v>585</v>
      </c>
      <c r="AB18" s="429" t="s">
        <v>585</v>
      </c>
      <c r="AC18" s="429" t="s">
        <v>585</v>
      </c>
      <c r="AD18" s="432">
        <v>8</v>
      </c>
      <c r="AE18" s="433">
        <v>4</v>
      </c>
      <c r="AF18" s="431">
        <v>20</v>
      </c>
      <c r="AG18" s="429" t="s">
        <v>585</v>
      </c>
      <c r="AH18" s="429" t="s">
        <v>585</v>
      </c>
      <c r="AI18" s="429" t="s">
        <v>585</v>
      </c>
      <c r="AJ18" s="429" t="s">
        <v>585</v>
      </c>
      <c r="AK18" s="429" t="s">
        <v>585</v>
      </c>
      <c r="AL18" s="429" t="s">
        <v>585</v>
      </c>
      <c r="AM18" s="429">
        <v>48</v>
      </c>
      <c r="AN18" s="429" t="s">
        <v>585</v>
      </c>
      <c r="AO18" s="429" t="s">
        <v>585</v>
      </c>
      <c r="AP18" s="432">
        <v>68</v>
      </c>
      <c r="AQ18" s="428" t="s">
        <v>585</v>
      </c>
      <c r="AR18" s="429">
        <v>24</v>
      </c>
      <c r="AS18" s="429" t="s">
        <v>585</v>
      </c>
      <c r="AT18" s="429" t="s">
        <v>585</v>
      </c>
      <c r="AU18" s="429" t="s">
        <v>585</v>
      </c>
      <c r="AV18" s="429" t="s">
        <v>585</v>
      </c>
      <c r="AW18" s="429" t="s">
        <v>585</v>
      </c>
      <c r="AX18" s="429" t="s">
        <v>585</v>
      </c>
      <c r="AY18" s="430">
        <v>24</v>
      </c>
      <c r="AZ18" s="431" t="s">
        <v>585</v>
      </c>
      <c r="BA18" s="429" t="s">
        <v>585</v>
      </c>
      <c r="BB18" s="429" t="s">
        <v>585</v>
      </c>
      <c r="BC18" s="429" t="s">
        <v>585</v>
      </c>
      <c r="BD18" s="429" t="s">
        <v>585</v>
      </c>
      <c r="BE18" s="429" t="s">
        <v>585</v>
      </c>
      <c r="BF18" s="432" t="s">
        <v>585</v>
      </c>
      <c r="BG18" s="433" t="s">
        <v>585</v>
      </c>
      <c r="BH18" s="433">
        <v>1</v>
      </c>
      <c r="BI18" s="433" t="s">
        <v>585</v>
      </c>
      <c r="BJ18" s="431">
        <v>3</v>
      </c>
      <c r="BK18" s="429" t="s">
        <v>585</v>
      </c>
      <c r="BL18" s="429" t="s">
        <v>585</v>
      </c>
      <c r="BM18" s="429" t="s">
        <v>585</v>
      </c>
      <c r="BN18" s="429" t="s">
        <v>585</v>
      </c>
      <c r="BO18" s="429" t="s">
        <v>585</v>
      </c>
      <c r="BP18" s="429" t="s">
        <v>585</v>
      </c>
      <c r="BQ18" s="432">
        <v>3</v>
      </c>
      <c r="BR18" s="428">
        <v>29</v>
      </c>
      <c r="BS18" s="429" t="s">
        <v>585</v>
      </c>
      <c r="BT18" s="429">
        <v>4</v>
      </c>
      <c r="BU18" s="429">
        <v>1450</v>
      </c>
      <c r="BV18" s="429" t="s">
        <v>585</v>
      </c>
      <c r="BW18" s="429" t="s">
        <v>585</v>
      </c>
      <c r="BX18" s="429">
        <v>47</v>
      </c>
      <c r="BY18" s="429" t="s">
        <v>585</v>
      </c>
      <c r="BZ18" s="429" t="s">
        <v>585</v>
      </c>
      <c r="CA18" s="429" t="s">
        <v>585</v>
      </c>
      <c r="CB18" s="429" t="s">
        <v>585</v>
      </c>
      <c r="CC18" s="430">
        <v>1530</v>
      </c>
      <c r="CD18" s="431" t="s">
        <v>585</v>
      </c>
      <c r="CE18" s="429" t="s">
        <v>585</v>
      </c>
      <c r="CF18" s="432" t="s">
        <v>585</v>
      </c>
      <c r="CG18" s="433" t="s">
        <v>585</v>
      </c>
      <c r="CH18" s="433" t="s">
        <v>585</v>
      </c>
      <c r="CI18" s="431">
        <v>2</v>
      </c>
      <c r="CJ18" s="429" t="s">
        <v>585</v>
      </c>
      <c r="CK18" s="429" t="s">
        <v>585</v>
      </c>
      <c r="CL18" s="432">
        <v>2</v>
      </c>
      <c r="CM18" s="433" t="s">
        <v>585</v>
      </c>
      <c r="CN18" s="431" t="s">
        <v>585</v>
      </c>
      <c r="CO18" s="429" t="s">
        <v>585</v>
      </c>
      <c r="CP18" s="432" t="s">
        <v>585</v>
      </c>
      <c r="CQ18" s="433" t="s">
        <v>585</v>
      </c>
      <c r="CR18" s="433" t="s">
        <v>585</v>
      </c>
      <c r="CS18" s="431" t="s">
        <v>585</v>
      </c>
      <c r="CT18" s="429" t="s">
        <v>585</v>
      </c>
      <c r="CU18" s="429" t="s">
        <v>585</v>
      </c>
      <c r="CV18" s="432" t="s">
        <v>585</v>
      </c>
      <c r="CW18" s="435">
        <v>2753</v>
      </c>
      <c r="CX18" s="436">
        <f>2753/538718</f>
        <v>5.1102803321960658E-3</v>
      </c>
      <c r="CY18" s="276"/>
      <c r="CZ18" s="276"/>
      <c r="DA18" s="276"/>
    </row>
    <row r="19" spans="1:105" s="101" customFormat="1" ht="13.5" thickBot="1" x14ac:dyDescent="0.25">
      <c r="A19" s="208"/>
      <c r="B19" s="113" t="s">
        <v>687</v>
      </c>
      <c r="C19" s="437" t="s">
        <v>585</v>
      </c>
      <c r="D19" s="212" t="s">
        <v>585</v>
      </c>
      <c r="E19" s="212">
        <v>11</v>
      </c>
      <c r="F19" s="438">
        <v>11</v>
      </c>
      <c r="G19" s="439">
        <v>45</v>
      </c>
      <c r="H19" s="212">
        <v>52</v>
      </c>
      <c r="I19" s="212">
        <v>4</v>
      </c>
      <c r="J19" s="212" t="s">
        <v>585</v>
      </c>
      <c r="K19" s="212" t="s">
        <v>585</v>
      </c>
      <c r="L19" s="440">
        <v>101</v>
      </c>
      <c r="M19" s="209" t="s">
        <v>585</v>
      </c>
      <c r="N19" s="439">
        <v>8890</v>
      </c>
      <c r="O19" s="212" t="s">
        <v>585</v>
      </c>
      <c r="P19" s="212" t="s">
        <v>585</v>
      </c>
      <c r="Q19" s="440">
        <v>8890</v>
      </c>
      <c r="R19" s="437" t="s">
        <v>585</v>
      </c>
      <c r="S19" s="212" t="s">
        <v>585</v>
      </c>
      <c r="T19" s="212" t="s">
        <v>585</v>
      </c>
      <c r="U19" s="438" t="s">
        <v>585</v>
      </c>
      <c r="V19" s="213" t="s">
        <v>585</v>
      </c>
      <c r="W19" s="209">
        <v>1</v>
      </c>
      <c r="X19" s="439">
        <v>126</v>
      </c>
      <c r="Y19" s="212" t="s">
        <v>585</v>
      </c>
      <c r="Z19" s="212" t="s">
        <v>585</v>
      </c>
      <c r="AA19" s="212" t="s">
        <v>585</v>
      </c>
      <c r="AB19" s="212" t="s">
        <v>585</v>
      </c>
      <c r="AC19" s="212" t="s">
        <v>585</v>
      </c>
      <c r="AD19" s="440">
        <v>126</v>
      </c>
      <c r="AE19" s="209">
        <v>4</v>
      </c>
      <c r="AF19" s="439">
        <v>180</v>
      </c>
      <c r="AG19" s="212" t="s">
        <v>585</v>
      </c>
      <c r="AH19" s="212" t="s">
        <v>585</v>
      </c>
      <c r="AI19" s="212" t="s">
        <v>585</v>
      </c>
      <c r="AJ19" s="212" t="s">
        <v>585</v>
      </c>
      <c r="AK19" s="212" t="s">
        <v>585</v>
      </c>
      <c r="AL19" s="212" t="s">
        <v>585</v>
      </c>
      <c r="AM19" s="212">
        <v>49</v>
      </c>
      <c r="AN19" s="212" t="s">
        <v>585</v>
      </c>
      <c r="AO19" s="212" t="s">
        <v>585</v>
      </c>
      <c r="AP19" s="440">
        <v>229</v>
      </c>
      <c r="AQ19" s="437" t="s">
        <v>585</v>
      </c>
      <c r="AR19" s="212">
        <v>267</v>
      </c>
      <c r="AS19" s="212" t="s">
        <v>585</v>
      </c>
      <c r="AT19" s="212" t="s">
        <v>585</v>
      </c>
      <c r="AU19" s="212" t="s">
        <v>585</v>
      </c>
      <c r="AV19" s="212" t="s">
        <v>585</v>
      </c>
      <c r="AW19" s="212" t="s">
        <v>585</v>
      </c>
      <c r="AX19" s="212" t="s">
        <v>585</v>
      </c>
      <c r="AY19" s="438">
        <v>267</v>
      </c>
      <c r="AZ19" s="439" t="s">
        <v>585</v>
      </c>
      <c r="BA19" s="212" t="s">
        <v>585</v>
      </c>
      <c r="BB19" s="212" t="s">
        <v>585</v>
      </c>
      <c r="BC19" s="212" t="s">
        <v>585</v>
      </c>
      <c r="BD19" s="212" t="s">
        <v>585</v>
      </c>
      <c r="BE19" s="212" t="s">
        <v>585</v>
      </c>
      <c r="BF19" s="440" t="s">
        <v>585</v>
      </c>
      <c r="BG19" s="209" t="s">
        <v>585</v>
      </c>
      <c r="BH19" s="209">
        <v>23</v>
      </c>
      <c r="BI19" s="209" t="s">
        <v>585</v>
      </c>
      <c r="BJ19" s="439">
        <v>11</v>
      </c>
      <c r="BK19" s="212" t="s">
        <v>585</v>
      </c>
      <c r="BL19" s="212">
        <v>2</v>
      </c>
      <c r="BM19" s="212">
        <v>29</v>
      </c>
      <c r="BN19" s="212" t="s">
        <v>585</v>
      </c>
      <c r="BO19" s="212" t="s">
        <v>585</v>
      </c>
      <c r="BP19" s="212" t="s">
        <v>585</v>
      </c>
      <c r="BQ19" s="440">
        <v>42</v>
      </c>
      <c r="BR19" s="437">
        <v>158</v>
      </c>
      <c r="BS19" s="212" t="s">
        <v>585</v>
      </c>
      <c r="BT19" s="212">
        <v>9</v>
      </c>
      <c r="BU19" s="212">
        <v>4863</v>
      </c>
      <c r="BV19" s="212" t="s">
        <v>585</v>
      </c>
      <c r="BW19" s="212" t="s">
        <v>585</v>
      </c>
      <c r="BX19" s="212">
        <v>118</v>
      </c>
      <c r="BY19" s="212" t="s">
        <v>585</v>
      </c>
      <c r="BZ19" s="212" t="s">
        <v>585</v>
      </c>
      <c r="CA19" s="212" t="s">
        <v>585</v>
      </c>
      <c r="CB19" s="212" t="s">
        <v>585</v>
      </c>
      <c r="CC19" s="438">
        <v>5148</v>
      </c>
      <c r="CD19" s="439" t="s">
        <v>585</v>
      </c>
      <c r="CE19" s="212" t="s">
        <v>585</v>
      </c>
      <c r="CF19" s="440" t="s">
        <v>585</v>
      </c>
      <c r="CG19" s="209" t="s">
        <v>585</v>
      </c>
      <c r="CH19" s="209" t="s">
        <v>585</v>
      </c>
      <c r="CI19" s="439">
        <v>17</v>
      </c>
      <c r="CJ19" s="212" t="s">
        <v>585</v>
      </c>
      <c r="CK19" s="212" t="s">
        <v>585</v>
      </c>
      <c r="CL19" s="440">
        <v>17</v>
      </c>
      <c r="CM19" s="209" t="s">
        <v>585</v>
      </c>
      <c r="CN19" s="439">
        <v>3</v>
      </c>
      <c r="CO19" s="212" t="s">
        <v>585</v>
      </c>
      <c r="CP19" s="440">
        <v>3</v>
      </c>
      <c r="CQ19" s="209">
        <v>1</v>
      </c>
      <c r="CR19" s="209">
        <v>2</v>
      </c>
      <c r="CS19" s="439" t="s">
        <v>585</v>
      </c>
      <c r="CT19" s="212" t="s">
        <v>585</v>
      </c>
      <c r="CU19" s="212" t="s">
        <v>585</v>
      </c>
      <c r="CV19" s="440" t="s">
        <v>585</v>
      </c>
      <c r="CW19" s="210">
        <v>14865</v>
      </c>
      <c r="CX19" s="270">
        <f>14865/538718</f>
        <v>2.759328628336161E-2</v>
      </c>
      <c r="CY19" s="277"/>
      <c r="CZ19" s="277"/>
      <c r="DA19" s="277"/>
    </row>
    <row r="20" spans="1:105" s="101" customFormat="1" ht="13.5" thickBot="1" x14ac:dyDescent="0.25">
      <c r="A20" s="208"/>
      <c r="B20" s="113" t="s">
        <v>688</v>
      </c>
      <c r="C20" s="437" t="s">
        <v>585</v>
      </c>
      <c r="D20" s="212" t="s">
        <v>585</v>
      </c>
      <c r="E20" s="212" t="s">
        <v>585</v>
      </c>
      <c r="F20" s="438" t="s">
        <v>585</v>
      </c>
      <c r="G20" s="439">
        <v>1</v>
      </c>
      <c r="H20" s="212" t="s">
        <v>585</v>
      </c>
      <c r="I20" s="212" t="s">
        <v>585</v>
      </c>
      <c r="J20" s="212" t="s">
        <v>585</v>
      </c>
      <c r="K20" s="212" t="s">
        <v>585</v>
      </c>
      <c r="L20" s="440">
        <v>1</v>
      </c>
      <c r="M20" s="209" t="s">
        <v>585</v>
      </c>
      <c r="N20" s="439">
        <v>290</v>
      </c>
      <c r="O20" s="212" t="s">
        <v>585</v>
      </c>
      <c r="P20" s="212" t="s">
        <v>585</v>
      </c>
      <c r="Q20" s="440">
        <v>290</v>
      </c>
      <c r="R20" s="437" t="s">
        <v>585</v>
      </c>
      <c r="S20" s="212" t="s">
        <v>585</v>
      </c>
      <c r="T20" s="212" t="s">
        <v>585</v>
      </c>
      <c r="U20" s="438" t="s">
        <v>585</v>
      </c>
      <c r="V20" s="213" t="s">
        <v>585</v>
      </c>
      <c r="W20" s="209">
        <v>4</v>
      </c>
      <c r="X20" s="439">
        <v>2</v>
      </c>
      <c r="Y20" s="212" t="s">
        <v>585</v>
      </c>
      <c r="Z20" s="212">
        <v>1</v>
      </c>
      <c r="AA20" s="212" t="s">
        <v>585</v>
      </c>
      <c r="AB20" s="212" t="s">
        <v>585</v>
      </c>
      <c r="AC20" s="212" t="s">
        <v>585</v>
      </c>
      <c r="AD20" s="440">
        <v>3</v>
      </c>
      <c r="AE20" s="209" t="s">
        <v>585</v>
      </c>
      <c r="AF20" s="439">
        <v>11</v>
      </c>
      <c r="AG20" s="212" t="s">
        <v>585</v>
      </c>
      <c r="AH20" s="212" t="s">
        <v>585</v>
      </c>
      <c r="AI20" s="212" t="s">
        <v>585</v>
      </c>
      <c r="AJ20" s="212" t="s">
        <v>585</v>
      </c>
      <c r="AK20" s="212" t="s">
        <v>585</v>
      </c>
      <c r="AL20" s="212" t="s">
        <v>585</v>
      </c>
      <c r="AM20" s="212" t="s">
        <v>585</v>
      </c>
      <c r="AN20" s="212" t="s">
        <v>585</v>
      </c>
      <c r="AO20" s="212" t="s">
        <v>585</v>
      </c>
      <c r="AP20" s="440">
        <v>11</v>
      </c>
      <c r="AQ20" s="437" t="s">
        <v>585</v>
      </c>
      <c r="AR20" s="212">
        <v>14</v>
      </c>
      <c r="AS20" s="212" t="s">
        <v>585</v>
      </c>
      <c r="AT20" s="212" t="s">
        <v>585</v>
      </c>
      <c r="AU20" s="212" t="s">
        <v>585</v>
      </c>
      <c r="AV20" s="212" t="s">
        <v>585</v>
      </c>
      <c r="AW20" s="212" t="s">
        <v>585</v>
      </c>
      <c r="AX20" s="212" t="s">
        <v>585</v>
      </c>
      <c r="AY20" s="438">
        <v>14</v>
      </c>
      <c r="AZ20" s="439" t="s">
        <v>585</v>
      </c>
      <c r="BA20" s="212" t="s">
        <v>585</v>
      </c>
      <c r="BB20" s="212" t="s">
        <v>585</v>
      </c>
      <c r="BC20" s="212" t="s">
        <v>585</v>
      </c>
      <c r="BD20" s="212" t="s">
        <v>585</v>
      </c>
      <c r="BE20" s="212" t="s">
        <v>585</v>
      </c>
      <c r="BF20" s="440" t="s">
        <v>585</v>
      </c>
      <c r="BG20" s="209" t="s">
        <v>585</v>
      </c>
      <c r="BH20" s="209">
        <v>11</v>
      </c>
      <c r="BI20" s="209" t="s">
        <v>585</v>
      </c>
      <c r="BJ20" s="439">
        <v>2</v>
      </c>
      <c r="BK20" s="212" t="s">
        <v>585</v>
      </c>
      <c r="BL20" s="212" t="s">
        <v>585</v>
      </c>
      <c r="BM20" s="212" t="s">
        <v>585</v>
      </c>
      <c r="BN20" s="212" t="s">
        <v>585</v>
      </c>
      <c r="BO20" s="212" t="s">
        <v>585</v>
      </c>
      <c r="BP20" s="212" t="s">
        <v>585</v>
      </c>
      <c r="BQ20" s="440">
        <v>2</v>
      </c>
      <c r="BR20" s="437">
        <v>7</v>
      </c>
      <c r="BS20" s="212" t="s">
        <v>585</v>
      </c>
      <c r="BT20" s="212" t="s">
        <v>585</v>
      </c>
      <c r="BU20" s="212">
        <v>257</v>
      </c>
      <c r="BV20" s="212" t="s">
        <v>585</v>
      </c>
      <c r="BW20" s="212" t="s">
        <v>585</v>
      </c>
      <c r="BX20" s="212">
        <v>24</v>
      </c>
      <c r="BY20" s="212" t="s">
        <v>585</v>
      </c>
      <c r="BZ20" s="212" t="s">
        <v>585</v>
      </c>
      <c r="CA20" s="212" t="s">
        <v>585</v>
      </c>
      <c r="CB20" s="212" t="s">
        <v>585</v>
      </c>
      <c r="CC20" s="438">
        <v>288</v>
      </c>
      <c r="CD20" s="439" t="s">
        <v>585</v>
      </c>
      <c r="CE20" s="212" t="s">
        <v>585</v>
      </c>
      <c r="CF20" s="440" t="s">
        <v>585</v>
      </c>
      <c r="CG20" s="209" t="s">
        <v>585</v>
      </c>
      <c r="CH20" s="209">
        <v>1</v>
      </c>
      <c r="CI20" s="439" t="s">
        <v>585</v>
      </c>
      <c r="CJ20" s="212">
        <v>1</v>
      </c>
      <c r="CK20" s="212" t="s">
        <v>585</v>
      </c>
      <c r="CL20" s="440">
        <v>1</v>
      </c>
      <c r="CM20" s="209" t="s">
        <v>585</v>
      </c>
      <c r="CN20" s="439">
        <v>66</v>
      </c>
      <c r="CO20" s="212" t="s">
        <v>585</v>
      </c>
      <c r="CP20" s="440">
        <v>66</v>
      </c>
      <c r="CQ20" s="209" t="s">
        <v>585</v>
      </c>
      <c r="CR20" s="209" t="s">
        <v>585</v>
      </c>
      <c r="CS20" s="439" t="s">
        <v>585</v>
      </c>
      <c r="CT20" s="212">
        <v>1</v>
      </c>
      <c r="CU20" s="212" t="s">
        <v>585</v>
      </c>
      <c r="CV20" s="440">
        <v>1</v>
      </c>
      <c r="CW20" s="210">
        <v>693</v>
      </c>
      <c r="CX20" s="270">
        <f>693/538718</f>
        <v>1.2863873121002083E-3</v>
      </c>
      <c r="CY20" s="277"/>
      <c r="CZ20" s="277"/>
      <c r="DA20" s="277"/>
    </row>
    <row r="21" spans="1:105" s="101" customFormat="1" ht="13.5" thickBot="1" x14ac:dyDescent="0.25">
      <c r="A21" s="208"/>
      <c r="B21" s="113" t="s">
        <v>689</v>
      </c>
      <c r="C21" s="437" t="s">
        <v>585</v>
      </c>
      <c r="D21" s="212" t="s">
        <v>585</v>
      </c>
      <c r="E21" s="212">
        <v>9</v>
      </c>
      <c r="F21" s="438">
        <v>9</v>
      </c>
      <c r="G21" s="439" t="s">
        <v>585</v>
      </c>
      <c r="H21" s="212" t="s">
        <v>585</v>
      </c>
      <c r="I21" s="212" t="s">
        <v>585</v>
      </c>
      <c r="J21" s="212" t="s">
        <v>585</v>
      </c>
      <c r="K21" s="212" t="s">
        <v>585</v>
      </c>
      <c r="L21" s="440" t="s">
        <v>585</v>
      </c>
      <c r="M21" s="209" t="s">
        <v>585</v>
      </c>
      <c r="N21" s="439">
        <v>723</v>
      </c>
      <c r="O21" s="212" t="s">
        <v>585</v>
      </c>
      <c r="P21" s="212" t="s">
        <v>585</v>
      </c>
      <c r="Q21" s="440">
        <v>723</v>
      </c>
      <c r="R21" s="437" t="s">
        <v>585</v>
      </c>
      <c r="S21" s="212" t="s">
        <v>585</v>
      </c>
      <c r="T21" s="212" t="s">
        <v>585</v>
      </c>
      <c r="U21" s="438" t="s">
        <v>585</v>
      </c>
      <c r="V21" s="213" t="s">
        <v>585</v>
      </c>
      <c r="W21" s="209">
        <v>1</v>
      </c>
      <c r="X21" s="439">
        <v>2</v>
      </c>
      <c r="Y21" s="212" t="s">
        <v>585</v>
      </c>
      <c r="Z21" s="212" t="s">
        <v>585</v>
      </c>
      <c r="AA21" s="212" t="s">
        <v>585</v>
      </c>
      <c r="AB21" s="212" t="s">
        <v>585</v>
      </c>
      <c r="AC21" s="212" t="s">
        <v>585</v>
      </c>
      <c r="AD21" s="440">
        <v>2</v>
      </c>
      <c r="AE21" s="209" t="s">
        <v>585</v>
      </c>
      <c r="AF21" s="439">
        <v>3</v>
      </c>
      <c r="AG21" s="212" t="s">
        <v>585</v>
      </c>
      <c r="AH21" s="212" t="s">
        <v>585</v>
      </c>
      <c r="AI21" s="212" t="s">
        <v>585</v>
      </c>
      <c r="AJ21" s="212" t="s">
        <v>585</v>
      </c>
      <c r="AK21" s="212" t="s">
        <v>585</v>
      </c>
      <c r="AL21" s="212" t="s">
        <v>585</v>
      </c>
      <c r="AM21" s="212">
        <v>18</v>
      </c>
      <c r="AN21" s="212" t="s">
        <v>585</v>
      </c>
      <c r="AO21" s="212" t="s">
        <v>585</v>
      </c>
      <c r="AP21" s="440">
        <v>21</v>
      </c>
      <c r="AQ21" s="437" t="s">
        <v>585</v>
      </c>
      <c r="AR21" s="212">
        <v>25</v>
      </c>
      <c r="AS21" s="212" t="s">
        <v>585</v>
      </c>
      <c r="AT21" s="212" t="s">
        <v>585</v>
      </c>
      <c r="AU21" s="212" t="s">
        <v>585</v>
      </c>
      <c r="AV21" s="212" t="s">
        <v>585</v>
      </c>
      <c r="AW21" s="212" t="s">
        <v>585</v>
      </c>
      <c r="AX21" s="212" t="s">
        <v>585</v>
      </c>
      <c r="AY21" s="438">
        <v>25</v>
      </c>
      <c r="AZ21" s="439" t="s">
        <v>585</v>
      </c>
      <c r="BA21" s="212" t="s">
        <v>585</v>
      </c>
      <c r="BB21" s="212" t="s">
        <v>585</v>
      </c>
      <c r="BC21" s="212" t="s">
        <v>585</v>
      </c>
      <c r="BD21" s="212" t="s">
        <v>585</v>
      </c>
      <c r="BE21" s="212" t="s">
        <v>585</v>
      </c>
      <c r="BF21" s="440" t="s">
        <v>585</v>
      </c>
      <c r="BG21" s="209" t="s">
        <v>585</v>
      </c>
      <c r="BH21" s="209">
        <v>3</v>
      </c>
      <c r="BI21" s="209" t="s">
        <v>585</v>
      </c>
      <c r="BJ21" s="439">
        <v>15</v>
      </c>
      <c r="BK21" s="212" t="s">
        <v>585</v>
      </c>
      <c r="BL21" s="212" t="s">
        <v>585</v>
      </c>
      <c r="BM21" s="212" t="s">
        <v>585</v>
      </c>
      <c r="BN21" s="212" t="s">
        <v>585</v>
      </c>
      <c r="BO21" s="212" t="s">
        <v>585</v>
      </c>
      <c r="BP21" s="212" t="s">
        <v>585</v>
      </c>
      <c r="BQ21" s="440">
        <v>15</v>
      </c>
      <c r="BR21" s="437">
        <v>9</v>
      </c>
      <c r="BS21" s="212" t="s">
        <v>585</v>
      </c>
      <c r="BT21" s="212" t="s">
        <v>585</v>
      </c>
      <c r="BU21" s="212">
        <v>2171</v>
      </c>
      <c r="BV21" s="212" t="s">
        <v>585</v>
      </c>
      <c r="BW21" s="212" t="s">
        <v>585</v>
      </c>
      <c r="BX21" s="212">
        <v>43</v>
      </c>
      <c r="BY21" s="212" t="s">
        <v>585</v>
      </c>
      <c r="BZ21" s="212" t="s">
        <v>585</v>
      </c>
      <c r="CA21" s="212" t="s">
        <v>585</v>
      </c>
      <c r="CB21" s="212" t="s">
        <v>585</v>
      </c>
      <c r="CC21" s="438">
        <v>2223</v>
      </c>
      <c r="CD21" s="439" t="s">
        <v>585</v>
      </c>
      <c r="CE21" s="212" t="s">
        <v>585</v>
      </c>
      <c r="CF21" s="440" t="s">
        <v>585</v>
      </c>
      <c r="CG21" s="209" t="s">
        <v>585</v>
      </c>
      <c r="CH21" s="209" t="s">
        <v>585</v>
      </c>
      <c r="CI21" s="439">
        <v>9</v>
      </c>
      <c r="CJ21" s="212" t="s">
        <v>585</v>
      </c>
      <c r="CK21" s="212" t="s">
        <v>585</v>
      </c>
      <c r="CL21" s="440">
        <v>9</v>
      </c>
      <c r="CM21" s="209" t="s">
        <v>585</v>
      </c>
      <c r="CN21" s="439">
        <v>3</v>
      </c>
      <c r="CO21" s="212" t="s">
        <v>585</v>
      </c>
      <c r="CP21" s="440">
        <v>3</v>
      </c>
      <c r="CQ21" s="209">
        <v>3</v>
      </c>
      <c r="CR21" s="209" t="s">
        <v>585</v>
      </c>
      <c r="CS21" s="439" t="s">
        <v>585</v>
      </c>
      <c r="CT21" s="212" t="s">
        <v>585</v>
      </c>
      <c r="CU21" s="212" t="s">
        <v>585</v>
      </c>
      <c r="CV21" s="440" t="s">
        <v>585</v>
      </c>
      <c r="CW21" s="210">
        <v>3037</v>
      </c>
      <c r="CX21" s="270">
        <f>3037/538718</f>
        <v>5.6374578165199604E-3</v>
      </c>
      <c r="CY21" s="277"/>
      <c r="CZ21" s="277"/>
      <c r="DA21" s="277"/>
    </row>
    <row r="22" spans="1:105" s="101" customFormat="1" ht="13.5" thickBot="1" x14ac:dyDescent="0.25">
      <c r="A22" s="208"/>
      <c r="B22" s="113" t="s">
        <v>690</v>
      </c>
      <c r="C22" s="437" t="s">
        <v>585</v>
      </c>
      <c r="D22" s="212" t="s">
        <v>585</v>
      </c>
      <c r="E22" s="212">
        <v>20</v>
      </c>
      <c r="F22" s="438">
        <v>20</v>
      </c>
      <c r="G22" s="439">
        <v>46</v>
      </c>
      <c r="H22" s="212">
        <v>52</v>
      </c>
      <c r="I22" s="212">
        <v>4</v>
      </c>
      <c r="J22" s="212" t="s">
        <v>585</v>
      </c>
      <c r="K22" s="212" t="s">
        <v>585</v>
      </c>
      <c r="L22" s="440">
        <v>102</v>
      </c>
      <c r="M22" s="209" t="s">
        <v>585</v>
      </c>
      <c r="N22" s="439">
        <v>9903</v>
      </c>
      <c r="O22" s="212" t="s">
        <v>585</v>
      </c>
      <c r="P22" s="212" t="s">
        <v>585</v>
      </c>
      <c r="Q22" s="440">
        <v>9903</v>
      </c>
      <c r="R22" s="437" t="s">
        <v>585</v>
      </c>
      <c r="S22" s="212" t="s">
        <v>585</v>
      </c>
      <c r="T22" s="212" t="s">
        <v>585</v>
      </c>
      <c r="U22" s="438" t="s">
        <v>585</v>
      </c>
      <c r="V22" s="213" t="s">
        <v>585</v>
      </c>
      <c r="W22" s="209">
        <v>6</v>
      </c>
      <c r="X22" s="439">
        <v>130</v>
      </c>
      <c r="Y22" s="212" t="s">
        <v>585</v>
      </c>
      <c r="Z22" s="212">
        <v>1</v>
      </c>
      <c r="AA22" s="212" t="s">
        <v>585</v>
      </c>
      <c r="AB22" s="212" t="s">
        <v>585</v>
      </c>
      <c r="AC22" s="212" t="s">
        <v>585</v>
      </c>
      <c r="AD22" s="440">
        <v>131</v>
      </c>
      <c r="AE22" s="209">
        <v>4</v>
      </c>
      <c r="AF22" s="439">
        <v>194</v>
      </c>
      <c r="AG22" s="212" t="s">
        <v>585</v>
      </c>
      <c r="AH22" s="212" t="s">
        <v>585</v>
      </c>
      <c r="AI22" s="212" t="s">
        <v>585</v>
      </c>
      <c r="AJ22" s="212" t="s">
        <v>585</v>
      </c>
      <c r="AK22" s="212" t="s">
        <v>585</v>
      </c>
      <c r="AL22" s="212" t="s">
        <v>585</v>
      </c>
      <c r="AM22" s="212">
        <v>67</v>
      </c>
      <c r="AN22" s="212" t="s">
        <v>585</v>
      </c>
      <c r="AO22" s="212" t="s">
        <v>585</v>
      </c>
      <c r="AP22" s="440">
        <v>261</v>
      </c>
      <c r="AQ22" s="437" t="s">
        <v>585</v>
      </c>
      <c r="AR22" s="212">
        <v>306</v>
      </c>
      <c r="AS22" s="212" t="s">
        <v>585</v>
      </c>
      <c r="AT22" s="212" t="s">
        <v>585</v>
      </c>
      <c r="AU22" s="212" t="s">
        <v>585</v>
      </c>
      <c r="AV22" s="212" t="s">
        <v>585</v>
      </c>
      <c r="AW22" s="212" t="s">
        <v>585</v>
      </c>
      <c r="AX22" s="212" t="s">
        <v>585</v>
      </c>
      <c r="AY22" s="438">
        <v>306</v>
      </c>
      <c r="AZ22" s="439" t="s">
        <v>585</v>
      </c>
      <c r="BA22" s="212" t="s">
        <v>585</v>
      </c>
      <c r="BB22" s="212" t="s">
        <v>585</v>
      </c>
      <c r="BC22" s="212" t="s">
        <v>585</v>
      </c>
      <c r="BD22" s="212" t="s">
        <v>585</v>
      </c>
      <c r="BE22" s="212" t="s">
        <v>585</v>
      </c>
      <c r="BF22" s="440" t="s">
        <v>585</v>
      </c>
      <c r="BG22" s="209" t="s">
        <v>585</v>
      </c>
      <c r="BH22" s="209">
        <v>37</v>
      </c>
      <c r="BI22" s="209" t="s">
        <v>585</v>
      </c>
      <c r="BJ22" s="439">
        <v>28</v>
      </c>
      <c r="BK22" s="212" t="s">
        <v>585</v>
      </c>
      <c r="BL22" s="212">
        <v>2</v>
      </c>
      <c r="BM22" s="212">
        <v>29</v>
      </c>
      <c r="BN22" s="212" t="s">
        <v>585</v>
      </c>
      <c r="BO22" s="212" t="s">
        <v>585</v>
      </c>
      <c r="BP22" s="212" t="s">
        <v>585</v>
      </c>
      <c r="BQ22" s="440">
        <v>59</v>
      </c>
      <c r="BR22" s="437">
        <v>174</v>
      </c>
      <c r="BS22" s="212" t="s">
        <v>585</v>
      </c>
      <c r="BT22" s="212">
        <v>9</v>
      </c>
      <c r="BU22" s="212">
        <v>7291</v>
      </c>
      <c r="BV22" s="212" t="s">
        <v>585</v>
      </c>
      <c r="BW22" s="212" t="s">
        <v>585</v>
      </c>
      <c r="BX22" s="212">
        <v>185</v>
      </c>
      <c r="BY22" s="212" t="s">
        <v>585</v>
      </c>
      <c r="BZ22" s="212" t="s">
        <v>585</v>
      </c>
      <c r="CA22" s="212" t="s">
        <v>585</v>
      </c>
      <c r="CB22" s="212" t="s">
        <v>585</v>
      </c>
      <c r="CC22" s="438">
        <v>7659</v>
      </c>
      <c r="CD22" s="439" t="s">
        <v>585</v>
      </c>
      <c r="CE22" s="212" t="s">
        <v>585</v>
      </c>
      <c r="CF22" s="440" t="s">
        <v>585</v>
      </c>
      <c r="CG22" s="209" t="s">
        <v>585</v>
      </c>
      <c r="CH22" s="209">
        <v>1</v>
      </c>
      <c r="CI22" s="439">
        <v>26</v>
      </c>
      <c r="CJ22" s="212">
        <v>1</v>
      </c>
      <c r="CK22" s="212" t="s">
        <v>585</v>
      </c>
      <c r="CL22" s="440">
        <v>27</v>
      </c>
      <c r="CM22" s="209" t="s">
        <v>585</v>
      </c>
      <c r="CN22" s="439">
        <v>72</v>
      </c>
      <c r="CO22" s="212" t="s">
        <v>585</v>
      </c>
      <c r="CP22" s="440">
        <v>72</v>
      </c>
      <c r="CQ22" s="209">
        <v>4</v>
      </c>
      <c r="CR22" s="209">
        <v>2</v>
      </c>
      <c r="CS22" s="439" t="s">
        <v>585</v>
      </c>
      <c r="CT22" s="212">
        <v>1</v>
      </c>
      <c r="CU22" s="212" t="s">
        <v>585</v>
      </c>
      <c r="CV22" s="440">
        <v>1</v>
      </c>
      <c r="CW22" s="210">
        <v>18595</v>
      </c>
      <c r="CX22" s="270">
        <f>18595/538718</f>
        <v>3.4517131411981782E-2</v>
      </c>
      <c r="CY22" s="277"/>
      <c r="CZ22" s="277"/>
      <c r="DA22" s="277"/>
    </row>
    <row r="23" spans="1:105" x14ac:dyDescent="0.2">
      <c r="A23" s="208"/>
      <c r="B23" s="304" t="s">
        <v>35</v>
      </c>
      <c r="C23" s="414" t="s">
        <v>585</v>
      </c>
      <c r="D23" s="305" t="s">
        <v>585</v>
      </c>
      <c r="E23" s="305" t="s">
        <v>585</v>
      </c>
      <c r="F23" s="415" t="s">
        <v>585</v>
      </c>
      <c r="G23" s="416">
        <v>2</v>
      </c>
      <c r="H23" s="305" t="s">
        <v>585</v>
      </c>
      <c r="I23" s="305" t="s">
        <v>585</v>
      </c>
      <c r="J23" s="305" t="s">
        <v>585</v>
      </c>
      <c r="K23" s="305" t="s">
        <v>585</v>
      </c>
      <c r="L23" s="417">
        <v>2</v>
      </c>
      <c r="M23" s="307" t="s">
        <v>585</v>
      </c>
      <c r="N23" s="416">
        <v>6</v>
      </c>
      <c r="O23" s="305" t="s">
        <v>585</v>
      </c>
      <c r="P23" s="305" t="s">
        <v>585</v>
      </c>
      <c r="Q23" s="417">
        <v>6</v>
      </c>
      <c r="R23" s="414" t="s">
        <v>585</v>
      </c>
      <c r="S23" s="305" t="s">
        <v>585</v>
      </c>
      <c r="T23" s="305" t="s">
        <v>585</v>
      </c>
      <c r="U23" s="415" t="s">
        <v>585</v>
      </c>
      <c r="V23" s="306" t="s">
        <v>585</v>
      </c>
      <c r="W23" s="307" t="s">
        <v>585</v>
      </c>
      <c r="X23" s="416" t="s">
        <v>585</v>
      </c>
      <c r="Y23" s="305" t="s">
        <v>585</v>
      </c>
      <c r="Z23" s="305" t="s">
        <v>585</v>
      </c>
      <c r="AA23" s="305" t="s">
        <v>585</v>
      </c>
      <c r="AB23" s="305" t="s">
        <v>585</v>
      </c>
      <c r="AC23" s="305" t="s">
        <v>585</v>
      </c>
      <c r="AD23" s="417" t="s">
        <v>585</v>
      </c>
      <c r="AE23" s="307" t="s">
        <v>585</v>
      </c>
      <c r="AF23" s="416" t="s">
        <v>585</v>
      </c>
      <c r="AG23" s="305" t="s">
        <v>585</v>
      </c>
      <c r="AH23" s="305" t="s">
        <v>585</v>
      </c>
      <c r="AI23" s="305" t="s">
        <v>585</v>
      </c>
      <c r="AJ23" s="305" t="s">
        <v>585</v>
      </c>
      <c r="AK23" s="305" t="s">
        <v>585</v>
      </c>
      <c r="AL23" s="305" t="s">
        <v>585</v>
      </c>
      <c r="AM23" s="305" t="s">
        <v>585</v>
      </c>
      <c r="AN23" s="305" t="s">
        <v>585</v>
      </c>
      <c r="AO23" s="305" t="s">
        <v>585</v>
      </c>
      <c r="AP23" s="417" t="s">
        <v>585</v>
      </c>
      <c r="AQ23" s="414" t="s">
        <v>585</v>
      </c>
      <c r="AR23" s="305" t="s">
        <v>585</v>
      </c>
      <c r="AS23" s="305" t="s">
        <v>585</v>
      </c>
      <c r="AT23" s="305" t="s">
        <v>585</v>
      </c>
      <c r="AU23" s="305" t="s">
        <v>585</v>
      </c>
      <c r="AV23" s="305" t="s">
        <v>585</v>
      </c>
      <c r="AW23" s="305" t="s">
        <v>585</v>
      </c>
      <c r="AX23" s="305" t="s">
        <v>585</v>
      </c>
      <c r="AY23" s="415" t="s">
        <v>585</v>
      </c>
      <c r="AZ23" s="416" t="s">
        <v>585</v>
      </c>
      <c r="BA23" s="305" t="s">
        <v>585</v>
      </c>
      <c r="BB23" s="305" t="s">
        <v>585</v>
      </c>
      <c r="BC23" s="305" t="s">
        <v>585</v>
      </c>
      <c r="BD23" s="305" t="s">
        <v>585</v>
      </c>
      <c r="BE23" s="305" t="s">
        <v>585</v>
      </c>
      <c r="BF23" s="417" t="s">
        <v>585</v>
      </c>
      <c r="BG23" s="307" t="s">
        <v>585</v>
      </c>
      <c r="BH23" s="307" t="s">
        <v>585</v>
      </c>
      <c r="BI23" s="307" t="s">
        <v>585</v>
      </c>
      <c r="BJ23" s="416" t="s">
        <v>585</v>
      </c>
      <c r="BK23" s="305" t="s">
        <v>585</v>
      </c>
      <c r="BL23" s="305" t="s">
        <v>585</v>
      </c>
      <c r="BM23" s="305" t="s">
        <v>585</v>
      </c>
      <c r="BN23" s="305" t="s">
        <v>585</v>
      </c>
      <c r="BO23" s="305" t="s">
        <v>585</v>
      </c>
      <c r="BP23" s="305" t="s">
        <v>585</v>
      </c>
      <c r="BQ23" s="417" t="s">
        <v>585</v>
      </c>
      <c r="BR23" s="414" t="s">
        <v>585</v>
      </c>
      <c r="BS23" s="305" t="s">
        <v>585</v>
      </c>
      <c r="BT23" s="305" t="s">
        <v>585</v>
      </c>
      <c r="BU23" s="305">
        <v>7</v>
      </c>
      <c r="BV23" s="305" t="s">
        <v>585</v>
      </c>
      <c r="BW23" s="305" t="s">
        <v>585</v>
      </c>
      <c r="BX23" s="305" t="s">
        <v>585</v>
      </c>
      <c r="BY23" s="305" t="s">
        <v>585</v>
      </c>
      <c r="BZ23" s="305" t="s">
        <v>585</v>
      </c>
      <c r="CA23" s="305" t="s">
        <v>585</v>
      </c>
      <c r="CB23" s="305" t="s">
        <v>585</v>
      </c>
      <c r="CC23" s="415">
        <v>7</v>
      </c>
      <c r="CD23" s="416" t="s">
        <v>585</v>
      </c>
      <c r="CE23" s="305" t="s">
        <v>585</v>
      </c>
      <c r="CF23" s="417" t="s">
        <v>585</v>
      </c>
      <c r="CG23" s="307" t="s">
        <v>585</v>
      </c>
      <c r="CH23" s="307" t="s">
        <v>585</v>
      </c>
      <c r="CI23" s="416" t="s">
        <v>585</v>
      </c>
      <c r="CJ23" s="305" t="s">
        <v>585</v>
      </c>
      <c r="CK23" s="305" t="s">
        <v>585</v>
      </c>
      <c r="CL23" s="417" t="s">
        <v>585</v>
      </c>
      <c r="CM23" s="307" t="s">
        <v>585</v>
      </c>
      <c r="CN23" s="416" t="s">
        <v>585</v>
      </c>
      <c r="CO23" s="305" t="s">
        <v>585</v>
      </c>
      <c r="CP23" s="417" t="s">
        <v>585</v>
      </c>
      <c r="CQ23" s="307" t="s">
        <v>585</v>
      </c>
      <c r="CR23" s="307" t="s">
        <v>585</v>
      </c>
      <c r="CS23" s="416" t="s">
        <v>585</v>
      </c>
      <c r="CT23" s="305" t="s">
        <v>585</v>
      </c>
      <c r="CU23" s="305" t="s">
        <v>585</v>
      </c>
      <c r="CV23" s="417" t="s">
        <v>585</v>
      </c>
      <c r="CW23" s="418">
        <v>15</v>
      </c>
      <c r="CX23" s="308">
        <f>15/538718</f>
        <v>2.7843881214290222E-5</v>
      </c>
      <c r="CY23" s="276"/>
      <c r="CZ23" s="276"/>
      <c r="DA23" s="276"/>
    </row>
    <row r="24" spans="1:105" x14ac:dyDescent="0.2">
      <c r="A24" s="208"/>
      <c r="B24" s="410" t="s">
        <v>48</v>
      </c>
      <c r="C24" s="419" t="s">
        <v>585</v>
      </c>
      <c r="D24" s="420" t="s">
        <v>585</v>
      </c>
      <c r="E24" s="420" t="s">
        <v>585</v>
      </c>
      <c r="F24" s="421" t="s">
        <v>585</v>
      </c>
      <c r="G24" s="422" t="s">
        <v>585</v>
      </c>
      <c r="H24" s="420" t="s">
        <v>585</v>
      </c>
      <c r="I24" s="420" t="s">
        <v>585</v>
      </c>
      <c r="J24" s="420" t="s">
        <v>585</v>
      </c>
      <c r="K24" s="420" t="s">
        <v>585</v>
      </c>
      <c r="L24" s="423" t="s">
        <v>585</v>
      </c>
      <c r="M24" s="424" t="s">
        <v>585</v>
      </c>
      <c r="N24" s="422">
        <v>3</v>
      </c>
      <c r="O24" s="420" t="s">
        <v>585</v>
      </c>
      <c r="P24" s="420" t="s">
        <v>585</v>
      </c>
      <c r="Q24" s="423">
        <v>3</v>
      </c>
      <c r="R24" s="419" t="s">
        <v>585</v>
      </c>
      <c r="S24" s="420" t="s">
        <v>585</v>
      </c>
      <c r="T24" s="420" t="s">
        <v>585</v>
      </c>
      <c r="U24" s="421" t="s">
        <v>585</v>
      </c>
      <c r="V24" s="425" t="s">
        <v>585</v>
      </c>
      <c r="W24" s="424">
        <v>1</v>
      </c>
      <c r="X24" s="422" t="s">
        <v>585</v>
      </c>
      <c r="Y24" s="420" t="s">
        <v>585</v>
      </c>
      <c r="Z24" s="420" t="s">
        <v>585</v>
      </c>
      <c r="AA24" s="420" t="s">
        <v>585</v>
      </c>
      <c r="AB24" s="420" t="s">
        <v>585</v>
      </c>
      <c r="AC24" s="420" t="s">
        <v>585</v>
      </c>
      <c r="AD24" s="423" t="s">
        <v>585</v>
      </c>
      <c r="AE24" s="424" t="s">
        <v>585</v>
      </c>
      <c r="AF24" s="422">
        <v>1</v>
      </c>
      <c r="AG24" s="420" t="s">
        <v>585</v>
      </c>
      <c r="AH24" s="420" t="s">
        <v>585</v>
      </c>
      <c r="AI24" s="420" t="s">
        <v>585</v>
      </c>
      <c r="AJ24" s="420" t="s">
        <v>585</v>
      </c>
      <c r="AK24" s="420" t="s">
        <v>585</v>
      </c>
      <c r="AL24" s="420" t="s">
        <v>585</v>
      </c>
      <c r="AM24" s="420" t="s">
        <v>585</v>
      </c>
      <c r="AN24" s="420" t="s">
        <v>585</v>
      </c>
      <c r="AO24" s="420" t="s">
        <v>585</v>
      </c>
      <c r="AP24" s="423">
        <v>1</v>
      </c>
      <c r="AQ24" s="419" t="s">
        <v>585</v>
      </c>
      <c r="AR24" s="420" t="s">
        <v>585</v>
      </c>
      <c r="AS24" s="420" t="s">
        <v>585</v>
      </c>
      <c r="AT24" s="420" t="s">
        <v>585</v>
      </c>
      <c r="AU24" s="420" t="s">
        <v>585</v>
      </c>
      <c r="AV24" s="420" t="s">
        <v>585</v>
      </c>
      <c r="AW24" s="420" t="s">
        <v>585</v>
      </c>
      <c r="AX24" s="420" t="s">
        <v>585</v>
      </c>
      <c r="AY24" s="421" t="s">
        <v>585</v>
      </c>
      <c r="AZ24" s="422" t="s">
        <v>585</v>
      </c>
      <c r="BA24" s="420" t="s">
        <v>585</v>
      </c>
      <c r="BB24" s="420" t="s">
        <v>585</v>
      </c>
      <c r="BC24" s="420" t="s">
        <v>585</v>
      </c>
      <c r="BD24" s="420" t="s">
        <v>585</v>
      </c>
      <c r="BE24" s="420" t="s">
        <v>585</v>
      </c>
      <c r="BF24" s="423" t="s">
        <v>585</v>
      </c>
      <c r="BG24" s="424" t="s">
        <v>585</v>
      </c>
      <c r="BH24" s="424" t="s">
        <v>585</v>
      </c>
      <c r="BI24" s="424" t="s">
        <v>585</v>
      </c>
      <c r="BJ24" s="422" t="s">
        <v>585</v>
      </c>
      <c r="BK24" s="420" t="s">
        <v>585</v>
      </c>
      <c r="BL24" s="420" t="s">
        <v>585</v>
      </c>
      <c r="BM24" s="420" t="s">
        <v>585</v>
      </c>
      <c r="BN24" s="420" t="s">
        <v>585</v>
      </c>
      <c r="BO24" s="420" t="s">
        <v>585</v>
      </c>
      <c r="BP24" s="420" t="s">
        <v>585</v>
      </c>
      <c r="BQ24" s="423" t="s">
        <v>585</v>
      </c>
      <c r="BR24" s="419" t="s">
        <v>585</v>
      </c>
      <c r="BS24" s="420" t="s">
        <v>585</v>
      </c>
      <c r="BT24" s="420" t="s">
        <v>585</v>
      </c>
      <c r="BU24" s="420">
        <v>1</v>
      </c>
      <c r="BV24" s="420" t="s">
        <v>585</v>
      </c>
      <c r="BW24" s="420" t="s">
        <v>585</v>
      </c>
      <c r="BX24" s="420" t="s">
        <v>585</v>
      </c>
      <c r="BY24" s="420" t="s">
        <v>585</v>
      </c>
      <c r="BZ24" s="420" t="s">
        <v>585</v>
      </c>
      <c r="CA24" s="420" t="s">
        <v>585</v>
      </c>
      <c r="CB24" s="420" t="s">
        <v>585</v>
      </c>
      <c r="CC24" s="421">
        <v>1</v>
      </c>
      <c r="CD24" s="422" t="s">
        <v>585</v>
      </c>
      <c r="CE24" s="420" t="s">
        <v>585</v>
      </c>
      <c r="CF24" s="423" t="s">
        <v>585</v>
      </c>
      <c r="CG24" s="424" t="s">
        <v>585</v>
      </c>
      <c r="CH24" s="424" t="s">
        <v>585</v>
      </c>
      <c r="CI24" s="422" t="s">
        <v>585</v>
      </c>
      <c r="CJ24" s="420" t="s">
        <v>585</v>
      </c>
      <c r="CK24" s="420" t="s">
        <v>585</v>
      </c>
      <c r="CL24" s="423" t="s">
        <v>585</v>
      </c>
      <c r="CM24" s="424" t="s">
        <v>585</v>
      </c>
      <c r="CN24" s="422" t="s">
        <v>585</v>
      </c>
      <c r="CO24" s="420" t="s">
        <v>585</v>
      </c>
      <c r="CP24" s="423" t="s">
        <v>585</v>
      </c>
      <c r="CQ24" s="424" t="s">
        <v>585</v>
      </c>
      <c r="CR24" s="424" t="s">
        <v>585</v>
      </c>
      <c r="CS24" s="422" t="s">
        <v>585</v>
      </c>
      <c r="CT24" s="420" t="s">
        <v>585</v>
      </c>
      <c r="CU24" s="420" t="s">
        <v>585</v>
      </c>
      <c r="CV24" s="423" t="s">
        <v>585</v>
      </c>
      <c r="CW24" s="426">
        <v>6</v>
      </c>
      <c r="CX24" s="427">
        <f>6/538718</f>
        <v>1.1137552485716089E-5</v>
      </c>
      <c r="CY24" s="276"/>
      <c r="CZ24" s="276"/>
      <c r="DA24" s="276"/>
    </row>
    <row r="25" spans="1:105" x14ac:dyDescent="0.2">
      <c r="A25" s="208"/>
      <c r="B25" s="410" t="s">
        <v>111</v>
      </c>
      <c r="C25" s="419" t="s">
        <v>585</v>
      </c>
      <c r="D25" s="420" t="s">
        <v>585</v>
      </c>
      <c r="E25" s="420" t="s">
        <v>585</v>
      </c>
      <c r="F25" s="421" t="s">
        <v>585</v>
      </c>
      <c r="G25" s="422">
        <v>105</v>
      </c>
      <c r="H25" s="420" t="s">
        <v>585</v>
      </c>
      <c r="I25" s="420" t="s">
        <v>585</v>
      </c>
      <c r="J25" s="420" t="s">
        <v>585</v>
      </c>
      <c r="K25" s="420" t="s">
        <v>585</v>
      </c>
      <c r="L25" s="423">
        <v>105</v>
      </c>
      <c r="M25" s="424" t="s">
        <v>585</v>
      </c>
      <c r="N25" s="422" t="s">
        <v>585</v>
      </c>
      <c r="O25" s="420" t="s">
        <v>585</v>
      </c>
      <c r="P25" s="420" t="s">
        <v>585</v>
      </c>
      <c r="Q25" s="423" t="s">
        <v>585</v>
      </c>
      <c r="R25" s="419" t="s">
        <v>585</v>
      </c>
      <c r="S25" s="420" t="s">
        <v>585</v>
      </c>
      <c r="T25" s="420" t="s">
        <v>585</v>
      </c>
      <c r="U25" s="421" t="s">
        <v>585</v>
      </c>
      <c r="V25" s="425" t="s">
        <v>585</v>
      </c>
      <c r="W25" s="424" t="s">
        <v>585</v>
      </c>
      <c r="X25" s="422" t="s">
        <v>585</v>
      </c>
      <c r="Y25" s="420" t="s">
        <v>585</v>
      </c>
      <c r="Z25" s="420" t="s">
        <v>585</v>
      </c>
      <c r="AA25" s="420" t="s">
        <v>585</v>
      </c>
      <c r="AB25" s="420" t="s">
        <v>585</v>
      </c>
      <c r="AC25" s="420" t="s">
        <v>585</v>
      </c>
      <c r="AD25" s="423" t="s">
        <v>585</v>
      </c>
      <c r="AE25" s="424" t="s">
        <v>585</v>
      </c>
      <c r="AF25" s="422" t="s">
        <v>585</v>
      </c>
      <c r="AG25" s="420" t="s">
        <v>585</v>
      </c>
      <c r="AH25" s="420" t="s">
        <v>585</v>
      </c>
      <c r="AI25" s="420" t="s">
        <v>585</v>
      </c>
      <c r="AJ25" s="420" t="s">
        <v>585</v>
      </c>
      <c r="AK25" s="420" t="s">
        <v>585</v>
      </c>
      <c r="AL25" s="420" t="s">
        <v>585</v>
      </c>
      <c r="AM25" s="420" t="s">
        <v>585</v>
      </c>
      <c r="AN25" s="420" t="s">
        <v>585</v>
      </c>
      <c r="AO25" s="420" t="s">
        <v>585</v>
      </c>
      <c r="AP25" s="423" t="s">
        <v>585</v>
      </c>
      <c r="AQ25" s="419" t="s">
        <v>585</v>
      </c>
      <c r="AR25" s="420" t="s">
        <v>585</v>
      </c>
      <c r="AS25" s="420" t="s">
        <v>585</v>
      </c>
      <c r="AT25" s="420" t="s">
        <v>585</v>
      </c>
      <c r="AU25" s="420" t="s">
        <v>585</v>
      </c>
      <c r="AV25" s="420" t="s">
        <v>585</v>
      </c>
      <c r="AW25" s="420" t="s">
        <v>585</v>
      </c>
      <c r="AX25" s="420" t="s">
        <v>585</v>
      </c>
      <c r="AY25" s="421" t="s">
        <v>585</v>
      </c>
      <c r="AZ25" s="422" t="s">
        <v>585</v>
      </c>
      <c r="BA25" s="420" t="s">
        <v>585</v>
      </c>
      <c r="BB25" s="420" t="s">
        <v>585</v>
      </c>
      <c r="BC25" s="420" t="s">
        <v>585</v>
      </c>
      <c r="BD25" s="420" t="s">
        <v>585</v>
      </c>
      <c r="BE25" s="420" t="s">
        <v>585</v>
      </c>
      <c r="BF25" s="423" t="s">
        <v>585</v>
      </c>
      <c r="BG25" s="424" t="s">
        <v>585</v>
      </c>
      <c r="BH25" s="424" t="s">
        <v>585</v>
      </c>
      <c r="BI25" s="424" t="s">
        <v>585</v>
      </c>
      <c r="BJ25" s="422" t="s">
        <v>585</v>
      </c>
      <c r="BK25" s="420" t="s">
        <v>585</v>
      </c>
      <c r="BL25" s="420" t="s">
        <v>585</v>
      </c>
      <c r="BM25" s="420" t="s">
        <v>585</v>
      </c>
      <c r="BN25" s="420" t="s">
        <v>585</v>
      </c>
      <c r="BO25" s="420" t="s">
        <v>585</v>
      </c>
      <c r="BP25" s="420" t="s">
        <v>585</v>
      </c>
      <c r="BQ25" s="423" t="s">
        <v>585</v>
      </c>
      <c r="BR25" s="419">
        <v>4</v>
      </c>
      <c r="BS25" s="420" t="s">
        <v>585</v>
      </c>
      <c r="BT25" s="420">
        <v>1</v>
      </c>
      <c r="BU25" s="420">
        <v>137</v>
      </c>
      <c r="BV25" s="420" t="s">
        <v>585</v>
      </c>
      <c r="BW25" s="420" t="s">
        <v>585</v>
      </c>
      <c r="BX25" s="420">
        <v>72</v>
      </c>
      <c r="BY25" s="420" t="s">
        <v>585</v>
      </c>
      <c r="BZ25" s="420" t="s">
        <v>585</v>
      </c>
      <c r="CA25" s="420" t="s">
        <v>585</v>
      </c>
      <c r="CB25" s="420" t="s">
        <v>585</v>
      </c>
      <c r="CC25" s="421">
        <v>214</v>
      </c>
      <c r="CD25" s="422" t="s">
        <v>585</v>
      </c>
      <c r="CE25" s="420" t="s">
        <v>585</v>
      </c>
      <c r="CF25" s="423" t="s">
        <v>585</v>
      </c>
      <c r="CG25" s="424" t="s">
        <v>585</v>
      </c>
      <c r="CH25" s="424">
        <v>6</v>
      </c>
      <c r="CI25" s="422">
        <v>1</v>
      </c>
      <c r="CJ25" s="420" t="s">
        <v>585</v>
      </c>
      <c r="CK25" s="420" t="s">
        <v>585</v>
      </c>
      <c r="CL25" s="423">
        <v>1</v>
      </c>
      <c r="CM25" s="424" t="s">
        <v>585</v>
      </c>
      <c r="CN25" s="422">
        <v>2</v>
      </c>
      <c r="CO25" s="420" t="s">
        <v>585</v>
      </c>
      <c r="CP25" s="423">
        <v>2</v>
      </c>
      <c r="CQ25" s="424" t="s">
        <v>585</v>
      </c>
      <c r="CR25" s="424" t="s">
        <v>585</v>
      </c>
      <c r="CS25" s="422" t="s">
        <v>585</v>
      </c>
      <c r="CT25" s="420" t="s">
        <v>585</v>
      </c>
      <c r="CU25" s="420" t="s">
        <v>585</v>
      </c>
      <c r="CV25" s="423" t="s">
        <v>585</v>
      </c>
      <c r="CW25" s="426">
        <v>328</v>
      </c>
      <c r="CX25" s="427">
        <f>328/538718</f>
        <v>6.0885286921914621E-4</v>
      </c>
      <c r="CY25" s="276"/>
      <c r="CZ25" s="276"/>
      <c r="DA25" s="276"/>
    </row>
    <row r="26" spans="1:105" x14ac:dyDescent="0.2">
      <c r="A26" s="208"/>
      <c r="B26" s="410" t="s">
        <v>117</v>
      </c>
      <c r="C26" s="419" t="s">
        <v>585</v>
      </c>
      <c r="D26" s="420" t="s">
        <v>585</v>
      </c>
      <c r="E26" s="420" t="s">
        <v>585</v>
      </c>
      <c r="F26" s="421" t="s">
        <v>585</v>
      </c>
      <c r="G26" s="422">
        <v>2</v>
      </c>
      <c r="H26" s="420" t="s">
        <v>585</v>
      </c>
      <c r="I26" s="420">
        <v>3</v>
      </c>
      <c r="J26" s="420" t="s">
        <v>585</v>
      </c>
      <c r="K26" s="420" t="s">
        <v>585</v>
      </c>
      <c r="L26" s="423">
        <v>5</v>
      </c>
      <c r="M26" s="424" t="s">
        <v>585</v>
      </c>
      <c r="N26" s="422">
        <v>297</v>
      </c>
      <c r="O26" s="420" t="s">
        <v>585</v>
      </c>
      <c r="P26" s="420" t="s">
        <v>585</v>
      </c>
      <c r="Q26" s="423">
        <v>297</v>
      </c>
      <c r="R26" s="419" t="s">
        <v>585</v>
      </c>
      <c r="S26" s="420" t="s">
        <v>585</v>
      </c>
      <c r="T26" s="420" t="s">
        <v>585</v>
      </c>
      <c r="U26" s="421" t="s">
        <v>585</v>
      </c>
      <c r="V26" s="425" t="s">
        <v>585</v>
      </c>
      <c r="W26" s="424">
        <v>1</v>
      </c>
      <c r="X26" s="422">
        <v>3</v>
      </c>
      <c r="Y26" s="420" t="s">
        <v>585</v>
      </c>
      <c r="Z26" s="420" t="s">
        <v>585</v>
      </c>
      <c r="AA26" s="420" t="s">
        <v>585</v>
      </c>
      <c r="AB26" s="420" t="s">
        <v>585</v>
      </c>
      <c r="AC26" s="420" t="s">
        <v>585</v>
      </c>
      <c r="AD26" s="423">
        <v>3</v>
      </c>
      <c r="AE26" s="424" t="s">
        <v>585</v>
      </c>
      <c r="AF26" s="422">
        <v>3</v>
      </c>
      <c r="AG26" s="420" t="s">
        <v>585</v>
      </c>
      <c r="AH26" s="420" t="s">
        <v>585</v>
      </c>
      <c r="AI26" s="420" t="s">
        <v>585</v>
      </c>
      <c r="AJ26" s="420" t="s">
        <v>585</v>
      </c>
      <c r="AK26" s="420" t="s">
        <v>585</v>
      </c>
      <c r="AL26" s="420" t="s">
        <v>585</v>
      </c>
      <c r="AM26" s="420" t="s">
        <v>585</v>
      </c>
      <c r="AN26" s="420" t="s">
        <v>585</v>
      </c>
      <c r="AO26" s="420" t="s">
        <v>585</v>
      </c>
      <c r="AP26" s="423">
        <v>3</v>
      </c>
      <c r="AQ26" s="419" t="s">
        <v>585</v>
      </c>
      <c r="AR26" s="420">
        <v>7</v>
      </c>
      <c r="AS26" s="420" t="s">
        <v>585</v>
      </c>
      <c r="AT26" s="420" t="s">
        <v>585</v>
      </c>
      <c r="AU26" s="420" t="s">
        <v>585</v>
      </c>
      <c r="AV26" s="420" t="s">
        <v>585</v>
      </c>
      <c r="AW26" s="420" t="s">
        <v>585</v>
      </c>
      <c r="AX26" s="420" t="s">
        <v>585</v>
      </c>
      <c r="AY26" s="421">
        <v>7</v>
      </c>
      <c r="AZ26" s="422" t="s">
        <v>585</v>
      </c>
      <c r="BA26" s="420" t="s">
        <v>585</v>
      </c>
      <c r="BB26" s="420" t="s">
        <v>585</v>
      </c>
      <c r="BC26" s="420" t="s">
        <v>585</v>
      </c>
      <c r="BD26" s="420" t="s">
        <v>585</v>
      </c>
      <c r="BE26" s="420" t="s">
        <v>585</v>
      </c>
      <c r="BF26" s="423" t="s">
        <v>585</v>
      </c>
      <c r="BG26" s="424" t="s">
        <v>585</v>
      </c>
      <c r="BH26" s="424" t="s">
        <v>585</v>
      </c>
      <c r="BI26" s="424" t="s">
        <v>585</v>
      </c>
      <c r="BJ26" s="422">
        <v>37</v>
      </c>
      <c r="BK26" s="420" t="s">
        <v>585</v>
      </c>
      <c r="BL26" s="420" t="s">
        <v>585</v>
      </c>
      <c r="BM26" s="420" t="s">
        <v>585</v>
      </c>
      <c r="BN26" s="420" t="s">
        <v>585</v>
      </c>
      <c r="BO26" s="420" t="s">
        <v>585</v>
      </c>
      <c r="BP26" s="420" t="s">
        <v>585</v>
      </c>
      <c r="BQ26" s="423">
        <v>37</v>
      </c>
      <c r="BR26" s="419">
        <v>2066</v>
      </c>
      <c r="BS26" s="420" t="s">
        <v>585</v>
      </c>
      <c r="BT26" s="420">
        <v>8</v>
      </c>
      <c r="BU26" s="420">
        <v>2920</v>
      </c>
      <c r="BV26" s="420" t="s">
        <v>585</v>
      </c>
      <c r="BW26" s="420" t="s">
        <v>585</v>
      </c>
      <c r="BX26" s="420">
        <v>447</v>
      </c>
      <c r="BY26" s="420" t="s">
        <v>585</v>
      </c>
      <c r="BZ26" s="420" t="s">
        <v>585</v>
      </c>
      <c r="CA26" s="420" t="s">
        <v>585</v>
      </c>
      <c r="CB26" s="420" t="s">
        <v>585</v>
      </c>
      <c r="CC26" s="421">
        <v>5441</v>
      </c>
      <c r="CD26" s="422" t="s">
        <v>585</v>
      </c>
      <c r="CE26" s="420" t="s">
        <v>585</v>
      </c>
      <c r="CF26" s="423" t="s">
        <v>585</v>
      </c>
      <c r="CG26" s="424" t="s">
        <v>585</v>
      </c>
      <c r="CH26" s="424" t="s">
        <v>585</v>
      </c>
      <c r="CI26" s="422">
        <v>4</v>
      </c>
      <c r="CJ26" s="420" t="s">
        <v>585</v>
      </c>
      <c r="CK26" s="420" t="s">
        <v>585</v>
      </c>
      <c r="CL26" s="423">
        <v>4</v>
      </c>
      <c r="CM26" s="424" t="s">
        <v>585</v>
      </c>
      <c r="CN26" s="422" t="s">
        <v>585</v>
      </c>
      <c r="CO26" s="420" t="s">
        <v>585</v>
      </c>
      <c r="CP26" s="423" t="s">
        <v>585</v>
      </c>
      <c r="CQ26" s="424" t="s">
        <v>585</v>
      </c>
      <c r="CR26" s="424" t="s">
        <v>585</v>
      </c>
      <c r="CS26" s="422" t="s">
        <v>585</v>
      </c>
      <c r="CT26" s="420" t="s">
        <v>585</v>
      </c>
      <c r="CU26" s="420" t="s">
        <v>585</v>
      </c>
      <c r="CV26" s="423" t="s">
        <v>585</v>
      </c>
      <c r="CW26" s="426">
        <v>5798</v>
      </c>
      <c r="CX26" s="427">
        <f>5798/538718</f>
        <v>1.0762588218696981E-2</v>
      </c>
      <c r="CY26" s="276"/>
      <c r="CZ26" s="276"/>
      <c r="DA26" s="276"/>
    </row>
    <row r="27" spans="1:105" x14ac:dyDescent="0.2">
      <c r="A27" s="208"/>
      <c r="B27" s="410" t="s">
        <v>129</v>
      </c>
      <c r="C27" s="419" t="s">
        <v>585</v>
      </c>
      <c r="D27" s="420" t="s">
        <v>585</v>
      </c>
      <c r="E27" s="420" t="s">
        <v>585</v>
      </c>
      <c r="F27" s="421" t="s">
        <v>585</v>
      </c>
      <c r="G27" s="422" t="s">
        <v>585</v>
      </c>
      <c r="H27" s="420" t="s">
        <v>585</v>
      </c>
      <c r="I27" s="420" t="s">
        <v>585</v>
      </c>
      <c r="J27" s="420" t="s">
        <v>585</v>
      </c>
      <c r="K27" s="420" t="s">
        <v>585</v>
      </c>
      <c r="L27" s="423">
        <v>0</v>
      </c>
      <c r="M27" s="424" t="s">
        <v>585</v>
      </c>
      <c r="N27" s="422">
        <v>2</v>
      </c>
      <c r="O27" s="420" t="s">
        <v>585</v>
      </c>
      <c r="P27" s="420" t="s">
        <v>585</v>
      </c>
      <c r="Q27" s="423">
        <v>2</v>
      </c>
      <c r="R27" s="419" t="s">
        <v>585</v>
      </c>
      <c r="S27" s="420" t="s">
        <v>585</v>
      </c>
      <c r="T27" s="420" t="s">
        <v>585</v>
      </c>
      <c r="U27" s="421" t="s">
        <v>585</v>
      </c>
      <c r="V27" s="425" t="s">
        <v>585</v>
      </c>
      <c r="W27" s="424" t="s">
        <v>585</v>
      </c>
      <c r="X27" s="422" t="s">
        <v>585</v>
      </c>
      <c r="Y27" s="420" t="s">
        <v>585</v>
      </c>
      <c r="Z27" s="420" t="s">
        <v>585</v>
      </c>
      <c r="AA27" s="420" t="s">
        <v>585</v>
      </c>
      <c r="AB27" s="420" t="s">
        <v>585</v>
      </c>
      <c r="AC27" s="420" t="s">
        <v>585</v>
      </c>
      <c r="AD27" s="423" t="s">
        <v>585</v>
      </c>
      <c r="AE27" s="424" t="s">
        <v>585</v>
      </c>
      <c r="AF27" s="422" t="s">
        <v>585</v>
      </c>
      <c r="AG27" s="420" t="s">
        <v>585</v>
      </c>
      <c r="AH27" s="420" t="s">
        <v>585</v>
      </c>
      <c r="AI27" s="420" t="s">
        <v>585</v>
      </c>
      <c r="AJ27" s="420" t="s">
        <v>585</v>
      </c>
      <c r="AK27" s="420" t="s">
        <v>585</v>
      </c>
      <c r="AL27" s="420" t="s">
        <v>585</v>
      </c>
      <c r="AM27" s="420" t="s">
        <v>585</v>
      </c>
      <c r="AN27" s="420" t="s">
        <v>585</v>
      </c>
      <c r="AO27" s="420" t="s">
        <v>585</v>
      </c>
      <c r="AP27" s="423" t="s">
        <v>585</v>
      </c>
      <c r="AQ27" s="419" t="s">
        <v>585</v>
      </c>
      <c r="AR27" s="420">
        <v>0</v>
      </c>
      <c r="AS27" s="420" t="s">
        <v>585</v>
      </c>
      <c r="AT27" s="420" t="s">
        <v>585</v>
      </c>
      <c r="AU27" s="420" t="s">
        <v>585</v>
      </c>
      <c r="AV27" s="420" t="s">
        <v>585</v>
      </c>
      <c r="AW27" s="420" t="s">
        <v>585</v>
      </c>
      <c r="AX27" s="420" t="s">
        <v>585</v>
      </c>
      <c r="AY27" s="421" t="s">
        <v>585</v>
      </c>
      <c r="AZ27" s="422" t="s">
        <v>585</v>
      </c>
      <c r="BA27" s="420" t="s">
        <v>585</v>
      </c>
      <c r="BB27" s="420" t="s">
        <v>585</v>
      </c>
      <c r="BC27" s="420" t="s">
        <v>585</v>
      </c>
      <c r="BD27" s="420" t="s">
        <v>585</v>
      </c>
      <c r="BE27" s="420" t="s">
        <v>585</v>
      </c>
      <c r="BF27" s="423" t="s">
        <v>585</v>
      </c>
      <c r="BG27" s="424" t="s">
        <v>585</v>
      </c>
      <c r="BH27" s="424" t="s">
        <v>585</v>
      </c>
      <c r="BI27" s="424" t="s">
        <v>585</v>
      </c>
      <c r="BJ27" s="422" t="s">
        <v>585</v>
      </c>
      <c r="BK27" s="420" t="s">
        <v>585</v>
      </c>
      <c r="BL27" s="420" t="s">
        <v>585</v>
      </c>
      <c r="BM27" s="420" t="s">
        <v>585</v>
      </c>
      <c r="BN27" s="420" t="s">
        <v>585</v>
      </c>
      <c r="BO27" s="420" t="s">
        <v>585</v>
      </c>
      <c r="BP27" s="420" t="s">
        <v>585</v>
      </c>
      <c r="BQ27" s="423" t="s">
        <v>585</v>
      </c>
      <c r="BR27" s="419" t="s">
        <v>585</v>
      </c>
      <c r="BS27" s="420" t="s">
        <v>585</v>
      </c>
      <c r="BT27" s="420" t="s">
        <v>585</v>
      </c>
      <c r="BU27" s="420" t="s">
        <v>585</v>
      </c>
      <c r="BV27" s="420" t="s">
        <v>585</v>
      </c>
      <c r="BW27" s="420" t="s">
        <v>585</v>
      </c>
      <c r="BX27" s="420" t="s">
        <v>585</v>
      </c>
      <c r="BY27" s="420" t="s">
        <v>585</v>
      </c>
      <c r="BZ27" s="420" t="s">
        <v>585</v>
      </c>
      <c r="CA27" s="420" t="s">
        <v>585</v>
      </c>
      <c r="CB27" s="420" t="s">
        <v>585</v>
      </c>
      <c r="CC27" s="421" t="s">
        <v>585</v>
      </c>
      <c r="CD27" s="422" t="s">
        <v>585</v>
      </c>
      <c r="CE27" s="420" t="s">
        <v>585</v>
      </c>
      <c r="CF27" s="423" t="s">
        <v>585</v>
      </c>
      <c r="CG27" s="424" t="s">
        <v>585</v>
      </c>
      <c r="CH27" s="424" t="s">
        <v>585</v>
      </c>
      <c r="CI27" s="422" t="s">
        <v>585</v>
      </c>
      <c r="CJ27" s="420" t="s">
        <v>585</v>
      </c>
      <c r="CK27" s="420" t="s">
        <v>585</v>
      </c>
      <c r="CL27" s="423" t="s">
        <v>585</v>
      </c>
      <c r="CM27" s="424" t="s">
        <v>585</v>
      </c>
      <c r="CN27" s="422" t="s">
        <v>585</v>
      </c>
      <c r="CO27" s="420" t="s">
        <v>585</v>
      </c>
      <c r="CP27" s="423" t="s">
        <v>585</v>
      </c>
      <c r="CQ27" s="424" t="s">
        <v>585</v>
      </c>
      <c r="CR27" s="424" t="s">
        <v>585</v>
      </c>
      <c r="CS27" s="422" t="s">
        <v>585</v>
      </c>
      <c r="CT27" s="420" t="s">
        <v>585</v>
      </c>
      <c r="CU27" s="420" t="s">
        <v>585</v>
      </c>
      <c r="CV27" s="423" t="s">
        <v>585</v>
      </c>
      <c r="CW27" s="426">
        <v>2</v>
      </c>
      <c r="CX27" s="427">
        <f>2/538718</f>
        <v>3.7125174952386965E-6</v>
      </c>
      <c r="CY27" s="276"/>
      <c r="CZ27" s="276"/>
      <c r="DA27" s="276"/>
    </row>
    <row r="28" spans="1:105" x14ac:dyDescent="0.2">
      <c r="A28" s="208"/>
      <c r="B28" s="410" t="s">
        <v>140</v>
      </c>
      <c r="C28" s="419" t="s">
        <v>585</v>
      </c>
      <c r="D28" s="420" t="s">
        <v>585</v>
      </c>
      <c r="E28" s="420" t="s">
        <v>585</v>
      </c>
      <c r="F28" s="421" t="s">
        <v>585</v>
      </c>
      <c r="G28" s="422">
        <v>17</v>
      </c>
      <c r="H28" s="420" t="s">
        <v>585</v>
      </c>
      <c r="I28" s="420" t="s">
        <v>585</v>
      </c>
      <c r="J28" s="420" t="s">
        <v>585</v>
      </c>
      <c r="K28" s="420" t="s">
        <v>585</v>
      </c>
      <c r="L28" s="423">
        <v>17</v>
      </c>
      <c r="M28" s="424" t="s">
        <v>585</v>
      </c>
      <c r="N28" s="422">
        <v>8</v>
      </c>
      <c r="O28" s="420" t="s">
        <v>585</v>
      </c>
      <c r="P28" s="420" t="s">
        <v>585</v>
      </c>
      <c r="Q28" s="423">
        <v>8</v>
      </c>
      <c r="R28" s="419" t="s">
        <v>585</v>
      </c>
      <c r="S28" s="420" t="s">
        <v>585</v>
      </c>
      <c r="T28" s="420" t="s">
        <v>585</v>
      </c>
      <c r="U28" s="421" t="s">
        <v>585</v>
      </c>
      <c r="V28" s="425" t="s">
        <v>585</v>
      </c>
      <c r="W28" s="424" t="s">
        <v>585</v>
      </c>
      <c r="X28" s="422">
        <v>2</v>
      </c>
      <c r="Y28" s="420" t="s">
        <v>585</v>
      </c>
      <c r="Z28" s="420" t="s">
        <v>585</v>
      </c>
      <c r="AA28" s="420" t="s">
        <v>585</v>
      </c>
      <c r="AB28" s="420" t="s">
        <v>585</v>
      </c>
      <c r="AC28" s="420" t="s">
        <v>585</v>
      </c>
      <c r="AD28" s="423">
        <v>2</v>
      </c>
      <c r="AE28" s="424" t="s">
        <v>585</v>
      </c>
      <c r="AF28" s="422">
        <v>47</v>
      </c>
      <c r="AG28" s="420" t="s">
        <v>585</v>
      </c>
      <c r="AH28" s="420" t="s">
        <v>585</v>
      </c>
      <c r="AI28" s="420" t="s">
        <v>585</v>
      </c>
      <c r="AJ28" s="420" t="s">
        <v>585</v>
      </c>
      <c r="AK28" s="420" t="s">
        <v>585</v>
      </c>
      <c r="AL28" s="420" t="s">
        <v>585</v>
      </c>
      <c r="AM28" s="420" t="s">
        <v>585</v>
      </c>
      <c r="AN28" s="420" t="s">
        <v>585</v>
      </c>
      <c r="AO28" s="420" t="s">
        <v>585</v>
      </c>
      <c r="AP28" s="423">
        <v>47</v>
      </c>
      <c r="AQ28" s="419" t="s">
        <v>585</v>
      </c>
      <c r="AR28" s="420">
        <v>2</v>
      </c>
      <c r="AS28" s="420" t="s">
        <v>585</v>
      </c>
      <c r="AT28" s="420" t="s">
        <v>585</v>
      </c>
      <c r="AU28" s="420" t="s">
        <v>585</v>
      </c>
      <c r="AV28" s="420" t="s">
        <v>585</v>
      </c>
      <c r="AW28" s="420" t="s">
        <v>585</v>
      </c>
      <c r="AX28" s="420" t="s">
        <v>585</v>
      </c>
      <c r="AY28" s="421">
        <v>2</v>
      </c>
      <c r="AZ28" s="422" t="s">
        <v>585</v>
      </c>
      <c r="BA28" s="420" t="s">
        <v>585</v>
      </c>
      <c r="BB28" s="420" t="s">
        <v>585</v>
      </c>
      <c r="BC28" s="420" t="s">
        <v>585</v>
      </c>
      <c r="BD28" s="420" t="s">
        <v>585</v>
      </c>
      <c r="BE28" s="420" t="s">
        <v>585</v>
      </c>
      <c r="BF28" s="423" t="s">
        <v>585</v>
      </c>
      <c r="BG28" s="424" t="s">
        <v>585</v>
      </c>
      <c r="BH28" s="424" t="s">
        <v>585</v>
      </c>
      <c r="BI28" s="424" t="s">
        <v>585</v>
      </c>
      <c r="BJ28" s="422" t="s">
        <v>585</v>
      </c>
      <c r="BK28" s="420" t="s">
        <v>585</v>
      </c>
      <c r="BL28" s="420" t="s">
        <v>585</v>
      </c>
      <c r="BM28" s="420" t="s">
        <v>585</v>
      </c>
      <c r="BN28" s="420" t="s">
        <v>585</v>
      </c>
      <c r="BO28" s="420" t="s">
        <v>585</v>
      </c>
      <c r="BP28" s="420" t="s">
        <v>585</v>
      </c>
      <c r="BQ28" s="423" t="s">
        <v>585</v>
      </c>
      <c r="BR28" s="419">
        <v>1</v>
      </c>
      <c r="BS28" s="420" t="s">
        <v>585</v>
      </c>
      <c r="BT28" s="420" t="s">
        <v>585</v>
      </c>
      <c r="BU28" s="420">
        <v>21</v>
      </c>
      <c r="BV28" s="420" t="s">
        <v>585</v>
      </c>
      <c r="BW28" s="420" t="s">
        <v>585</v>
      </c>
      <c r="BX28" s="420">
        <v>2</v>
      </c>
      <c r="BY28" s="420" t="s">
        <v>585</v>
      </c>
      <c r="BZ28" s="420" t="s">
        <v>585</v>
      </c>
      <c r="CA28" s="420" t="s">
        <v>585</v>
      </c>
      <c r="CB28" s="420" t="s">
        <v>585</v>
      </c>
      <c r="CC28" s="421">
        <v>24</v>
      </c>
      <c r="CD28" s="422" t="s">
        <v>585</v>
      </c>
      <c r="CE28" s="420" t="s">
        <v>585</v>
      </c>
      <c r="CF28" s="423" t="s">
        <v>585</v>
      </c>
      <c r="CG28" s="424" t="s">
        <v>585</v>
      </c>
      <c r="CH28" s="424" t="s">
        <v>585</v>
      </c>
      <c r="CI28" s="422" t="s">
        <v>585</v>
      </c>
      <c r="CJ28" s="420" t="s">
        <v>585</v>
      </c>
      <c r="CK28" s="420" t="s">
        <v>585</v>
      </c>
      <c r="CL28" s="423" t="s">
        <v>585</v>
      </c>
      <c r="CM28" s="424" t="s">
        <v>585</v>
      </c>
      <c r="CN28" s="422" t="s">
        <v>585</v>
      </c>
      <c r="CO28" s="420" t="s">
        <v>585</v>
      </c>
      <c r="CP28" s="423" t="s">
        <v>585</v>
      </c>
      <c r="CQ28" s="424" t="s">
        <v>585</v>
      </c>
      <c r="CR28" s="424" t="s">
        <v>585</v>
      </c>
      <c r="CS28" s="422" t="s">
        <v>585</v>
      </c>
      <c r="CT28" s="420" t="s">
        <v>585</v>
      </c>
      <c r="CU28" s="420" t="s">
        <v>585</v>
      </c>
      <c r="CV28" s="423" t="s">
        <v>585</v>
      </c>
      <c r="CW28" s="426">
        <v>100</v>
      </c>
      <c r="CX28" s="427">
        <f>100/538718</f>
        <v>1.8562587476193482E-4</v>
      </c>
      <c r="CY28" s="276"/>
      <c r="CZ28" s="276"/>
      <c r="DA28" s="276"/>
    </row>
    <row r="29" spans="1:105" x14ac:dyDescent="0.2">
      <c r="A29" s="208"/>
      <c r="B29" s="410" t="s">
        <v>141</v>
      </c>
      <c r="C29" s="419" t="s">
        <v>585</v>
      </c>
      <c r="D29" s="420" t="s">
        <v>585</v>
      </c>
      <c r="E29" s="420" t="s">
        <v>585</v>
      </c>
      <c r="F29" s="421" t="s">
        <v>585</v>
      </c>
      <c r="G29" s="422" t="s">
        <v>585</v>
      </c>
      <c r="H29" s="420" t="s">
        <v>585</v>
      </c>
      <c r="I29" s="420" t="s">
        <v>585</v>
      </c>
      <c r="J29" s="420" t="s">
        <v>585</v>
      </c>
      <c r="K29" s="420" t="s">
        <v>585</v>
      </c>
      <c r="L29" s="423" t="s">
        <v>585</v>
      </c>
      <c r="M29" s="424" t="s">
        <v>585</v>
      </c>
      <c r="N29" s="422" t="s">
        <v>585</v>
      </c>
      <c r="O29" s="420" t="s">
        <v>585</v>
      </c>
      <c r="P29" s="420" t="s">
        <v>585</v>
      </c>
      <c r="Q29" s="423" t="s">
        <v>585</v>
      </c>
      <c r="R29" s="419" t="s">
        <v>585</v>
      </c>
      <c r="S29" s="420" t="s">
        <v>585</v>
      </c>
      <c r="T29" s="420" t="s">
        <v>585</v>
      </c>
      <c r="U29" s="421" t="s">
        <v>585</v>
      </c>
      <c r="V29" s="425" t="s">
        <v>585</v>
      </c>
      <c r="W29" s="424" t="s">
        <v>585</v>
      </c>
      <c r="X29" s="422" t="s">
        <v>585</v>
      </c>
      <c r="Y29" s="420" t="s">
        <v>585</v>
      </c>
      <c r="Z29" s="420" t="s">
        <v>585</v>
      </c>
      <c r="AA29" s="420" t="s">
        <v>585</v>
      </c>
      <c r="AB29" s="420" t="s">
        <v>585</v>
      </c>
      <c r="AC29" s="420" t="s">
        <v>585</v>
      </c>
      <c r="AD29" s="423" t="s">
        <v>585</v>
      </c>
      <c r="AE29" s="424" t="s">
        <v>585</v>
      </c>
      <c r="AF29" s="422" t="s">
        <v>585</v>
      </c>
      <c r="AG29" s="420" t="s">
        <v>585</v>
      </c>
      <c r="AH29" s="420" t="s">
        <v>585</v>
      </c>
      <c r="AI29" s="420" t="s">
        <v>585</v>
      </c>
      <c r="AJ29" s="420" t="s">
        <v>585</v>
      </c>
      <c r="AK29" s="420" t="s">
        <v>585</v>
      </c>
      <c r="AL29" s="420" t="s">
        <v>585</v>
      </c>
      <c r="AM29" s="420" t="s">
        <v>585</v>
      </c>
      <c r="AN29" s="420" t="s">
        <v>585</v>
      </c>
      <c r="AO29" s="420" t="s">
        <v>585</v>
      </c>
      <c r="AP29" s="423" t="s">
        <v>585</v>
      </c>
      <c r="AQ29" s="419" t="s">
        <v>585</v>
      </c>
      <c r="AR29" s="420" t="s">
        <v>585</v>
      </c>
      <c r="AS29" s="420" t="s">
        <v>585</v>
      </c>
      <c r="AT29" s="420" t="s">
        <v>585</v>
      </c>
      <c r="AU29" s="420" t="s">
        <v>585</v>
      </c>
      <c r="AV29" s="420" t="s">
        <v>585</v>
      </c>
      <c r="AW29" s="420" t="s">
        <v>585</v>
      </c>
      <c r="AX29" s="420" t="s">
        <v>585</v>
      </c>
      <c r="AY29" s="421" t="s">
        <v>585</v>
      </c>
      <c r="AZ29" s="422" t="s">
        <v>585</v>
      </c>
      <c r="BA29" s="420" t="s">
        <v>585</v>
      </c>
      <c r="BB29" s="420" t="s">
        <v>585</v>
      </c>
      <c r="BC29" s="420" t="s">
        <v>585</v>
      </c>
      <c r="BD29" s="420" t="s">
        <v>585</v>
      </c>
      <c r="BE29" s="420" t="s">
        <v>585</v>
      </c>
      <c r="BF29" s="423" t="s">
        <v>585</v>
      </c>
      <c r="BG29" s="424" t="s">
        <v>585</v>
      </c>
      <c r="BH29" s="424" t="s">
        <v>585</v>
      </c>
      <c r="BI29" s="424" t="s">
        <v>585</v>
      </c>
      <c r="BJ29" s="422">
        <v>17</v>
      </c>
      <c r="BK29" s="420" t="s">
        <v>585</v>
      </c>
      <c r="BL29" s="420" t="s">
        <v>585</v>
      </c>
      <c r="BM29" s="420" t="s">
        <v>585</v>
      </c>
      <c r="BN29" s="420" t="s">
        <v>585</v>
      </c>
      <c r="BO29" s="420" t="s">
        <v>585</v>
      </c>
      <c r="BP29" s="420" t="s">
        <v>585</v>
      </c>
      <c r="BQ29" s="423">
        <v>17</v>
      </c>
      <c r="BR29" s="419" t="s">
        <v>585</v>
      </c>
      <c r="BS29" s="420" t="s">
        <v>585</v>
      </c>
      <c r="BT29" s="420" t="s">
        <v>585</v>
      </c>
      <c r="BU29" s="420" t="s">
        <v>585</v>
      </c>
      <c r="BV29" s="420" t="s">
        <v>585</v>
      </c>
      <c r="BW29" s="420" t="s">
        <v>585</v>
      </c>
      <c r="BX29" s="420" t="s">
        <v>585</v>
      </c>
      <c r="BY29" s="420" t="s">
        <v>585</v>
      </c>
      <c r="BZ29" s="420" t="s">
        <v>585</v>
      </c>
      <c r="CA29" s="420" t="s">
        <v>585</v>
      </c>
      <c r="CB29" s="420" t="s">
        <v>585</v>
      </c>
      <c r="CC29" s="421" t="s">
        <v>585</v>
      </c>
      <c r="CD29" s="422" t="s">
        <v>585</v>
      </c>
      <c r="CE29" s="420" t="s">
        <v>585</v>
      </c>
      <c r="CF29" s="423" t="s">
        <v>585</v>
      </c>
      <c r="CG29" s="424" t="s">
        <v>585</v>
      </c>
      <c r="CH29" s="424" t="s">
        <v>585</v>
      </c>
      <c r="CI29" s="422" t="s">
        <v>585</v>
      </c>
      <c r="CJ29" s="420" t="s">
        <v>585</v>
      </c>
      <c r="CK29" s="420" t="s">
        <v>585</v>
      </c>
      <c r="CL29" s="423" t="s">
        <v>585</v>
      </c>
      <c r="CM29" s="424" t="s">
        <v>585</v>
      </c>
      <c r="CN29" s="422" t="s">
        <v>585</v>
      </c>
      <c r="CO29" s="420" t="s">
        <v>585</v>
      </c>
      <c r="CP29" s="423" t="s">
        <v>585</v>
      </c>
      <c r="CQ29" s="424" t="s">
        <v>585</v>
      </c>
      <c r="CR29" s="424" t="s">
        <v>585</v>
      </c>
      <c r="CS29" s="422" t="s">
        <v>585</v>
      </c>
      <c r="CT29" s="420" t="s">
        <v>585</v>
      </c>
      <c r="CU29" s="420" t="s">
        <v>585</v>
      </c>
      <c r="CV29" s="423" t="s">
        <v>585</v>
      </c>
      <c r="CW29" s="426">
        <v>17</v>
      </c>
      <c r="CX29" s="427">
        <f>17/538718</f>
        <v>3.1556398709528921E-5</v>
      </c>
      <c r="CY29" s="276"/>
      <c r="CZ29" s="276"/>
      <c r="DA29" s="276"/>
    </row>
    <row r="30" spans="1:105" x14ac:dyDescent="0.2">
      <c r="A30" s="208"/>
      <c r="B30" s="410" t="s">
        <v>152</v>
      </c>
      <c r="C30" s="419" t="s">
        <v>585</v>
      </c>
      <c r="D30" s="420">
        <v>6</v>
      </c>
      <c r="E30" s="420" t="s">
        <v>585</v>
      </c>
      <c r="F30" s="421">
        <v>6</v>
      </c>
      <c r="G30" s="422">
        <v>1997</v>
      </c>
      <c r="H30" s="420">
        <v>2</v>
      </c>
      <c r="I30" s="420" t="s">
        <v>585</v>
      </c>
      <c r="J30" s="420" t="s">
        <v>585</v>
      </c>
      <c r="K30" s="420" t="s">
        <v>585</v>
      </c>
      <c r="L30" s="423">
        <v>1999</v>
      </c>
      <c r="M30" s="424" t="s">
        <v>585</v>
      </c>
      <c r="N30" s="422">
        <v>48</v>
      </c>
      <c r="O30" s="420" t="s">
        <v>585</v>
      </c>
      <c r="P30" s="420" t="s">
        <v>585</v>
      </c>
      <c r="Q30" s="423">
        <v>48</v>
      </c>
      <c r="R30" s="419" t="s">
        <v>585</v>
      </c>
      <c r="S30" s="420" t="s">
        <v>585</v>
      </c>
      <c r="T30" s="420" t="s">
        <v>585</v>
      </c>
      <c r="U30" s="421" t="s">
        <v>585</v>
      </c>
      <c r="V30" s="425" t="s">
        <v>585</v>
      </c>
      <c r="W30" s="424">
        <v>3</v>
      </c>
      <c r="X30" s="422" t="s">
        <v>585</v>
      </c>
      <c r="Y30" s="420" t="s">
        <v>585</v>
      </c>
      <c r="Z30" s="420" t="s">
        <v>585</v>
      </c>
      <c r="AA30" s="420" t="s">
        <v>585</v>
      </c>
      <c r="AB30" s="420" t="s">
        <v>585</v>
      </c>
      <c r="AC30" s="420" t="s">
        <v>585</v>
      </c>
      <c r="AD30" s="423" t="s">
        <v>585</v>
      </c>
      <c r="AE30" s="424" t="s">
        <v>585</v>
      </c>
      <c r="AF30" s="422">
        <v>79</v>
      </c>
      <c r="AG30" s="420" t="s">
        <v>585</v>
      </c>
      <c r="AH30" s="420" t="s">
        <v>585</v>
      </c>
      <c r="AI30" s="420" t="s">
        <v>585</v>
      </c>
      <c r="AJ30" s="420" t="s">
        <v>585</v>
      </c>
      <c r="AK30" s="420" t="s">
        <v>585</v>
      </c>
      <c r="AL30" s="420" t="s">
        <v>585</v>
      </c>
      <c r="AM30" s="420">
        <v>16</v>
      </c>
      <c r="AN30" s="420" t="s">
        <v>585</v>
      </c>
      <c r="AO30" s="420" t="s">
        <v>585</v>
      </c>
      <c r="AP30" s="423">
        <v>95</v>
      </c>
      <c r="AQ30" s="419" t="s">
        <v>585</v>
      </c>
      <c r="AR30" s="420" t="s">
        <v>585</v>
      </c>
      <c r="AS30" s="420" t="s">
        <v>585</v>
      </c>
      <c r="AT30" s="420" t="s">
        <v>585</v>
      </c>
      <c r="AU30" s="420" t="s">
        <v>585</v>
      </c>
      <c r="AV30" s="420" t="s">
        <v>585</v>
      </c>
      <c r="AW30" s="420" t="s">
        <v>585</v>
      </c>
      <c r="AX30" s="420" t="s">
        <v>585</v>
      </c>
      <c r="AY30" s="421" t="s">
        <v>585</v>
      </c>
      <c r="AZ30" s="422" t="s">
        <v>585</v>
      </c>
      <c r="BA30" s="420" t="s">
        <v>585</v>
      </c>
      <c r="BB30" s="420" t="s">
        <v>585</v>
      </c>
      <c r="BC30" s="420" t="s">
        <v>585</v>
      </c>
      <c r="BD30" s="420" t="s">
        <v>585</v>
      </c>
      <c r="BE30" s="420" t="s">
        <v>585</v>
      </c>
      <c r="BF30" s="423" t="s">
        <v>585</v>
      </c>
      <c r="BG30" s="424" t="s">
        <v>585</v>
      </c>
      <c r="BH30" s="424">
        <v>10</v>
      </c>
      <c r="BI30" s="424" t="s">
        <v>585</v>
      </c>
      <c r="BJ30" s="422">
        <v>49</v>
      </c>
      <c r="BK30" s="420" t="s">
        <v>585</v>
      </c>
      <c r="BL30" s="420">
        <v>32</v>
      </c>
      <c r="BM30" s="420">
        <v>2</v>
      </c>
      <c r="BN30" s="420" t="s">
        <v>585</v>
      </c>
      <c r="BO30" s="420" t="s">
        <v>585</v>
      </c>
      <c r="BP30" s="420" t="s">
        <v>585</v>
      </c>
      <c r="BQ30" s="423">
        <v>83</v>
      </c>
      <c r="BR30" s="419">
        <v>13</v>
      </c>
      <c r="BS30" s="420" t="s">
        <v>585</v>
      </c>
      <c r="BT30" s="420">
        <v>5</v>
      </c>
      <c r="BU30" s="420">
        <v>2473</v>
      </c>
      <c r="BV30" s="420" t="s">
        <v>585</v>
      </c>
      <c r="BW30" s="420" t="s">
        <v>585</v>
      </c>
      <c r="BX30" s="420">
        <v>693</v>
      </c>
      <c r="BY30" s="420" t="s">
        <v>585</v>
      </c>
      <c r="BZ30" s="420" t="s">
        <v>585</v>
      </c>
      <c r="CA30" s="420" t="s">
        <v>585</v>
      </c>
      <c r="CB30" s="420" t="s">
        <v>585</v>
      </c>
      <c r="CC30" s="421">
        <v>3184</v>
      </c>
      <c r="CD30" s="422">
        <v>4</v>
      </c>
      <c r="CE30" s="420">
        <v>1</v>
      </c>
      <c r="CF30" s="423">
        <v>5</v>
      </c>
      <c r="CG30" s="424" t="s">
        <v>585</v>
      </c>
      <c r="CH30" s="424">
        <v>2</v>
      </c>
      <c r="CI30" s="422">
        <v>6</v>
      </c>
      <c r="CJ30" s="420">
        <v>1</v>
      </c>
      <c r="CK30" s="420" t="s">
        <v>585</v>
      </c>
      <c r="CL30" s="423">
        <v>7</v>
      </c>
      <c r="CM30" s="424" t="s">
        <v>585</v>
      </c>
      <c r="CN30" s="422">
        <v>5</v>
      </c>
      <c r="CO30" s="420" t="s">
        <v>585</v>
      </c>
      <c r="CP30" s="423">
        <v>5</v>
      </c>
      <c r="CQ30" s="424" t="s">
        <v>585</v>
      </c>
      <c r="CR30" s="424">
        <v>2</v>
      </c>
      <c r="CS30" s="422" t="s">
        <v>585</v>
      </c>
      <c r="CT30" s="420">
        <v>1</v>
      </c>
      <c r="CU30" s="420" t="s">
        <v>585</v>
      </c>
      <c r="CV30" s="423">
        <v>1</v>
      </c>
      <c r="CW30" s="426">
        <v>5450</v>
      </c>
      <c r="CX30" s="427">
        <f>5450/538718</f>
        <v>1.0116610174525448E-2</v>
      </c>
      <c r="CY30" s="276"/>
      <c r="CZ30" s="276"/>
      <c r="DA30" s="276"/>
    </row>
    <row r="31" spans="1:105" x14ac:dyDescent="0.2">
      <c r="A31" s="208"/>
      <c r="B31" s="410" t="s">
        <v>225</v>
      </c>
      <c r="C31" s="419" t="s">
        <v>585</v>
      </c>
      <c r="D31" s="420" t="s">
        <v>585</v>
      </c>
      <c r="E31" s="420" t="s">
        <v>585</v>
      </c>
      <c r="F31" s="421" t="s">
        <v>585</v>
      </c>
      <c r="G31" s="422">
        <v>33</v>
      </c>
      <c r="H31" s="420" t="s">
        <v>585</v>
      </c>
      <c r="I31" s="420" t="s">
        <v>585</v>
      </c>
      <c r="J31" s="420" t="s">
        <v>585</v>
      </c>
      <c r="K31" s="420" t="s">
        <v>585</v>
      </c>
      <c r="L31" s="423">
        <v>33</v>
      </c>
      <c r="M31" s="424" t="s">
        <v>585</v>
      </c>
      <c r="N31" s="422">
        <v>22</v>
      </c>
      <c r="O31" s="420" t="s">
        <v>585</v>
      </c>
      <c r="P31" s="420" t="s">
        <v>585</v>
      </c>
      <c r="Q31" s="423">
        <v>22</v>
      </c>
      <c r="R31" s="419" t="s">
        <v>585</v>
      </c>
      <c r="S31" s="420" t="s">
        <v>585</v>
      </c>
      <c r="T31" s="420" t="s">
        <v>585</v>
      </c>
      <c r="U31" s="421" t="s">
        <v>585</v>
      </c>
      <c r="V31" s="425" t="s">
        <v>585</v>
      </c>
      <c r="W31" s="424" t="s">
        <v>585</v>
      </c>
      <c r="X31" s="422" t="s">
        <v>585</v>
      </c>
      <c r="Y31" s="420" t="s">
        <v>585</v>
      </c>
      <c r="Z31" s="420" t="s">
        <v>585</v>
      </c>
      <c r="AA31" s="420" t="s">
        <v>585</v>
      </c>
      <c r="AB31" s="420" t="s">
        <v>585</v>
      </c>
      <c r="AC31" s="420" t="s">
        <v>585</v>
      </c>
      <c r="AD31" s="423" t="s">
        <v>585</v>
      </c>
      <c r="AE31" s="424" t="s">
        <v>585</v>
      </c>
      <c r="AF31" s="422">
        <v>19</v>
      </c>
      <c r="AG31" s="420" t="s">
        <v>585</v>
      </c>
      <c r="AH31" s="420" t="s">
        <v>585</v>
      </c>
      <c r="AI31" s="420" t="s">
        <v>585</v>
      </c>
      <c r="AJ31" s="420" t="s">
        <v>585</v>
      </c>
      <c r="AK31" s="420" t="s">
        <v>585</v>
      </c>
      <c r="AL31" s="420" t="s">
        <v>585</v>
      </c>
      <c r="AM31" s="420" t="s">
        <v>585</v>
      </c>
      <c r="AN31" s="420" t="s">
        <v>585</v>
      </c>
      <c r="AO31" s="420" t="s">
        <v>585</v>
      </c>
      <c r="AP31" s="423">
        <v>19</v>
      </c>
      <c r="AQ31" s="419" t="s">
        <v>585</v>
      </c>
      <c r="AR31" s="420">
        <v>2</v>
      </c>
      <c r="AS31" s="420" t="s">
        <v>585</v>
      </c>
      <c r="AT31" s="420" t="s">
        <v>585</v>
      </c>
      <c r="AU31" s="420" t="s">
        <v>585</v>
      </c>
      <c r="AV31" s="420" t="s">
        <v>585</v>
      </c>
      <c r="AW31" s="420" t="s">
        <v>585</v>
      </c>
      <c r="AX31" s="420" t="s">
        <v>585</v>
      </c>
      <c r="AY31" s="421">
        <v>2</v>
      </c>
      <c r="AZ31" s="422" t="s">
        <v>585</v>
      </c>
      <c r="BA31" s="420" t="s">
        <v>585</v>
      </c>
      <c r="BB31" s="420" t="s">
        <v>585</v>
      </c>
      <c r="BC31" s="420" t="s">
        <v>585</v>
      </c>
      <c r="BD31" s="420" t="s">
        <v>585</v>
      </c>
      <c r="BE31" s="420" t="s">
        <v>585</v>
      </c>
      <c r="BF31" s="423" t="s">
        <v>585</v>
      </c>
      <c r="BG31" s="424" t="s">
        <v>585</v>
      </c>
      <c r="BH31" s="424" t="s">
        <v>585</v>
      </c>
      <c r="BI31" s="424" t="s">
        <v>585</v>
      </c>
      <c r="BJ31" s="422" t="s">
        <v>585</v>
      </c>
      <c r="BK31" s="420" t="s">
        <v>585</v>
      </c>
      <c r="BL31" s="420" t="s">
        <v>585</v>
      </c>
      <c r="BM31" s="420" t="s">
        <v>585</v>
      </c>
      <c r="BN31" s="420" t="s">
        <v>585</v>
      </c>
      <c r="BO31" s="420" t="s">
        <v>585</v>
      </c>
      <c r="BP31" s="420" t="s">
        <v>585</v>
      </c>
      <c r="BQ31" s="423" t="s">
        <v>585</v>
      </c>
      <c r="BR31" s="419" t="s">
        <v>585</v>
      </c>
      <c r="BS31" s="420" t="s">
        <v>585</v>
      </c>
      <c r="BT31" s="420" t="s">
        <v>585</v>
      </c>
      <c r="BU31" s="420">
        <v>43</v>
      </c>
      <c r="BV31" s="420" t="s">
        <v>585</v>
      </c>
      <c r="BW31" s="420" t="s">
        <v>585</v>
      </c>
      <c r="BX31" s="420">
        <v>9</v>
      </c>
      <c r="BY31" s="420" t="s">
        <v>585</v>
      </c>
      <c r="BZ31" s="420" t="s">
        <v>585</v>
      </c>
      <c r="CA31" s="420" t="s">
        <v>585</v>
      </c>
      <c r="CB31" s="420" t="s">
        <v>585</v>
      </c>
      <c r="CC31" s="421">
        <v>52</v>
      </c>
      <c r="CD31" s="422" t="s">
        <v>585</v>
      </c>
      <c r="CE31" s="420" t="s">
        <v>585</v>
      </c>
      <c r="CF31" s="423" t="s">
        <v>585</v>
      </c>
      <c r="CG31" s="424" t="s">
        <v>585</v>
      </c>
      <c r="CH31" s="424" t="s">
        <v>585</v>
      </c>
      <c r="CI31" s="422" t="s">
        <v>585</v>
      </c>
      <c r="CJ31" s="420" t="s">
        <v>585</v>
      </c>
      <c r="CK31" s="420" t="s">
        <v>585</v>
      </c>
      <c r="CL31" s="423" t="s">
        <v>585</v>
      </c>
      <c r="CM31" s="424" t="s">
        <v>585</v>
      </c>
      <c r="CN31" s="422" t="s">
        <v>585</v>
      </c>
      <c r="CO31" s="420" t="s">
        <v>585</v>
      </c>
      <c r="CP31" s="423" t="s">
        <v>585</v>
      </c>
      <c r="CQ31" s="424" t="s">
        <v>585</v>
      </c>
      <c r="CR31" s="424" t="s">
        <v>585</v>
      </c>
      <c r="CS31" s="422" t="s">
        <v>585</v>
      </c>
      <c r="CT31" s="420" t="s">
        <v>585</v>
      </c>
      <c r="CU31" s="420" t="s">
        <v>585</v>
      </c>
      <c r="CV31" s="423" t="s">
        <v>585</v>
      </c>
      <c r="CW31" s="426">
        <v>128</v>
      </c>
      <c r="CX31" s="427">
        <f>128/538718</f>
        <v>2.3760111969527658E-4</v>
      </c>
      <c r="CY31" s="276"/>
      <c r="CZ31" s="276"/>
      <c r="DA31" s="276"/>
    </row>
    <row r="32" spans="1:105" x14ac:dyDescent="0.2">
      <c r="A32" s="208"/>
      <c r="B32" s="410" t="s">
        <v>246</v>
      </c>
      <c r="C32" s="419" t="s">
        <v>585</v>
      </c>
      <c r="D32" s="420" t="s">
        <v>585</v>
      </c>
      <c r="E32" s="420" t="s">
        <v>585</v>
      </c>
      <c r="F32" s="421" t="s">
        <v>585</v>
      </c>
      <c r="G32" s="422">
        <v>31</v>
      </c>
      <c r="H32" s="420">
        <v>2</v>
      </c>
      <c r="I32" s="420" t="s">
        <v>585</v>
      </c>
      <c r="J32" s="420" t="s">
        <v>585</v>
      </c>
      <c r="K32" s="420" t="s">
        <v>585</v>
      </c>
      <c r="L32" s="423">
        <v>33</v>
      </c>
      <c r="M32" s="424" t="s">
        <v>585</v>
      </c>
      <c r="N32" s="422">
        <v>9</v>
      </c>
      <c r="O32" s="420" t="s">
        <v>585</v>
      </c>
      <c r="P32" s="420" t="s">
        <v>585</v>
      </c>
      <c r="Q32" s="423">
        <v>9</v>
      </c>
      <c r="R32" s="419" t="s">
        <v>585</v>
      </c>
      <c r="S32" s="420" t="s">
        <v>585</v>
      </c>
      <c r="T32" s="420" t="s">
        <v>585</v>
      </c>
      <c r="U32" s="421" t="s">
        <v>585</v>
      </c>
      <c r="V32" s="425" t="s">
        <v>585</v>
      </c>
      <c r="W32" s="424" t="s">
        <v>585</v>
      </c>
      <c r="X32" s="422">
        <v>2</v>
      </c>
      <c r="Y32" s="420" t="s">
        <v>585</v>
      </c>
      <c r="Z32" s="420" t="s">
        <v>585</v>
      </c>
      <c r="AA32" s="420" t="s">
        <v>585</v>
      </c>
      <c r="AB32" s="420" t="s">
        <v>585</v>
      </c>
      <c r="AC32" s="420" t="s">
        <v>585</v>
      </c>
      <c r="AD32" s="423">
        <v>2</v>
      </c>
      <c r="AE32" s="424" t="s">
        <v>585</v>
      </c>
      <c r="AF32" s="422">
        <v>24</v>
      </c>
      <c r="AG32" s="420" t="s">
        <v>585</v>
      </c>
      <c r="AH32" s="420" t="s">
        <v>585</v>
      </c>
      <c r="AI32" s="420" t="s">
        <v>585</v>
      </c>
      <c r="AJ32" s="420" t="s">
        <v>585</v>
      </c>
      <c r="AK32" s="420" t="s">
        <v>585</v>
      </c>
      <c r="AL32" s="420" t="s">
        <v>585</v>
      </c>
      <c r="AM32" s="420">
        <v>3</v>
      </c>
      <c r="AN32" s="420" t="s">
        <v>585</v>
      </c>
      <c r="AO32" s="420" t="s">
        <v>585</v>
      </c>
      <c r="AP32" s="423">
        <v>27</v>
      </c>
      <c r="AQ32" s="419" t="s">
        <v>585</v>
      </c>
      <c r="AR32" s="420" t="s">
        <v>585</v>
      </c>
      <c r="AS32" s="420" t="s">
        <v>585</v>
      </c>
      <c r="AT32" s="420" t="s">
        <v>585</v>
      </c>
      <c r="AU32" s="420" t="s">
        <v>585</v>
      </c>
      <c r="AV32" s="420" t="s">
        <v>585</v>
      </c>
      <c r="AW32" s="420" t="s">
        <v>585</v>
      </c>
      <c r="AX32" s="420" t="s">
        <v>585</v>
      </c>
      <c r="AY32" s="421" t="s">
        <v>585</v>
      </c>
      <c r="AZ32" s="422" t="s">
        <v>585</v>
      </c>
      <c r="BA32" s="420" t="s">
        <v>585</v>
      </c>
      <c r="BB32" s="420" t="s">
        <v>585</v>
      </c>
      <c r="BC32" s="420" t="s">
        <v>585</v>
      </c>
      <c r="BD32" s="420" t="s">
        <v>585</v>
      </c>
      <c r="BE32" s="420" t="s">
        <v>585</v>
      </c>
      <c r="BF32" s="423" t="s">
        <v>585</v>
      </c>
      <c r="BG32" s="424" t="s">
        <v>585</v>
      </c>
      <c r="BH32" s="424">
        <v>38</v>
      </c>
      <c r="BI32" s="424" t="s">
        <v>585</v>
      </c>
      <c r="BJ32" s="422">
        <v>2</v>
      </c>
      <c r="BK32" s="420" t="s">
        <v>585</v>
      </c>
      <c r="BL32" s="420" t="s">
        <v>585</v>
      </c>
      <c r="BM32" s="420">
        <v>1</v>
      </c>
      <c r="BN32" s="420" t="s">
        <v>585</v>
      </c>
      <c r="BO32" s="420" t="s">
        <v>585</v>
      </c>
      <c r="BP32" s="420" t="s">
        <v>585</v>
      </c>
      <c r="BQ32" s="423">
        <v>3</v>
      </c>
      <c r="BR32" s="419">
        <v>5</v>
      </c>
      <c r="BS32" s="420" t="s">
        <v>585</v>
      </c>
      <c r="BT32" s="420" t="s">
        <v>585</v>
      </c>
      <c r="BU32" s="420">
        <v>38</v>
      </c>
      <c r="BV32" s="420" t="s">
        <v>585</v>
      </c>
      <c r="BW32" s="420" t="s">
        <v>585</v>
      </c>
      <c r="BX32" s="420">
        <v>10</v>
      </c>
      <c r="BY32" s="420" t="s">
        <v>585</v>
      </c>
      <c r="BZ32" s="420" t="s">
        <v>585</v>
      </c>
      <c r="CA32" s="420" t="s">
        <v>585</v>
      </c>
      <c r="CB32" s="420" t="s">
        <v>585</v>
      </c>
      <c r="CC32" s="421">
        <v>53</v>
      </c>
      <c r="CD32" s="422" t="s">
        <v>585</v>
      </c>
      <c r="CE32" s="420">
        <v>1</v>
      </c>
      <c r="CF32" s="423">
        <v>1</v>
      </c>
      <c r="CG32" s="424" t="s">
        <v>585</v>
      </c>
      <c r="CH32" s="424" t="s">
        <v>585</v>
      </c>
      <c r="CI32" s="422" t="s">
        <v>585</v>
      </c>
      <c r="CJ32" s="420" t="s">
        <v>585</v>
      </c>
      <c r="CK32" s="420" t="s">
        <v>585</v>
      </c>
      <c r="CL32" s="423" t="s">
        <v>585</v>
      </c>
      <c r="CM32" s="424" t="s">
        <v>585</v>
      </c>
      <c r="CN32" s="422">
        <v>1</v>
      </c>
      <c r="CO32" s="420" t="s">
        <v>585</v>
      </c>
      <c r="CP32" s="423">
        <v>1</v>
      </c>
      <c r="CQ32" s="424" t="s">
        <v>585</v>
      </c>
      <c r="CR32" s="424">
        <v>11</v>
      </c>
      <c r="CS32" s="422" t="s">
        <v>585</v>
      </c>
      <c r="CT32" s="420" t="s">
        <v>585</v>
      </c>
      <c r="CU32" s="420" t="s">
        <v>585</v>
      </c>
      <c r="CV32" s="423" t="s">
        <v>585</v>
      </c>
      <c r="CW32" s="426">
        <v>178</v>
      </c>
      <c r="CX32" s="427">
        <f>178/538718</f>
        <v>3.3041405707624397E-4</v>
      </c>
      <c r="CY32" s="276"/>
      <c r="CZ32" s="276"/>
      <c r="DA32" s="276"/>
    </row>
    <row r="33" spans="1:105" x14ac:dyDescent="0.2">
      <c r="A33" s="208"/>
      <c r="B33" s="410" t="s">
        <v>253</v>
      </c>
      <c r="C33" s="419" t="s">
        <v>585</v>
      </c>
      <c r="D33" s="420" t="s">
        <v>585</v>
      </c>
      <c r="E33" s="420" t="s">
        <v>585</v>
      </c>
      <c r="F33" s="421" t="s">
        <v>585</v>
      </c>
      <c r="G33" s="422" t="s">
        <v>585</v>
      </c>
      <c r="H33" s="420" t="s">
        <v>585</v>
      </c>
      <c r="I33" s="420" t="s">
        <v>585</v>
      </c>
      <c r="J33" s="420" t="s">
        <v>585</v>
      </c>
      <c r="K33" s="420" t="s">
        <v>585</v>
      </c>
      <c r="L33" s="423" t="s">
        <v>585</v>
      </c>
      <c r="M33" s="424" t="s">
        <v>585</v>
      </c>
      <c r="N33" s="422" t="s">
        <v>585</v>
      </c>
      <c r="O33" s="420" t="s">
        <v>585</v>
      </c>
      <c r="P33" s="420" t="s">
        <v>585</v>
      </c>
      <c r="Q33" s="423" t="s">
        <v>585</v>
      </c>
      <c r="R33" s="419" t="s">
        <v>585</v>
      </c>
      <c r="S33" s="420" t="s">
        <v>585</v>
      </c>
      <c r="T33" s="420" t="s">
        <v>585</v>
      </c>
      <c r="U33" s="421" t="s">
        <v>585</v>
      </c>
      <c r="V33" s="425" t="s">
        <v>585</v>
      </c>
      <c r="W33" s="424" t="s">
        <v>585</v>
      </c>
      <c r="X33" s="422" t="s">
        <v>585</v>
      </c>
      <c r="Y33" s="420" t="s">
        <v>585</v>
      </c>
      <c r="Z33" s="420" t="s">
        <v>585</v>
      </c>
      <c r="AA33" s="420" t="s">
        <v>585</v>
      </c>
      <c r="AB33" s="420" t="s">
        <v>585</v>
      </c>
      <c r="AC33" s="420" t="s">
        <v>585</v>
      </c>
      <c r="AD33" s="423" t="s">
        <v>585</v>
      </c>
      <c r="AE33" s="424" t="s">
        <v>585</v>
      </c>
      <c r="AF33" s="422" t="s">
        <v>585</v>
      </c>
      <c r="AG33" s="420" t="s">
        <v>585</v>
      </c>
      <c r="AH33" s="420" t="s">
        <v>585</v>
      </c>
      <c r="AI33" s="420" t="s">
        <v>585</v>
      </c>
      <c r="AJ33" s="420" t="s">
        <v>585</v>
      </c>
      <c r="AK33" s="420" t="s">
        <v>585</v>
      </c>
      <c r="AL33" s="420" t="s">
        <v>585</v>
      </c>
      <c r="AM33" s="420">
        <v>4</v>
      </c>
      <c r="AN33" s="420" t="s">
        <v>585</v>
      </c>
      <c r="AO33" s="420" t="s">
        <v>585</v>
      </c>
      <c r="AP33" s="423">
        <v>4</v>
      </c>
      <c r="AQ33" s="419" t="s">
        <v>585</v>
      </c>
      <c r="AR33" s="420" t="s">
        <v>585</v>
      </c>
      <c r="AS33" s="420" t="s">
        <v>585</v>
      </c>
      <c r="AT33" s="420" t="s">
        <v>585</v>
      </c>
      <c r="AU33" s="420" t="s">
        <v>585</v>
      </c>
      <c r="AV33" s="420" t="s">
        <v>585</v>
      </c>
      <c r="AW33" s="420" t="s">
        <v>585</v>
      </c>
      <c r="AX33" s="420" t="s">
        <v>585</v>
      </c>
      <c r="AY33" s="421" t="s">
        <v>585</v>
      </c>
      <c r="AZ33" s="422" t="s">
        <v>585</v>
      </c>
      <c r="BA33" s="420" t="s">
        <v>585</v>
      </c>
      <c r="BB33" s="420" t="s">
        <v>585</v>
      </c>
      <c r="BC33" s="420" t="s">
        <v>585</v>
      </c>
      <c r="BD33" s="420" t="s">
        <v>585</v>
      </c>
      <c r="BE33" s="420" t="s">
        <v>585</v>
      </c>
      <c r="BF33" s="423" t="s">
        <v>585</v>
      </c>
      <c r="BG33" s="424" t="s">
        <v>585</v>
      </c>
      <c r="BH33" s="424" t="s">
        <v>585</v>
      </c>
      <c r="BI33" s="424" t="s">
        <v>585</v>
      </c>
      <c r="BJ33" s="422" t="s">
        <v>585</v>
      </c>
      <c r="BK33" s="420" t="s">
        <v>585</v>
      </c>
      <c r="BL33" s="420" t="s">
        <v>585</v>
      </c>
      <c r="BM33" s="420" t="s">
        <v>585</v>
      </c>
      <c r="BN33" s="420" t="s">
        <v>585</v>
      </c>
      <c r="BO33" s="420" t="s">
        <v>585</v>
      </c>
      <c r="BP33" s="420" t="s">
        <v>585</v>
      </c>
      <c r="BQ33" s="423" t="s">
        <v>585</v>
      </c>
      <c r="BR33" s="419" t="s">
        <v>585</v>
      </c>
      <c r="BS33" s="420" t="s">
        <v>585</v>
      </c>
      <c r="BT33" s="420" t="s">
        <v>585</v>
      </c>
      <c r="BU33" s="420">
        <v>1</v>
      </c>
      <c r="BV33" s="420" t="s">
        <v>585</v>
      </c>
      <c r="BW33" s="420" t="s">
        <v>585</v>
      </c>
      <c r="BX33" s="420">
        <v>3</v>
      </c>
      <c r="BY33" s="420" t="s">
        <v>585</v>
      </c>
      <c r="BZ33" s="420" t="s">
        <v>585</v>
      </c>
      <c r="CA33" s="420" t="s">
        <v>585</v>
      </c>
      <c r="CB33" s="420" t="s">
        <v>585</v>
      </c>
      <c r="CC33" s="421">
        <v>4</v>
      </c>
      <c r="CD33" s="422" t="s">
        <v>585</v>
      </c>
      <c r="CE33" s="420" t="s">
        <v>585</v>
      </c>
      <c r="CF33" s="423" t="s">
        <v>585</v>
      </c>
      <c r="CG33" s="424" t="s">
        <v>585</v>
      </c>
      <c r="CH33" s="424" t="s">
        <v>585</v>
      </c>
      <c r="CI33" s="422">
        <v>1</v>
      </c>
      <c r="CJ33" s="420" t="s">
        <v>585</v>
      </c>
      <c r="CK33" s="420" t="s">
        <v>585</v>
      </c>
      <c r="CL33" s="423">
        <v>1</v>
      </c>
      <c r="CM33" s="424" t="s">
        <v>585</v>
      </c>
      <c r="CN33" s="422">
        <v>2</v>
      </c>
      <c r="CO33" s="420" t="s">
        <v>585</v>
      </c>
      <c r="CP33" s="423">
        <v>2</v>
      </c>
      <c r="CQ33" s="424" t="s">
        <v>585</v>
      </c>
      <c r="CR33" s="424" t="s">
        <v>585</v>
      </c>
      <c r="CS33" s="422" t="s">
        <v>585</v>
      </c>
      <c r="CT33" s="420" t="s">
        <v>585</v>
      </c>
      <c r="CU33" s="420" t="s">
        <v>585</v>
      </c>
      <c r="CV33" s="423" t="s">
        <v>585</v>
      </c>
      <c r="CW33" s="426">
        <v>11</v>
      </c>
      <c r="CX33" s="427">
        <f>11/538718</f>
        <v>2.0418846223812831E-5</v>
      </c>
      <c r="CY33" s="276"/>
      <c r="CZ33" s="276"/>
      <c r="DA33" s="276"/>
    </row>
    <row r="34" spans="1:105" ht="13.5" thickBot="1" x14ac:dyDescent="0.25">
      <c r="A34" s="208"/>
      <c r="B34" s="411" t="s">
        <v>685</v>
      </c>
      <c r="C34" s="428" t="s">
        <v>585</v>
      </c>
      <c r="D34" s="429">
        <v>1</v>
      </c>
      <c r="E34" s="429" t="s">
        <v>585</v>
      </c>
      <c r="F34" s="430">
        <v>1</v>
      </c>
      <c r="G34" s="431">
        <v>444</v>
      </c>
      <c r="H34" s="429">
        <v>241</v>
      </c>
      <c r="I34" s="429" t="s">
        <v>585</v>
      </c>
      <c r="J34" s="429" t="s">
        <v>585</v>
      </c>
      <c r="K34" s="429" t="s">
        <v>585</v>
      </c>
      <c r="L34" s="432">
        <v>685</v>
      </c>
      <c r="M34" s="433" t="s">
        <v>585</v>
      </c>
      <c r="N34" s="431">
        <v>11</v>
      </c>
      <c r="O34" s="429" t="s">
        <v>585</v>
      </c>
      <c r="P34" s="429" t="s">
        <v>585</v>
      </c>
      <c r="Q34" s="432">
        <v>11</v>
      </c>
      <c r="R34" s="428" t="s">
        <v>585</v>
      </c>
      <c r="S34" s="429" t="s">
        <v>585</v>
      </c>
      <c r="T34" s="429" t="s">
        <v>585</v>
      </c>
      <c r="U34" s="430" t="s">
        <v>585</v>
      </c>
      <c r="V34" s="434">
        <v>4</v>
      </c>
      <c r="W34" s="433">
        <v>121</v>
      </c>
      <c r="X34" s="431" t="s">
        <v>585</v>
      </c>
      <c r="Y34" s="429" t="s">
        <v>585</v>
      </c>
      <c r="Z34" s="429" t="s">
        <v>585</v>
      </c>
      <c r="AA34" s="429" t="s">
        <v>585</v>
      </c>
      <c r="AB34" s="429" t="s">
        <v>585</v>
      </c>
      <c r="AC34" s="429" t="s">
        <v>585</v>
      </c>
      <c r="AD34" s="432" t="s">
        <v>585</v>
      </c>
      <c r="AE34" s="433">
        <v>9</v>
      </c>
      <c r="AF34" s="431">
        <v>1111</v>
      </c>
      <c r="AG34" s="429" t="s">
        <v>585</v>
      </c>
      <c r="AH34" s="429" t="s">
        <v>585</v>
      </c>
      <c r="AI34" s="429" t="s">
        <v>585</v>
      </c>
      <c r="AJ34" s="429">
        <v>2</v>
      </c>
      <c r="AK34" s="429" t="s">
        <v>585</v>
      </c>
      <c r="AL34" s="429" t="s">
        <v>585</v>
      </c>
      <c r="AM34" s="429">
        <v>223</v>
      </c>
      <c r="AN34" s="429" t="s">
        <v>585</v>
      </c>
      <c r="AO34" s="429" t="s">
        <v>585</v>
      </c>
      <c r="AP34" s="432">
        <v>1336</v>
      </c>
      <c r="AQ34" s="428" t="s">
        <v>585</v>
      </c>
      <c r="AR34" s="429" t="s">
        <v>585</v>
      </c>
      <c r="AS34" s="429" t="s">
        <v>585</v>
      </c>
      <c r="AT34" s="429" t="s">
        <v>585</v>
      </c>
      <c r="AU34" s="429" t="s">
        <v>585</v>
      </c>
      <c r="AV34" s="429" t="s">
        <v>585</v>
      </c>
      <c r="AW34" s="429" t="s">
        <v>585</v>
      </c>
      <c r="AX34" s="429" t="s">
        <v>585</v>
      </c>
      <c r="AY34" s="430" t="s">
        <v>585</v>
      </c>
      <c r="AZ34" s="431" t="s">
        <v>585</v>
      </c>
      <c r="BA34" s="429" t="s">
        <v>585</v>
      </c>
      <c r="BB34" s="429" t="s">
        <v>585</v>
      </c>
      <c r="BC34" s="429" t="s">
        <v>585</v>
      </c>
      <c r="BD34" s="429" t="s">
        <v>585</v>
      </c>
      <c r="BE34" s="429" t="s">
        <v>585</v>
      </c>
      <c r="BF34" s="432" t="s">
        <v>585</v>
      </c>
      <c r="BG34" s="433">
        <v>8</v>
      </c>
      <c r="BH34" s="433">
        <v>258</v>
      </c>
      <c r="BI34" s="433" t="s">
        <v>585</v>
      </c>
      <c r="BJ34" s="431">
        <v>882</v>
      </c>
      <c r="BK34" s="429" t="s">
        <v>585</v>
      </c>
      <c r="BL34" s="429">
        <v>131</v>
      </c>
      <c r="BM34" s="429">
        <v>23</v>
      </c>
      <c r="BN34" s="429" t="s">
        <v>585</v>
      </c>
      <c r="BO34" s="429" t="s">
        <v>585</v>
      </c>
      <c r="BP34" s="429" t="s">
        <v>585</v>
      </c>
      <c r="BQ34" s="432">
        <v>1036</v>
      </c>
      <c r="BR34" s="428" t="s">
        <v>585</v>
      </c>
      <c r="BS34" s="429" t="s">
        <v>585</v>
      </c>
      <c r="BT34" s="429" t="s">
        <v>585</v>
      </c>
      <c r="BU34" s="429">
        <v>543</v>
      </c>
      <c r="BV34" s="429" t="s">
        <v>585</v>
      </c>
      <c r="BW34" s="429" t="s">
        <v>585</v>
      </c>
      <c r="BX34" s="429">
        <v>182</v>
      </c>
      <c r="BY34" s="429" t="s">
        <v>585</v>
      </c>
      <c r="BZ34" s="429" t="s">
        <v>585</v>
      </c>
      <c r="CA34" s="429" t="s">
        <v>585</v>
      </c>
      <c r="CB34" s="429" t="s">
        <v>585</v>
      </c>
      <c r="CC34" s="430">
        <v>725</v>
      </c>
      <c r="CD34" s="431">
        <v>25</v>
      </c>
      <c r="CE34" s="429" t="s">
        <v>585</v>
      </c>
      <c r="CF34" s="432">
        <v>25</v>
      </c>
      <c r="CG34" s="433" t="s">
        <v>585</v>
      </c>
      <c r="CH34" s="433">
        <v>19</v>
      </c>
      <c r="CI34" s="431">
        <v>785</v>
      </c>
      <c r="CJ34" s="429">
        <v>61</v>
      </c>
      <c r="CK34" s="429" t="s">
        <v>585</v>
      </c>
      <c r="CL34" s="432">
        <v>846</v>
      </c>
      <c r="CM34" s="433" t="s">
        <v>585</v>
      </c>
      <c r="CN34" s="431">
        <v>24</v>
      </c>
      <c r="CO34" s="429" t="s">
        <v>585</v>
      </c>
      <c r="CP34" s="432">
        <v>24</v>
      </c>
      <c r="CQ34" s="433">
        <v>14</v>
      </c>
      <c r="CR34" s="433">
        <v>109</v>
      </c>
      <c r="CS34" s="431" t="s">
        <v>585</v>
      </c>
      <c r="CT34" s="429" t="s">
        <v>585</v>
      </c>
      <c r="CU34" s="429">
        <v>1</v>
      </c>
      <c r="CV34" s="432">
        <v>1</v>
      </c>
      <c r="CW34" s="435">
        <v>5232</v>
      </c>
      <c r="CX34" s="436">
        <f>5232/538718</f>
        <v>9.7119457675444304E-3</v>
      </c>
      <c r="CY34" s="276"/>
      <c r="CZ34" s="276"/>
      <c r="DA34" s="276"/>
    </row>
    <row r="35" spans="1:105" s="101" customFormat="1" ht="13.5" thickBot="1" x14ac:dyDescent="0.25">
      <c r="A35" s="208"/>
      <c r="B35" s="113" t="s">
        <v>691</v>
      </c>
      <c r="C35" s="437" t="s">
        <v>585</v>
      </c>
      <c r="D35" s="212">
        <v>7</v>
      </c>
      <c r="E35" s="212" t="s">
        <v>585</v>
      </c>
      <c r="F35" s="438">
        <v>7</v>
      </c>
      <c r="G35" s="439">
        <v>2631</v>
      </c>
      <c r="H35" s="212">
        <v>245</v>
      </c>
      <c r="I35" s="212">
        <v>3</v>
      </c>
      <c r="J35" s="212" t="s">
        <v>585</v>
      </c>
      <c r="K35" s="212" t="s">
        <v>585</v>
      </c>
      <c r="L35" s="440">
        <v>2879</v>
      </c>
      <c r="M35" s="209" t="s">
        <v>585</v>
      </c>
      <c r="N35" s="439">
        <v>406</v>
      </c>
      <c r="O35" s="212" t="s">
        <v>585</v>
      </c>
      <c r="P35" s="212" t="s">
        <v>585</v>
      </c>
      <c r="Q35" s="440">
        <v>406</v>
      </c>
      <c r="R35" s="437" t="s">
        <v>585</v>
      </c>
      <c r="S35" s="212" t="s">
        <v>585</v>
      </c>
      <c r="T35" s="212" t="s">
        <v>585</v>
      </c>
      <c r="U35" s="438" t="s">
        <v>585</v>
      </c>
      <c r="V35" s="213">
        <v>4</v>
      </c>
      <c r="W35" s="209">
        <v>126</v>
      </c>
      <c r="X35" s="439">
        <v>7</v>
      </c>
      <c r="Y35" s="212" t="s">
        <v>585</v>
      </c>
      <c r="Z35" s="212" t="s">
        <v>585</v>
      </c>
      <c r="AA35" s="212" t="s">
        <v>585</v>
      </c>
      <c r="AB35" s="212" t="s">
        <v>585</v>
      </c>
      <c r="AC35" s="212" t="s">
        <v>585</v>
      </c>
      <c r="AD35" s="440">
        <v>7</v>
      </c>
      <c r="AE35" s="209">
        <v>9</v>
      </c>
      <c r="AF35" s="439">
        <v>1284</v>
      </c>
      <c r="AG35" s="212" t="s">
        <v>585</v>
      </c>
      <c r="AH35" s="212" t="s">
        <v>585</v>
      </c>
      <c r="AI35" s="212" t="s">
        <v>585</v>
      </c>
      <c r="AJ35" s="212">
        <v>2</v>
      </c>
      <c r="AK35" s="212" t="s">
        <v>585</v>
      </c>
      <c r="AL35" s="212" t="s">
        <v>585</v>
      </c>
      <c r="AM35" s="212">
        <v>246</v>
      </c>
      <c r="AN35" s="212" t="s">
        <v>585</v>
      </c>
      <c r="AO35" s="212" t="s">
        <v>585</v>
      </c>
      <c r="AP35" s="440">
        <v>1532</v>
      </c>
      <c r="AQ35" s="437" t="s">
        <v>585</v>
      </c>
      <c r="AR35" s="212">
        <v>11</v>
      </c>
      <c r="AS35" s="212" t="s">
        <v>585</v>
      </c>
      <c r="AT35" s="212" t="s">
        <v>585</v>
      </c>
      <c r="AU35" s="212" t="s">
        <v>585</v>
      </c>
      <c r="AV35" s="212" t="s">
        <v>585</v>
      </c>
      <c r="AW35" s="212" t="s">
        <v>585</v>
      </c>
      <c r="AX35" s="212" t="s">
        <v>585</v>
      </c>
      <c r="AY35" s="438">
        <v>11</v>
      </c>
      <c r="AZ35" s="439" t="s">
        <v>585</v>
      </c>
      <c r="BA35" s="212" t="s">
        <v>585</v>
      </c>
      <c r="BB35" s="212" t="s">
        <v>585</v>
      </c>
      <c r="BC35" s="212" t="s">
        <v>585</v>
      </c>
      <c r="BD35" s="212" t="s">
        <v>585</v>
      </c>
      <c r="BE35" s="212" t="s">
        <v>585</v>
      </c>
      <c r="BF35" s="440" t="s">
        <v>585</v>
      </c>
      <c r="BG35" s="209">
        <v>8</v>
      </c>
      <c r="BH35" s="209">
        <v>306</v>
      </c>
      <c r="BI35" s="209" t="s">
        <v>585</v>
      </c>
      <c r="BJ35" s="439">
        <v>987</v>
      </c>
      <c r="BK35" s="212" t="s">
        <v>585</v>
      </c>
      <c r="BL35" s="212">
        <v>163</v>
      </c>
      <c r="BM35" s="212">
        <v>26</v>
      </c>
      <c r="BN35" s="212" t="s">
        <v>585</v>
      </c>
      <c r="BO35" s="212" t="s">
        <v>585</v>
      </c>
      <c r="BP35" s="212" t="s">
        <v>585</v>
      </c>
      <c r="BQ35" s="440">
        <v>1176</v>
      </c>
      <c r="BR35" s="437">
        <v>2089</v>
      </c>
      <c r="BS35" s="212" t="s">
        <v>585</v>
      </c>
      <c r="BT35" s="212">
        <v>14</v>
      </c>
      <c r="BU35" s="212">
        <v>6184</v>
      </c>
      <c r="BV35" s="212" t="s">
        <v>585</v>
      </c>
      <c r="BW35" s="212" t="s">
        <v>585</v>
      </c>
      <c r="BX35" s="212">
        <v>1418</v>
      </c>
      <c r="BY35" s="212" t="s">
        <v>585</v>
      </c>
      <c r="BZ35" s="212" t="s">
        <v>585</v>
      </c>
      <c r="CA35" s="212" t="s">
        <v>585</v>
      </c>
      <c r="CB35" s="212" t="s">
        <v>585</v>
      </c>
      <c r="CC35" s="438">
        <v>9705</v>
      </c>
      <c r="CD35" s="439">
        <v>29</v>
      </c>
      <c r="CE35" s="212">
        <v>2</v>
      </c>
      <c r="CF35" s="440">
        <v>31</v>
      </c>
      <c r="CG35" s="209" t="s">
        <v>585</v>
      </c>
      <c r="CH35" s="209">
        <v>27</v>
      </c>
      <c r="CI35" s="439">
        <v>797</v>
      </c>
      <c r="CJ35" s="212">
        <v>62</v>
      </c>
      <c r="CK35" s="212" t="s">
        <v>585</v>
      </c>
      <c r="CL35" s="440">
        <v>859</v>
      </c>
      <c r="CM35" s="209" t="s">
        <v>585</v>
      </c>
      <c r="CN35" s="439">
        <v>34</v>
      </c>
      <c r="CO35" s="212" t="s">
        <v>585</v>
      </c>
      <c r="CP35" s="440">
        <v>34</v>
      </c>
      <c r="CQ35" s="209">
        <v>14</v>
      </c>
      <c r="CR35" s="209">
        <v>122</v>
      </c>
      <c r="CS35" s="439" t="s">
        <v>585</v>
      </c>
      <c r="CT35" s="212">
        <v>1</v>
      </c>
      <c r="CU35" s="212">
        <v>1</v>
      </c>
      <c r="CV35" s="440">
        <v>2</v>
      </c>
      <c r="CW35" s="210">
        <v>17265</v>
      </c>
      <c r="CX35" s="270">
        <f>17265/538718</f>
        <v>3.2048307277648048E-2</v>
      </c>
      <c r="CY35" s="277"/>
      <c r="CZ35" s="277"/>
      <c r="DA35" s="277"/>
    </row>
    <row r="36" spans="1:105" x14ac:dyDescent="0.2">
      <c r="A36" s="208"/>
      <c r="B36" s="304" t="s">
        <v>37</v>
      </c>
      <c r="C36" s="414" t="s">
        <v>585</v>
      </c>
      <c r="D36" s="305">
        <v>7</v>
      </c>
      <c r="E36" s="305" t="s">
        <v>585</v>
      </c>
      <c r="F36" s="415">
        <v>7</v>
      </c>
      <c r="G36" s="416" t="s">
        <v>585</v>
      </c>
      <c r="H36" s="305">
        <v>1</v>
      </c>
      <c r="I36" s="305" t="s">
        <v>585</v>
      </c>
      <c r="J36" s="305" t="s">
        <v>585</v>
      </c>
      <c r="K36" s="305" t="s">
        <v>585</v>
      </c>
      <c r="L36" s="417">
        <v>1</v>
      </c>
      <c r="M36" s="307" t="s">
        <v>585</v>
      </c>
      <c r="N36" s="416">
        <v>14</v>
      </c>
      <c r="O36" s="305" t="s">
        <v>585</v>
      </c>
      <c r="P36" s="305" t="s">
        <v>585</v>
      </c>
      <c r="Q36" s="417">
        <v>14</v>
      </c>
      <c r="R36" s="414" t="s">
        <v>585</v>
      </c>
      <c r="S36" s="305" t="s">
        <v>585</v>
      </c>
      <c r="T36" s="305" t="s">
        <v>585</v>
      </c>
      <c r="U36" s="415" t="s">
        <v>585</v>
      </c>
      <c r="V36" s="306" t="s">
        <v>585</v>
      </c>
      <c r="W36" s="307">
        <v>3</v>
      </c>
      <c r="X36" s="416" t="s">
        <v>585</v>
      </c>
      <c r="Y36" s="305" t="s">
        <v>585</v>
      </c>
      <c r="Z36" s="305" t="s">
        <v>585</v>
      </c>
      <c r="AA36" s="305" t="s">
        <v>585</v>
      </c>
      <c r="AB36" s="305" t="s">
        <v>585</v>
      </c>
      <c r="AC36" s="305" t="s">
        <v>585</v>
      </c>
      <c r="AD36" s="417" t="s">
        <v>585</v>
      </c>
      <c r="AE36" s="307" t="s">
        <v>585</v>
      </c>
      <c r="AF36" s="416">
        <v>26</v>
      </c>
      <c r="AG36" s="305" t="s">
        <v>585</v>
      </c>
      <c r="AH36" s="305" t="s">
        <v>585</v>
      </c>
      <c r="AI36" s="305" t="s">
        <v>585</v>
      </c>
      <c r="AJ36" s="305" t="s">
        <v>585</v>
      </c>
      <c r="AK36" s="305" t="s">
        <v>585</v>
      </c>
      <c r="AL36" s="305" t="s">
        <v>585</v>
      </c>
      <c r="AM36" s="305">
        <v>3</v>
      </c>
      <c r="AN36" s="305" t="s">
        <v>585</v>
      </c>
      <c r="AO36" s="305" t="s">
        <v>585</v>
      </c>
      <c r="AP36" s="417">
        <v>29</v>
      </c>
      <c r="AQ36" s="414" t="s">
        <v>585</v>
      </c>
      <c r="AR36" s="305" t="s">
        <v>585</v>
      </c>
      <c r="AS36" s="305" t="s">
        <v>585</v>
      </c>
      <c r="AT36" s="305" t="s">
        <v>585</v>
      </c>
      <c r="AU36" s="305" t="s">
        <v>585</v>
      </c>
      <c r="AV36" s="305" t="s">
        <v>585</v>
      </c>
      <c r="AW36" s="305" t="s">
        <v>585</v>
      </c>
      <c r="AX36" s="305" t="s">
        <v>585</v>
      </c>
      <c r="AY36" s="415" t="s">
        <v>585</v>
      </c>
      <c r="AZ36" s="416" t="s">
        <v>585</v>
      </c>
      <c r="BA36" s="305" t="s">
        <v>585</v>
      </c>
      <c r="BB36" s="305" t="s">
        <v>585</v>
      </c>
      <c r="BC36" s="305" t="s">
        <v>585</v>
      </c>
      <c r="BD36" s="305" t="s">
        <v>585</v>
      </c>
      <c r="BE36" s="305" t="s">
        <v>585</v>
      </c>
      <c r="BF36" s="417" t="s">
        <v>585</v>
      </c>
      <c r="BG36" s="307" t="s">
        <v>585</v>
      </c>
      <c r="BH36" s="307">
        <v>206</v>
      </c>
      <c r="BI36" s="307" t="s">
        <v>585</v>
      </c>
      <c r="BJ36" s="416">
        <v>20</v>
      </c>
      <c r="BK36" s="305" t="s">
        <v>585</v>
      </c>
      <c r="BL36" s="305" t="s">
        <v>585</v>
      </c>
      <c r="BM36" s="305" t="s">
        <v>585</v>
      </c>
      <c r="BN36" s="305" t="s">
        <v>585</v>
      </c>
      <c r="BO36" s="305" t="s">
        <v>585</v>
      </c>
      <c r="BP36" s="305" t="s">
        <v>585</v>
      </c>
      <c r="BQ36" s="417">
        <v>20</v>
      </c>
      <c r="BR36" s="414">
        <v>2</v>
      </c>
      <c r="BS36" s="305" t="s">
        <v>585</v>
      </c>
      <c r="BT36" s="305" t="s">
        <v>585</v>
      </c>
      <c r="BU36" s="305">
        <v>5</v>
      </c>
      <c r="BV36" s="305" t="s">
        <v>585</v>
      </c>
      <c r="BW36" s="305" t="s">
        <v>585</v>
      </c>
      <c r="BX36" s="305" t="s">
        <v>585</v>
      </c>
      <c r="BY36" s="305" t="s">
        <v>585</v>
      </c>
      <c r="BZ36" s="305" t="s">
        <v>585</v>
      </c>
      <c r="CA36" s="305" t="s">
        <v>585</v>
      </c>
      <c r="CB36" s="305" t="s">
        <v>585</v>
      </c>
      <c r="CC36" s="415">
        <v>7</v>
      </c>
      <c r="CD36" s="416" t="s">
        <v>585</v>
      </c>
      <c r="CE36" s="305" t="s">
        <v>585</v>
      </c>
      <c r="CF36" s="417" t="s">
        <v>585</v>
      </c>
      <c r="CG36" s="307" t="s">
        <v>585</v>
      </c>
      <c r="CH36" s="307" t="s">
        <v>585</v>
      </c>
      <c r="CI36" s="416">
        <v>2</v>
      </c>
      <c r="CJ36" s="305" t="s">
        <v>585</v>
      </c>
      <c r="CK36" s="305" t="s">
        <v>585</v>
      </c>
      <c r="CL36" s="417">
        <v>2</v>
      </c>
      <c r="CM36" s="307" t="s">
        <v>585</v>
      </c>
      <c r="CN36" s="416">
        <v>14</v>
      </c>
      <c r="CO36" s="305" t="s">
        <v>585</v>
      </c>
      <c r="CP36" s="417">
        <v>14</v>
      </c>
      <c r="CQ36" s="307" t="s">
        <v>585</v>
      </c>
      <c r="CR36" s="307">
        <v>3</v>
      </c>
      <c r="CS36" s="416" t="s">
        <v>585</v>
      </c>
      <c r="CT36" s="305">
        <v>1</v>
      </c>
      <c r="CU36" s="305">
        <v>2</v>
      </c>
      <c r="CV36" s="417">
        <v>3</v>
      </c>
      <c r="CW36" s="418">
        <v>309</v>
      </c>
      <c r="CX36" s="308">
        <f>309/538718</f>
        <v>5.7358395301437858E-4</v>
      </c>
      <c r="CY36" s="276"/>
      <c r="CZ36" s="276"/>
      <c r="DA36" s="276"/>
    </row>
    <row r="37" spans="1:105" x14ac:dyDescent="0.2">
      <c r="A37" s="208"/>
      <c r="B37" s="410" t="s">
        <v>64</v>
      </c>
      <c r="C37" s="419">
        <v>10</v>
      </c>
      <c r="D37" s="420">
        <v>22</v>
      </c>
      <c r="E37" s="420" t="s">
        <v>585</v>
      </c>
      <c r="F37" s="421">
        <v>32</v>
      </c>
      <c r="G37" s="422">
        <v>9</v>
      </c>
      <c r="H37" s="420">
        <v>29</v>
      </c>
      <c r="I37" s="420">
        <v>2</v>
      </c>
      <c r="J37" s="420" t="s">
        <v>585</v>
      </c>
      <c r="K37" s="420" t="s">
        <v>585</v>
      </c>
      <c r="L37" s="423">
        <v>40</v>
      </c>
      <c r="M37" s="424" t="s">
        <v>585</v>
      </c>
      <c r="N37" s="422">
        <v>1036</v>
      </c>
      <c r="O37" s="420" t="s">
        <v>585</v>
      </c>
      <c r="P37" s="420">
        <v>1</v>
      </c>
      <c r="Q37" s="423">
        <v>1037</v>
      </c>
      <c r="R37" s="419" t="s">
        <v>585</v>
      </c>
      <c r="S37" s="420" t="s">
        <v>585</v>
      </c>
      <c r="T37" s="420" t="s">
        <v>585</v>
      </c>
      <c r="U37" s="421" t="s">
        <v>585</v>
      </c>
      <c r="V37" s="425" t="s">
        <v>585</v>
      </c>
      <c r="W37" s="424">
        <v>209</v>
      </c>
      <c r="X37" s="422">
        <v>49</v>
      </c>
      <c r="Y37" s="420" t="s">
        <v>585</v>
      </c>
      <c r="Z37" s="420" t="s">
        <v>585</v>
      </c>
      <c r="AA37" s="420" t="s">
        <v>585</v>
      </c>
      <c r="AB37" s="420" t="s">
        <v>585</v>
      </c>
      <c r="AC37" s="420" t="s">
        <v>585</v>
      </c>
      <c r="AD37" s="423">
        <v>49</v>
      </c>
      <c r="AE37" s="424" t="s">
        <v>585</v>
      </c>
      <c r="AF37" s="422">
        <v>1675</v>
      </c>
      <c r="AG37" s="420" t="s">
        <v>585</v>
      </c>
      <c r="AH37" s="420" t="s">
        <v>585</v>
      </c>
      <c r="AI37" s="420" t="s">
        <v>585</v>
      </c>
      <c r="AJ37" s="420">
        <v>2</v>
      </c>
      <c r="AK37" s="420" t="s">
        <v>585</v>
      </c>
      <c r="AL37" s="420" t="s">
        <v>585</v>
      </c>
      <c r="AM37" s="420">
        <v>418</v>
      </c>
      <c r="AN37" s="420" t="s">
        <v>585</v>
      </c>
      <c r="AO37" s="420" t="s">
        <v>585</v>
      </c>
      <c r="AP37" s="423">
        <v>2095</v>
      </c>
      <c r="AQ37" s="419" t="s">
        <v>585</v>
      </c>
      <c r="AR37" s="420">
        <v>73</v>
      </c>
      <c r="AS37" s="420" t="s">
        <v>585</v>
      </c>
      <c r="AT37" s="420" t="s">
        <v>585</v>
      </c>
      <c r="AU37" s="420" t="s">
        <v>585</v>
      </c>
      <c r="AV37" s="420" t="s">
        <v>585</v>
      </c>
      <c r="AW37" s="420" t="s">
        <v>585</v>
      </c>
      <c r="AX37" s="420" t="s">
        <v>585</v>
      </c>
      <c r="AY37" s="421">
        <v>73</v>
      </c>
      <c r="AZ37" s="422" t="s">
        <v>585</v>
      </c>
      <c r="BA37" s="420" t="s">
        <v>585</v>
      </c>
      <c r="BB37" s="420" t="s">
        <v>585</v>
      </c>
      <c r="BC37" s="420" t="s">
        <v>585</v>
      </c>
      <c r="BD37" s="420" t="s">
        <v>585</v>
      </c>
      <c r="BE37" s="420" t="s">
        <v>585</v>
      </c>
      <c r="BF37" s="423" t="s">
        <v>585</v>
      </c>
      <c r="BG37" s="424" t="s">
        <v>585</v>
      </c>
      <c r="BH37" s="424">
        <v>1120</v>
      </c>
      <c r="BI37" s="424" t="s">
        <v>585</v>
      </c>
      <c r="BJ37" s="422">
        <v>1644</v>
      </c>
      <c r="BK37" s="420" t="s">
        <v>585</v>
      </c>
      <c r="BL37" s="420" t="s">
        <v>585</v>
      </c>
      <c r="BM37" s="420">
        <v>149</v>
      </c>
      <c r="BN37" s="420" t="s">
        <v>585</v>
      </c>
      <c r="BO37" s="420" t="s">
        <v>585</v>
      </c>
      <c r="BP37" s="420" t="s">
        <v>585</v>
      </c>
      <c r="BQ37" s="423">
        <v>1793</v>
      </c>
      <c r="BR37" s="419">
        <v>24</v>
      </c>
      <c r="BS37" s="420" t="s">
        <v>585</v>
      </c>
      <c r="BT37" s="420" t="s">
        <v>585</v>
      </c>
      <c r="BU37" s="420">
        <v>115</v>
      </c>
      <c r="BV37" s="420">
        <v>2</v>
      </c>
      <c r="BW37" s="420" t="s">
        <v>585</v>
      </c>
      <c r="BX37" s="420">
        <v>27</v>
      </c>
      <c r="BY37" s="420" t="s">
        <v>585</v>
      </c>
      <c r="BZ37" s="420" t="s">
        <v>585</v>
      </c>
      <c r="CA37" s="420" t="s">
        <v>585</v>
      </c>
      <c r="CB37" s="420" t="s">
        <v>585</v>
      </c>
      <c r="CC37" s="421">
        <v>168</v>
      </c>
      <c r="CD37" s="422">
        <v>20</v>
      </c>
      <c r="CE37" s="420" t="s">
        <v>585</v>
      </c>
      <c r="CF37" s="423">
        <v>20</v>
      </c>
      <c r="CG37" s="424" t="s">
        <v>585</v>
      </c>
      <c r="CH37" s="424">
        <v>4</v>
      </c>
      <c r="CI37" s="422">
        <v>311</v>
      </c>
      <c r="CJ37" s="420">
        <v>20</v>
      </c>
      <c r="CK37" s="420" t="s">
        <v>585</v>
      </c>
      <c r="CL37" s="423">
        <v>331</v>
      </c>
      <c r="CM37" s="424" t="s">
        <v>585</v>
      </c>
      <c r="CN37" s="422">
        <v>350</v>
      </c>
      <c r="CO37" s="420" t="s">
        <v>585</v>
      </c>
      <c r="CP37" s="423">
        <v>350</v>
      </c>
      <c r="CQ37" s="424">
        <v>31</v>
      </c>
      <c r="CR37" s="424" t="s">
        <v>585</v>
      </c>
      <c r="CS37" s="422">
        <v>291</v>
      </c>
      <c r="CT37" s="420">
        <v>77</v>
      </c>
      <c r="CU37" s="420" t="s">
        <v>585</v>
      </c>
      <c r="CV37" s="423">
        <v>368</v>
      </c>
      <c r="CW37" s="426">
        <v>7720</v>
      </c>
      <c r="CX37" s="427">
        <f>7720/538718</f>
        <v>1.4330317531621367E-2</v>
      </c>
      <c r="CY37" s="276"/>
      <c r="CZ37" s="276"/>
      <c r="DA37" s="276"/>
    </row>
    <row r="38" spans="1:105" x14ac:dyDescent="0.2">
      <c r="A38" s="208"/>
      <c r="B38" s="410" t="s">
        <v>73</v>
      </c>
      <c r="C38" s="419">
        <v>1</v>
      </c>
      <c r="D38" s="420">
        <v>7</v>
      </c>
      <c r="E38" s="420" t="s">
        <v>585</v>
      </c>
      <c r="F38" s="421">
        <v>8</v>
      </c>
      <c r="G38" s="422" t="s">
        <v>585</v>
      </c>
      <c r="H38" s="420" t="s">
        <v>585</v>
      </c>
      <c r="I38" s="420" t="s">
        <v>585</v>
      </c>
      <c r="J38" s="420" t="s">
        <v>585</v>
      </c>
      <c r="K38" s="420" t="s">
        <v>585</v>
      </c>
      <c r="L38" s="423" t="s">
        <v>585</v>
      </c>
      <c r="M38" s="424" t="s">
        <v>585</v>
      </c>
      <c r="N38" s="422">
        <v>140</v>
      </c>
      <c r="O38" s="420" t="s">
        <v>585</v>
      </c>
      <c r="P38" s="420" t="s">
        <v>585</v>
      </c>
      <c r="Q38" s="423">
        <v>140</v>
      </c>
      <c r="R38" s="419" t="s">
        <v>585</v>
      </c>
      <c r="S38" s="420" t="s">
        <v>585</v>
      </c>
      <c r="T38" s="420" t="s">
        <v>585</v>
      </c>
      <c r="U38" s="421" t="s">
        <v>585</v>
      </c>
      <c r="V38" s="425" t="s">
        <v>585</v>
      </c>
      <c r="W38" s="424">
        <v>122</v>
      </c>
      <c r="X38" s="422">
        <v>2</v>
      </c>
      <c r="Y38" s="420" t="s">
        <v>585</v>
      </c>
      <c r="Z38" s="420" t="s">
        <v>585</v>
      </c>
      <c r="AA38" s="420" t="s">
        <v>585</v>
      </c>
      <c r="AB38" s="420" t="s">
        <v>585</v>
      </c>
      <c r="AC38" s="420" t="s">
        <v>585</v>
      </c>
      <c r="AD38" s="423">
        <v>2</v>
      </c>
      <c r="AE38" s="424" t="s">
        <v>585</v>
      </c>
      <c r="AF38" s="422">
        <v>28</v>
      </c>
      <c r="AG38" s="420" t="s">
        <v>585</v>
      </c>
      <c r="AH38" s="420" t="s">
        <v>585</v>
      </c>
      <c r="AI38" s="420" t="s">
        <v>585</v>
      </c>
      <c r="AJ38" s="420">
        <v>11</v>
      </c>
      <c r="AK38" s="420" t="s">
        <v>585</v>
      </c>
      <c r="AL38" s="420" t="s">
        <v>585</v>
      </c>
      <c r="AM38" s="420">
        <v>27</v>
      </c>
      <c r="AN38" s="420" t="s">
        <v>585</v>
      </c>
      <c r="AO38" s="420" t="s">
        <v>585</v>
      </c>
      <c r="AP38" s="423">
        <v>66</v>
      </c>
      <c r="AQ38" s="419" t="s">
        <v>585</v>
      </c>
      <c r="AR38" s="420">
        <v>6</v>
      </c>
      <c r="AS38" s="420" t="s">
        <v>585</v>
      </c>
      <c r="AT38" s="420" t="s">
        <v>585</v>
      </c>
      <c r="AU38" s="420" t="s">
        <v>585</v>
      </c>
      <c r="AV38" s="420" t="s">
        <v>585</v>
      </c>
      <c r="AW38" s="420" t="s">
        <v>585</v>
      </c>
      <c r="AX38" s="420" t="s">
        <v>585</v>
      </c>
      <c r="AY38" s="421">
        <v>6</v>
      </c>
      <c r="AZ38" s="422" t="s">
        <v>585</v>
      </c>
      <c r="BA38" s="420" t="s">
        <v>585</v>
      </c>
      <c r="BB38" s="420" t="s">
        <v>585</v>
      </c>
      <c r="BC38" s="420" t="s">
        <v>585</v>
      </c>
      <c r="BD38" s="420" t="s">
        <v>585</v>
      </c>
      <c r="BE38" s="420" t="s">
        <v>585</v>
      </c>
      <c r="BF38" s="423" t="s">
        <v>585</v>
      </c>
      <c r="BG38" s="424" t="s">
        <v>585</v>
      </c>
      <c r="BH38" s="424">
        <v>349</v>
      </c>
      <c r="BI38" s="424" t="s">
        <v>585</v>
      </c>
      <c r="BJ38" s="422">
        <v>182</v>
      </c>
      <c r="BK38" s="420" t="s">
        <v>585</v>
      </c>
      <c r="BL38" s="420" t="s">
        <v>585</v>
      </c>
      <c r="BM38" s="420" t="s">
        <v>585</v>
      </c>
      <c r="BN38" s="420" t="s">
        <v>585</v>
      </c>
      <c r="BO38" s="420" t="s">
        <v>585</v>
      </c>
      <c r="BP38" s="420" t="s">
        <v>585</v>
      </c>
      <c r="BQ38" s="423">
        <v>182</v>
      </c>
      <c r="BR38" s="419">
        <v>12</v>
      </c>
      <c r="BS38" s="420" t="s">
        <v>585</v>
      </c>
      <c r="BT38" s="420">
        <v>1</v>
      </c>
      <c r="BU38" s="420">
        <v>2200</v>
      </c>
      <c r="BV38" s="420" t="s">
        <v>585</v>
      </c>
      <c r="BW38" s="420" t="s">
        <v>585</v>
      </c>
      <c r="BX38" s="420">
        <v>462</v>
      </c>
      <c r="BY38" s="420" t="s">
        <v>585</v>
      </c>
      <c r="BZ38" s="420" t="s">
        <v>585</v>
      </c>
      <c r="CA38" s="420" t="s">
        <v>585</v>
      </c>
      <c r="CB38" s="420" t="s">
        <v>585</v>
      </c>
      <c r="CC38" s="421">
        <v>2675</v>
      </c>
      <c r="CD38" s="422">
        <v>26</v>
      </c>
      <c r="CE38" s="420" t="s">
        <v>585</v>
      </c>
      <c r="CF38" s="423">
        <v>26</v>
      </c>
      <c r="CG38" s="424" t="s">
        <v>585</v>
      </c>
      <c r="CH38" s="424" t="s">
        <v>585</v>
      </c>
      <c r="CI38" s="422">
        <v>8</v>
      </c>
      <c r="CJ38" s="420">
        <v>7</v>
      </c>
      <c r="CK38" s="420" t="s">
        <v>585</v>
      </c>
      <c r="CL38" s="423">
        <v>15</v>
      </c>
      <c r="CM38" s="424" t="s">
        <v>585</v>
      </c>
      <c r="CN38" s="422">
        <v>96</v>
      </c>
      <c r="CO38" s="420" t="s">
        <v>585</v>
      </c>
      <c r="CP38" s="423">
        <v>96</v>
      </c>
      <c r="CQ38" s="424">
        <v>10</v>
      </c>
      <c r="CR38" s="424">
        <v>24</v>
      </c>
      <c r="CS38" s="422" t="s">
        <v>585</v>
      </c>
      <c r="CT38" s="420">
        <v>5</v>
      </c>
      <c r="CU38" s="420" t="s">
        <v>585</v>
      </c>
      <c r="CV38" s="423">
        <v>5</v>
      </c>
      <c r="CW38" s="426">
        <v>3726</v>
      </c>
      <c r="CX38" s="427">
        <f>3726/538718</f>
        <v>6.9164200936296912E-3</v>
      </c>
      <c r="CY38" s="276"/>
      <c r="CZ38" s="276"/>
      <c r="DA38" s="276"/>
    </row>
    <row r="39" spans="1:105" x14ac:dyDescent="0.2">
      <c r="A39" s="208"/>
      <c r="B39" s="410" t="s">
        <v>83</v>
      </c>
      <c r="C39" s="419">
        <v>43</v>
      </c>
      <c r="D39" s="420">
        <v>119</v>
      </c>
      <c r="E39" s="420">
        <v>57</v>
      </c>
      <c r="F39" s="421">
        <v>219</v>
      </c>
      <c r="G39" s="422">
        <v>23</v>
      </c>
      <c r="H39" s="420">
        <v>716</v>
      </c>
      <c r="I39" s="420">
        <v>0</v>
      </c>
      <c r="J39" s="420" t="s">
        <v>585</v>
      </c>
      <c r="K39" s="420" t="s">
        <v>585</v>
      </c>
      <c r="L39" s="423">
        <v>739</v>
      </c>
      <c r="M39" s="424" t="s">
        <v>585</v>
      </c>
      <c r="N39" s="422">
        <v>450</v>
      </c>
      <c r="O39" s="420" t="s">
        <v>585</v>
      </c>
      <c r="P39" s="420" t="s">
        <v>585</v>
      </c>
      <c r="Q39" s="423">
        <v>450</v>
      </c>
      <c r="R39" s="419" t="s">
        <v>585</v>
      </c>
      <c r="S39" s="420" t="s">
        <v>585</v>
      </c>
      <c r="T39" s="420" t="s">
        <v>585</v>
      </c>
      <c r="U39" s="421" t="s">
        <v>585</v>
      </c>
      <c r="V39" s="425">
        <v>2</v>
      </c>
      <c r="W39" s="424">
        <v>1989</v>
      </c>
      <c r="X39" s="422">
        <v>1</v>
      </c>
      <c r="Y39" s="420" t="s">
        <v>585</v>
      </c>
      <c r="Z39" s="420">
        <v>1</v>
      </c>
      <c r="AA39" s="420" t="s">
        <v>585</v>
      </c>
      <c r="AB39" s="420" t="s">
        <v>585</v>
      </c>
      <c r="AC39" s="420" t="s">
        <v>585</v>
      </c>
      <c r="AD39" s="423">
        <v>2</v>
      </c>
      <c r="AE39" s="424">
        <v>779</v>
      </c>
      <c r="AF39" s="422">
        <v>3143</v>
      </c>
      <c r="AG39" s="420" t="s">
        <v>585</v>
      </c>
      <c r="AH39" s="420" t="s">
        <v>585</v>
      </c>
      <c r="AI39" s="420" t="s">
        <v>585</v>
      </c>
      <c r="AJ39" s="420">
        <v>124</v>
      </c>
      <c r="AK39" s="420" t="s">
        <v>585</v>
      </c>
      <c r="AL39" s="420" t="s">
        <v>585</v>
      </c>
      <c r="AM39" s="420">
        <v>993</v>
      </c>
      <c r="AN39" s="420">
        <v>28</v>
      </c>
      <c r="AO39" s="420" t="s">
        <v>585</v>
      </c>
      <c r="AP39" s="423">
        <v>4288</v>
      </c>
      <c r="AQ39" s="419" t="s">
        <v>585</v>
      </c>
      <c r="AR39" s="420">
        <v>6</v>
      </c>
      <c r="AS39" s="420" t="s">
        <v>585</v>
      </c>
      <c r="AT39" s="420" t="s">
        <v>585</v>
      </c>
      <c r="AU39" s="420" t="s">
        <v>585</v>
      </c>
      <c r="AV39" s="420" t="s">
        <v>585</v>
      </c>
      <c r="AW39" s="420" t="s">
        <v>585</v>
      </c>
      <c r="AX39" s="420" t="s">
        <v>585</v>
      </c>
      <c r="AY39" s="421">
        <v>6</v>
      </c>
      <c r="AZ39" s="422" t="s">
        <v>585</v>
      </c>
      <c r="BA39" s="420" t="s">
        <v>585</v>
      </c>
      <c r="BB39" s="420" t="s">
        <v>585</v>
      </c>
      <c r="BC39" s="420" t="s">
        <v>585</v>
      </c>
      <c r="BD39" s="420" t="s">
        <v>585</v>
      </c>
      <c r="BE39" s="420" t="s">
        <v>585</v>
      </c>
      <c r="BF39" s="423" t="s">
        <v>585</v>
      </c>
      <c r="BG39" s="424" t="s">
        <v>585</v>
      </c>
      <c r="BH39" s="424">
        <v>6591</v>
      </c>
      <c r="BI39" s="424" t="s">
        <v>585</v>
      </c>
      <c r="BJ39" s="422">
        <v>7727</v>
      </c>
      <c r="BK39" s="420" t="s">
        <v>585</v>
      </c>
      <c r="BL39" s="420">
        <v>89</v>
      </c>
      <c r="BM39" s="420">
        <v>1419</v>
      </c>
      <c r="BN39" s="420">
        <v>1</v>
      </c>
      <c r="BO39" s="420" t="s">
        <v>585</v>
      </c>
      <c r="BP39" s="420" t="s">
        <v>585</v>
      </c>
      <c r="BQ39" s="423">
        <v>9236</v>
      </c>
      <c r="BR39" s="419">
        <v>24</v>
      </c>
      <c r="BS39" s="420" t="s">
        <v>585</v>
      </c>
      <c r="BT39" s="420">
        <v>1</v>
      </c>
      <c r="BU39" s="420">
        <v>4098</v>
      </c>
      <c r="BV39" s="420">
        <v>6</v>
      </c>
      <c r="BW39" s="420" t="s">
        <v>585</v>
      </c>
      <c r="BX39" s="420">
        <v>641</v>
      </c>
      <c r="BY39" s="420" t="s">
        <v>585</v>
      </c>
      <c r="BZ39" s="420" t="s">
        <v>585</v>
      </c>
      <c r="CA39" s="420" t="s">
        <v>585</v>
      </c>
      <c r="CB39" s="420" t="s">
        <v>585</v>
      </c>
      <c r="CC39" s="421">
        <v>4770</v>
      </c>
      <c r="CD39" s="422">
        <v>113</v>
      </c>
      <c r="CE39" s="420" t="s">
        <v>585</v>
      </c>
      <c r="CF39" s="423">
        <v>113</v>
      </c>
      <c r="CG39" s="424" t="s">
        <v>585</v>
      </c>
      <c r="CH39" s="424">
        <v>75</v>
      </c>
      <c r="CI39" s="422">
        <v>1378</v>
      </c>
      <c r="CJ39" s="420">
        <v>200</v>
      </c>
      <c r="CK39" s="420">
        <v>29</v>
      </c>
      <c r="CL39" s="423">
        <v>1607</v>
      </c>
      <c r="CM39" s="424" t="s">
        <v>585</v>
      </c>
      <c r="CN39" s="422">
        <v>1164</v>
      </c>
      <c r="CO39" s="420" t="s">
        <v>585</v>
      </c>
      <c r="CP39" s="423">
        <v>1164</v>
      </c>
      <c r="CQ39" s="424">
        <v>734</v>
      </c>
      <c r="CR39" s="424">
        <v>894</v>
      </c>
      <c r="CS39" s="422">
        <v>941</v>
      </c>
      <c r="CT39" s="420">
        <v>643</v>
      </c>
      <c r="CU39" s="420">
        <v>3</v>
      </c>
      <c r="CV39" s="423">
        <v>1587</v>
      </c>
      <c r="CW39" s="426">
        <v>35245</v>
      </c>
      <c r="CX39" s="427">
        <f>35245/538718</f>
        <v>6.5423839559843933E-2</v>
      </c>
      <c r="CY39" s="276"/>
      <c r="CZ39" s="276"/>
      <c r="DA39" s="276"/>
    </row>
    <row r="40" spans="1:105" x14ac:dyDescent="0.2">
      <c r="A40" s="208"/>
      <c r="B40" s="410" t="s">
        <v>107</v>
      </c>
      <c r="C40" s="419">
        <v>11</v>
      </c>
      <c r="D40" s="420">
        <v>63</v>
      </c>
      <c r="E40" s="420">
        <v>58</v>
      </c>
      <c r="F40" s="421">
        <v>132</v>
      </c>
      <c r="G40" s="422">
        <v>4</v>
      </c>
      <c r="H40" s="420">
        <v>155</v>
      </c>
      <c r="I40" s="420">
        <v>2</v>
      </c>
      <c r="J40" s="420" t="s">
        <v>585</v>
      </c>
      <c r="K40" s="420" t="s">
        <v>585</v>
      </c>
      <c r="L40" s="423">
        <v>161</v>
      </c>
      <c r="M40" s="424" t="s">
        <v>585</v>
      </c>
      <c r="N40" s="422">
        <v>511</v>
      </c>
      <c r="O40" s="420" t="s">
        <v>585</v>
      </c>
      <c r="P40" s="420" t="s">
        <v>585</v>
      </c>
      <c r="Q40" s="423">
        <v>511</v>
      </c>
      <c r="R40" s="419" t="s">
        <v>585</v>
      </c>
      <c r="S40" s="420" t="s">
        <v>585</v>
      </c>
      <c r="T40" s="420" t="s">
        <v>585</v>
      </c>
      <c r="U40" s="421" t="s">
        <v>585</v>
      </c>
      <c r="V40" s="425" t="s">
        <v>585</v>
      </c>
      <c r="W40" s="424">
        <v>1163</v>
      </c>
      <c r="X40" s="422">
        <v>12</v>
      </c>
      <c r="Y40" s="420" t="s">
        <v>585</v>
      </c>
      <c r="Z40" s="420" t="s">
        <v>585</v>
      </c>
      <c r="AA40" s="420" t="s">
        <v>585</v>
      </c>
      <c r="AB40" s="420" t="s">
        <v>585</v>
      </c>
      <c r="AC40" s="420" t="s">
        <v>585</v>
      </c>
      <c r="AD40" s="423">
        <v>12</v>
      </c>
      <c r="AE40" s="424">
        <v>52</v>
      </c>
      <c r="AF40" s="422">
        <v>1499</v>
      </c>
      <c r="AG40" s="420" t="s">
        <v>585</v>
      </c>
      <c r="AH40" s="420" t="s">
        <v>585</v>
      </c>
      <c r="AI40" s="420" t="s">
        <v>585</v>
      </c>
      <c r="AJ40" s="420">
        <v>126</v>
      </c>
      <c r="AK40" s="420" t="s">
        <v>585</v>
      </c>
      <c r="AL40" s="420" t="s">
        <v>585</v>
      </c>
      <c r="AM40" s="420">
        <v>398</v>
      </c>
      <c r="AN40" s="420">
        <v>2</v>
      </c>
      <c r="AO40" s="420" t="s">
        <v>585</v>
      </c>
      <c r="AP40" s="423">
        <v>2025</v>
      </c>
      <c r="AQ40" s="419" t="s">
        <v>585</v>
      </c>
      <c r="AR40" s="420">
        <v>8</v>
      </c>
      <c r="AS40" s="420" t="s">
        <v>585</v>
      </c>
      <c r="AT40" s="420" t="s">
        <v>585</v>
      </c>
      <c r="AU40" s="420" t="s">
        <v>585</v>
      </c>
      <c r="AV40" s="420" t="s">
        <v>585</v>
      </c>
      <c r="AW40" s="420" t="s">
        <v>585</v>
      </c>
      <c r="AX40" s="420" t="s">
        <v>585</v>
      </c>
      <c r="AY40" s="421">
        <v>8</v>
      </c>
      <c r="AZ40" s="422" t="s">
        <v>585</v>
      </c>
      <c r="BA40" s="420" t="s">
        <v>585</v>
      </c>
      <c r="BB40" s="420" t="s">
        <v>585</v>
      </c>
      <c r="BC40" s="420" t="s">
        <v>585</v>
      </c>
      <c r="BD40" s="420" t="s">
        <v>585</v>
      </c>
      <c r="BE40" s="420" t="s">
        <v>585</v>
      </c>
      <c r="BF40" s="423" t="s">
        <v>585</v>
      </c>
      <c r="BG40" s="424">
        <v>4</v>
      </c>
      <c r="BH40" s="424">
        <v>3222</v>
      </c>
      <c r="BI40" s="424" t="s">
        <v>585</v>
      </c>
      <c r="BJ40" s="422">
        <v>3606</v>
      </c>
      <c r="BK40" s="420" t="s">
        <v>585</v>
      </c>
      <c r="BL40" s="420">
        <v>233</v>
      </c>
      <c r="BM40" s="420">
        <v>187</v>
      </c>
      <c r="BN40" s="420">
        <v>41</v>
      </c>
      <c r="BO40" s="420" t="s">
        <v>585</v>
      </c>
      <c r="BP40" s="420" t="s">
        <v>585</v>
      </c>
      <c r="BQ40" s="423">
        <v>4067</v>
      </c>
      <c r="BR40" s="419">
        <v>16</v>
      </c>
      <c r="BS40" s="420" t="s">
        <v>585</v>
      </c>
      <c r="BT40" s="420" t="s">
        <v>585</v>
      </c>
      <c r="BU40" s="420">
        <v>2599</v>
      </c>
      <c r="BV40" s="420" t="s">
        <v>585</v>
      </c>
      <c r="BW40" s="420" t="s">
        <v>585</v>
      </c>
      <c r="BX40" s="420">
        <v>189</v>
      </c>
      <c r="BY40" s="420" t="s">
        <v>585</v>
      </c>
      <c r="BZ40" s="420" t="s">
        <v>585</v>
      </c>
      <c r="CA40" s="420" t="s">
        <v>585</v>
      </c>
      <c r="CB40" s="420" t="s">
        <v>585</v>
      </c>
      <c r="CC40" s="421">
        <v>2804</v>
      </c>
      <c r="CD40" s="422">
        <v>42</v>
      </c>
      <c r="CE40" s="420">
        <v>8</v>
      </c>
      <c r="CF40" s="423">
        <v>50</v>
      </c>
      <c r="CG40" s="424" t="s">
        <v>585</v>
      </c>
      <c r="CH40" s="424">
        <v>43</v>
      </c>
      <c r="CI40" s="422">
        <v>778</v>
      </c>
      <c r="CJ40" s="420">
        <v>60</v>
      </c>
      <c r="CK40" s="420">
        <v>83</v>
      </c>
      <c r="CL40" s="423">
        <v>921</v>
      </c>
      <c r="CM40" s="424" t="s">
        <v>585</v>
      </c>
      <c r="CN40" s="422">
        <v>1079</v>
      </c>
      <c r="CO40" s="420" t="s">
        <v>585</v>
      </c>
      <c r="CP40" s="423">
        <v>1079</v>
      </c>
      <c r="CQ40" s="424">
        <v>56</v>
      </c>
      <c r="CR40" s="424">
        <v>463</v>
      </c>
      <c r="CS40" s="422">
        <v>198</v>
      </c>
      <c r="CT40" s="420">
        <v>92</v>
      </c>
      <c r="CU40" s="420">
        <v>22</v>
      </c>
      <c r="CV40" s="423">
        <v>312</v>
      </c>
      <c r="CW40" s="426">
        <v>17085</v>
      </c>
      <c r="CX40" s="427">
        <f>17085/538718</f>
        <v>3.1714180703076564E-2</v>
      </c>
      <c r="CY40" s="276"/>
      <c r="CZ40" s="276"/>
      <c r="DA40" s="276"/>
    </row>
    <row r="41" spans="1:105" x14ac:dyDescent="0.2">
      <c r="A41" s="208"/>
      <c r="B41" s="410" t="s">
        <v>114</v>
      </c>
      <c r="C41" s="419" t="s">
        <v>585</v>
      </c>
      <c r="D41" s="420" t="s">
        <v>585</v>
      </c>
      <c r="E41" s="420" t="s">
        <v>585</v>
      </c>
      <c r="F41" s="421" t="s">
        <v>585</v>
      </c>
      <c r="G41" s="422" t="s">
        <v>585</v>
      </c>
      <c r="H41" s="420" t="s">
        <v>585</v>
      </c>
      <c r="I41" s="420" t="s">
        <v>585</v>
      </c>
      <c r="J41" s="420" t="s">
        <v>585</v>
      </c>
      <c r="K41" s="420" t="s">
        <v>585</v>
      </c>
      <c r="L41" s="423" t="s">
        <v>585</v>
      </c>
      <c r="M41" s="424" t="s">
        <v>585</v>
      </c>
      <c r="N41" s="422">
        <v>23</v>
      </c>
      <c r="O41" s="420" t="s">
        <v>585</v>
      </c>
      <c r="P41" s="420" t="s">
        <v>585</v>
      </c>
      <c r="Q41" s="423">
        <v>23</v>
      </c>
      <c r="R41" s="419" t="s">
        <v>585</v>
      </c>
      <c r="S41" s="420" t="s">
        <v>585</v>
      </c>
      <c r="T41" s="420" t="s">
        <v>585</v>
      </c>
      <c r="U41" s="421" t="s">
        <v>585</v>
      </c>
      <c r="V41" s="425" t="s">
        <v>585</v>
      </c>
      <c r="W41" s="424" t="s">
        <v>585</v>
      </c>
      <c r="X41" s="422">
        <v>31</v>
      </c>
      <c r="Y41" s="420" t="s">
        <v>585</v>
      </c>
      <c r="Z41" s="420" t="s">
        <v>585</v>
      </c>
      <c r="AA41" s="420" t="s">
        <v>585</v>
      </c>
      <c r="AB41" s="420" t="s">
        <v>585</v>
      </c>
      <c r="AC41" s="420" t="s">
        <v>585</v>
      </c>
      <c r="AD41" s="423">
        <v>31</v>
      </c>
      <c r="AE41" s="424" t="s">
        <v>585</v>
      </c>
      <c r="AF41" s="422">
        <v>4</v>
      </c>
      <c r="AG41" s="420" t="s">
        <v>585</v>
      </c>
      <c r="AH41" s="420" t="s">
        <v>585</v>
      </c>
      <c r="AI41" s="420" t="s">
        <v>585</v>
      </c>
      <c r="AJ41" s="420" t="s">
        <v>585</v>
      </c>
      <c r="AK41" s="420" t="s">
        <v>585</v>
      </c>
      <c r="AL41" s="420" t="s">
        <v>585</v>
      </c>
      <c r="AM41" s="420" t="s">
        <v>585</v>
      </c>
      <c r="AN41" s="420" t="s">
        <v>585</v>
      </c>
      <c r="AO41" s="420" t="s">
        <v>585</v>
      </c>
      <c r="AP41" s="423">
        <v>4</v>
      </c>
      <c r="AQ41" s="419" t="s">
        <v>585</v>
      </c>
      <c r="AR41" s="420">
        <v>22</v>
      </c>
      <c r="AS41" s="420" t="s">
        <v>585</v>
      </c>
      <c r="AT41" s="420" t="s">
        <v>585</v>
      </c>
      <c r="AU41" s="420" t="s">
        <v>585</v>
      </c>
      <c r="AV41" s="420" t="s">
        <v>585</v>
      </c>
      <c r="AW41" s="420" t="s">
        <v>585</v>
      </c>
      <c r="AX41" s="420" t="s">
        <v>585</v>
      </c>
      <c r="AY41" s="421">
        <v>22</v>
      </c>
      <c r="AZ41" s="422" t="s">
        <v>585</v>
      </c>
      <c r="BA41" s="420" t="s">
        <v>585</v>
      </c>
      <c r="BB41" s="420" t="s">
        <v>585</v>
      </c>
      <c r="BC41" s="420" t="s">
        <v>585</v>
      </c>
      <c r="BD41" s="420" t="s">
        <v>585</v>
      </c>
      <c r="BE41" s="420" t="s">
        <v>585</v>
      </c>
      <c r="BF41" s="423" t="s">
        <v>585</v>
      </c>
      <c r="BG41" s="424">
        <v>6</v>
      </c>
      <c r="BH41" s="424">
        <v>82</v>
      </c>
      <c r="BI41" s="424" t="s">
        <v>585</v>
      </c>
      <c r="BJ41" s="422">
        <v>11</v>
      </c>
      <c r="BK41" s="420" t="s">
        <v>585</v>
      </c>
      <c r="BL41" s="420" t="s">
        <v>585</v>
      </c>
      <c r="BM41" s="420" t="s">
        <v>585</v>
      </c>
      <c r="BN41" s="420" t="s">
        <v>585</v>
      </c>
      <c r="BO41" s="420" t="s">
        <v>585</v>
      </c>
      <c r="BP41" s="420" t="s">
        <v>585</v>
      </c>
      <c r="BQ41" s="423">
        <v>11</v>
      </c>
      <c r="BR41" s="419">
        <v>17</v>
      </c>
      <c r="BS41" s="420" t="s">
        <v>585</v>
      </c>
      <c r="BT41" s="420" t="s">
        <v>585</v>
      </c>
      <c r="BU41" s="420">
        <v>15</v>
      </c>
      <c r="BV41" s="420" t="s">
        <v>585</v>
      </c>
      <c r="BW41" s="420" t="s">
        <v>585</v>
      </c>
      <c r="BX41" s="420">
        <v>1</v>
      </c>
      <c r="BY41" s="420" t="s">
        <v>585</v>
      </c>
      <c r="BZ41" s="420" t="s">
        <v>585</v>
      </c>
      <c r="CA41" s="420" t="s">
        <v>585</v>
      </c>
      <c r="CB41" s="420" t="s">
        <v>585</v>
      </c>
      <c r="CC41" s="421">
        <v>33</v>
      </c>
      <c r="CD41" s="422" t="s">
        <v>585</v>
      </c>
      <c r="CE41" s="420" t="s">
        <v>585</v>
      </c>
      <c r="CF41" s="423" t="s">
        <v>585</v>
      </c>
      <c r="CG41" s="424" t="s">
        <v>585</v>
      </c>
      <c r="CH41" s="424" t="s">
        <v>585</v>
      </c>
      <c r="CI41" s="422">
        <v>1</v>
      </c>
      <c r="CJ41" s="420" t="s">
        <v>585</v>
      </c>
      <c r="CK41" s="420" t="s">
        <v>585</v>
      </c>
      <c r="CL41" s="423">
        <v>1</v>
      </c>
      <c r="CM41" s="424" t="s">
        <v>585</v>
      </c>
      <c r="CN41" s="422">
        <v>2</v>
      </c>
      <c r="CO41" s="420" t="s">
        <v>585</v>
      </c>
      <c r="CP41" s="423">
        <v>2</v>
      </c>
      <c r="CQ41" s="424">
        <v>1</v>
      </c>
      <c r="CR41" s="424" t="s">
        <v>585</v>
      </c>
      <c r="CS41" s="422" t="s">
        <v>585</v>
      </c>
      <c r="CT41" s="420" t="s">
        <v>585</v>
      </c>
      <c r="CU41" s="420" t="s">
        <v>585</v>
      </c>
      <c r="CV41" s="423" t="s">
        <v>585</v>
      </c>
      <c r="CW41" s="426">
        <v>216</v>
      </c>
      <c r="CX41" s="427">
        <f>216/538718</f>
        <v>4.0095188948577923E-4</v>
      </c>
      <c r="CY41" s="276"/>
      <c r="CZ41" s="276"/>
      <c r="DA41" s="276"/>
    </row>
    <row r="42" spans="1:105" x14ac:dyDescent="0.2">
      <c r="A42" s="208"/>
      <c r="B42" s="410" t="s">
        <v>159</v>
      </c>
      <c r="C42" s="419" t="s">
        <v>585</v>
      </c>
      <c r="D42" s="420" t="s">
        <v>585</v>
      </c>
      <c r="E42" s="420" t="s">
        <v>585</v>
      </c>
      <c r="F42" s="421" t="s">
        <v>585</v>
      </c>
      <c r="G42" s="422">
        <v>3</v>
      </c>
      <c r="H42" s="420">
        <v>2</v>
      </c>
      <c r="I42" s="420" t="s">
        <v>585</v>
      </c>
      <c r="J42" s="420" t="s">
        <v>585</v>
      </c>
      <c r="K42" s="420" t="s">
        <v>585</v>
      </c>
      <c r="L42" s="423">
        <v>5</v>
      </c>
      <c r="M42" s="424" t="s">
        <v>585</v>
      </c>
      <c r="N42" s="422">
        <v>235</v>
      </c>
      <c r="O42" s="420" t="s">
        <v>585</v>
      </c>
      <c r="P42" s="420" t="s">
        <v>585</v>
      </c>
      <c r="Q42" s="423">
        <v>235</v>
      </c>
      <c r="R42" s="419" t="s">
        <v>585</v>
      </c>
      <c r="S42" s="420" t="s">
        <v>585</v>
      </c>
      <c r="T42" s="420" t="s">
        <v>585</v>
      </c>
      <c r="U42" s="421" t="s">
        <v>585</v>
      </c>
      <c r="V42" s="425" t="s">
        <v>585</v>
      </c>
      <c r="W42" s="424" t="s">
        <v>585</v>
      </c>
      <c r="X42" s="422">
        <v>2</v>
      </c>
      <c r="Y42" s="420" t="s">
        <v>585</v>
      </c>
      <c r="Z42" s="420" t="s">
        <v>585</v>
      </c>
      <c r="AA42" s="420" t="s">
        <v>585</v>
      </c>
      <c r="AB42" s="420" t="s">
        <v>585</v>
      </c>
      <c r="AC42" s="420" t="s">
        <v>585</v>
      </c>
      <c r="AD42" s="423">
        <v>2</v>
      </c>
      <c r="AE42" s="424" t="s">
        <v>585</v>
      </c>
      <c r="AF42" s="422" t="s">
        <v>585</v>
      </c>
      <c r="AG42" s="420" t="s">
        <v>585</v>
      </c>
      <c r="AH42" s="420" t="s">
        <v>585</v>
      </c>
      <c r="AI42" s="420" t="s">
        <v>585</v>
      </c>
      <c r="AJ42" s="420" t="s">
        <v>585</v>
      </c>
      <c r="AK42" s="420" t="s">
        <v>585</v>
      </c>
      <c r="AL42" s="420" t="s">
        <v>585</v>
      </c>
      <c r="AM42" s="420" t="s">
        <v>585</v>
      </c>
      <c r="AN42" s="420">
        <v>9</v>
      </c>
      <c r="AO42" s="420" t="s">
        <v>585</v>
      </c>
      <c r="AP42" s="423">
        <v>9</v>
      </c>
      <c r="AQ42" s="419" t="s">
        <v>585</v>
      </c>
      <c r="AR42" s="420">
        <v>12</v>
      </c>
      <c r="AS42" s="420" t="s">
        <v>585</v>
      </c>
      <c r="AT42" s="420" t="s">
        <v>585</v>
      </c>
      <c r="AU42" s="420" t="s">
        <v>585</v>
      </c>
      <c r="AV42" s="420" t="s">
        <v>585</v>
      </c>
      <c r="AW42" s="420" t="s">
        <v>585</v>
      </c>
      <c r="AX42" s="420" t="s">
        <v>585</v>
      </c>
      <c r="AY42" s="421">
        <v>12</v>
      </c>
      <c r="AZ42" s="422" t="s">
        <v>585</v>
      </c>
      <c r="BA42" s="420" t="s">
        <v>585</v>
      </c>
      <c r="BB42" s="420" t="s">
        <v>585</v>
      </c>
      <c r="BC42" s="420" t="s">
        <v>585</v>
      </c>
      <c r="BD42" s="420" t="s">
        <v>585</v>
      </c>
      <c r="BE42" s="420" t="s">
        <v>585</v>
      </c>
      <c r="BF42" s="423" t="s">
        <v>585</v>
      </c>
      <c r="BG42" s="424" t="s">
        <v>585</v>
      </c>
      <c r="BH42" s="424">
        <v>11</v>
      </c>
      <c r="BI42" s="424" t="s">
        <v>585</v>
      </c>
      <c r="BJ42" s="422">
        <v>3</v>
      </c>
      <c r="BK42" s="420" t="s">
        <v>585</v>
      </c>
      <c r="BL42" s="420" t="s">
        <v>585</v>
      </c>
      <c r="BM42" s="420" t="s">
        <v>585</v>
      </c>
      <c r="BN42" s="420" t="s">
        <v>585</v>
      </c>
      <c r="BO42" s="420" t="s">
        <v>585</v>
      </c>
      <c r="BP42" s="420" t="s">
        <v>585</v>
      </c>
      <c r="BQ42" s="423">
        <v>3</v>
      </c>
      <c r="BR42" s="419">
        <v>3</v>
      </c>
      <c r="BS42" s="420" t="s">
        <v>585</v>
      </c>
      <c r="BT42" s="420" t="s">
        <v>585</v>
      </c>
      <c r="BU42" s="420">
        <v>16</v>
      </c>
      <c r="BV42" s="420" t="s">
        <v>585</v>
      </c>
      <c r="BW42" s="420" t="s">
        <v>585</v>
      </c>
      <c r="BX42" s="420">
        <v>6</v>
      </c>
      <c r="BY42" s="420" t="s">
        <v>585</v>
      </c>
      <c r="BZ42" s="420" t="s">
        <v>585</v>
      </c>
      <c r="CA42" s="420" t="s">
        <v>585</v>
      </c>
      <c r="CB42" s="420" t="s">
        <v>585</v>
      </c>
      <c r="CC42" s="421">
        <v>25</v>
      </c>
      <c r="CD42" s="422" t="s">
        <v>585</v>
      </c>
      <c r="CE42" s="420" t="s">
        <v>585</v>
      </c>
      <c r="CF42" s="423" t="s">
        <v>585</v>
      </c>
      <c r="CG42" s="424" t="s">
        <v>585</v>
      </c>
      <c r="CH42" s="424" t="s">
        <v>585</v>
      </c>
      <c r="CI42" s="422" t="s">
        <v>585</v>
      </c>
      <c r="CJ42" s="420" t="s">
        <v>585</v>
      </c>
      <c r="CK42" s="420" t="s">
        <v>585</v>
      </c>
      <c r="CL42" s="423" t="s">
        <v>585</v>
      </c>
      <c r="CM42" s="424" t="s">
        <v>585</v>
      </c>
      <c r="CN42" s="422">
        <v>2</v>
      </c>
      <c r="CO42" s="420" t="s">
        <v>585</v>
      </c>
      <c r="CP42" s="423">
        <v>2</v>
      </c>
      <c r="CQ42" s="424" t="s">
        <v>585</v>
      </c>
      <c r="CR42" s="424" t="s">
        <v>585</v>
      </c>
      <c r="CS42" s="422" t="s">
        <v>585</v>
      </c>
      <c r="CT42" s="420" t="s">
        <v>585</v>
      </c>
      <c r="CU42" s="420" t="s">
        <v>585</v>
      </c>
      <c r="CV42" s="423" t="s">
        <v>585</v>
      </c>
      <c r="CW42" s="426">
        <v>304</v>
      </c>
      <c r="CX42" s="427">
        <f>304/538718</f>
        <v>5.6430265927628182E-4</v>
      </c>
      <c r="CY42" s="276"/>
      <c r="CZ42" s="276"/>
      <c r="DA42" s="276"/>
    </row>
    <row r="43" spans="1:105" x14ac:dyDescent="0.2">
      <c r="A43" s="208"/>
      <c r="B43" s="410" t="s">
        <v>190</v>
      </c>
      <c r="C43" s="419" t="s">
        <v>585</v>
      </c>
      <c r="D43" s="420">
        <v>0</v>
      </c>
      <c r="E43" s="420">
        <v>5</v>
      </c>
      <c r="F43" s="421">
        <v>5</v>
      </c>
      <c r="G43" s="422" t="s">
        <v>585</v>
      </c>
      <c r="H43" s="420">
        <v>13</v>
      </c>
      <c r="I43" s="420" t="s">
        <v>585</v>
      </c>
      <c r="J43" s="420" t="s">
        <v>585</v>
      </c>
      <c r="K43" s="420" t="s">
        <v>585</v>
      </c>
      <c r="L43" s="423">
        <v>13</v>
      </c>
      <c r="M43" s="424" t="s">
        <v>585</v>
      </c>
      <c r="N43" s="422">
        <v>5</v>
      </c>
      <c r="O43" s="420" t="s">
        <v>585</v>
      </c>
      <c r="P43" s="420" t="s">
        <v>585</v>
      </c>
      <c r="Q43" s="423">
        <v>5</v>
      </c>
      <c r="R43" s="419" t="s">
        <v>585</v>
      </c>
      <c r="S43" s="420" t="s">
        <v>585</v>
      </c>
      <c r="T43" s="420" t="s">
        <v>585</v>
      </c>
      <c r="U43" s="421" t="s">
        <v>585</v>
      </c>
      <c r="V43" s="425" t="s">
        <v>585</v>
      </c>
      <c r="W43" s="424">
        <v>5</v>
      </c>
      <c r="X43" s="422" t="s">
        <v>585</v>
      </c>
      <c r="Y43" s="420" t="s">
        <v>585</v>
      </c>
      <c r="Z43" s="420" t="s">
        <v>585</v>
      </c>
      <c r="AA43" s="420" t="s">
        <v>585</v>
      </c>
      <c r="AB43" s="420" t="s">
        <v>585</v>
      </c>
      <c r="AC43" s="420" t="s">
        <v>585</v>
      </c>
      <c r="AD43" s="423" t="s">
        <v>585</v>
      </c>
      <c r="AE43" s="424" t="s">
        <v>585</v>
      </c>
      <c r="AF43" s="422">
        <v>72</v>
      </c>
      <c r="AG43" s="420" t="s">
        <v>585</v>
      </c>
      <c r="AH43" s="420" t="s">
        <v>585</v>
      </c>
      <c r="AI43" s="420" t="s">
        <v>585</v>
      </c>
      <c r="AJ43" s="420" t="s">
        <v>585</v>
      </c>
      <c r="AK43" s="420" t="s">
        <v>585</v>
      </c>
      <c r="AL43" s="420" t="s">
        <v>585</v>
      </c>
      <c r="AM43" s="420">
        <v>12</v>
      </c>
      <c r="AN43" s="420" t="s">
        <v>585</v>
      </c>
      <c r="AO43" s="420" t="s">
        <v>585</v>
      </c>
      <c r="AP43" s="423">
        <v>84</v>
      </c>
      <c r="AQ43" s="419" t="s">
        <v>585</v>
      </c>
      <c r="AR43" s="420" t="s">
        <v>585</v>
      </c>
      <c r="AS43" s="420" t="s">
        <v>585</v>
      </c>
      <c r="AT43" s="420" t="s">
        <v>585</v>
      </c>
      <c r="AU43" s="420" t="s">
        <v>585</v>
      </c>
      <c r="AV43" s="420" t="s">
        <v>585</v>
      </c>
      <c r="AW43" s="420" t="s">
        <v>585</v>
      </c>
      <c r="AX43" s="420" t="s">
        <v>585</v>
      </c>
      <c r="AY43" s="421" t="s">
        <v>585</v>
      </c>
      <c r="AZ43" s="422" t="s">
        <v>585</v>
      </c>
      <c r="BA43" s="420" t="s">
        <v>585</v>
      </c>
      <c r="BB43" s="420" t="s">
        <v>585</v>
      </c>
      <c r="BC43" s="420" t="s">
        <v>585</v>
      </c>
      <c r="BD43" s="420" t="s">
        <v>585</v>
      </c>
      <c r="BE43" s="420" t="s">
        <v>585</v>
      </c>
      <c r="BF43" s="423" t="s">
        <v>585</v>
      </c>
      <c r="BG43" s="424" t="s">
        <v>585</v>
      </c>
      <c r="BH43" s="424">
        <v>63</v>
      </c>
      <c r="BI43" s="424" t="s">
        <v>585</v>
      </c>
      <c r="BJ43" s="422">
        <v>757</v>
      </c>
      <c r="BK43" s="420" t="s">
        <v>585</v>
      </c>
      <c r="BL43" s="420" t="s">
        <v>585</v>
      </c>
      <c r="BM43" s="420">
        <v>132</v>
      </c>
      <c r="BN43" s="420" t="s">
        <v>585</v>
      </c>
      <c r="BO43" s="420" t="s">
        <v>585</v>
      </c>
      <c r="BP43" s="420" t="s">
        <v>585</v>
      </c>
      <c r="BQ43" s="423">
        <v>889</v>
      </c>
      <c r="BR43" s="419">
        <v>1</v>
      </c>
      <c r="BS43" s="420" t="s">
        <v>585</v>
      </c>
      <c r="BT43" s="420" t="s">
        <v>585</v>
      </c>
      <c r="BU43" s="420">
        <v>3</v>
      </c>
      <c r="BV43" s="420" t="s">
        <v>585</v>
      </c>
      <c r="BW43" s="420" t="s">
        <v>585</v>
      </c>
      <c r="BX43" s="420">
        <v>1</v>
      </c>
      <c r="BY43" s="420" t="s">
        <v>585</v>
      </c>
      <c r="BZ43" s="420" t="s">
        <v>585</v>
      </c>
      <c r="CA43" s="420" t="s">
        <v>585</v>
      </c>
      <c r="CB43" s="420" t="s">
        <v>585</v>
      </c>
      <c r="CC43" s="421">
        <v>5</v>
      </c>
      <c r="CD43" s="422" t="s">
        <v>585</v>
      </c>
      <c r="CE43" s="420" t="s">
        <v>585</v>
      </c>
      <c r="CF43" s="423" t="s">
        <v>585</v>
      </c>
      <c r="CG43" s="424" t="s">
        <v>585</v>
      </c>
      <c r="CH43" s="424" t="s">
        <v>585</v>
      </c>
      <c r="CI43" s="422">
        <v>28</v>
      </c>
      <c r="CJ43" s="420" t="s">
        <v>585</v>
      </c>
      <c r="CK43" s="420" t="s">
        <v>585</v>
      </c>
      <c r="CL43" s="423">
        <v>28</v>
      </c>
      <c r="CM43" s="424" t="s">
        <v>585</v>
      </c>
      <c r="CN43" s="422">
        <v>24</v>
      </c>
      <c r="CO43" s="420" t="s">
        <v>585</v>
      </c>
      <c r="CP43" s="423">
        <v>24</v>
      </c>
      <c r="CQ43" s="424" t="s">
        <v>585</v>
      </c>
      <c r="CR43" s="424" t="s">
        <v>585</v>
      </c>
      <c r="CS43" s="422" t="s">
        <v>585</v>
      </c>
      <c r="CT43" s="420" t="s">
        <v>585</v>
      </c>
      <c r="CU43" s="420" t="s">
        <v>585</v>
      </c>
      <c r="CV43" s="423" t="s">
        <v>585</v>
      </c>
      <c r="CW43" s="426">
        <v>1121</v>
      </c>
      <c r="CX43" s="427">
        <f>1121/538718</f>
        <v>2.0808660560812891E-3</v>
      </c>
      <c r="CY43" s="276"/>
      <c r="CZ43" s="276"/>
      <c r="DA43" s="276"/>
    </row>
    <row r="44" spans="1:105" x14ac:dyDescent="0.2">
      <c r="A44" s="208"/>
      <c r="B44" s="410" t="s">
        <v>216</v>
      </c>
      <c r="C44" s="419" t="s">
        <v>585</v>
      </c>
      <c r="D44" s="420" t="s">
        <v>585</v>
      </c>
      <c r="E44" s="420" t="s">
        <v>585</v>
      </c>
      <c r="F44" s="421" t="s">
        <v>585</v>
      </c>
      <c r="G44" s="422">
        <v>7</v>
      </c>
      <c r="H44" s="420">
        <v>5</v>
      </c>
      <c r="I44" s="420" t="s">
        <v>585</v>
      </c>
      <c r="J44" s="420" t="s">
        <v>585</v>
      </c>
      <c r="K44" s="420" t="s">
        <v>585</v>
      </c>
      <c r="L44" s="423">
        <v>12</v>
      </c>
      <c r="M44" s="424" t="s">
        <v>585</v>
      </c>
      <c r="N44" s="422">
        <v>405</v>
      </c>
      <c r="O44" s="420" t="s">
        <v>585</v>
      </c>
      <c r="P44" s="420" t="s">
        <v>585</v>
      </c>
      <c r="Q44" s="423">
        <v>405</v>
      </c>
      <c r="R44" s="419" t="s">
        <v>585</v>
      </c>
      <c r="S44" s="420" t="s">
        <v>585</v>
      </c>
      <c r="T44" s="420" t="s">
        <v>585</v>
      </c>
      <c r="U44" s="421" t="s">
        <v>585</v>
      </c>
      <c r="V44" s="425" t="s">
        <v>585</v>
      </c>
      <c r="W44" s="424" t="s">
        <v>585</v>
      </c>
      <c r="X44" s="422">
        <v>1</v>
      </c>
      <c r="Y44" s="420" t="s">
        <v>585</v>
      </c>
      <c r="Z44" s="420" t="s">
        <v>585</v>
      </c>
      <c r="AA44" s="420" t="s">
        <v>585</v>
      </c>
      <c r="AB44" s="420" t="s">
        <v>585</v>
      </c>
      <c r="AC44" s="420" t="s">
        <v>585</v>
      </c>
      <c r="AD44" s="423">
        <v>1</v>
      </c>
      <c r="AE44" s="424" t="s">
        <v>585</v>
      </c>
      <c r="AF44" s="422">
        <v>3</v>
      </c>
      <c r="AG44" s="420" t="s">
        <v>585</v>
      </c>
      <c r="AH44" s="420" t="s">
        <v>585</v>
      </c>
      <c r="AI44" s="420" t="s">
        <v>585</v>
      </c>
      <c r="AJ44" s="420" t="s">
        <v>585</v>
      </c>
      <c r="AK44" s="420" t="s">
        <v>585</v>
      </c>
      <c r="AL44" s="420" t="s">
        <v>585</v>
      </c>
      <c r="AM44" s="420" t="s">
        <v>585</v>
      </c>
      <c r="AN44" s="420" t="s">
        <v>585</v>
      </c>
      <c r="AO44" s="420" t="s">
        <v>585</v>
      </c>
      <c r="AP44" s="423">
        <v>3</v>
      </c>
      <c r="AQ44" s="419" t="s">
        <v>585</v>
      </c>
      <c r="AR44" s="420">
        <v>5</v>
      </c>
      <c r="AS44" s="420" t="s">
        <v>585</v>
      </c>
      <c r="AT44" s="420" t="s">
        <v>585</v>
      </c>
      <c r="AU44" s="420" t="s">
        <v>585</v>
      </c>
      <c r="AV44" s="420" t="s">
        <v>585</v>
      </c>
      <c r="AW44" s="420" t="s">
        <v>585</v>
      </c>
      <c r="AX44" s="420" t="s">
        <v>585</v>
      </c>
      <c r="AY44" s="421">
        <v>5</v>
      </c>
      <c r="AZ44" s="422" t="s">
        <v>585</v>
      </c>
      <c r="BA44" s="420" t="s">
        <v>585</v>
      </c>
      <c r="BB44" s="420" t="s">
        <v>585</v>
      </c>
      <c r="BC44" s="420" t="s">
        <v>585</v>
      </c>
      <c r="BD44" s="420" t="s">
        <v>585</v>
      </c>
      <c r="BE44" s="420" t="s">
        <v>585</v>
      </c>
      <c r="BF44" s="423" t="s">
        <v>585</v>
      </c>
      <c r="BG44" s="424" t="s">
        <v>585</v>
      </c>
      <c r="BH44" s="424" t="s">
        <v>585</v>
      </c>
      <c r="BI44" s="424" t="s">
        <v>585</v>
      </c>
      <c r="BJ44" s="422">
        <v>8</v>
      </c>
      <c r="BK44" s="420" t="s">
        <v>585</v>
      </c>
      <c r="BL44" s="420" t="s">
        <v>585</v>
      </c>
      <c r="BM44" s="420" t="s">
        <v>585</v>
      </c>
      <c r="BN44" s="420" t="s">
        <v>585</v>
      </c>
      <c r="BO44" s="420" t="s">
        <v>585</v>
      </c>
      <c r="BP44" s="420" t="s">
        <v>585</v>
      </c>
      <c r="BQ44" s="423">
        <v>8</v>
      </c>
      <c r="BR44" s="419">
        <v>2</v>
      </c>
      <c r="BS44" s="420" t="s">
        <v>585</v>
      </c>
      <c r="BT44" s="420" t="s">
        <v>585</v>
      </c>
      <c r="BU44" s="420">
        <v>14</v>
      </c>
      <c r="BV44" s="420" t="s">
        <v>585</v>
      </c>
      <c r="BW44" s="420" t="s">
        <v>585</v>
      </c>
      <c r="BX44" s="420">
        <v>3</v>
      </c>
      <c r="BY44" s="420" t="s">
        <v>585</v>
      </c>
      <c r="BZ44" s="420" t="s">
        <v>585</v>
      </c>
      <c r="CA44" s="420" t="s">
        <v>585</v>
      </c>
      <c r="CB44" s="420" t="s">
        <v>585</v>
      </c>
      <c r="CC44" s="421">
        <v>19</v>
      </c>
      <c r="CD44" s="422" t="s">
        <v>585</v>
      </c>
      <c r="CE44" s="420" t="s">
        <v>585</v>
      </c>
      <c r="CF44" s="423" t="s">
        <v>585</v>
      </c>
      <c r="CG44" s="424" t="s">
        <v>585</v>
      </c>
      <c r="CH44" s="424" t="s">
        <v>585</v>
      </c>
      <c r="CI44" s="422">
        <v>1</v>
      </c>
      <c r="CJ44" s="420" t="s">
        <v>585</v>
      </c>
      <c r="CK44" s="420" t="s">
        <v>585</v>
      </c>
      <c r="CL44" s="423">
        <v>1</v>
      </c>
      <c r="CM44" s="424" t="s">
        <v>585</v>
      </c>
      <c r="CN44" s="422" t="s">
        <v>585</v>
      </c>
      <c r="CO44" s="420" t="s">
        <v>585</v>
      </c>
      <c r="CP44" s="423" t="s">
        <v>585</v>
      </c>
      <c r="CQ44" s="424" t="s">
        <v>585</v>
      </c>
      <c r="CR44" s="424" t="s">
        <v>585</v>
      </c>
      <c r="CS44" s="422">
        <v>2</v>
      </c>
      <c r="CT44" s="420" t="s">
        <v>585</v>
      </c>
      <c r="CU44" s="420" t="s">
        <v>585</v>
      </c>
      <c r="CV44" s="423">
        <v>2</v>
      </c>
      <c r="CW44" s="426">
        <v>456</v>
      </c>
      <c r="CX44" s="427">
        <f>456/538718</f>
        <v>8.4645398891442273E-4</v>
      </c>
      <c r="CY44" s="276"/>
      <c r="CZ44" s="276"/>
      <c r="DA44" s="276"/>
    </row>
    <row r="45" spans="1:105" x14ac:dyDescent="0.2">
      <c r="A45" s="208"/>
      <c r="B45" s="410" t="s">
        <v>232</v>
      </c>
      <c r="C45" s="419" t="s">
        <v>585</v>
      </c>
      <c r="D45" s="420">
        <v>11</v>
      </c>
      <c r="E45" s="420" t="s">
        <v>585</v>
      </c>
      <c r="F45" s="421">
        <v>11</v>
      </c>
      <c r="G45" s="422" t="s">
        <v>585</v>
      </c>
      <c r="H45" s="420" t="s">
        <v>585</v>
      </c>
      <c r="I45" s="420" t="s">
        <v>585</v>
      </c>
      <c r="J45" s="420" t="s">
        <v>585</v>
      </c>
      <c r="K45" s="420" t="s">
        <v>585</v>
      </c>
      <c r="L45" s="423" t="s">
        <v>585</v>
      </c>
      <c r="M45" s="424" t="s">
        <v>585</v>
      </c>
      <c r="N45" s="422">
        <v>34</v>
      </c>
      <c r="O45" s="420" t="s">
        <v>585</v>
      </c>
      <c r="P45" s="420" t="s">
        <v>585</v>
      </c>
      <c r="Q45" s="423">
        <v>34</v>
      </c>
      <c r="R45" s="419" t="s">
        <v>585</v>
      </c>
      <c r="S45" s="420" t="s">
        <v>585</v>
      </c>
      <c r="T45" s="420" t="s">
        <v>585</v>
      </c>
      <c r="U45" s="421" t="s">
        <v>585</v>
      </c>
      <c r="V45" s="425" t="s">
        <v>585</v>
      </c>
      <c r="W45" s="424">
        <v>10</v>
      </c>
      <c r="X45" s="422" t="s">
        <v>585</v>
      </c>
      <c r="Y45" s="420" t="s">
        <v>585</v>
      </c>
      <c r="Z45" s="420" t="s">
        <v>585</v>
      </c>
      <c r="AA45" s="420" t="s">
        <v>585</v>
      </c>
      <c r="AB45" s="420" t="s">
        <v>585</v>
      </c>
      <c r="AC45" s="420" t="s">
        <v>585</v>
      </c>
      <c r="AD45" s="423" t="s">
        <v>585</v>
      </c>
      <c r="AE45" s="424" t="s">
        <v>585</v>
      </c>
      <c r="AF45" s="422">
        <v>166</v>
      </c>
      <c r="AG45" s="420" t="s">
        <v>585</v>
      </c>
      <c r="AH45" s="420" t="s">
        <v>585</v>
      </c>
      <c r="AI45" s="420" t="s">
        <v>585</v>
      </c>
      <c r="AJ45" s="420" t="s">
        <v>585</v>
      </c>
      <c r="AK45" s="420" t="s">
        <v>585</v>
      </c>
      <c r="AL45" s="420" t="s">
        <v>585</v>
      </c>
      <c r="AM45" s="420">
        <v>38</v>
      </c>
      <c r="AN45" s="420" t="s">
        <v>585</v>
      </c>
      <c r="AO45" s="420" t="s">
        <v>585</v>
      </c>
      <c r="AP45" s="423">
        <v>204</v>
      </c>
      <c r="AQ45" s="419" t="s">
        <v>585</v>
      </c>
      <c r="AR45" s="420">
        <v>3</v>
      </c>
      <c r="AS45" s="420" t="s">
        <v>585</v>
      </c>
      <c r="AT45" s="420" t="s">
        <v>585</v>
      </c>
      <c r="AU45" s="420" t="s">
        <v>585</v>
      </c>
      <c r="AV45" s="420" t="s">
        <v>585</v>
      </c>
      <c r="AW45" s="420" t="s">
        <v>585</v>
      </c>
      <c r="AX45" s="420" t="s">
        <v>585</v>
      </c>
      <c r="AY45" s="421">
        <v>3</v>
      </c>
      <c r="AZ45" s="422" t="s">
        <v>585</v>
      </c>
      <c r="BA45" s="420" t="s">
        <v>585</v>
      </c>
      <c r="BB45" s="420" t="s">
        <v>585</v>
      </c>
      <c r="BC45" s="420" t="s">
        <v>585</v>
      </c>
      <c r="BD45" s="420" t="s">
        <v>585</v>
      </c>
      <c r="BE45" s="420" t="s">
        <v>585</v>
      </c>
      <c r="BF45" s="423" t="s">
        <v>585</v>
      </c>
      <c r="BG45" s="424" t="s">
        <v>585</v>
      </c>
      <c r="BH45" s="424">
        <v>74</v>
      </c>
      <c r="BI45" s="424" t="s">
        <v>585</v>
      </c>
      <c r="BJ45" s="422">
        <v>57</v>
      </c>
      <c r="BK45" s="420" t="s">
        <v>585</v>
      </c>
      <c r="BL45" s="420">
        <v>8</v>
      </c>
      <c r="BM45" s="420">
        <v>70</v>
      </c>
      <c r="BN45" s="420" t="s">
        <v>585</v>
      </c>
      <c r="BO45" s="420" t="s">
        <v>585</v>
      </c>
      <c r="BP45" s="420" t="s">
        <v>585</v>
      </c>
      <c r="BQ45" s="423">
        <v>135</v>
      </c>
      <c r="BR45" s="419">
        <v>20</v>
      </c>
      <c r="BS45" s="420" t="s">
        <v>585</v>
      </c>
      <c r="BT45" s="420" t="s">
        <v>585</v>
      </c>
      <c r="BU45" s="420">
        <v>9</v>
      </c>
      <c r="BV45" s="420" t="s">
        <v>585</v>
      </c>
      <c r="BW45" s="420" t="s">
        <v>585</v>
      </c>
      <c r="BX45" s="420">
        <v>4</v>
      </c>
      <c r="BY45" s="420" t="s">
        <v>585</v>
      </c>
      <c r="BZ45" s="420" t="s">
        <v>585</v>
      </c>
      <c r="CA45" s="420" t="s">
        <v>585</v>
      </c>
      <c r="CB45" s="420" t="s">
        <v>585</v>
      </c>
      <c r="CC45" s="421">
        <v>33</v>
      </c>
      <c r="CD45" s="422" t="s">
        <v>585</v>
      </c>
      <c r="CE45" s="420" t="s">
        <v>585</v>
      </c>
      <c r="CF45" s="423" t="s">
        <v>585</v>
      </c>
      <c r="CG45" s="424" t="s">
        <v>585</v>
      </c>
      <c r="CH45" s="424" t="s">
        <v>585</v>
      </c>
      <c r="CI45" s="422" t="s">
        <v>585</v>
      </c>
      <c r="CJ45" s="420" t="s">
        <v>585</v>
      </c>
      <c r="CK45" s="420" t="s">
        <v>585</v>
      </c>
      <c r="CL45" s="423" t="s">
        <v>585</v>
      </c>
      <c r="CM45" s="424" t="s">
        <v>585</v>
      </c>
      <c r="CN45" s="422" t="s">
        <v>585</v>
      </c>
      <c r="CO45" s="420" t="s">
        <v>585</v>
      </c>
      <c r="CP45" s="423" t="s">
        <v>585</v>
      </c>
      <c r="CQ45" s="424" t="s">
        <v>585</v>
      </c>
      <c r="CR45" s="424">
        <v>54</v>
      </c>
      <c r="CS45" s="422">
        <v>38</v>
      </c>
      <c r="CT45" s="420" t="s">
        <v>585</v>
      </c>
      <c r="CU45" s="420" t="s">
        <v>585</v>
      </c>
      <c r="CV45" s="423">
        <v>38</v>
      </c>
      <c r="CW45" s="426">
        <v>596</v>
      </c>
      <c r="CX45" s="427">
        <f>596/538718</f>
        <v>1.1063302135811315E-3</v>
      </c>
      <c r="CY45" s="276"/>
      <c r="CZ45" s="276"/>
      <c r="DA45" s="276"/>
    </row>
    <row r="46" spans="1:105" ht="13.5" thickBot="1" x14ac:dyDescent="0.25">
      <c r="A46" s="208"/>
      <c r="B46" s="411" t="s">
        <v>685</v>
      </c>
      <c r="C46" s="428">
        <v>5</v>
      </c>
      <c r="D46" s="429">
        <v>2</v>
      </c>
      <c r="E46" s="429">
        <v>2</v>
      </c>
      <c r="F46" s="430">
        <v>9</v>
      </c>
      <c r="G46" s="431">
        <v>4</v>
      </c>
      <c r="H46" s="429">
        <v>48</v>
      </c>
      <c r="I46" s="429" t="s">
        <v>585</v>
      </c>
      <c r="J46" s="429" t="s">
        <v>585</v>
      </c>
      <c r="K46" s="429" t="s">
        <v>585</v>
      </c>
      <c r="L46" s="432">
        <v>52</v>
      </c>
      <c r="M46" s="433" t="s">
        <v>585</v>
      </c>
      <c r="N46" s="431">
        <v>824</v>
      </c>
      <c r="O46" s="429" t="s">
        <v>585</v>
      </c>
      <c r="P46" s="429" t="s">
        <v>585</v>
      </c>
      <c r="Q46" s="432">
        <v>824</v>
      </c>
      <c r="R46" s="428" t="s">
        <v>585</v>
      </c>
      <c r="S46" s="429" t="s">
        <v>585</v>
      </c>
      <c r="T46" s="429" t="s">
        <v>585</v>
      </c>
      <c r="U46" s="430" t="s">
        <v>585</v>
      </c>
      <c r="V46" s="434" t="s">
        <v>585</v>
      </c>
      <c r="W46" s="433">
        <v>61</v>
      </c>
      <c r="X46" s="431">
        <v>5</v>
      </c>
      <c r="Y46" s="429" t="s">
        <v>585</v>
      </c>
      <c r="Z46" s="429">
        <v>2</v>
      </c>
      <c r="AA46" s="429" t="s">
        <v>585</v>
      </c>
      <c r="AB46" s="429" t="s">
        <v>585</v>
      </c>
      <c r="AC46" s="429" t="s">
        <v>585</v>
      </c>
      <c r="AD46" s="432">
        <v>7</v>
      </c>
      <c r="AE46" s="433">
        <v>6</v>
      </c>
      <c r="AF46" s="431">
        <v>187</v>
      </c>
      <c r="AG46" s="429" t="s">
        <v>585</v>
      </c>
      <c r="AH46" s="429" t="s">
        <v>585</v>
      </c>
      <c r="AI46" s="429" t="s">
        <v>585</v>
      </c>
      <c r="AJ46" s="429" t="s">
        <v>585</v>
      </c>
      <c r="AK46" s="429" t="s">
        <v>585</v>
      </c>
      <c r="AL46" s="429" t="s">
        <v>585</v>
      </c>
      <c r="AM46" s="429">
        <v>66</v>
      </c>
      <c r="AN46" s="429" t="s">
        <v>585</v>
      </c>
      <c r="AO46" s="429" t="s">
        <v>585</v>
      </c>
      <c r="AP46" s="432">
        <v>253</v>
      </c>
      <c r="AQ46" s="428" t="s">
        <v>585</v>
      </c>
      <c r="AR46" s="429">
        <v>18</v>
      </c>
      <c r="AS46" s="429" t="s">
        <v>585</v>
      </c>
      <c r="AT46" s="429" t="s">
        <v>585</v>
      </c>
      <c r="AU46" s="429" t="s">
        <v>585</v>
      </c>
      <c r="AV46" s="429" t="s">
        <v>585</v>
      </c>
      <c r="AW46" s="429" t="s">
        <v>585</v>
      </c>
      <c r="AX46" s="429" t="s">
        <v>585</v>
      </c>
      <c r="AY46" s="430">
        <v>18</v>
      </c>
      <c r="AZ46" s="431" t="s">
        <v>585</v>
      </c>
      <c r="BA46" s="429" t="s">
        <v>585</v>
      </c>
      <c r="BB46" s="429" t="s">
        <v>585</v>
      </c>
      <c r="BC46" s="429" t="s">
        <v>585</v>
      </c>
      <c r="BD46" s="429" t="s">
        <v>585</v>
      </c>
      <c r="BE46" s="429" t="s">
        <v>585</v>
      </c>
      <c r="BF46" s="432" t="s">
        <v>585</v>
      </c>
      <c r="BG46" s="433" t="s">
        <v>585</v>
      </c>
      <c r="BH46" s="433">
        <v>473</v>
      </c>
      <c r="BI46" s="433" t="s">
        <v>585</v>
      </c>
      <c r="BJ46" s="431">
        <v>1073</v>
      </c>
      <c r="BK46" s="429" t="s">
        <v>585</v>
      </c>
      <c r="BL46" s="429" t="s">
        <v>585</v>
      </c>
      <c r="BM46" s="429">
        <v>17</v>
      </c>
      <c r="BN46" s="429" t="s">
        <v>585</v>
      </c>
      <c r="BO46" s="429" t="s">
        <v>585</v>
      </c>
      <c r="BP46" s="429" t="s">
        <v>585</v>
      </c>
      <c r="BQ46" s="432">
        <v>1090</v>
      </c>
      <c r="BR46" s="428">
        <v>34</v>
      </c>
      <c r="BS46" s="429" t="s">
        <v>585</v>
      </c>
      <c r="BT46" s="429">
        <v>1</v>
      </c>
      <c r="BU46" s="429">
        <v>222</v>
      </c>
      <c r="BV46" s="429" t="s">
        <v>585</v>
      </c>
      <c r="BW46" s="429" t="s">
        <v>585</v>
      </c>
      <c r="BX46" s="429">
        <v>52</v>
      </c>
      <c r="BY46" s="429" t="s">
        <v>585</v>
      </c>
      <c r="BZ46" s="429" t="s">
        <v>585</v>
      </c>
      <c r="CA46" s="429" t="s">
        <v>585</v>
      </c>
      <c r="CB46" s="429" t="s">
        <v>585</v>
      </c>
      <c r="CC46" s="430">
        <v>309</v>
      </c>
      <c r="CD46" s="431" t="s">
        <v>585</v>
      </c>
      <c r="CE46" s="429" t="s">
        <v>585</v>
      </c>
      <c r="CF46" s="432" t="s">
        <v>585</v>
      </c>
      <c r="CG46" s="433" t="s">
        <v>585</v>
      </c>
      <c r="CH46" s="433">
        <v>1</v>
      </c>
      <c r="CI46" s="431">
        <v>72</v>
      </c>
      <c r="CJ46" s="429">
        <v>13</v>
      </c>
      <c r="CK46" s="429">
        <v>20</v>
      </c>
      <c r="CL46" s="432">
        <v>105</v>
      </c>
      <c r="CM46" s="433" t="s">
        <v>585</v>
      </c>
      <c r="CN46" s="431">
        <v>95</v>
      </c>
      <c r="CO46" s="429" t="s">
        <v>585</v>
      </c>
      <c r="CP46" s="432">
        <v>95</v>
      </c>
      <c r="CQ46" s="433" t="s">
        <v>585</v>
      </c>
      <c r="CR46" s="433">
        <v>30</v>
      </c>
      <c r="CS46" s="431">
        <v>65</v>
      </c>
      <c r="CT46" s="429">
        <v>30</v>
      </c>
      <c r="CU46" s="429" t="s">
        <v>585</v>
      </c>
      <c r="CV46" s="432">
        <v>95</v>
      </c>
      <c r="CW46" s="435">
        <v>3428</v>
      </c>
      <c r="CX46" s="436">
        <f>3428/538718</f>
        <v>6.3632549868391257E-3</v>
      </c>
      <c r="CY46" s="276"/>
      <c r="CZ46" s="276"/>
      <c r="DA46" s="276"/>
    </row>
    <row r="47" spans="1:105" s="101" customFormat="1" ht="13.5" thickBot="1" x14ac:dyDescent="0.25">
      <c r="A47" s="208"/>
      <c r="B47" s="113" t="s">
        <v>692</v>
      </c>
      <c r="C47" s="437">
        <v>70</v>
      </c>
      <c r="D47" s="212">
        <v>231</v>
      </c>
      <c r="E47" s="212">
        <v>122</v>
      </c>
      <c r="F47" s="438">
        <v>423</v>
      </c>
      <c r="G47" s="439">
        <v>50</v>
      </c>
      <c r="H47" s="212">
        <v>969</v>
      </c>
      <c r="I47" s="212">
        <v>4</v>
      </c>
      <c r="J47" s="212" t="s">
        <v>585</v>
      </c>
      <c r="K47" s="212" t="s">
        <v>585</v>
      </c>
      <c r="L47" s="440">
        <v>1023</v>
      </c>
      <c r="M47" s="209" t="s">
        <v>585</v>
      </c>
      <c r="N47" s="439">
        <v>3677</v>
      </c>
      <c r="O47" s="212" t="s">
        <v>585</v>
      </c>
      <c r="P47" s="212">
        <v>1</v>
      </c>
      <c r="Q47" s="440">
        <v>3678</v>
      </c>
      <c r="R47" s="437" t="s">
        <v>585</v>
      </c>
      <c r="S47" s="212" t="s">
        <v>585</v>
      </c>
      <c r="T47" s="212" t="s">
        <v>585</v>
      </c>
      <c r="U47" s="438" t="s">
        <v>585</v>
      </c>
      <c r="V47" s="213">
        <v>2</v>
      </c>
      <c r="W47" s="209">
        <v>3562</v>
      </c>
      <c r="X47" s="439">
        <v>103</v>
      </c>
      <c r="Y47" s="212" t="s">
        <v>585</v>
      </c>
      <c r="Z47" s="212">
        <v>3</v>
      </c>
      <c r="AA47" s="212" t="s">
        <v>585</v>
      </c>
      <c r="AB47" s="212" t="s">
        <v>585</v>
      </c>
      <c r="AC47" s="212" t="s">
        <v>585</v>
      </c>
      <c r="AD47" s="440">
        <v>106</v>
      </c>
      <c r="AE47" s="209">
        <v>837</v>
      </c>
      <c r="AF47" s="439">
        <v>6803</v>
      </c>
      <c r="AG47" s="212" t="s">
        <v>585</v>
      </c>
      <c r="AH47" s="212" t="s">
        <v>585</v>
      </c>
      <c r="AI47" s="212" t="s">
        <v>585</v>
      </c>
      <c r="AJ47" s="212">
        <v>263</v>
      </c>
      <c r="AK47" s="212" t="s">
        <v>585</v>
      </c>
      <c r="AL47" s="212" t="s">
        <v>585</v>
      </c>
      <c r="AM47" s="212">
        <v>1955</v>
      </c>
      <c r="AN47" s="212">
        <v>39</v>
      </c>
      <c r="AO47" s="212" t="s">
        <v>585</v>
      </c>
      <c r="AP47" s="440">
        <v>9060</v>
      </c>
      <c r="AQ47" s="437" t="s">
        <v>585</v>
      </c>
      <c r="AR47" s="212">
        <v>153</v>
      </c>
      <c r="AS47" s="212" t="s">
        <v>585</v>
      </c>
      <c r="AT47" s="212" t="s">
        <v>585</v>
      </c>
      <c r="AU47" s="212" t="s">
        <v>585</v>
      </c>
      <c r="AV47" s="212" t="s">
        <v>585</v>
      </c>
      <c r="AW47" s="212" t="s">
        <v>585</v>
      </c>
      <c r="AX47" s="212" t="s">
        <v>585</v>
      </c>
      <c r="AY47" s="438">
        <v>153</v>
      </c>
      <c r="AZ47" s="439" t="s">
        <v>585</v>
      </c>
      <c r="BA47" s="212" t="s">
        <v>585</v>
      </c>
      <c r="BB47" s="212" t="s">
        <v>585</v>
      </c>
      <c r="BC47" s="212" t="s">
        <v>585</v>
      </c>
      <c r="BD47" s="212" t="s">
        <v>585</v>
      </c>
      <c r="BE47" s="212" t="s">
        <v>585</v>
      </c>
      <c r="BF47" s="440" t="s">
        <v>585</v>
      </c>
      <c r="BG47" s="209">
        <v>10</v>
      </c>
      <c r="BH47" s="209">
        <v>12191</v>
      </c>
      <c r="BI47" s="209" t="s">
        <v>585</v>
      </c>
      <c r="BJ47" s="439">
        <v>15088</v>
      </c>
      <c r="BK47" s="212" t="s">
        <v>585</v>
      </c>
      <c r="BL47" s="212">
        <v>330</v>
      </c>
      <c r="BM47" s="212">
        <v>1974</v>
      </c>
      <c r="BN47" s="212">
        <v>42</v>
      </c>
      <c r="BO47" s="212" t="s">
        <v>585</v>
      </c>
      <c r="BP47" s="212" t="s">
        <v>585</v>
      </c>
      <c r="BQ47" s="440">
        <v>17434</v>
      </c>
      <c r="BR47" s="437">
        <v>155</v>
      </c>
      <c r="BS47" s="212" t="s">
        <v>585</v>
      </c>
      <c r="BT47" s="212">
        <v>3</v>
      </c>
      <c r="BU47" s="212">
        <v>9296</v>
      </c>
      <c r="BV47" s="212">
        <v>8</v>
      </c>
      <c r="BW47" s="212" t="s">
        <v>585</v>
      </c>
      <c r="BX47" s="212">
        <v>1386</v>
      </c>
      <c r="BY47" s="212" t="s">
        <v>585</v>
      </c>
      <c r="BZ47" s="212" t="s">
        <v>585</v>
      </c>
      <c r="CA47" s="212" t="s">
        <v>585</v>
      </c>
      <c r="CB47" s="212" t="s">
        <v>585</v>
      </c>
      <c r="CC47" s="438">
        <v>10848</v>
      </c>
      <c r="CD47" s="439">
        <v>201</v>
      </c>
      <c r="CE47" s="212">
        <v>8</v>
      </c>
      <c r="CF47" s="440">
        <v>209</v>
      </c>
      <c r="CG47" s="209" t="s">
        <v>585</v>
      </c>
      <c r="CH47" s="209">
        <v>123</v>
      </c>
      <c r="CI47" s="439">
        <v>2579</v>
      </c>
      <c r="CJ47" s="212">
        <v>300</v>
      </c>
      <c r="CK47" s="212">
        <v>132</v>
      </c>
      <c r="CL47" s="440">
        <v>3011</v>
      </c>
      <c r="CM47" s="209" t="s">
        <v>585</v>
      </c>
      <c r="CN47" s="439">
        <v>2826</v>
      </c>
      <c r="CO47" s="212" t="s">
        <v>585</v>
      </c>
      <c r="CP47" s="440">
        <v>2826</v>
      </c>
      <c r="CQ47" s="209">
        <v>832</v>
      </c>
      <c r="CR47" s="209">
        <v>1468</v>
      </c>
      <c r="CS47" s="439">
        <v>1535</v>
      </c>
      <c r="CT47" s="212">
        <v>848</v>
      </c>
      <c r="CU47" s="212">
        <v>27</v>
      </c>
      <c r="CV47" s="440">
        <v>2410</v>
      </c>
      <c r="CW47" s="210">
        <v>70206</v>
      </c>
      <c r="CX47" s="270">
        <f>70206/538718</f>
        <v>0.13032050163536396</v>
      </c>
      <c r="CY47" s="277"/>
      <c r="CZ47" s="277"/>
      <c r="DA47" s="277"/>
    </row>
    <row r="48" spans="1:105" s="101" customFormat="1" ht="13.5" thickBot="1" x14ac:dyDescent="0.25">
      <c r="A48" s="208"/>
      <c r="B48" s="113" t="s">
        <v>693</v>
      </c>
      <c r="C48" s="437">
        <v>70</v>
      </c>
      <c r="D48" s="212">
        <v>238</v>
      </c>
      <c r="E48" s="212">
        <v>122</v>
      </c>
      <c r="F48" s="438">
        <v>430</v>
      </c>
      <c r="G48" s="439">
        <v>2681</v>
      </c>
      <c r="H48" s="212">
        <v>1214</v>
      </c>
      <c r="I48" s="212">
        <v>7</v>
      </c>
      <c r="J48" s="212" t="s">
        <v>585</v>
      </c>
      <c r="K48" s="212" t="s">
        <v>585</v>
      </c>
      <c r="L48" s="440">
        <v>3902</v>
      </c>
      <c r="M48" s="209" t="s">
        <v>585</v>
      </c>
      <c r="N48" s="439">
        <v>4083</v>
      </c>
      <c r="O48" s="212" t="s">
        <v>585</v>
      </c>
      <c r="P48" s="212">
        <v>1</v>
      </c>
      <c r="Q48" s="440">
        <v>4084</v>
      </c>
      <c r="R48" s="437" t="s">
        <v>585</v>
      </c>
      <c r="S48" s="212" t="s">
        <v>585</v>
      </c>
      <c r="T48" s="212" t="s">
        <v>585</v>
      </c>
      <c r="U48" s="438" t="s">
        <v>585</v>
      </c>
      <c r="V48" s="213">
        <v>6</v>
      </c>
      <c r="W48" s="209">
        <v>3688</v>
      </c>
      <c r="X48" s="439">
        <v>110</v>
      </c>
      <c r="Y48" s="212" t="s">
        <v>585</v>
      </c>
      <c r="Z48" s="212">
        <v>3</v>
      </c>
      <c r="AA48" s="212" t="s">
        <v>585</v>
      </c>
      <c r="AB48" s="212" t="s">
        <v>585</v>
      </c>
      <c r="AC48" s="212" t="s">
        <v>585</v>
      </c>
      <c r="AD48" s="440">
        <v>113</v>
      </c>
      <c r="AE48" s="209">
        <v>846</v>
      </c>
      <c r="AF48" s="439">
        <v>8087</v>
      </c>
      <c r="AG48" s="212" t="s">
        <v>585</v>
      </c>
      <c r="AH48" s="212" t="s">
        <v>585</v>
      </c>
      <c r="AI48" s="212" t="s">
        <v>585</v>
      </c>
      <c r="AJ48" s="212">
        <v>265</v>
      </c>
      <c r="AK48" s="212" t="s">
        <v>585</v>
      </c>
      <c r="AL48" s="212" t="s">
        <v>585</v>
      </c>
      <c r="AM48" s="212">
        <v>2201</v>
      </c>
      <c r="AN48" s="212">
        <v>39</v>
      </c>
      <c r="AO48" s="212" t="s">
        <v>585</v>
      </c>
      <c r="AP48" s="440">
        <v>10592</v>
      </c>
      <c r="AQ48" s="437" t="s">
        <v>585</v>
      </c>
      <c r="AR48" s="212">
        <v>164</v>
      </c>
      <c r="AS48" s="212" t="s">
        <v>585</v>
      </c>
      <c r="AT48" s="212" t="s">
        <v>585</v>
      </c>
      <c r="AU48" s="212" t="s">
        <v>585</v>
      </c>
      <c r="AV48" s="212" t="s">
        <v>585</v>
      </c>
      <c r="AW48" s="212" t="s">
        <v>585</v>
      </c>
      <c r="AX48" s="212" t="s">
        <v>585</v>
      </c>
      <c r="AY48" s="438">
        <v>164</v>
      </c>
      <c r="AZ48" s="439" t="s">
        <v>585</v>
      </c>
      <c r="BA48" s="212" t="s">
        <v>585</v>
      </c>
      <c r="BB48" s="212" t="s">
        <v>585</v>
      </c>
      <c r="BC48" s="212" t="s">
        <v>585</v>
      </c>
      <c r="BD48" s="212" t="s">
        <v>585</v>
      </c>
      <c r="BE48" s="212" t="s">
        <v>585</v>
      </c>
      <c r="BF48" s="440" t="s">
        <v>585</v>
      </c>
      <c r="BG48" s="209">
        <v>18</v>
      </c>
      <c r="BH48" s="209">
        <v>12497</v>
      </c>
      <c r="BI48" s="209" t="s">
        <v>585</v>
      </c>
      <c r="BJ48" s="439">
        <v>16075</v>
      </c>
      <c r="BK48" s="212" t="s">
        <v>585</v>
      </c>
      <c r="BL48" s="212">
        <v>493</v>
      </c>
      <c r="BM48" s="212">
        <v>2000</v>
      </c>
      <c r="BN48" s="212">
        <v>42</v>
      </c>
      <c r="BO48" s="212" t="s">
        <v>585</v>
      </c>
      <c r="BP48" s="212" t="s">
        <v>585</v>
      </c>
      <c r="BQ48" s="440">
        <v>18610</v>
      </c>
      <c r="BR48" s="437">
        <v>2244</v>
      </c>
      <c r="BS48" s="212" t="s">
        <v>585</v>
      </c>
      <c r="BT48" s="212">
        <v>17</v>
      </c>
      <c r="BU48" s="212">
        <v>15480</v>
      </c>
      <c r="BV48" s="212">
        <v>8</v>
      </c>
      <c r="BW48" s="212" t="s">
        <v>585</v>
      </c>
      <c r="BX48" s="212">
        <v>2804</v>
      </c>
      <c r="BY48" s="212" t="s">
        <v>585</v>
      </c>
      <c r="BZ48" s="212" t="s">
        <v>585</v>
      </c>
      <c r="CA48" s="212" t="s">
        <v>585</v>
      </c>
      <c r="CB48" s="212" t="s">
        <v>585</v>
      </c>
      <c r="CC48" s="438">
        <v>20553</v>
      </c>
      <c r="CD48" s="439">
        <v>230</v>
      </c>
      <c r="CE48" s="212">
        <v>10</v>
      </c>
      <c r="CF48" s="440">
        <v>240</v>
      </c>
      <c r="CG48" s="209" t="s">
        <v>585</v>
      </c>
      <c r="CH48" s="209">
        <v>150</v>
      </c>
      <c r="CI48" s="439">
        <v>3376</v>
      </c>
      <c r="CJ48" s="212">
        <v>362</v>
      </c>
      <c r="CK48" s="212">
        <v>132</v>
      </c>
      <c r="CL48" s="440">
        <v>3870</v>
      </c>
      <c r="CM48" s="209" t="s">
        <v>585</v>
      </c>
      <c r="CN48" s="439">
        <v>2860</v>
      </c>
      <c r="CO48" s="212" t="s">
        <v>585</v>
      </c>
      <c r="CP48" s="440">
        <v>2860</v>
      </c>
      <c r="CQ48" s="209">
        <v>846</v>
      </c>
      <c r="CR48" s="209">
        <v>1590</v>
      </c>
      <c r="CS48" s="439">
        <v>1535</v>
      </c>
      <c r="CT48" s="212">
        <v>849</v>
      </c>
      <c r="CU48" s="212">
        <v>28</v>
      </c>
      <c r="CV48" s="440">
        <v>2412</v>
      </c>
      <c r="CW48" s="210">
        <v>87471</v>
      </c>
      <c r="CX48" s="270">
        <f>87471/538718</f>
        <v>0.162368808913012</v>
      </c>
      <c r="CY48" s="277"/>
      <c r="CZ48" s="277"/>
      <c r="DA48" s="277"/>
    </row>
    <row r="49" spans="1:105" x14ac:dyDescent="0.2">
      <c r="A49" s="208"/>
      <c r="B49" s="304" t="s">
        <v>21</v>
      </c>
      <c r="C49" s="414" t="s">
        <v>585</v>
      </c>
      <c r="D49" s="305" t="s">
        <v>585</v>
      </c>
      <c r="E49" s="305" t="s">
        <v>585</v>
      </c>
      <c r="F49" s="415" t="s">
        <v>585</v>
      </c>
      <c r="G49" s="416">
        <v>416</v>
      </c>
      <c r="H49" s="305" t="s">
        <v>585</v>
      </c>
      <c r="I49" s="305">
        <v>64</v>
      </c>
      <c r="J49" s="305" t="s">
        <v>585</v>
      </c>
      <c r="K49" s="305" t="s">
        <v>585</v>
      </c>
      <c r="L49" s="417">
        <v>480</v>
      </c>
      <c r="M49" s="307" t="s">
        <v>585</v>
      </c>
      <c r="N49" s="416">
        <v>1138</v>
      </c>
      <c r="O49" s="305" t="s">
        <v>585</v>
      </c>
      <c r="P49" s="305">
        <v>1</v>
      </c>
      <c r="Q49" s="417">
        <v>1139</v>
      </c>
      <c r="R49" s="414" t="s">
        <v>585</v>
      </c>
      <c r="S49" s="305" t="s">
        <v>585</v>
      </c>
      <c r="T49" s="305" t="s">
        <v>585</v>
      </c>
      <c r="U49" s="415" t="s">
        <v>585</v>
      </c>
      <c r="V49" s="306" t="s">
        <v>585</v>
      </c>
      <c r="W49" s="307">
        <v>23</v>
      </c>
      <c r="X49" s="416">
        <v>75</v>
      </c>
      <c r="Y49" s="305" t="s">
        <v>585</v>
      </c>
      <c r="Z49" s="305" t="s">
        <v>585</v>
      </c>
      <c r="AA49" s="305" t="s">
        <v>585</v>
      </c>
      <c r="AB49" s="305" t="s">
        <v>585</v>
      </c>
      <c r="AC49" s="305" t="s">
        <v>585</v>
      </c>
      <c r="AD49" s="417">
        <v>75</v>
      </c>
      <c r="AE49" s="307" t="s">
        <v>585</v>
      </c>
      <c r="AF49" s="416">
        <v>3</v>
      </c>
      <c r="AG49" s="305" t="s">
        <v>585</v>
      </c>
      <c r="AH49" s="305" t="s">
        <v>585</v>
      </c>
      <c r="AI49" s="305" t="s">
        <v>585</v>
      </c>
      <c r="AJ49" s="305" t="s">
        <v>585</v>
      </c>
      <c r="AK49" s="305" t="s">
        <v>585</v>
      </c>
      <c r="AL49" s="305" t="s">
        <v>585</v>
      </c>
      <c r="AM49" s="305">
        <v>2</v>
      </c>
      <c r="AN49" s="305" t="s">
        <v>585</v>
      </c>
      <c r="AO49" s="305" t="s">
        <v>585</v>
      </c>
      <c r="AP49" s="417">
        <v>5</v>
      </c>
      <c r="AQ49" s="414" t="s">
        <v>585</v>
      </c>
      <c r="AR49" s="305">
        <v>964</v>
      </c>
      <c r="AS49" s="305" t="s">
        <v>585</v>
      </c>
      <c r="AT49" s="305" t="s">
        <v>585</v>
      </c>
      <c r="AU49" s="305" t="s">
        <v>585</v>
      </c>
      <c r="AV49" s="305" t="s">
        <v>585</v>
      </c>
      <c r="AW49" s="305" t="s">
        <v>585</v>
      </c>
      <c r="AX49" s="305" t="s">
        <v>585</v>
      </c>
      <c r="AY49" s="415">
        <v>964</v>
      </c>
      <c r="AZ49" s="416" t="s">
        <v>585</v>
      </c>
      <c r="BA49" s="305" t="s">
        <v>585</v>
      </c>
      <c r="BB49" s="305" t="s">
        <v>585</v>
      </c>
      <c r="BC49" s="305" t="s">
        <v>585</v>
      </c>
      <c r="BD49" s="305" t="s">
        <v>585</v>
      </c>
      <c r="BE49" s="305" t="s">
        <v>585</v>
      </c>
      <c r="BF49" s="417" t="s">
        <v>585</v>
      </c>
      <c r="BG49" s="307" t="s">
        <v>585</v>
      </c>
      <c r="BH49" s="307">
        <v>60</v>
      </c>
      <c r="BI49" s="307" t="s">
        <v>585</v>
      </c>
      <c r="BJ49" s="416">
        <v>140</v>
      </c>
      <c r="BK49" s="305" t="s">
        <v>585</v>
      </c>
      <c r="BL49" s="305" t="s">
        <v>585</v>
      </c>
      <c r="BM49" s="305">
        <v>1</v>
      </c>
      <c r="BN49" s="305" t="s">
        <v>585</v>
      </c>
      <c r="BO49" s="305" t="s">
        <v>585</v>
      </c>
      <c r="BP49" s="305" t="s">
        <v>585</v>
      </c>
      <c r="BQ49" s="417">
        <v>141</v>
      </c>
      <c r="BR49" s="414">
        <v>18152</v>
      </c>
      <c r="BS49" s="305" t="s">
        <v>585</v>
      </c>
      <c r="BT49" s="305">
        <v>156</v>
      </c>
      <c r="BU49" s="305">
        <v>2712</v>
      </c>
      <c r="BV49" s="305">
        <v>44</v>
      </c>
      <c r="BW49" s="305" t="s">
        <v>585</v>
      </c>
      <c r="BX49" s="305">
        <v>10691</v>
      </c>
      <c r="BY49" s="305" t="s">
        <v>585</v>
      </c>
      <c r="BZ49" s="305" t="s">
        <v>585</v>
      </c>
      <c r="CA49" s="305" t="s">
        <v>585</v>
      </c>
      <c r="CB49" s="305" t="s">
        <v>585</v>
      </c>
      <c r="CC49" s="415">
        <v>31755</v>
      </c>
      <c r="CD49" s="416" t="s">
        <v>585</v>
      </c>
      <c r="CE49" s="305" t="s">
        <v>585</v>
      </c>
      <c r="CF49" s="417" t="s">
        <v>585</v>
      </c>
      <c r="CG49" s="307" t="s">
        <v>585</v>
      </c>
      <c r="CH49" s="307">
        <v>4</v>
      </c>
      <c r="CI49" s="416">
        <v>2</v>
      </c>
      <c r="CJ49" s="305">
        <v>1</v>
      </c>
      <c r="CK49" s="305" t="s">
        <v>585</v>
      </c>
      <c r="CL49" s="417">
        <v>3</v>
      </c>
      <c r="CM49" s="307" t="s">
        <v>585</v>
      </c>
      <c r="CN49" s="416">
        <v>3</v>
      </c>
      <c r="CO49" s="305" t="s">
        <v>585</v>
      </c>
      <c r="CP49" s="417">
        <v>3</v>
      </c>
      <c r="CQ49" s="307" t="s">
        <v>585</v>
      </c>
      <c r="CR49" s="307">
        <v>4</v>
      </c>
      <c r="CS49" s="416" t="s">
        <v>585</v>
      </c>
      <c r="CT49" s="305">
        <v>1</v>
      </c>
      <c r="CU49" s="305" t="s">
        <v>585</v>
      </c>
      <c r="CV49" s="417">
        <v>1</v>
      </c>
      <c r="CW49" s="418">
        <v>34657</v>
      </c>
      <c r="CX49" s="308">
        <f>34657/538718</f>
        <v>6.4332359416243753E-2</v>
      </c>
      <c r="CY49" s="276"/>
      <c r="CZ49" s="276"/>
      <c r="DA49" s="276"/>
    </row>
    <row r="50" spans="1:105" x14ac:dyDescent="0.2">
      <c r="A50" s="208"/>
      <c r="B50" s="410" t="s">
        <v>32</v>
      </c>
      <c r="C50" s="419" t="s">
        <v>585</v>
      </c>
      <c r="D50" s="420" t="s">
        <v>585</v>
      </c>
      <c r="E50" s="420" t="s">
        <v>585</v>
      </c>
      <c r="F50" s="421" t="s">
        <v>585</v>
      </c>
      <c r="G50" s="422">
        <v>8</v>
      </c>
      <c r="H50" s="420" t="s">
        <v>585</v>
      </c>
      <c r="I50" s="420">
        <v>0</v>
      </c>
      <c r="J50" s="420" t="s">
        <v>585</v>
      </c>
      <c r="K50" s="420" t="s">
        <v>585</v>
      </c>
      <c r="L50" s="423">
        <v>8</v>
      </c>
      <c r="M50" s="424" t="s">
        <v>585</v>
      </c>
      <c r="N50" s="422">
        <v>276</v>
      </c>
      <c r="O50" s="420" t="s">
        <v>585</v>
      </c>
      <c r="P50" s="420" t="s">
        <v>585</v>
      </c>
      <c r="Q50" s="423">
        <v>276</v>
      </c>
      <c r="R50" s="419" t="s">
        <v>585</v>
      </c>
      <c r="S50" s="420" t="s">
        <v>585</v>
      </c>
      <c r="T50" s="420" t="s">
        <v>585</v>
      </c>
      <c r="U50" s="421" t="s">
        <v>585</v>
      </c>
      <c r="V50" s="425" t="s">
        <v>585</v>
      </c>
      <c r="W50" s="424" t="s">
        <v>585</v>
      </c>
      <c r="X50" s="422" t="s">
        <v>585</v>
      </c>
      <c r="Y50" s="420" t="s">
        <v>585</v>
      </c>
      <c r="Z50" s="420">
        <v>5</v>
      </c>
      <c r="AA50" s="420" t="s">
        <v>585</v>
      </c>
      <c r="AB50" s="420" t="s">
        <v>585</v>
      </c>
      <c r="AC50" s="420" t="s">
        <v>585</v>
      </c>
      <c r="AD50" s="423">
        <v>5</v>
      </c>
      <c r="AE50" s="424" t="s">
        <v>585</v>
      </c>
      <c r="AF50" s="422" t="s">
        <v>585</v>
      </c>
      <c r="AG50" s="420" t="s">
        <v>585</v>
      </c>
      <c r="AH50" s="420" t="s">
        <v>585</v>
      </c>
      <c r="AI50" s="420" t="s">
        <v>585</v>
      </c>
      <c r="AJ50" s="420" t="s">
        <v>585</v>
      </c>
      <c r="AK50" s="420" t="s">
        <v>585</v>
      </c>
      <c r="AL50" s="420" t="s">
        <v>585</v>
      </c>
      <c r="AM50" s="420" t="s">
        <v>585</v>
      </c>
      <c r="AN50" s="420" t="s">
        <v>585</v>
      </c>
      <c r="AO50" s="420" t="s">
        <v>585</v>
      </c>
      <c r="AP50" s="423" t="s">
        <v>585</v>
      </c>
      <c r="AQ50" s="419" t="s">
        <v>585</v>
      </c>
      <c r="AR50" s="420">
        <v>47</v>
      </c>
      <c r="AS50" s="420" t="s">
        <v>585</v>
      </c>
      <c r="AT50" s="420" t="s">
        <v>585</v>
      </c>
      <c r="AU50" s="420" t="s">
        <v>585</v>
      </c>
      <c r="AV50" s="420" t="s">
        <v>585</v>
      </c>
      <c r="AW50" s="420" t="s">
        <v>585</v>
      </c>
      <c r="AX50" s="420" t="s">
        <v>585</v>
      </c>
      <c r="AY50" s="421">
        <v>47</v>
      </c>
      <c r="AZ50" s="422" t="s">
        <v>585</v>
      </c>
      <c r="BA50" s="420" t="s">
        <v>585</v>
      </c>
      <c r="BB50" s="420" t="s">
        <v>585</v>
      </c>
      <c r="BC50" s="420" t="s">
        <v>585</v>
      </c>
      <c r="BD50" s="420" t="s">
        <v>585</v>
      </c>
      <c r="BE50" s="420" t="s">
        <v>585</v>
      </c>
      <c r="BF50" s="423" t="s">
        <v>585</v>
      </c>
      <c r="BG50" s="424" t="s">
        <v>585</v>
      </c>
      <c r="BH50" s="424" t="s">
        <v>585</v>
      </c>
      <c r="BI50" s="424" t="s">
        <v>585</v>
      </c>
      <c r="BJ50" s="422" t="s">
        <v>585</v>
      </c>
      <c r="BK50" s="420" t="s">
        <v>585</v>
      </c>
      <c r="BL50" s="420" t="s">
        <v>585</v>
      </c>
      <c r="BM50" s="420" t="s">
        <v>585</v>
      </c>
      <c r="BN50" s="420" t="s">
        <v>585</v>
      </c>
      <c r="BO50" s="420" t="s">
        <v>585</v>
      </c>
      <c r="BP50" s="420" t="s">
        <v>585</v>
      </c>
      <c r="BQ50" s="423" t="s">
        <v>585</v>
      </c>
      <c r="BR50" s="419">
        <v>1108</v>
      </c>
      <c r="BS50" s="420" t="s">
        <v>585</v>
      </c>
      <c r="BT50" s="420">
        <v>6</v>
      </c>
      <c r="BU50" s="420">
        <v>254</v>
      </c>
      <c r="BV50" s="420">
        <v>15</v>
      </c>
      <c r="BW50" s="420" t="s">
        <v>585</v>
      </c>
      <c r="BX50" s="420">
        <v>649</v>
      </c>
      <c r="BY50" s="420" t="s">
        <v>585</v>
      </c>
      <c r="BZ50" s="420" t="s">
        <v>585</v>
      </c>
      <c r="CA50" s="420" t="s">
        <v>585</v>
      </c>
      <c r="CB50" s="420" t="s">
        <v>585</v>
      </c>
      <c r="CC50" s="421">
        <v>2032</v>
      </c>
      <c r="CD50" s="422" t="s">
        <v>585</v>
      </c>
      <c r="CE50" s="420" t="s">
        <v>585</v>
      </c>
      <c r="CF50" s="423" t="s">
        <v>585</v>
      </c>
      <c r="CG50" s="424" t="s">
        <v>585</v>
      </c>
      <c r="CH50" s="424" t="s">
        <v>585</v>
      </c>
      <c r="CI50" s="422" t="s">
        <v>585</v>
      </c>
      <c r="CJ50" s="420" t="s">
        <v>585</v>
      </c>
      <c r="CK50" s="420" t="s">
        <v>585</v>
      </c>
      <c r="CL50" s="423" t="s">
        <v>585</v>
      </c>
      <c r="CM50" s="424" t="s">
        <v>585</v>
      </c>
      <c r="CN50" s="422" t="s">
        <v>585</v>
      </c>
      <c r="CO50" s="420" t="s">
        <v>585</v>
      </c>
      <c r="CP50" s="423" t="s">
        <v>585</v>
      </c>
      <c r="CQ50" s="424" t="s">
        <v>585</v>
      </c>
      <c r="CR50" s="424" t="s">
        <v>585</v>
      </c>
      <c r="CS50" s="422" t="s">
        <v>585</v>
      </c>
      <c r="CT50" s="420" t="s">
        <v>585</v>
      </c>
      <c r="CU50" s="420" t="s">
        <v>585</v>
      </c>
      <c r="CV50" s="423" t="s">
        <v>585</v>
      </c>
      <c r="CW50" s="426">
        <v>2368</v>
      </c>
      <c r="CX50" s="427">
        <f>2368/538718</f>
        <v>4.3956207143626162E-3</v>
      </c>
      <c r="CY50" s="276"/>
      <c r="CZ50" s="276"/>
      <c r="DA50" s="276"/>
    </row>
    <row r="51" spans="1:105" x14ac:dyDescent="0.2">
      <c r="A51" s="208"/>
      <c r="B51" s="410" t="s">
        <v>42</v>
      </c>
      <c r="C51" s="419" t="s">
        <v>585</v>
      </c>
      <c r="D51" s="420" t="s">
        <v>585</v>
      </c>
      <c r="E51" s="420">
        <v>1</v>
      </c>
      <c r="F51" s="421">
        <v>1</v>
      </c>
      <c r="G51" s="422">
        <v>37</v>
      </c>
      <c r="H51" s="420" t="s">
        <v>585</v>
      </c>
      <c r="I51" s="420">
        <v>13</v>
      </c>
      <c r="J51" s="420" t="s">
        <v>585</v>
      </c>
      <c r="K51" s="420" t="s">
        <v>585</v>
      </c>
      <c r="L51" s="423">
        <v>50</v>
      </c>
      <c r="M51" s="424" t="s">
        <v>585</v>
      </c>
      <c r="N51" s="422">
        <v>619</v>
      </c>
      <c r="O51" s="420" t="s">
        <v>585</v>
      </c>
      <c r="P51" s="420">
        <v>44</v>
      </c>
      <c r="Q51" s="423">
        <v>663</v>
      </c>
      <c r="R51" s="419" t="s">
        <v>585</v>
      </c>
      <c r="S51" s="420" t="s">
        <v>585</v>
      </c>
      <c r="T51" s="420" t="s">
        <v>585</v>
      </c>
      <c r="U51" s="421" t="s">
        <v>585</v>
      </c>
      <c r="V51" s="425" t="s">
        <v>585</v>
      </c>
      <c r="W51" s="424">
        <v>2</v>
      </c>
      <c r="X51" s="422">
        <v>7</v>
      </c>
      <c r="Y51" s="420" t="s">
        <v>585</v>
      </c>
      <c r="Z51" s="420">
        <v>25</v>
      </c>
      <c r="AA51" s="420" t="s">
        <v>585</v>
      </c>
      <c r="AB51" s="420" t="s">
        <v>585</v>
      </c>
      <c r="AC51" s="420" t="s">
        <v>585</v>
      </c>
      <c r="AD51" s="423">
        <v>32</v>
      </c>
      <c r="AE51" s="424" t="s">
        <v>585</v>
      </c>
      <c r="AF51" s="422" t="s">
        <v>585</v>
      </c>
      <c r="AG51" s="420" t="s">
        <v>585</v>
      </c>
      <c r="AH51" s="420" t="s">
        <v>585</v>
      </c>
      <c r="AI51" s="420" t="s">
        <v>585</v>
      </c>
      <c r="AJ51" s="420">
        <v>8</v>
      </c>
      <c r="AK51" s="420" t="s">
        <v>585</v>
      </c>
      <c r="AL51" s="420" t="s">
        <v>585</v>
      </c>
      <c r="AM51" s="420">
        <v>1</v>
      </c>
      <c r="AN51" s="420" t="s">
        <v>585</v>
      </c>
      <c r="AO51" s="420" t="s">
        <v>585</v>
      </c>
      <c r="AP51" s="423">
        <v>9</v>
      </c>
      <c r="AQ51" s="419" t="s">
        <v>585</v>
      </c>
      <c r="AR51" s="420">
        <v>89</v>
      </c>
      <c r="AS51" s="420" t="s">
        <v>585</v>
      </c>
      <c r="AT51" s="420" t="s">
        <v>585</v>
      </c>
      <c r="AU51" s="420" t="s">
        <v>585</v>
      </c>
      <c r="AV51" s="420" t="s">
        <v>585</v>
      </c>
      <c r="AW51" s="420" t="s">
        <v>585</v>
      </c>
      <c r="AX51" s="420" t="s">
        <v>585</v>
      </c>
      <c r="AY51" s="421">
        <v>89</v>
      </c>
      <c r="AZ51" s="422" t="s">
        <v>585</v>
      </c>
      <c r="BA51" s="420" t="s">
        <v>585</v>
      </c>
      <c r="BB51" s="420" t="s">
        <v>585</v>
      </c>
      <c r="BC51" s="420" t="s">
        <v>585</v>
      </c>
      <c r="BD51" s="420" t="s">
        <v>585</v>
      </c>
      <c r="BE51" s="420" t="s">
        <v>585</v>
      </c>
      <c r="BF51" s="423" t="s">
        <v>585</v>
      </c>
      <c r="BG51" s="424" t="s">
        <v>585</v>
      </c>
      <c r="BH51" s="424">
        <v>9</v>
      </c>
      <c r="BI51" s="424" t="s">
        <v>585</v>
      </c>
      <c r="BJ51" s="422" t="s">
        <v>585</v>
      </c>
      <c r="BK51" s="420" t="s">
        <v>585</v>
      </c>
      <c r="BL51" s="420">
        <v>21</v>
      </c>
      <c r="BM51" s="420" t="s">
        <v>585</v>
      </c>
      <c r="BN51" s="420" t="s">
        <v>585</v>
      </c>
      <c r="BO51" s="420" t="s">
        <v>585</v>
      </c>
      <c r="BP51" s="420" t="s">
        <v>585</v>
      </c>
      <c r="BQ51" s="423">
        <v>21</v>
      </c>
      <c r="BR51" s="419">
        <v>3563</v>
      </c>
      <c r="BS51" s="420" t="s">
        <v>585</v>
      </c>
      <c r="BT51" s="420">
        <v>22</v>
      </c>
      <c r="BU51" s="420">
        <v>646</v>
      </c>
      <c r="BV51" s="420">
        <v>24</v>
      </c>
      <c r="BW51" s="420" t="s">
        <v>585</v>
      </c>
      <c r="BX51" s="420">
        <v>673</v>
      </c>
      <c r="BY51" s="420" t="s">
        <v>585</v>
      </c>
      <c r="BZ51" s="420" t="s">
        <v>585</v>
      </c>
      <c r="CA51" s="420" t="s">
        <v>585</v>
      </c>
      <c r="CB51" s="420" t="s">
        <v>585</v>
      </c>
      <c r="CC51" s="421">
        <v>4928</v>
      </c>
      <c r="CD51" s="422" t="s">
        <v>585</v>
      </c>
      <c r="CE51" s="420" t="s">
        <v>585</v>
      </c>
      <c r="CF51" s="423" t="s">
        <v>585</v>
      </c>
      <c r="CG51" s="424" t="s">
        <v>585</v>
      </c>
      <c r="CH51" s="424">
        <v>2</v>
      </c>
      <c r="CI51" s="422" t="s">
        <v>585</v>
      </c>
      <c r="CJ51" s="420" t="s">
        <v>585</v>
      </c>
      <c r="CK51" s="420" t="s">
        <v>585</v>
      </c>
      <c r="CL51" s="423" t="s">
        <v>585</v>
      </c>
      <c r="CM51" s="424" t="s">
        <v>585</v>
      </c>
      <c r="CN51" s="422" t="s">
        <v>585</v>
      </c>
      <c r="CO51" s="420" t="s">
        <v>585</v>
      </c>
      <c r="CP51" s="423" t="s">
        <v>585</v>
      </c>
      <c r="CQ51" s="424" t="s">
        <v>585</v>
      </c>
      <c r="CR51" s="424" t="s">
        <v>585</v>
      </c>
      <c r="CS51" s="422" t="s">
        <v>585</v>
      </c>
      <c r="CT51" s="420" t="s">
        <v>585</v>
      </c>
      <c r="CU51" s="420" t="s">
        <v>585</v>
      </c>
      <c r="CV51" s="423" t="s">
        <v>585</v>
      </c>
      <c r="CW51" s="426">
        <v>5806</v>
      </c>
      <c r="CX51" s="427">
        <f>5806/538718</f>
        <v>1.0777438288677936E-2</v>
      </c>
      <c r="CY51" s="276"/>
      <c r="CZ51" s="276"/>
      <c r="DA51" s="276"/>
    </row>
    <row r="52" spans="1:105" x14ac:dyDescent="0.2">
      <c r="A52" s="208"/>
      <c r="B52" s="410" t="s">
        <v>63</v>
      </c>
      <c r="C52" s="419" t="s">
        <v>585</v>
      </c>
      <c r="D52" s="420" t="s">
        <v>585</v>
      </c>
      <c r="E52" s="420" t="s">
        <v>585</v>
      </c>
      <c r="F52" s="421" t="s">
        <v>585</v>
      </c>
      <c r="G52" s="422">
        <v>3</v>
      </c>
      <c r="H52" s="420" t="s">
        <v>585</v>
      </c>
      <c r="I52" s="420">
        <v>0</v>
      </c>
      <c r="J52" s="420" t="s">
        <v>585</v>
      </c>
      <c r="K52" s="420" t="s">
        <v>585</v>
      </c>
      <c r="L52" s="423">
        <v>3</v>
      </c>
      <c r="M52" s="424" t="s">
        <v>585</v>
      </c>
      <c r="N52" s="422">
        <v>182</v>
      </c>
      <c r="O52" s="420" t="s">
        <v>585</v>
      </c>
      <c r="P52" s="420" t="s">
        <v>585</v>
      </c>
      <c r="Q52" s="423">
        <v>182</v>
      </c>
      <c r="R52" s="419" t="s">
        <v>585</v>
      </c>
      <c r="S52" s="420" t="s">
        <v>585</v>
      </c>
      <c r="T52" s="420" t="s">
        <v>585</v>
      </c>
      <c r="U52" s="421" t="s">
        <v>585</v>
      </c>
      <c r="V52" s="425" t="s">
        <v>585</v>
      </c>
      <c r="W52" s="424">
        <v>1</v>
      </c>
      <c r="X52" s="422" t="s">
        <v>585</v>
      </c>
      <c r="Y52" s="420" t="s">
        <v>585</v>
      </c>
      <c r="Z52" s="420" t="s">
        <v>585</v>
      </c>
      <c r="AA52" s="420" t="s">
        <v>585</v>
      </c>
      <c r="AB52" s="420" t="s">
        <v>585</v>
      </c>
      <c r="AC52" s="420" t="s">
        <v>585</v>
      </c>
      <c r="AD52" s="423" t="s">
        <v>585</v>
      </c>
      <c r="AE52" s="424" t="s">
        <v>585</v>
      </c>
      <c r="AF52" s="422">
        <v>2</v>
      </c>
      <c r="AG52" s="420" t="s">
        <v>585</v>
      </c>
      <c r="AH52" s="420" t="s">
        <v>585</v>
      </c>
      <c r="AI52" s="420" t="s">
        <v>585</v>
      </c>
      <c r="AJ52" s="420" t="s">
        <v>585</v>
      </c>
      <c r="AK52" s="420" t="s">
        <v>585</v>
      </c>
      <c r="AL52" s="420" t="s">
        <v>585</v>
      </c>
      <c r="AM52" s="420">
        <v>1</v>
      </c>
      <c r="AN52" s="420" t="s">
        <v>585</v>
      </c>
      <c r="AO52" s="420" t="s">
        <v>585</v>
      </c>
      <c r="AP52" s="423">
        <v>3</v>
      </c>
      <c r="AQ52" s="419" t="s">
        <v>585</v>
      </c>
      <c r="AR52" s="420">
        <v>73</v>
      </c>
      <c r="AS52" s="420" t="s">
        <v>585</v>
      </c>
      <c r="AT52" s="420" t="s">
        <v>585</v>
      </c>
      <c r="AU52" s="420" t="s">
        <v>585</v>
      </c>
      <c r="AV52" s="420" t="s">
        <v>585</v>
      </c>
      <c r="AW52" s="420" t="s">
        <v>585</v>
      </c>
      <c r="AX52" s="420" t="s">
        <v>585</v>
      </c>
      <c r="AY52" s="421">
        <v>73</v>
      </c>
      <c r="AZ52" s="422" t="s">
        <v>585</v>
      </c>
      <c r="BA52" s="420" t="s">
        <v>585</v>
      </c>
      <c r="BB52" s="420" t="s">
        <v>585</v>
      </c>
      <c r="BC52" s="420" t="s">
        <v>585</v>
      </c>
      <c r="BD52" s="420" t="s">
        <v>585</v>
      </c>
      <c r="BE52" s="420" t="s">
        <v>585</v>
      </c>
      <c r="BF52" s="423" t="s">
        <v>585</v>
      </c>
      <c r="BG52" s="424" t="s">
        <v>585</v>
      </c>
      <c r="BH52" s="424" t="s">
        <v>585</v>
      </c>
      <c r="BI52" s="424" t="s">
        <v>585</v>
      </c>
      <c r="BJ52" s="422" t="s">
        <v>585</v>
      </c>
      <c r="BK52" s="420" t="s">
        <v>585</v>
      </c>
      <c r="BL52" s="420" t="s">
        <v>585</v>
      </c>
      <c r="BM52" s="420">
        <v>2</v>
      </c>
      <c r="BN52" s="420" t="s">
        <v>585</v>
      </c>
      <c r="BO52" s="420" t="s">
        <v>585</v>
      </c>
      <c r="BP52" s="420" t="s">
        <v>585</v>
      </c>
      <c r="BQ52" s="423">
        <v>2</v>
      </c>
      <c r="BR52" s="419">
        <v>974</v>
      </c>
      <c r="BS52" s="420" t="s">
        <v>585</v>
      </c>
      <c r="BT52" s="420">
        <v>207</v>
      </c>
      <c r="BU52" s="420">
        <v>235</v>
      </c>
      <c r="BV52" s="420">
        <v>17</v>
      </c>
      <c r="BW52" s="420" t="s">
        <v>585</v>
      </c>
      <c r="BX52" s="420">
        <v>690</v>
      </c>
      <c r="BY52" s="420" t="s">
        <v>585</v>
      </c>
      <c r="BZ52" s="420" t="s">
        <v>585</v>
      </c>
      <c r="CA52" s="420" t="s">
        <v>585</v>
      </c>
      <c r="CB52" s="420" t="s">
        <v>585</v>
      </c>
      <c r="CC52" s="421">
        <v>2123</v>
      </c>
      <c r="CD52" s="422" t="s">
        <v>585</v>
      </c>
      <c r="CE52" s="420" t="s">
        <v>585</v>
      </c>
      <c r="CF52" s="423" t="s">
        <v>585</v>
      </c>
      <c r="CG52" s="424" t="s">
        <v>585</v>
      </c>
      <c r="CH52" s="424" t="s">
        <v>585</v>
      </c>
      <c r="CI52" s="422" t="s">
        <v>585</v>
      </c>
      <c r="CJ52" s="420" t="s">
        <v>585</v>
      </c>
      <c r="CK52" s="420" t="s">
        <v>585</v>
      </c>
      <c r="CL52" s="423" t="s">
        <v>585</v>
      </c>
      <c r="CM52" s="424" t="s">
        <v>585</v>
      </c>
      <c r="CN52" s="422">
        <v>2</v>
      </c>
      <c r="CO52" s="420" t="s">
        <v>585</v>
      </c>
      <c r="CP52" s="423">
        <v>2</v>
      </c>
      <c r="CQ52" s="424">
        <v>8</v>
      </c>
      <c r="CR52" s="424" t="s">
        <v>585</v>
      </c>
      <c r="CS52" s="422" t="s">
        <v>585</v>
      </c>
      <c r="CT52" s="420" t="s">
        <v>585</v>
      </c>
      <c r="CU52" s="420" t="s">
        <v>585</v>
      </c>
      <c r="CV52" s="423" t="s">
        <v>585</v>
      </c>
      <c r="CW52" s="426">
        <v>2397</v>
      </c>
      <c r="CX52" s="427">
        <f>2397/538718</f>
        <v>4.4494522180435776E-3</v>
      </c>
      <c r="CY52" s="276"/>
      <c r="CZ52" s="276"/>
      <c r="DA52" s="276"/>
    </row>
    <row r="53" spans="1:105" x14ac:dyDescent="0.2">
      <c r="A53" s="208"/>
      <c r="B53" s="410" t="s">
        <v>65</v>
      </c>
      <c r="C53" s="419" t="s">
        <v>585</v>
      </c>
      <c r="D53" s="420" t="s">
        <v>585</v>
      </c>
      <c r="E53" s="420" t="s">
        <v>585</v>
      </c>
      <c r="F53" s="421" t="s">
        <v>585</v>
      </c>
      <c r="G53" s="422">
        <v>3</v>
      </c>
      <c r="H53" s="420" t="s">
        <v>585</v>
      </c>
      <c r="I53" s="420">
        <v>1</v>
      </c>
      <c r="J53" s="420" t="s">
        <v>585</v>
      </c>
      <c r="K53" s="420" t="s">
        <v>585</v>
      </c>
      <c r="L53" s="423">
        <v>4</v>
      </c>
      <c r="M53" s="424" t="s">
        <v>585</v>
      </c>
      <c r="N53" s="422">
        <v>195</v>
      </c>
      <c r="O53" s="420" t="s">
        <v>585</v>
      </c>
      <c r="P53" s="420">
        <v>1</v>
      </c>
      <c r="Q53" s="423">
        <v>196</v>
      </c>
      <c r="R53" s="419" t="s">
        <v>585</v>
      </c>
      <c r="S53" s="420" t="s">
        <v>585</v>
      </c>
      <c r="T53" s="420" t="s">
        <v>585</v>
      </c>
      <c r="U53" s="421" t="s">
        <v>585</v>
      </c>
      <c r="V53" s="425" t="s">
        <v>585</v>
      </c>
      <c r="W53" s="424" t="s">
        <v>585</v>
      </c>
      <c r="X53" s="422">
        <v>28</v>
      </c>
      <c r="Y53" s="420" t="s">
        <v>585</v>
      </c>
      <c r="Z53" s="420" t="s">
        <v>585</v>
      </c>
      <c r="AA53" s="420" t="s">
        <v>585</v>
      </c>
      <c r="AB53" s="420" t="s">
        <v>585</v>
      </c>
      <c r="AC53" s="420" t="s">
        <v>585</v>
      </c>
      <c r="AD53" s="423">
        <v>28</v>
      </c>
      <c r="AE53" s="424" t="s">
        <v>585</v>
      </c>
      <c r="AF53" s="422">
        <v>3</v>
      </c>
      <c r="AG53" s="420" t="s">
        <v>585</v>
      </c>
      <c r="AH53" s="420" t="s">
        <v>585</v>
      </c>
      <c r="AI53" s="420" t="s">
        <v>585</v>
      </c>
      <c r="AJ53" s="420" t="s">
        <v>585</v>
      </c>
      <c r="AK53" s="420" t="s">
        <v>585</v>
      </c>
      <c r="AL53" s="420" t="s">
        <v>585</v>
      </c>
      <c r="AM53" s="420" t="s">
        <v>585</v>
      </c>
      <c r="AN53" s="420" t="s">
        <v>585</v>
      </c>
      <c r="AO53" s="420" t="s">
        <v>585</v>
      </c>
      <c r="AP53" s="423">
        <v>3</v>
      </c>
      <c r="AQ53" s="419" t="s">
        <v>585</v>
      </c>
      <c r="AR53" s="420">
        <v>36</v>
      </c>
      <c r="AS53" s="420" t="s">
        <v>585</v>
      </c>
      <c r="AT53" s="420" t="s">
        <v>585</v>
      </c>
      <c r="AU53" s="420" t="s">
        <v>585</v>
      </c>
      <c r="AV53" s="420" t="s">
        <v>585</v>
      </c>
      <c r="AW53" s="420" t="s">
        <v>585</v>
      </c>
      <c r="AX53" s="420" t="s">
        <v>585</v>
      </c>
      <c r="AY53" s="421">
        <v>36</v>
      </c>
      <c r="AZ53" s="422" t="s">
        <v>585</v>
      </c>
      <c r="BA53" s="420" t="s">
        <v>585</v>
      </c>
      <c r="BB53" s="420" t="s">
        <v>585</v>
      </c>
      <c r="BC53" s="420" t="s">
        <v>585</v>
      </c>
      <c r="BD53" s="420" t="s">
        <v>585</v>
      </c>
      <c r="BE53" s="420" t="s">
        <v>585</v>
      </c>
      <c r="BF53" s="423" t="s">
        <v>585</v>
      </c>
      <c r="BG53" s="424" t="s">
        <v>585</v>
      </c>
      <c r="BH53" s="424">
        <v>27</v>
      </c>
      <c r="BI53" s="424" t="s">
        <v>585</v>
      </c>
      <c r="BJ53" s="422">
        <v>20</v>
      </c>
      <c r="BK53" s="420" t="s">
        <v>585</v>
      </c>
      <c r="BL53" s="420" t="s">
        <v>585</v>
      </c>
      <c r="BM53" s="420" t="s">
        <v>585</v>
      </c>
      <c r="BN53" s="420" t="s">
        <v>585</v>
      </c>
      <c r="BO53" s="420" t="s">
        <v>585</v>
      </c>
      <c r="BP53" s="420" t="s">
        <v>585</v>
      </c>
      <c r="BQ53" s="423">
        <v>20</v>
      </c>
      <c r="BR53" s="419">
        <v>882</v>
      </c>
      <c r="BS53" s="420" t="s">
        <v>585</v>
      </c>
      <c r="BT53" s="420">
        <v>4</v>
      </c>
      <c r="BU53" s="420">
        <v>935</v>
      </c>
      <c r="BV53" s="420">
        <v>26</v>
      </c>
      <c r="BW53" s="420" t="s">
        <v>585</v>
      </c>
      <c r="BX53" s="420">
        <v>314</v>
      </c>
      <c r="BY53" s="420" t="s">
        <v>585</v>
      </c>
      <c r="BZ53" s="420" t="s">
        <v>585</v>
      </c>
      <c r="CA53" s="420" t="s">
        <v>585</v>
      </c>
      <c r="CB53" s="420" t="s">
        <v>585</v>
      </c>
      <c r="CC53" s="421">
        <v>2161</v>
      </c>
      <c r="CD53" s="422" t="s">
        <v>585</v>
      </c>
      <c r="CE53" s="420" t="s">
        <v>585</v>
      </c>
      <c r="CF53" s="423" t="s">
        <v>585</v>
      </c>
      <c r="CG53" s="424" t="s">
        <v>585</v>
      </c>
      <c r="CH53" s="424" t="s">
        <v>585</v>
      </c>
      <c r="CI53" s="422" t="s">
        <v>585</v>
      </c>
      <c r="CJ53" s="420" t="s">
        <v>585</v>
      </c>
      <c r="CK53" s="420" t="s">
        <v>585</v>
      </c>
      <c r="CL53" s="423" t="s">
        <v>585</v>
      </c>
      <c r="CM53" s="424" t="s">
        <v>585</v>
      </c>
      <c r="CN53" s="422">
        <v>5</v>
      </c>
      <c r="CO53" s="420" t="s">
        <v>585</v>
      </c>
      <c r="CP53" s="423">
        <v>5</v>
      </c>
      <c r="CQ53" s="424" t="s">
        <v>585</v>
      </c>
      <c r="CR53" s="424">
        <v>36</v>
      </c>
      <c r="CS53" s="422" t="s">
        <v>585</v>
      </c>
      <c r="CT53" s="420" t="s">
        <v>585</v>
      </c>
      <c r="CU53" s="420" t="s">
        <v>585</v>
      </c>
      <c r="CV53" s="423" t="s">
        <v>585</v>
      </c>
      <c r="CW53" s="426">
        <v>2516</v>
      </c>
      <c r="CX53" s="427">
        <f>2516/538718</f>
        <v>4.6703470090102795E-3</v>
      </c>
      <c r="CY53" s="276"/>
      <c r="CZ53" s="276"/>
      <c r="DA53" s="276"/>
    </row>
    <row r="54" spans="1:105" x14ac:dyDescent="0.2">
      <c r="A54" s="208"/>
      <c r="B54" s="410" t="s">
        <v>85</v>
      </c>
      <c r="C54" s="419" t="s">
        <v>585</v>
      </c>
      <c r="D54" s="420" t="s">
        <v>585</v>
      </c>
      <c r="E54" s="420" t="s">
        <v>585</v>
      </c>
      <c r="F54" s="421" t="s">
        <v>585</v>
      </c>
      <c r="G54" s="422">
        <v>2</v>
      </c>
      <c r="H54" s="420" t="s">
        <v>585</v>
      </c>
      <c r="I54" s="420">
        <v>5</v>
      </c>
      <c r="J54" s="420" t="s">
        <v>585</v>
      </c>
      <c r="K54" s="420" t="s">
        <v>585</v>
      </c>
      <c r="L54" s="423">
        <v>7</v>
      </c>
      <c r="M54" s="424" t="s">
        <v>585</v>
      </c>
      <c r="N54" s="422">
        <v>181</v>
      </c>
      <c r="O54" s="420" t="s">
        <v>585</v>
      </c>
      <c r="P54" s="420" t="s">
        <v>585</v>
      </c>
      <c r="Q54" s="423">
        <v>181</v>
      </c>
      <c r="R54" s="419" t="s">
        <v>585</v>
      </c>
      <c r="S54" s="420" t="s">
        <v>585</v>
      </c>
      <c r="T54" s="420" t="s">
        <v>585</v>
      </c>
      <c r="U54" s="421" t="s">
        <v>585</v>
      </c>
      <c r="V54" s="425" t="s">
        <v>585</v>
      </c>
      <c r="W54" s="424">
        <v>1</v>
      </c>
      <c r="X54" s="422">
        <v>3</v>
      </c>
      <c r="Y54" s="420" t="s">
        <v>585</v>
      </c>
      <c r="Z54" s="420">
        <v>4</v>
      </c>
      <c r="AA54" s="420" t="s">
        <v>585</v>
      </c>
      <c r="AB54" s="420" t="s">
        <v>585</v>
      </c>
      <c r="AC54" s="420" t="s">
        <v>585</v>
      </c>
      <c r="AD54" s="423">
        <v>7</v>
      </c>
      <c r="AE54" s="424" t="s">
        <v>585</v>
      </c>
      <c r="AF54" s="422" t="s">
        <v>585</v>
      </c>
      <c r="AG54" s="420" t="s">
        <v>585</v>
      </c>
      <c r="AH54" s="420" t="s">
        <v>585</v>
      </c>
      <c r="AI54" s="420" t="s">
        <v>585</v>
      </c>
      <c r="AJ54" s="420" t="s">
        <v>585</v>
      </c>
      <c r="AK54" s="420" t="s">
        <v>585</v>
      </c>
      <c r="AL54" s="420" t="s">
        <v>585</v>
      </c>
      <c r="AM54" s="420" t="s">
        <v>585</v>
      </c>
      <c r="AN54" s="420" t="s">
        <v>585</v>
      </c>
      <c r="AO54" s="420" t="s">
        <v>585</v>
      </c>
      <c r="AP54" s="423" t="s">
        <v>585</v>
      </c>
      <c r="AQ54" s="419" t="s">
        <v>585</v>
      </c>
      <c r="AR54" s="420">
        <v>3</v>
      </c>
      <c r="AS54" s="420" t="s">
        <v>585</v>
      </c>
      <c r="AT54" s="420" t="s">
        <v>585</v>
      </c>
      <c r="AU54" s="420" t="s">
        <v>585</v>
      </c>
      <c r="AV54" s="420" t="s">
        <v>585</v>
      </c>
      <c r="AW54" s="420" t="s">
        <v>585</v>
      </c>
      <c r="AX54" s="420" t="s">
        <v>585</v>
      </c>
      <c r="AY54" s="421">
        <v>3</v>
      </c>
      <c r="AZ54" s="422" t="s">
        <v>585</v>
      </c>
      <c r="BA54" s="420" t="s">
        <v>585</v>
      </c>
      <c r="BB54" s="420" t="s">
        <v>585</v>
      </c>
      <c r="BC54" s="420" t="s">
        <v>585</v>
      </c>
      <c r="BD54" s="420" t="s">
        <v>585</v>
      </c>
      <c r="BE54" s="420" t="s">
        <v>585</v>
      </c>
      <c r="BF54" s="423" t="s">
        <v>585</v>
      </c>
      <c r="BG54" s="424" t="s">
        <v>585</v>
      </c>
      <c r="BH54" s="424">
        <v>1</v>
      </c>
      <c r="BI54" s="424" t="s">
        <v>585</v>
      </c>
      <c r="BJ54" s="422" t="s">
        <v>585</v>
      </c>
      <c r="BK54" s="420" t="s">
        <v>585</v>
      </c>
      <c r="BL54" s="420" t="s">
        <v>585</v>
      </c>
      <c r="BM54" s="420" t="s">
        <v>585</v>
      </c>
      <c r="BN54" s="420" t="s">
        <v>585</v>
      </c>
      <c r="BO54" s="420" t="s">
        <v>585</v>
      </c>
      <c r="BP54" s="420" t="s">
        <v>585</v>
      </c>
      <c r="BQ54" s="423" t="s">
        <v>585</v>
      </c>
      <c r="BR54" s="419">
        <v>940</v>
      </c>
      <c r="BS54" s="420" t="s">
        <v>585</v>
      </c>
      <c r="BT54" s="420">
        <v>9</v>
      </c>
      <c r="BU54" s="420">
        <v>1573</v>
      </c>
      <c r="BV54" s="420">
        <v>4</v>
      </c>
      <c r="BW54" s="420" t="s">
        <v>585</v>
      </c>
      <c r="BX54" s="420">
        <v>473</v>
      </c>
      <c r="BY54" s="420" t="s">
        <v>585</v>
      </c>
      <c r="BZ54" s="420" t="s">
        <v>585</v>
      </c>
      <c r="CA54" s="420" t="s">
        <v>585</v>
      </c>
      <c r="CB54" s="420" t="s">
        <v>585</v>
      </c>
      <c r="CC54" s="421">
        <v>2999</v>
      </c>
      <c r="CD54" s="422" t="s">
        <v>585</v>
      </c>
      <c r="CE54" s="420" t="s">
        <v>585</v>
      </c>
      <c r="CF54" s="423" t="s">
        <v>585</v>
      </c>
      <c r="CG54" s="424" t="s">
        <v>585</v>
      </c>
      <c r="CH54" s="424">
        <v>2</v>
      </c>
      <c r="CI54" s="422" t="s">
        <v>585</v>
      </c>
      <c r="CJ54" s="420" t="s">
        <v>585</v>
      </c>
      <c r="CK54" s="420" t="s">
        <v>585</v>
      </c>
      <c r="CL54" s="423" t="s">
        <v>585</v>
      </c>
      <c r="CM54" s="424" t="s">
        <v>585</v>
      </c>
      <c r="CN54" s="422" t="s">
        <v>585</v>
      </c>
      <c r="CO54" s="420" t="s">
        <v>585</v>
      </c>
      <c r="CP54" s="423" t="s">
        <v>585</v>
      </c>
      <c r="CQ54" s="424">
        <v>2</v>
      </c>
      <c r="CR54" s="424">
        <v>0</v>
      </c>
      <c r="CS54" s="422" t="s">
        <v>585</v>
      </c>
      <c r="CT54" s="420">
        <v>1</v>
      </c>
      <c r="CU54" s="420" t="s">
        <v>585</v>
      </c>
      <c r="CV54" s="423">
        <v>1</v>
      </c>
      <c r="CW54" s="426">
        <v>3204</v>
      </c>
      <c r="CX54" s="427">
        <f>3204/538718</f>
        <v>5.9474530273723918E-3</v>
      </c>
      <c r="CY54" s="276"/>
      <c r="CZ54" s="276"/>
      <c r="DA54" s="276"/>
    </row>
    <row r="55" spans="1:105" x14ac:dyDescent="0.2">
      <c r="A55" s="208"/>
      <c r="B55" s="410" t="s">
        <v>86</v>
      </c>
      <c r="C55" s="419" t="s">
        <v>585</v>
      </c>
      <c r="D55" s="420" t="s">
        <v>585</v>
      </c>
      <c r="E55" s="420" t="s">
        <v>585</v>
      </c>
      <c r="F55" s="421" t="s">
        <v>585</v>
      </c>
      <c r="G55" s="422">
        <v>535</v>
      </c>
      <c r="H55" s="420">
        <v>153</v>
      </c>
      <c r="I55" s="420">
        <v>145</v>
      </c>
      <c r="J55" s="420" t="s">
        <v>585</v>
      </c>
      <c r="K55" s="420" t="s">
        <v>585</v>
      </c>
      <c r="L55" s="423">
        <v>833</v>
      </c>
      <c r="M55" s="424" t="s">
        <v>585</v>
      </c>
      <c r="N55" s="422">
        <v>3705</v>
      </c>
      <c r="O55" s="420" t="s">
        <v>585</v>
      </c>
      <c r="P55" s="420">
        <v>553</v>
      </c>
      <c r="Q55" s="423">
        <v>4258</v>
      </c>
      <c r="R55" s="419" t="s">
        <v>585</v>
      </c>
      <c r="S55" s="420" t="s">
        <v>585</v>
      </c>
      <c r="T55" s="420" t="s">
        <v>585</v>
      </c>
      <c r="U55" s="421" t="s">
        <v>585</v>
      </c>
      <c r="V55" s="425" t="s">
        <v>585</v>
      </c>
      <c r="W55" s="424">
        <v>1</v>
      </c>
      <c r="X55" s="422">
        <v>159</v>
      </c>
      <c r="Y55" s="420" t="s">
        <v>585</v>
      </c>
      <c r="Z55" s="420" t="s">
        <v>585</v>
      </c>
      <c r="AA55" s="420" t="s">
        <v>585</v>
      </c>
      <c r="AB55" s="420" t="s">
        <v>585</v>
      </c>
      <c r="AC55" s="420" t="s">
        <v>585</v>
      </c>
      <c r="AD55" s="423">
        <v>159</v>
      </c>
      <c r="AE55" s="424" t="s">
        <v>585</v>
      </c>
      <c r="AF55" s="422">
        <v>1</v>
      </c>
      <c r="AG55" s="420" t="s">
        <v>585</v>
      </c>
      <c r="AH55" s="420" t="s">
        <v>585</v>
      </c>
      <c r="AI55" s="420" t="s">
        <v>585</v>
      </c>
      <c r="AJ55" s="420" t="s">
        <v>585</v>
      </c>
      <c r="AK55" s="420" t="s">
        <v>585</v>
      </c>
      <c r="AL55" s="420" t="s">
        <v>585</v>
      </c>
      <c r="AM55" s="420" t="s">
        <v>585</v>
      </c>
      <c r="AN55" s="420" t="s">
        <v>585</v>
      </c>
      <c r="AO55" s="420" t="s">
        <v>585</v>
      </c>
      <c r="AP55" s="423">
        <v>1</v>
      </c>
      <c r="AQ55" s="419" t="s">
        <v>585</v>
      </c>
      <c r="AR55" s="420">
        <v>645</v>
      </c>
      <c r="AS55" s="420" t="s">
        <v>585</v>
      </c>
      <c r="AT55" s="420" t="s">
        <v>585</v>
      </c>
      <c r="AU55" s="420" t="s">
        <v>585</v>
      </c>
      <c r="AV55" s="420" t="s">
        <v>585</v>
      </c>
      <c r="AW55" s="420" t="s">
        <v>585</v>
      </c>
      <c r="AX55" s="420" t="s">
        <v>585</v>
      </c>
      <c r="AY55" s="421">
        <v>645</v>
      </c>
      <c r="AZ55" s="422" t="s">
        <v>585</v>
      </c>
      <c r="BA55" s="420" t="s">
        <v>585</v>
      </c>
      <c r="BB55" s="420" t="s">
        <v>585</v>
      </c>
      <c r="BC55" s="420" t="s">
        <v>585</v>
      </c>
      <c r="BD55" s="420" t="s">
        <v>585</v>
      </c>
      <c r="BE55" s="420" t="s">
        <v>585</v>
      </c>
      <c r="BF55" s="423" t="s">
        <v>585</v>
      </c>
      <c r="BG55" s="424" t="s">
        <v>585</v>
      </c>
      <c r="BH55" s="424">
        <v>9</v>
      </c>
      <c r="BI55" s="424" t="s">
        <v>585</v>
      </c>
      <c r="BJ55" s="422">
        <v>1</v>
      </c>
      <c r="BK55" s="420" t="s">
        <v>585</v>
      </c>
      <c r="BL55" s="420">
        <v>3</v>
      </c>
      <c r="BM55" s="420" t="s">
        <v>585</v>
      </c>
      <c r="BN55" s="420" t="s">
        <v>585</v>
      </c>
      <c r="BO55" s="420" t="s">
        <v>585</v>
      </c>
      <c r="BP55" s="420" t="s">
        <v>585</v>
      </c>
      <c r="BQ55" s="423">
        <v>4</v>
      </c>
      <c r="BR55" s="419">
        <v>4091</v>
      </c>
      <c r="BS55" s="420" t="s">
        <v>585</v>
      </c>
      <c r="BT55" s="420">
        <v>38</v>
      </c>
      <c r="BU55" s="420">
        <v>1098</v>
      </c>
      <c r="BV55" s="420">
        <v>93</v>
      </c>
      <c r="BW55" s="420" t="s">
        <v>585</v>
      </c>
      <c r="BX55" s="420">
        <v>2542</v>
      </c>
      <c r="BY55" s="420" t="s">
        <v>585</v>
      </c>
      <c r="BZ55" s="420" t="s">
        <v>585</v>
      </c>
      <c r="CA55" s="420" t="s">
        <v>585</v>
      </c>
      <c r="CB55" s="420" t="s">
        <v>585</v>
      </c>
      <c r="CC55" s="421">
        <v>7862</v>
      </c>
      <c r="CD55" s="422" t="s">
        <v>585</v>
      </c>
      <c r="CE55" s="420" t="s">
        <v>585</v>
      </c>
      <c r="CF55" s="423" t="s">
        <v>585</v>
      </c>
      <c r="CG55" s="424" t="s">
        <v>585</v>
      </c>
      <c r="CH55" s="424">
        <v>5</v>
      </c>
      <c r="CI55" s="422">
        <v>13</v>
      </c>
      <c r="CJ55" s="420" t="s">
        <v>585</v>
      </c>
      <c r="CK55" s="420" t="s">
        <v>585</v>
      </c>
      <c r="CL55" s="423">
        <v>13</v>
      </c>
      <c r="CM55" s="424" t="s">
        <v>585</v>
      </c>
      <c r="CN55" s="422" t="s">
        <v>585</v>
      </c>
      <c r="CO55" s="420" t="s">
        <v>585</v>
      </c>
      <c r="CP55" s="423" t="s">
        <v>585</v>
      </c>
      <c r="CQ55" s="424">
        <v>17</v>
      </c>
      <c r="CR55" s="424">
        <v>16</v>
      </c>
      <c r="CS55" s="422" t="s">
        <v>585</v>
      </c>
      <c r="CT55" s="420" t="s">
        <v>585</v>
      </c>
      <c r="CU55" s="420" t="s">
        <v>585</v>
      </c>
      <c r="CV55" s="423" t="s">
        <v>585</v>
      </c>
      <c r="CW55" s="426">
        <v>13823</v>
      </c>
      <c r="CX55" s="427">
        <f>13823/538718</f>
        <v>2.5659064668342248E-2</v>
      </c>
      <c r="CY55" s="276"/>
      <c r="CZ55" s="276"/>
      <c r="DA55" s="276"/>
    </row>
    <row r="56" spans="1:105" x14ac:dyDescent="0.2">
      <c r="A56" s="208"/>
      <c r="B56" s="410" t="s">
        <v>108</v>
      </c>
      <c r="C56" s="419" t="s">
        <v>585</v>
      </c>
      <c r="D56" s="420" t="s">
        <v>585</v>
      </c>
      <c r="E56" s="420" t="s">
        <v>585</v>
      </c>
      <c r="F56" s="421" t="s">
        <v>585</v>
      </c>
      <c r="G56" s="422">
        <v>15</v>
      </c>
      <c r="H56" s="420">
        <v>212</v>
      </c>
      <c r="I56" s="420">
        <v>24</v>
      </c>
      <c r="J56" s="420" t="s">
        <v>585</v>
      </c>
      <c r="K56" s="420" t="s">
        <v>585</v>
      </c>
      <c r="L56" s="423">
        <v>251</v>
      </c>
      <c r="M56" s="424" t="s">
        <v>585</v>
      </c>
      <c r="N56" s="422">
        <v>1918</v>
      </c>
      <c r="O56" s="420" t="s">
        <v>585</v>
      </c>
      <c r="P56" s="420">
        <v>1</v>
      </c>
      <c r="Q56" s="423">
        <v>1919</v>
      </c>
      <c r="R56" s="419" t="s">
        <v>585</v>
      </c>
      <c r="S56" s="420" t="s">
        <v>585</v>
      </c>
      <c r="T56" s="420" t="s">
        <v>585</v>
      </c>
      <c r="U56" s="421" t="s">
        <v>585</v>
      </c>
      <c r="V56" s="425">
        <v>4</v>
      </c>
      <c r="W56" s="424">
        <v>20</v>
      </c>
      <c r="X56" s="422">
        <v>28</v>
      </c>
      <c r="Y56" s="420" t="s">
        <v>585</v>
      </c>
      <c r="Z56" s="420">
        <v>124</v>
      </c>
      <c r="AA56" s="420" t="s">
        <v>585</v>
      </c>
      <c r="AB56" s="420" t="s">
        <v>585</v>
      </c>
      <c r="AC56" s="420" t="s">
        <v>585</v>
      </c>
      <c r="AD56" s="423">
        <v>152</v>
      </c>
      <c r="AE56" s="424" t="s">
        <v>585</v>
      </c>
      <c r="AF56" s="422">
        <v>32</v>
      </c>
      <c r="AG56" s="420" t="s">
        <v>585</v>
      </c>
      <c r="AH56" s="420" t="s">
        <v>585</v>
      </c>
      <c r="AI56" s="420" t="s">
        <v>585</v>
      </c>
      <c r="AJ56" s="420">
        <v>4</v>
      </c>
      <c r="AK56" s="420" t="s">
        <v>585</v>
      </c>
      <c r="AL56" s="420" t="s">
        <v>585</v>
      </c>
      <c r="AM56" s="420">
        <v>5</v>
      </c>
      <c r="AN56" s="420" t="s">
        <v>585</v>
      </c>
      <c r="AO56" s="420" t="s">
        <v>585</v>
      </c>
      <c r="AP56" s="423">
        <v>41</v>
      </c>
      <c r="AQ56" s="419" t="s">
        <v>585</v>
      </c>
      <c r="AR56" s="420">
        <v>62</v>
      </c>
      <c r="AS56" s="420" t="s">
        <v>585</v>
      </c>
      <c r="AT56" s="420" t="s">
        <v>585</v>
      </c>
      <c r="AU56" s="420" t="s">
        <v>585</v>
      </c>
      <c r="AV56" s="420" t="s">
        <v>585</v>
      </c>
      <c r="AW56" s="420" t="s">
        <v>585</v>
      </c>
      <c r="AX56" s="420" t="s">
        <v>585</v>
      </c>
      <c r="AY56" s="421">
        <v>62</v>
      </c>
      <c r="AZ56" s="422" t="s">
        <v>585</v>
      </c>
      <c r="BA56" s="420" t="s">
        <v>585</v>
      </c>
      <c r="BB56" s="420" t="s">
        <v>585</v>
      </c>
      <c r="BC56" s="420" t="s">
        <v>585</v>
      </c>
      <c r="BD56" s="420" t="s">
        <v>585</v>
      </c>
      <c r="BE56" s="420" t="s">
        <v>585</v>
      </c>
      <c r="BF56" s="423" t="s">
        <v>585</v>
      </c>
      <c r="BG56" s="424" t="s">
        <v>585</v>
      </c>
      <c r="BH56" s="424">
        <v>57</v>
      </c>
      <c r="BI56" s="424" t="s">
        <v>585</v>
      </c>
      <c r="BJ56" s="422">
        <v>29</v>
      </c>
      <c r="BK56" s="420" t="s">
        <v>585</v>
      </c>
      <c r="BL56" s="420">
        <v>3</v>
      </c>
      <c r="BM56" s="420">
        <v>37</v>
      </c>
      <c r="BN56" s="420">
        <v>3</v>
      </c>
      <c r="BO56" s="420" t="s">
        <v>585</v>
      </c>
      <c r="BP56" s="420" t="s">
        <v>585</v>
      </c>
      <c r="BQ56" s="423">
        <v>72</v>
      </c>
      <c r="BR56" s="419">
        <v>9654</v>
      </c>
      <c r="BS56" s="420" t="s">
        <v>585</v>
      </c>
      <c r="BT56" s="420">
        <v>29</v>
      </c>
      <c r="BU56" s="420">
        <v>1630</v>
      </c>
      <c r="BV56" s="420">
        <v>73</v>
      </c>
      <c r="BW56" s="420" t="s">
        <v>585</v>
      </c>
      <c r="BX56" s="420">
        <v>1945</v>
      </c>
      <c r="BY56" s="420" t="s">
        <v>585</v>
      </c>
      <c r="BZ56" s="420" t="s">
        <v>585</v>
      </c>
      <c r="CA56" s="420" t="s">
        <v>585</v>
      </c>
      <c r="CB56" s="420" t="s">
        <v>585</v>
      </c>
      <c r="CC56" s="421">
        <v>13331</v>
      </c>
      <c r="CD56" s="422">
        <v>54</v>
      </c>
      <c r="CE56" s="420" t="s">
        <v>585</v>
      </c>
      <c r="CF56" s="423">
        <v>54</v>
      </c>
      <c r="CG56" s="424" t="s">
        <v>585</v>
      </c>
      <c r="CH56" s="424">
        <v>3</v>
      </c>
      <c r="CI56" s="422">
        <v>5</v>
      </c>
      <c r="CJ56" s="420">
        <v>1</v>
      </c>
      <c r="CK56" s="420" t="s">
        <v>585</v>
      </c>
      <c r="CL56" s="423">
        <v>6</v>
      </c>
      <c r="CM56" s="424" t="s">
        <v>585</v>
      </c>
      <c r="CN56" s="422">
        <v>14</v>
      </c>
      <c r="CO56" s="420" t="s">
        <v>585</v>
      </c>
      <c r="CP56" s="423">
        <v>14</v>
      </c>
      <c r="CQ56" s="424" t="s">
        <v>585</v>
      </c>
      <c r="CR56" s="424">
        <v>18</v>
      </c>
      <c r="CS56" s="422">
        <v>2</v>
      </c>
      <c r="CT56" s="420">
        <v>13</v>
      </c>
      <c r="CU56" s="420">
        <v>1</v>
      </c>
      <c r="CV56" s="423">
        <v>16</v>
      </c>
      <c r="CW56" s="426">
        <v>16020</v>
      </c>
      <c r="CX56" s="427">
        <f>16020/538718</f>
        <v>2.9737265136861958E-2</v>
      </c>
      <c r="CY56" s="276"/>
      <c r="CZ56" s="276"/>
      <c r="DA56" s="276"/>
    </row>
    <row r="57" spans="1:105" x14ac:dyDescent="0.2">
      <c r="A57" s="208"/>
      <c r="B57" s="410" t="s">
        <v>113</v>
      </c>
      <c r="C57" s="419" t="s">
        <v>585</v>
      </c>
      <c r="D57" s="420" t="s">
        <v>585</v>
      </c>
      <c r="E57" s="420" t="s">
        <v>585</v>
      </c>
      <c r="F57" s="421" t="s">
        <v>585</v>
      </c>
      <c r="G57" s="422">
        <v>9637</v>
      </c>
      <c r="H57" s="420">
        <v>45</v>
      </c>
      <c r="I57" s="420">
        <v>88</v>
      </c>
      <c r="J57" s="420" t="s">
        <v>585</v>
      </c>
      <c r="K57" s="420" t="s">
        <v>585</v>
      </c>
      <c r="L57" s="423">
        <v>9770</v>
      </c>
      <c r="M57" s="424" t="s">
        <v>585</v>
      </c>
      <c r="N57" s="422">
        <v>18467</v>
      </c>
      <c r="O57" s="420" t="s">
        <v>585</v>
      </c>
      <c r="P57" s="420" t="s">
        <v>585</v>
      </c>
      <c r="Q57" s="423">
        <v>18467</v>
      </c>
      <c r="R57" s="419" t="s">
        <v>585</v>
      </c>
      <c r="S57" s="420" t="s">
        <v>585</v>
      </c>
      <c r="T57" s="420" t="s">
        <v>585</v>
      </c>
      <c r="U57" s="421" t="s">
        <v>585</v>
      </c>
      <c r="V57" s="425" t="s">
        <v>585</v>
      </c>
      <c r="W57" s="424" t="s">
        <v>585</v>
      </c>
      <c r="X57" s="422">
        <v>267</v>
      </c>
      <c r="Y57" s="420" t="s">
        <v>585</v>
      </c>
      <c r="Z57" s="420">
        <v>84</v>
      </c>
      <c r="AA57" s="420" t="s">
        <v>585</v>
      </c>
      <c r="AB57" s="420" t="s">
        <v>585</v>
      </c>
      <c r="AC57" s="420" t="s">
        <v>585</v>
      </c>
      <c r="AD57" s="423">
        <v>351</v>
      </c>
      <c r="AE57" s="424" t="s">
        <v>585</v>
      </c>
      <c r="AF57" s="422">
        <v>4</v>
      </c>
      <c r="AG57" s="420" t="s">
        <v>585</v>
      </c>
      <c r="AH57" s="420" t="s">
        <v>585</v>
      </c>
      <c r="AI57" s="420" t="s">
        <v>585</v>
      </c>
      <c r="AJ57" s="420">
        <v>1</v>
      </c>
      <c r="AK57" s="420" t="s">
        <v>585</v>
      </c>
      <c r="AL57" s="420" t="s">
        <v>585</v>
      </c>
      <c r="AM57" s="420">
        <v>1</v>
      </c>
      <c r="AN57" s="420" t="s">
        <v>585</v>
      </c>
      <c r="AO57" s="420" t="s">
        <v>585</v>
      </c>
      <c r="AP57" s="423">
        <v>6</v>
      </c>
      <c r="AQ57" s="419" t="s">
        <v>585</v>
      </c>
      <c r="AR57" s="420">
        <v>968</v>
      </c>
      <c r="AS57" s="420" t="s">
        <v>585</v>
      </c>
      <c r="AT57" s="420" t="s">
        <v>585</v>
      </c>
      <c r="AU57" s="420" t="s">
        <v>585</v>
      </c>
      <c r="AV57" s="420" t="s">
        <v>585</v>
      </c>
      <c r="AW57" s="420" t="s">
        <v>585</v>
      </c>
      <c r="AX57" s="420" t="s">
        <v>585</v>
      </c>
      <c r="AY57" s="421">
        <v>968</v>
      </c>
      <c r="AZ57" s="422" t="s">
        <v>585</v>
      </c>
      <c r="BA57" s="420" t="s">
        <v>585</v>
      </c>
      <c r="BB57" s="420" t="s">
        <v>585</v>
      </c>
      <c r="BC57" s="420" t="s">
        <v>585</v>
      </c>
      <c r="BD57" s="420" t="s">
        <v>585</v>
      </c>
      <c r="BE57" s="420" t="s">
        <v>585</v>
      </c>
      <c r="BF57" s="423" t="s">
        <v>585</v>
      </c>
      <c r="BG57" s="424" t="s">
        <v>585</v>
      </c>
      <c r="BH57" s="424">
        <v>31</v>
      </c>
      <c r="BI57" s="424" t="s">
        <v>585</v>
      </c>
      <c r="BJ57" s="422">
        <v>31</v>
      </c>
      <c r="BK57" s="420" t="s">
        <v>585</v>
      </c>
      <c r="BL57" s="420">
        <v>18</v>
      </c>
      <c r="BM57" s="420" t="s">
        <v>585</v>
      </c>
      <c r="BN57" s="420" t="s">
        <v>585</v>
      </c>
      <c r="BO57" s="420" t="s">
        <v>585</v>
      </c>
      <c r="BP57" s="420" t="s">
        <v>585</v>
      </c>
      <c r="BQ57" s="423">
        <v>49</v>
      </c>
      <c r="BR57" s="419">
        <v>11186</v>
      </c>
      <c r="BS57" s="420" t="s">
        <v>585</v>
      </c>
      <c r="BT57" s="420">
        <v>170</v>
      </c>
      <c r="BU57" s="420">
        <v>14571</v>
      </c>
      <c r="BV57" s="420">
        <v>84</v>
      </c>
      <c r="BW57" s="420" t="s">
        <v>585</v>
      </c>
      <c r="BX57" s="420">
        <v>2047</v>
      </c>
      <c r="BY57" s="420" t="s">
        <v>585</v>
      </c>
      <c r="BZ57" s="420" t="s">
        <v>585</v>
      </c>
      <c r="CA57" s="420" t="s">
        <v>585</v>
      </c>
      <c r="CB57" s="420" t="s">
        <v>585</v>
      </c>
      <c r="CC57" s="421">
        <v>28058</v>
      </c>
      <c r="CD57" s="422" t="s">
        <v>585</v>
      </c>
      <c r="CE57" s="420" t="s">
        <v>585</v>
      </c>
      <c r="CF57" s="423" t="s">
        <v>585</v>
      </c>
      <c r="CG57" s="424" t="s">
        <v>585</v>
      </c>
      <c r="CH57" s="424">
        <v>1</v>
      </c>
      <c r="CI57" s="422">
        <v>1</v>
      </c>
      <c r="CJ57" s="420" t="s">
        <v>585</v>
      </c>
      <c r="CK57" s="420" t="s">
        <v>585</v>
      </c>
      <c r="CL57" s="423">
        <v>1</v>
      </c>
      <c r="CM57" s="424" t="s">
        <v>585</v>
      </c>
      <c r="CN57" s="422">
        <v>5</v>
      </c>
      <c r="CO57" s="420" t="s">
        <v>585</v>
      </c>
      <c r="CP57" s="423">
        <v>5</v>
      </c>
      <c r="CQ57" s="424">
        <v>4</v>
      </c>
      <c r="CR57" s="424">
        <v>12</v>
      </c>
      <c r="CS57" s="422">
        <v>2</v>
      </c>
      <c r="CT57" s="420" t="s">
        <v>585</v>
      </c>
      <c r="CU57" s="420" t="s">
        <v>585</v>
      </c>
      <c r="CV57" s="423">
        <v>2</v>
      </c>
      <c r="CW57" s="426">
        <v>57725</v>
      </c>
      <c r="CX57" s="427">
        <f>57725/538718</f>
        <v>0.10715253620632688</v>
      </c>
      <c r="CY57" s="276"/>
      <c r="CZ57" s="276"/>
      <c r="DA57" s="276"/>
    </row>
    <row r="58" spans="1:105" x14ac:dyDescent="0.2">
      <c r="A58" s="208"/>
      <c r="B58" s="410" t="s">
        <v>115</v>
      </c>
      <c r="C58" s="419" t="s">
        <v>585</v>
      </c>
      <c r="D58" s="420" t="s">
        <v>585</v>
      </c>
      <c r="E58" s="420" t="s">
        <v>585</v>
      </c>
      <c r="F58" s="421" t="s">
        <v>585</v>
      </c>
      <c r="G58" s="422">
        <v>117</v>
      </c>
      <c r="H58" s="420">
        <v>0</v>
      </c>
      <c r="I58" s="420">
        <v>13</v>
      </c>
      <c r="J58" s="420" t="s">
        <v>585</v>
      </c>
      <c r="K58" s="420" t="s">
        <v>585</v>
      </c>
      <c r="L58" s="423">
        <v>130</v>
      </c>
      <c r="M58" s="424" t="s">
        <v>585</v>
      </c>
      <c r="N58" s="422">
        <v>730</v>
      </c>
      <c r="O58" s="420" t="s">
        <v>585</v>
      </c>
      <c r="P58" s="420" t="s">
        <v>585</v>
      </c>
      <c r="Q58" s="423">
        <v>730</v>
      </c>
      <c r="R58" s="419" t="s">
        <v>585</v>
      </c>
      <c r="S58" s="420" t="s">
        <v>585</v>
      </c>
      <c r="T58" s="420" t="s">
        <v>585</v>
      </c>
      <c r="U58" s="421" t="s">
        <v>585</v>
      </c>
      <c r="V58" s="425" t="s">
        <v>585</v>
      </c>
      <c r="W58" s="424" t="s">
        <v>585</v>
      </c>
      <c r="X58" s="422">
        <v>11</v>
      </c>
      <c r="Y58" s="420" t="s">
        <v>585</v>
      </c>
      <c r="Z58" s="420">
        <v>4</v>
      </c>
      <c r="AA58" s="420" t="s">
        <v>585</v>
      </c>
      <c r="AB58" s="420" t="s">
        <v>585</v>
      </c>
      <c r="AC58" s="420" t="s">
        <v>585</v>
      </c>
      <c r="AD58" s="423">
        <v>15</v>
      </c>
      <c r="AE58" s="424" t="s">
        <v>585</v>
      </c>
      <c r="AF58" s="422">
        <v>1</v>
      </c>
      <c r="AG58" s="420" t="s">
        <v>585</v>
      </c>
      <c r="AH58" s="420" t="s">
        <v>585</v>
      </c>
      <c r="AI58" s="420" t="s">
        <v>585</v>
      </c>
      <c r="AJ58" s="420" t="s">
        <v>585</v>
      </c>
      <c r="AK58" s="420" t="s">
        <v>585</v>
      </c>
      <c r="AL58" s="420" t="s">
        <v>585</v>
      </c>
      <c r="AM58" s="420" t="s">
        <v>585</v>
      </c>
      <c r="AN58" s="420" t="s">
        <v>585</v>
      </c>
      <c r="AO58" s="420" t="s">
        <v>585</v>
      </c>
      <c r="AP58" s="423">
        <v>1</v>
      </c>
      <c r="AQ58" s="419" t="s">
        <v>585</v>
      </c>
      <c r="AR58" s="420">
        <v>57</v>
      </c>
      <c r="AS58" s="420" t="s">
        <v>585</v>
      </c>
      <c r="AT58" s="420" t="s">
        <v>585</v>
      </c>
      <c r="AU58" s="420" t="s">
        <v>585</v>
      </c>
      <c r="AV58" s="420" t="s">
        <v>585</v>
      </c>
      <c r="AW58" s="420" t="s">
        <v>585</v>
      </c>
      <c r="AX58" s="420" t="s">
        <v>585</v>
      </c>
      <c r="AY58" s="421">
        <v>57</v>
      </c>
      <c r="AZ58" s="422" t="s">
        <v>585</v>
      </c>
      <c r="BA58" s="420" t="s">
        <v>585</v>
      </c>
      <c r="BB58" s="420" t="s">
        <v>585</v>
      </c>
      <c r="BC58" s="420" t="s">
        <v>585</v>
      </c>
      <c r="BD58" s="420" t="s">
        <v>585</v>
      </c>
      <c r="BE58" s="420" t="s">
        <v>585</v>
      </c>
      <c r="BF58" s="423" t="s">
        <v>585</v>
      </c>
      <c r="BG58" s="424" t="s">
        <v>585</v>
      </c>
      <c r="BH58" s="424" t="s">
        <v>585</v>
      </c>
      <c r="BI58" s="424" t="s">
        <v>585</v>
      </c>
      <c r="BJ58" s="422" t="s">
        <v>585</v>
      </c>
      <c r="BK58" s="420" t="s">
        <v>585</v>
      </c>
      <c r="BL58" s="420" t="s">
        <v>585</v>
      </c>
      <c r="BM58" s="420" t="s">
        <v>585</v>
      </c>
      <c r="BN58" s="420" t="s">
        <v>585</v>
      </c>
      <c r="BO58" s="420" t="s">
        <v>585</v>
      </c>
      <c r="BP58" s="420" t="s">
        <v>585</v>
      </c>
      <c r="BQ58" s="423" t="s">
        <v>585</v>
      </c>
      <c r="BR58" s="419">
        <v>615</v>
      </c>
      <c r="BS58" s="420" t="s">
        <v>585</v>
      </c>
      <c r="BT58" s="420">
        <v>9</v>
      </c>
      <c r="BU58" s="420">
        <v>446</v>
      </c>
      <c r="BV58" s="420">
        <v>10</v>
      </c>
      <c r="BW58" s="420" t="s">
        <v>585</v>
      </c>
      <c r="BX58" s="420">
        <v>50</v>
      </c>
      <c r="BY58" s="420" t="s">
        <v>585</v>
      </c>
      <c r="BZ58" s="420" t="s">
        <v>585</v>
      </c>
      <c r="CA58" s="420" t="s">
        <v>585</v>
      </c>
      <c r="CB58" s="420" t="s">
        <v>585</v>
      </c>
      <c r="CC58" s="421">
        <v>1130</v>
      </c>
      <c r="CD58" s="422" t="s">
        <v>585</v>
      </c>
      <c r="CE58" s="420" t="s">
        <v>585</v>
      </c>
      <c r="CF58" s="423" t="s">
        <v>585</v>
      </c>
      <c r="CG58" s="424" t="s">
        <v>585</v>
      </c>
      <c r="CH58" s="424">
        <v>3</v>
      </c>
      <c r="CI58" s="422" t="s">
        <v>585</v>
      </c>
      <c r="CJ58" s="420" t="s">
        <v>585</v>
      </c>
      <c r="CK58" s="420" t="s">
        <v>585</v>
      </c>
      <c r="CL58" s="423" t="s">
        <v>585</v>
      </c>
      <c r="CM58" s="424" t="s">
        <v>585</v>
      </c>
      <c r="CN58" s="422" t="s">
        <v>585</v>
      </c>
      <c r="CO58" s="420" t="s">
        <v>585</v>
      </c>
      <c r="CP58" s="423" t="s">
        <v>585</v>
      </c>
      <c r="CQ58" s="424">
        <v>3</v>
      </c>
      <c r="CR58" s="424" t="s">
        <v>585</v>
      </c>
      <c r="CS58" s="422" t="s">
        <v>585</v>
      </c>
      <c r="CT58" s="420" t="s">
        <v>585</v>
      </c>
      <c r="CU58" s="420" t="s">
        <v>585</v>
      </c>
      <c r="CV58" s="423" t="s">
        <v>585</v>
      </c>
      <c r="CW58" s="426">
        <v>2069</v>
      </c>
      <c r="CX58" s="427">
        <f>2069/538718</f>
        <v>3.8405993488244312E-3</v>
      </c>
      <c r="CY58" s="276"/>
      <c r="CZ58" s="276"/>
      <c r="DA58" s="276"/>
    </row>
    <row r="59" spans="1:105" x14ac:dyDescent="0.2">
      <c r="A59" s="208"/>
      <c r="B59" s="410" t="s">
        <v>116</v>
      </c>
      <c r="C59" s="419" t="s">
        <v>585</v>
      </c>
      <c r="D59" s="420" t="s">
        <v>585</v>
      </c>
      <c r="E59" s="420">
        <v>7</v>
      </c>
      <c r="F59" s="421">
        <v>7</v>
      </c>
      <c r="G59" s="422">
        <v>23</v>
      </c>
      <c r="H59" s="420">
        <v>220</v>
      </c>
      <c r="I59" s="420">
        <v>6</v>
      </c>
      <c r="J59" s="420" t="s">
        <v>585</v>
      </c>
      <c r="K59" s="420" t="s">
        <v>585</v>
      </c>
      <c r="L59" s="423">
        <v>249</v>
      </c>
      <c r="M59" s="424" t="s">
        <v>585</v>
      </c>
      <c r="N59" s="422">
        <v>6370</v>
      </c>
      <c r="O59" s="420" t="s">
        <v>585</v>
      </c>
      <c r="P59" s="420" t="s">
        <v>585</v>
      </c>
      <c r="Q59" s="423">
        <v>6370</v>
      </c>
      <c r="R59" s="419" t="s">
        <v>585</v>
      </c>
      <c r="S59" s="420" t="s">
        <v>585</v>
      </c>
      <c r="T59" s="420" t="s">
        <v>585</v>
      </c>
      <c r="U59" s="421" t="s">
        <v>585</v>
      </c>
      <c r="V59" s="425" t="s">
        <v>585</v>
      </c>
      <c r="W59" s="424">
        <v>25</v>
      </c>
      <c r="X59" s="422">
        <v>73</v>
      </c>
      <c r="Y59" s="420" t="s">
        <v>585</v>
      </c>
      <c r="Z59" s="420" t="s">
        <v>585</v>
      </c>
      <c r="AA59" s="420" t="s">
        <v>585</v>
      </c>
      <c r="AB59" s="420" t="s">
        <v>585</v>
      </c>
      <c r="AC59" s="420" t="s">
        <v>585</v>
      </c>
      <c r="AD59" s="423">
        <v>73</v>
      </c>
      <c r="AE59" s="424" t="s">
        <v>585</v>
      </c>
      <c r="AF59" s="422">
        <v>4</v>
      </c>
      <c r="AG59" s="420" t="s">
        <v>585</v>
      </c>
      <c r="AH59" s="420" t="s">
        <v>585</v>
      </c>
      <c r="AI59" s="420" t="s">
        <v>585</v>
      </c>
      <c r="AJ59" s="420" t="s">
        <v>585</v>
      </c>
      <c r="AK59" s="420" t="s">
        <v>585</v>
      </c>
      <c r="AL59" s="420" t="s">
        <v>585</v>
      </c>
      <c r="AM59" s="420">
        <v>1</v>
      </c>
      <c r="AN59" s="420">
        <v>2</v>
      </c>
      <c r="AO59" s="420" t="s">
        <v>585</v>
      </c>
      <c r="AP59" s="423">
        <v>7</v>
      </c>
      <c r="AQ59" s="419" t="s">
        <v>585</v>
      </c>
      <c r="AR59" s="420">
        <v>172</v>
      </c>
      <c r="AS59" s="420" t="s">
        <v>585</v>
      </c>
      <c r="AT59" s="420" t="s">
        <v>585</v>
      </c>
      <c r="AU59" s="420" t="s">
        <v>585</v>
      </c>
      <c r="AV59" s="420" t="s">
        <v>585</v>
      </c>
      <c r="AW59" s="420" t="s">
        <v>585</v>
      </c>
      <c r="AX59" s="420" t="s">
        <v>585</v>
      </c>
      <c r="AY59" s="421">
        <v>172</v>
      </c>
      <c r="AZ59" s="422" t="s">
        <v>585</v>
      </c>
      <c r="BA59" s="420" t="s">
        <v>585</v>
      </c>
      <c r="BB59" s="420" t="s">
        <v>585</v>
      </c>
      <c r="BC59" s="420" t="s">
        <v>585</v>
      </c>
      <c r="BD59" s="420" t="s">
        <v>585</v>
      </c>
      <c r="BE59" s="420" t="s">
        <v>585</v>
      </c>
      <c r="BF59" s="423" t="s">
        <v>585</v>
      </c>
      <c r="BG59" s="424" t="s">
        <v>585</v>
      </c>
      <c r="BH59" s="424">
        <v>40</v>
      </c>
      <c r="BI59" s="424" t="s">
        <v>585</v>
      </c>
      <c r="BJ59" s="422">
        <v>3</v>
      </c>
      <c r="BK59" s="420" t="s">
        <v>585</v>
      </c>
      <c r="BL59" s="420" t="s">
        <v>585</v>
      </c>
      <c r="BM59" s="420" t="s">
        <v>585</v>
      </c>
      <c r="BN59" s="420" t="s">
        <v>585</v>
      </c>
      <c r="BO59" s="420" t="s">
        <v>585</v>
      </c>
      <c r="BP59" s="420" t="s">
        <v>585</v>
      </c>
      <c r="BQ59" s="423">
        <v>3</v>
      </c>
      <c r="BR59" s="419">
        <v>172</v>
      </c>
      <c r="BS59" s="420" t="s">
        <v>585</v>
      </c>
      <c r="BT59" s="420">
        <v>7</v>
      </c>
      <c r="BU59" s="420">
        <v>20027</v>
      </c>
      <c r="BV59" s="420">
        <v>1</v>
      </c>
      <c r="BW59" s="420" t="s">
        <v>585</v>
      </c>
      <c r="BX59" s="420">
        <v>33</v>
      </c>
      <c r="BY59" s="420" t="s">
        <v>585</v>
      </c>
      <c r="BZ59" s="420" t="s">
        <v>585</v>
      </c>
      <c r="CA59" s="420" t="s">
        <v>585</v>
      </c>
      <c r="CB59" s="420" t="s">
        <v>585</v>
      </c>
      <c r="CC59" s="421">
        <v>20240</v>
      </c>
      <c r="CD59" s="422" t="s">
        <v>585</v>
      </c>
      <c r="CE59" s="420" t="s">
        <v>585</v>
      </c>
      <c r="CF59" s="423" t="s">
        <v>585</v>
      </c>
      <c r="CG59" s="424" t="s">
        <v>585</v>
      </c>
      <c r="CH59" s="424">
        <v>1</v>
      </c>
      <c r="CI59" s="422" t="s">
        <v>585</v>
      </c>
      <c r="CJ59" s="420" t="s">
        <v>585</v>
      </c>
      <c r="CK59" s="420" t="s">
        <v>585</v>
      </c>
      <c r="CL59" s="423" t="s">
        <v>585</v>
      </c>
      <c r="CM59" s="424" t="s">
        <v>585</v>
      </c>
      <c r="CN59" s="422">
        <v>2</v>
      </c>
      <c r="CO59" s="420" t="s">
        <v>585</v>
      </c>
      <c r="CP59" s="423">
        <v>2</v>
      </c>
      <c r="CQ59" s="424" t="s">
        <v>585</v>
      </c>
      <c r="CR59" s="424" t="s">
        <v>585</v>
      </c>
      <c r="CS59" s="422" t="s">
        <v>585</v>
      </c>
      <c r="CT59" s="420" t="s">
        <v>585</v>
      </c>
      <c r="CU59" s="420" t="s">
        <v>585</v>
      </c>
      <c r="CV59" s="423" t="s">
        <v>585</v>
      </c>
      <c r="CW59" s="426">
        <v>27189</v>
      </c>
      <c r="CX59" s="427">
        <f>27189/538718</f>
        <v>5.0469819089022455E-2</v>
      </c>
      <c r="CY59" s="276"/>
      <c r="CZ59" s="276"/>
      <c r="DA59" s="276"/>
    </row>
    <row r="60" spans="1:105" x14ac:dyDescent="0.2">
      <c r="A60" s="208"/>
      <c r="B60" s="410" t="s">
        <v>118</v>
      </c>
      <c r="C60" s="419" t="s">
        <v>585</v>
      </c>
      <c r="D60" s="420" t="s">
        <v>585</v>
      </c>
      <c r="E60" s="420" t="s">
        <v>585</v>
      </c>
      <c r="F60" s="421" t="s">
        <v>585</v>
      </c>
      <c r="G60" s="422">
        <v>9</v>
      </c>
      <c r="H60" s="420" t="s">
        <v>585</v>
      </c>
      <c r="I60" s="420">
        <v>11</v>
      </c>
      <c r="J60" s="420" t="s">
        <v>585</v>
      </c>
      <c r="K60" s="420" t="s">
        <v>585</v>
      </c>
      <c r="L60" s="423">
        <v>20</v>
      </c>
      <c r="M60" s="424" t="s">
        <v>585</v>
      </c>
      <c r="N60" s="422">
        <v>406</v>
      </c>
      <c r="O60" s="420" t="s">
        <v>585</v>
      </c>
      <c r="P60" s="420" t="s">
        <v>585</v>
      </c>
      <c r="Q60" s="423">
        <v>406</v>
      </c>
      <c r="R60" s="419" t="s">
        <v>585</v>
      </c>
      <c r="S60" s="420" t="s">
        <v>585</v>
      </c>
      <c r="T60" s="420" t="s">
        <v>585</v>
      </c>
      <c r="U60" s="421" t="s">
        <v>585</v>
      </c>
      <c r="V60" s="425" t="s">
        <v>585</v>
      </c>
      <c r="W60" s="424">
        <v>0</v>
      </c>
      <c r="X60" s="422">
        <v>1</v>
      </c>
      <c r="Y60" s="420" t="s">
        <v>585</v>
      </c>
      <c r="Z60" s="420" t="s">
        <v>585</v>
      </c>
      <c r="AA60" s="420" t="s">
        <v>585</v>
      </c>
      <c r="AB60" s="420" t="s">
        <v>585</v>
      </c>
      <c r="AC60" s="420" t="s">
        <v>585</v>
      </c>
      <c r="AD60" s="423">
        <v>1</v>
      </c>
      <c r="AE60" s="424" t="s">
        <v>585</v>
      </c>
      <c r="AF60" s="422" t="s">
        <v>585</v>
      </c>
      <c r="AG60" s="420" t="s">
        <v>585</v>
      </c>
      <c r="AH60" s="420" t="s">
        <v>585</v>
      </c>
      <c r="AI60" s="420" t="s">
        <v>585</v>
      </c>
      <c r="AJ60" s="420" t="s">
        <v>585</v>
      </c>
      <c r="AK60" s="420" t="s">
        <v>585</v>
      </c>
      <c r="AL60" s="420" t="s">
        <v>585</v>
      </c>
      <c r="AM60" s="420" t="s">
        <v>585</v>
      </c>
      <c r="AN60" s="420" t="s">
        <v>585</v>
      </c>
      <c r="AO60" s="420" t="s">
        <v>585</v>
      </c>
      <c r="AP60" s="423" t="s">
        <v>585</v>
      </c>
      <c r="AQ60" s="419" t="s">
        <v>585</v>
      </c>
      <c r="AR60" s="420">
        <v>21</v>
      </c>
      <c r="AS60" s="420" t="s">
        <v>585</v>
      </c>
      <c r="AT60" s="420" t="s">
        <v>585</v>
      </c>
      <c r="AU60" s="420" t="s">
        <v>585</v>
      </c>
      <c r="AV60" s="420" t="s">
        <v>585</v>
      </c>
      <c r="AW60" s="420" t="s">
        <v>585</v>
      </c>
      <c r="AX60" s="420" t="s">
        <v>585</v>
      </c>
      <c r="AY60" s="421">
        <v>21</v>
      </c>
      <c r="AZ60" s="422" t="s">
        <v>585</v>
      </c>
      <c r="BA60" s="420" t="s">
        <v>585</v>
      </c>
      <c r="BB60" s="420" t="s">
        <v>585</v>
      </c>
      <c r="BC60" s="420" t="s">
        <v>585</v>
      </c>
      <c r="BD60" s="420" t="s">
        <v>585</v>
      </c>
      <c r="BE60" s="420" t="s">
        <v>585</v>
      </c>
      <c r="BF60" s="423" t="s">
        <v>585</v>
      </c>
      <c r="BG60" s="424" t="s">
        <v>585</v>
      </c>
      <c r="BH60" s="424">
        <v>4</v>
      </c>
      <c r="BI60" s="424" t="s">
        <v>585</v>
      </c>
      <c r="BJ60" s="422">
        <v>1</v>
      </c>
      <c r="BK60" s="420" t="s">
        <v>585</v>
      </c>
      <c r="BL60" s="420" t="s">
        <v>585</v>
      </c>
      <c r="BM60" s="420" t="s">
        <v>585</v>
      </c>
      <c r="BN60" s="420" t="s">
        <v>585</v>
      </c>
      <c r="BO60" s="420" t="s">
        <v>585</v>
      </c>
      <c r="BP60" s="420" t="s">
        <v>585</v>
      </c>
      <c r="BQ60" s="423">
        <v>1</v>
      </c>
      <c r="BR60" s="419">
        <v>1384</v>
      </c>
      <c r="BS60" s="420" t="s">
        <v>585</v>
      </c>
      <c r="BT60" s="420">
        <v>5</v>
      </c>
      <c r="BU60" s="420">
        <v>1570</v>
      </c>
      <c r="BV60" s="420">
        <v>5</v>
      </c>
      <c r="BW60" s="420" t="s">
        <v>585</v>
      </c>
      <c r="BX60" s="420">
        <v>323</v>
      </c>
      <c r="BY60" s="420" t="s">
        <v>585</v>
      </c>
      <c r="BZ60" s="420" t="s">
        <v>585</v>
      </c>
      <c r="CA60" s="420" t="s">
        <v>585</v>
      </c>
      <c r="CB60" s="420" t="s">
        <v>585</v>
      </c>
      <c r="CC60" s="421">
        <v>3287</v>
      </c>
      <c r="CD60" s="422" t="s">
        <v>585</v>
      </c>
      <c r="CE60" s="420" t="s">
        <v>585</v>
      </c>
      <c r="CF60" s="423" t="s">
        <v>585</v>
      </c>
      <c r="CG60" s="424" t="s">
        <v>585</v>
      </c>
      <c r="CH60" s="424">
        <v>1</v>
      </c>
      <c r="CI60" s="422">
        <v>1</v>
      </c>
      <c r="CJ60" s="420" t="s">
        <v>585</v>
      </c>
      <c r="CK60" s="420" t="s">
        <v>585</v>
      </c>
      <c r="CL60" s="423">
        <v>1</v>
      </c>
      <c r="CM60" s="424" t="s">
        <v>585</v>
      </c>
      <c r="CN60" s="422" t="s">
        <v>585</v>
      </c>
      <c r="CO60" s="420" t="s">
        <v>585</v>
      </c>
      <c r="CP60" s="423" t="s">
        <v>585</v>
      </c>
      <c r="CQ60" s="424">
        <v>1</v>
      </c>
      <c r="CR60" s="424" t="s">
        <v>585</v>
      </c>
      <c r="CS60" s="422" t="s">
        <v>585</v>
      </c>
      <c r="CT60" s="420" t="s">
        <v>585</v>
      </c>
      <c r="CU60" s="420" t="s">
        <v>585</v>
      </c>
      <c r="CV60" s="423" t="s">
        <v>585</v>
      </c>
      <c r="CW60" s="426">
        <v>3743</v>
      </c>
      <c r="CX60" s="427">
        <f>3743/538718</f>
        <v>6.9479764923392204E-3</v>
      </c>
      <c r="CY60" s="276"/>
      <c r="CZ60" s="276"/>
      <c r="DA60" s="276"/>
    </row>
    <row r="61" spans="1:105" x14ac:dyDescent="0.2">
      <c r="A61" s="208"/>
      <c r="B61" s="410" t="s">
        <v>119</v>
      </c>
      <c r="C61" s="419" t="s">
        <v>585</v>
      </c>
      <c r="D61" s="420" t="s">
        <v>585</v>
      </c>
      <c r="E61" s="420" t="s">
        <v>585</v>
      </c>
      <c r="F61" s="421" t="s">
        <v>585</v>
      </c>
      <c r="G61" s="422">
        <v>21</v>
      </c>
      <c r="H61" s="420" t="s">
        <v>585</v>
      </c>
      <c r="I61" s="420">
        <v>23</v>
      </c>
      <c r="J61" s="420" t="s">
        <v>585</v>
      </c>
      <c r="K61" s="420" t="s">
        <v>585</v>
      </c>
      <c r="L61" s="423">
        <v>44</v>
      </c>
      <c r="M61" s="424" t="s">
        <v>585</v>
      </c>
      <c r="N61" s="422">
        <v>352</v>
      </c>
      <c r="O61" s="420" t="s">
        <v>585</v>
      </c>
      <c r="P61" s="420">
        <v>17</v>
      </c>
      <c r="Q61" s="423">
        <v>369</v>
      </c>
      <c r="R61" s="419" t="s">
        <v>585</v>
      </c>
      <c r="S61" s="420" t="s">
        <v>585</v>
      </c>
      <c r="T61" s="420" t="s">
        <v>585</v>
      </c>
      <c r="U61" s="421" t="s">
        <v>585</v>
      </c>
      <c r="V61" s="425" t="s">
        <v>585</v>
      </c>
      <c r="W61" s="424">
        <v>7</v>
      </c>
      <c r="X61" s="422">
        <v>4</v>
      </c>
      <c r="Y61" s="420" t="s">
        <v>585</v>
      </c>
      <c r="Z61" s="420" t="s">
        <v>585</v>
      </c>
      <c r="AA61" s="420" t="s">
        <v>585</v>
      </c>
      <c r="AB61" s="420" t="s">
        <v>585</v>
      </c>
      <c r="AC61" s="420" t="s">
        <v>585</v>
      </c>
      <c r="AD61" s="423">
        <v>4</v>
      </c>
      <c r="AE61" s="424" t="s">
        <v>585</v>
      </c>
      <c r="AF61" s="422" t="s">
        <v>585</v>
      </c>
      <c r="AG61" s="420" t="s">
        <v>585</v>
      </c>
      <c r="AH61" s="420" t="s">
        <v>585</v>
      </c>
      <c r="AI61" s="420" t="s">
        <v>585</v>
      </c>
      <c r="AJ61" s="420" t="s">
        <v>585</v>
      </c>
      <c r="AK61" s="420" t="s">
        <v>585</v>
      </c>
      <c r="AL61" s="420" t="s">
        <v>585</v>
      </c>
      <c r="AM61" s="420" t="s">
        <v>585</v>
      </c>
      <c r="AN61" s="420" t="s">
        <v>585</v>
      </c>
      <c r="AO61" s="420" t="s">
        <v>585</v>
      </c>
      <c r="AP61" s="423" t="s">
        <v>585</v>
      </c>
      <c r="AQ61" s="419" t="s">
        <v>585</v>
      </c>
      <c r="AR61" s="420">
        <v>81</v>
      </c>
      <c r="AS61" s="420" t="s">
        <v>585</v>
      </c>
      <c r="AT61" s="420" t="s">
        <v>585</v>
      </c>
      <c r="AU61" s="420" t="s">
        <v>585</v>
      </c>
      <c r="AV61" s="420" t="s">
        <v>585</v>
      </c>
      <c r="AW61" s="420" t="s">
        <v>585</v>
      </c>
      <c r="AX61" s="420" t="s">
        <v>585</v>
      </c>
      <c r="AY61" s="421">
        <v>81</v>
      </c>
      <c r="AZ61" s="422" t="s">
        <v>585</v>
      </c>
      <c r="BA61" s="420" t="s">
        <v>585</v>
      </c>
      <c r="BB61" s="420" t="s">
        <v>585</v>
      </c>
      <c r="BC61" s="420" t="s">
        <v>585</v>
      </c>
      <c r="BD61" s="420" t="s">
        <v>585</v>
      </c>
      <c r="BE61" s="420" t="s">
        <v>585</v>
      </c>
      <c r="BF61" s="423" t="s">
        <v>585</v>
      </c>
      <c r="BG61" s="424" t="s">
        <v>585</v>
      </c>
      <c r="BH61" s="424" t="s">
        <v>585</v>
      </c>
      <c r="BI61" s="424" t="s">
        <v>585</v>
      </c>
      <c r="BJ61" s="422" t="s">
        <v>585</v>
      </c>
      <c r="BK61" s="420" t="s">
        <v>585</v>
      </c>
      <c r="BL61" s="420" t="s">
        <v>585</v>
      </c>
      <c r="BM61" s="420" t="s">
        <v>585</v>
      </c>
      <c r="BN61" s="420" t="s">
        <v>585</v>
      </c>
      <c r="BO61" s="420" t="s">
        <v>585</v>
      </c>
      <c r="BP61" s="420" t="s">
        <v>585</v>
      </c>
      <c r="BQ61" s="423" t="s">
        <v>585</v>
      </c>
      <c r="BR61" s="419">
        <v>867</v>
      </c>
      <c r="BS61" s="420" t="s">
        <v>585</v>
      </c>
      <c r="BT61" s="420">
        <v>7</v>
      </c>
      <c r="BU61" s="420">
        <v>194</v>
      </c>
      <c r="BV61" s="420">
        <v>3</v>
      </c>
      <c r="BW61" s="420" t="s">
        <v>585</v>
      </c>
      <c r="BX61" s="420">
        <v>374</v>
      </c>
      <c r="BY61" s="420" t="s">
        <v>585</v>
      </c>
      <c r="BZ61" s="420" t="s">
        <v>585</v>
      </c>
      <c r="CA61" s="420" t="s">
        <v>585</v>
      </c>
      <c r="CB61" s="420" t="s">
        <v>585</v>
      </c>
      <c r="CC61" s="421">
        <v>1445</v>
      </c>
      <c r="CD61" s="422" t="s">
        <v>585</v>
      </c>
      <c r="CE61" s="420" t="s">
        <v>585</v>
      </c>
      <c r="CF61" s="423" t="s">
        <v>585</v>
      </c>
      <c r="CG61" s="424" t="s">
        <v>585</v>
      </c>
      <c r="CH61" s="424">
        <v>5</v>
      </c>
      <c r="CI61" s="422" t="s">
        <v>585</v>
      </c>
      <c r="CJ61" s="420" t="s">
        <v>585</v>
      </c>
      <c r="CK61" s="420" t="s">
        <v>585</v>
      </c>
      <c r="CL61" s="423" t="s">
        <v>585</v>
      </c>
      <c r="CM61" s="424" t="s">
        <v>585</v>
      </c>
      <c r="CN61" s="422" t="s">
        <v>585</v>
      </c>
      <c r="CO61" s="420" t="s">
        <v>585</v>
      </c>
      <c r="CP61" s="423" t="s">
        <v>585</v>
      </c>
      <c r="CQ61" s="424" t="s">
        <v>585</v>
      </c>
      <c r="CR61" s="424" t="s">
        <v>585</v>
      </c>
      <c r="CS61" s="422" t="s">
        <v>585</v>
      </c>
      <c r="CT61" s="420">
        <v>1</v>
      </c>
      <c r="CU61" s="420" t="s">
        <v>585</v>
      </c>
      <c r="CV61" s="423">
        <v>1</v>
      </c>
      <c r="CW61" s="426">
        <v>1956</v>
      </c>
      <c r="CX61" s="427">
        <f>1956/538718</f>
        <v>3.6308421103434449E-3</v>
      </c>
      <c r="CY61" s="276"/>
      <c r="CZ61" s="276"/>
      <c r="DA61" s="276"/>
    </row>
    <row r="62" spans="1:105" x14ac:dyDescent="0.2">
      <c r="A62" s="208"/>
      <c r="B62" s="410" t="s">
        <v>120</v>
      </c>
      <c r="C62" s="419" t="s">
        <v>585</v>
      </c>
      <c r="D62" s="420" t="s">
        <v>585</v>
      </c>
      <c r="E62" s="420">
        <v>3</v>
      </c>
      <c r="F62" s="421">
        <v>3</v>
      </c>
      <c r="G62" s="422">
        <v>34</v>
      </c>
      <c r="H62" s="420">
        <v>12</v>
      </c>
      <c r="I62" s="420">
        <v>352</v>
      </c>
      <c r="J62" s="420" t="s">
        <v>585</v>
      </c>
      <c r="K62" s="420" t="s">
        <v>585</v>
      </c>
      <c r="L62" s="423">
        <v>398</v>
      </c>
      <c r="M62" s="424" t="s">
        <v>585</v>
      </c>
      <c r="N62" s="422">
        <v>2487</v>
      </c>
      <c r="O62" s="420" t="s">
        <v>585</v>
      </c>
      <c r="P62" s="420">
        <v>7</v>
      </c>
      <c r="Q62" s="423">
        <v>2494</v>
      </c>
      <c r="R62" s="419" t="s">
        <v>585</v>
      </c>
      <c r="S62" s="420" t="s">
        <v>585</v>
      </c>
      <c r="T62" s="420" t="s">
        <v>585</v>
      </c>
      <c r="U62" s="421" t="s">
        <v>585</v>
      </c>
      <c r="V62" s="425" t="s">
        <v>585</v>
      </c>
      <c r="W62" s="424">
        <v>369</v>
      </c>
      <c r="X62" s="422">
        <v>11</v>
      </c>
      <c r="Y62" s="420" t="s">
        <v>585</v>
      </c>
      <c r="Z62" s="420" t="s">
        <v>585</v>
      </c>
      <c r="AA62" s="420" t="s">
        <v>585</v>
      </c>
      <c r="AB62" s="420" t="s">
        <v>585</v>
      </c>
      <c r="AC62" s="420" t="s">
        <v>585</v>
      </c>
      <c r="AD62" s="423">
        <v>11</v>
      </c>
      <c r="AE62" s="424" t="s">
        <v>585</v>
      </c>
      <c r="AF62" s="422">
        <v>37</v>
      </c>
      <c r="AG62" s="420" t="s">
        <v>585</v>
      </c>
      <c r="AH62" s="420" t="s">
        <v>585</v>
      </c>
      <c r="AI62" s="420" t="s">
        <v>585</v>
      </c>
      <c r="AJ62" s="420" t="s">
        <v>585</v>
      </c>
      <c r="AK62" s="420" t="s">
        <v>585</v>
      </c>
      <c r="AL62" s="420" t="s">
        <v>585</v>
      </c>
      <c r="AM62" s="420">
        <v>6</v>
      </c>
      <c r="AN62" s="420" t="s">
        <v>585</v>
      </c>
      <c r="AO62" s="420" t="s">
        <v>585</v>
      </c>
      <c r="AP62" s="423">
        <v>43</v>
      </c>
      <c r="AQ62" s="419" t="s">
        <v>585</v>
      </c>
      <c r="AR62" s="420">
        <v>404</v>
      </c>
      <c r="AS62" s="420" t="s">
        <v>585</v>
      </c>
      <c r="AT62" s="420" t="s">
        <v>585</v>
      </c>
      <c r="AU62" s="420" t="s">
        <v>585</v>
      </c>
      <c r="AV62" s="420" t="s">
        <v>585</v>
      </c>
      <c r="AW62" s="420" t="s">
        <v>585</v>
      </c>
      <c r="AX62" s="420" t="s">
        <v>585</v>
      </c>
      <c r="AY62" s="421">
        <v>404</v>
      </c>
      <c r="AZ62" s="422" t="s">
        <v>585</v>
      </c>
      <c r="BA62" s="420" t="s">
        <v>585</v>
      </c>
      <c r="BB62" s="420" t="s">
        <v>585</v>
      </c>
      <c r="BC62" s="420" t="s">
        <v>585</v>
      </c>
      <c r="BD62" s="420" t="s">
        <v>585</v>
      </c>
      <c r="BE62" s="420" t="s">
        <v>585</v>
      </c>
      <c r="BF62" s="423" t="s">
        <v>585</v>
      </c>
      <c r="BG62" s="424" t="s">
        <v>585</v>
      </c>
      <c r="BH62" s="424">
        <v>248</v>
      </c>
      <c r="BI62" s="424" t="s">
        <v>585</v>
      </c>
      <c r="BJ62" s="422">
        <v>110</v>
      </c>
      <c r="BK62" s="420" t="s">
        <v>585</v>
      </c>
      <c r="BL62" s="420">
        <v>618</v>
      </c>
      <c r="BM62" s="420" t="s">
        <v>585</v>
      </c>
      <c r="BN62" s="420">
        <v>28</v>
      </c>
      <c r="BO62" s="420" t="s">
        <v>585</v>
      </c>
      <c r="BP62" s="420" t="s">
        <v>585</v>
      </c>
      <c r="BQ62" s="423">
        <v>756</v>
      </c>
      <c r="BR62" s="419">
        <v>7019</v>
      </c>
      <c r="BS62" s="420" t="s">
        <v>585</v>
      </c>
      <c r="BT62" s="420">
        <v>42</v>
      </c>
      <c r="BU62" s="420">
        <v>1429</v>
      </c>
      <c r="BV62" s="420">
        <v>10</v>
      </c>
      <c r="BW62" s="420" t="s">
        <v>585</v>
      </c>
      <c r="BX62" s="420">
        <v>1970</v>
      </c>
      <c r="BY62" s="420" t="s">
        <v>585</v>
      </c>
      <c r="BZ62" s="420" t="s">
        <v>585</v>
      </c>
      <c r="CA62" s="420" t="s">
        <v>585</v>
      </c>
      <c r="CB62" s="420" t="s">
        <v>585</v>
      </c>
      <c r="CC62" s="421">
        <v>10470</v>
      </c>
      <c r="CD62" s="422" t="s">
        <v>585</v>
      </c>
      <c r="CE62" s="420" t="s">
        <v>585</v>
      </c>
      <c r="CF62" s="423" t="s">
        <v>585</v>
      </c>
      <c r="CG62" s="424" t="s">
        <v>585</v>
      </c>
      <c r="CH62" s="424" t="s">
        <v>585</v>
      </c>
      <c r="CI62" s="422">
        <v>60</v>
      </c>
      <c r="CJ62" s="420" t="s">
        <v>585</v>
      </c>
      <c r="CK62" s="420" t="s">
        <v>585</v>
      </c>
      <c r="CL62" s="423">
        <v>60</v>
      </c>
      <c r="CM62" s="424" t="s">
        <v>585</v>
      </c>
      <c r="CN62" s="422">
        <v>44</v>
      </c>
      <c r="CO62" s="420" t="s">
        <v>585</v>
      </c>
      <c r="CP62" s="423">
        <v>44</v>
      </c>
      <c r="CQ62" s="424">
        <v>70</v>
      </c>
      <c r="CR62" s="424">
        <v>127</v>
      </c>
      <c r="CS62" s="422" t="s">
        <v>585</v>
      </c>
      <c r="CT62" s="420">
        <v>16</v>
      </c>
      <c r="CU62" s="420" t="s">
        <v>585</v>
      </c>
      <c r="CV62" s="423">
        <v>16</v>
      </c>
      <c r="CW62" s="426">
        <v>15513</v>
      </c>
      <c r="CX62" s="427">
        <f>15513/538718</f>
        <v>2.8796141951818947E-2</v>
      </c>
      <c r="CY62" s="276"/>
      <c r="CZ62" s="276"/>
      <c r="DA62" s="276"/>
    </row>
    <row r="63" spans="1:105" x14ac:dyDescent="0.2">
      <c r="A63" s="208"/>
      <c r="B63" s="410" t="s">
        <v>121</v>
      </c>
      <c r="C63" s="419" t="s">
        <v>585</v>
      </c>
      <c r="D63" s="420" t="s">
        <v>585</v>
      </c>
      <c r="E63" s="420" t="s">
        <v>585</v>
      </c>
      <c r="F63" s="421" t="s">
        <v>585</v>
      </c>
      <c r="G63" s="422" t="s">
        <v>585</v>
      </c>
      <c r="H63" s="420" t="s">
        <v>585</v>
      </c>
      <c r="I63" s="420" t="s">
        <v>585</v>
      </c>
      <c r="J63" s="420" t="s">
        <v>585</v>
      </c>
      <c r="K63" s="420" t="s">
        <v>585</v>
      </c>
      <c r="L63" s="423" t="s">
        <v>585</v>
      </c>
      <c r="M63" s="424" t="s">
        <v>585</v>
      </c>
      <c r="N63" s="422">
        <v>13</v>
      </c>
      <c r="O63" s="420" t="s">
        <v>585</v>
      </c>
      <c r="P63" s="420" t="s">
        <v>585</v>
      </c>
      <c r="Q63" s="423">
        <v>13</v>
      </c>
      <c r="R63" s="419" t="s">
        <v>585</v>
      </c>
      <c r="S63" s="420" t="s">
        <v>585</v>
      </c>
      <c r="T63" s="420" t="s">
        <v>585</v>
      </c>
      <c r="U63" s="421" t="s">
        <v>585</v>
      </c>
      <c r="V63" s="425" t="s">
        <v>585</v>
      </c>
      <c r="W63" s="424" t="s">
        <v>585</v>
      </c>
      <c r="X63" s="422" t="s">
        <v>585</v>
      </c>
      <c r="Y63" s="420" t="s">
        <v>585</v>
      </c>
      <c r="Z63" s="420" t="s">
        <v>585</v>
      </c>
      <c r="AA63" s="420" t="s">
        <v>585</v>
      </c>
      <c r="AB63" s="420" t="s">
        <v>585</v>
      </c>
      <c r="AC63" s="420" t="s">
        <v>585</v>
      </c>
      <c r="AD63" s="423" t="s">
        <v>585</v>
      </c>
      <c r="AE63" s="424" t="s">
        <v>585</v>
      </c>
      <c r="AF63" s="422" t="s">
        <v>585</v>
      </c>
      <c r="AG63" s="420" t="s">
        <v>585</v>
      </c>
      <c r="AH63" s="420" t="s">
        <v>585</v>
      </c>
      <c r="AI63" s="420" t="s">
        <v>585</v>
      </c>
      <c r="AJ63" s="420" t="s">
        <v>585</v>
      </c>
      <c r="AK63" s="420" t="s">
        <v>585</v>
      </c>
      <c r="AL63" s="420" t="s">
        <v>585</v>
      </c>
      <c r="AM63" s="420" t="s">
        <v>585</v>
      </c>
      <c r="AN63" s="420" t="s">
        <v>585</v>
      </c>
      <c r="AO63" s="420" t="s">
        <v>585</v>
      </c>
      <c r="AP63" s="423" t="s">
        <v>585</v>
      </c>
      <c r="AQ63" s="419" t="s">
        <v>585</v>
      </c>
      <c r="AR63" s="420">
        <v>3</v>
      </c>
      <c r="AS63" s="420" t="s">
        <v>585</v>
      </c>
      <c r="AT63" s="420" t="s">
        <v>585</v>
      </c>
      <c r="AU63" s="420" t="s">
        <v>585</v>
      </c>
      <c r="AV63" s="420" t="s">
        <v>585</v>
      </c>
      <c r="AW63" s="420" t="s">
        <v>585</v>
      </c>
      <c r="AX63" s="420" t="s">
        <v>585</v>
      </c>
      <c r="AY63" s="421">
        <v>3</v>
      </c>
      <c r="AZ63" s="422" t="s">
        <v>585</v>
      </c>
      <c r="BA63" s="420" t="s">
        <v>585</v>
      </c>
      <c r="BB63" s="420" t="s">
        <v>585</v>
      </c>
      <c r="BC63" s="420" t="s">
        <v>585</v>
      </c>
      <c r="BD63" s="420" t="s">
        <v>585</v>
      </c>
      <c r="BE63" s="420" t="s">
        <v>585</v>
      </c>
      <c r="BF63" s="423" t="s">
        <v>585</v>
      </c>
      <c r="BG63" s="424" t="s">
        <v>585</v>
      </c>
      <c r="BH63" s="424" t="s">
        <v>585</v>
      </c>
      <c r="BI63" s="424" t="s">
        <v>585</v>
      </c>
      <c r="BJ63" s="422" t="s">
        <v>585</v>
      </c>
      <c r="BK63" s="420" t="s">
        <v>585</v>
      </c>
      <c r="BL63" s="420" t="s">
        <v>585</v>
      </c>
      <c r="BM63" s="420" t="s">
        <v>585</v>
      </c>
      <c r="BN63" s="420" t="s">
        <v>585</v>
      </c>
      <c r="BO63" s="420" t="s">
        <v>585</v>
      </c>
      <c r="BP63" s="420" t="s">
        <v>585</v>
      </c>
      <c r="BQ63" s="423" t="s">
        <v>585</v>
      </c>
      <c r="BR63" s="419">
        <v>37</v>
      </c>
      <c r="BS63" s="420" t="s">
        <v>585</v>
      </c>
      <c r="BT63" s="420" t="s">
        <v>585</v>
      </c>
      <c r="BU63" s="420">
        <v>11</v>
      </c>
      <c r="BV63" s="420" t="s">
        <v>585</v>
      </c>
      <c r="BW63" s="420" t="s">
        <v>585</v>
      </c>
      <c r="BX63" s="420">
        <v>31</v>
      </c>
      <c r="BY63" s="420" t="s">
        <v>585</v>
      </c>
      <c r="BZ63" s="420" t="s">
        <v>585</v>
      </c>
      <c r="CA63" s="420" t="s">
        <v>585</v>
      </c>
      <c r="CB63" s="420" t="s">
        <v>585</v>
      </c>
      <c r="CC63" s="421">
        <v>79</v>
      </c>
      <c r="CD63" s="422" t="s">
        <v>585</v>
      </c>
      <c r="CE63" s="420" t="s">
        <v>585</v>
      </c>
      <c r="CF63" s="423" t="s">
        <v>585</v>
      </c>
      <c r="CG63" s="424" t="s">
        <v>585</v>
      </c>
      <c r="CH63" s="424" t="s">
        <v>585</v>
      </c>
      <c r="CI63" s="422" t="s">
        <v>585</v>
      </c>
      <c r="CJ63" s="420" t="s">
        <v>585</v>
      </c>
      <c r="CK63" s="420" t="s">
        <v>585</v>
      </c>
      <c r="CL63" s="423" t="s">
        <v>585</v>
      </c>
      <c r="CM63" s="424" t="s">
        <v>585</v>
      </c>
      <c r="CN63" s="422" t="s">
        <v>585</v>
      </c>
      <c r="CO63" s="420" t="s">
        <v>585</v>
      </c>
      <c r="CP63" s="423" t="s">
        <v>585</v>
      </c>
      <c r="CQ63" s="424" t="s">
        <v>585</v>
      </c>
      <c r="CR63" s="424" t="s">
        <v>585</v>
      </c>
      <c r="CS63" s="422" t="s">
        <v>585</v>
      </c>
      <c r="CT63" s="420" t="s">
        <v>585</v>
      </c>
      <c r="CU63" s="420" t="s">
        <v>585</v>
      </c>
      <c r="CV63" s="423" t="s">
        <v>585</v>
      </c>
      <c r="CW63" s="426">
        <v>95</v>
      </c>
      <c r="CX63" s="427">
        <f>95/538718</f>
        <v>1.7634458102383808E-4</v>
      </c>
      <c r="CY63" s="276"/>
      <c r="CZ63" s="276"/>
      <c r="DA63" s="276"/>
    </row>
    <row r="64" spans="1:105" x14ac:dyDescent="0.2">
      <c r="A64" s="208"/>
      <c r="B64" s="410" t="s">
        <v>153</v>
      </c>
      <c r="C64" s="419" t="s">
        <v>585</v>
      </c>
      <c r="D64" s="420" t="s">
        <v>585</v>
      </c>
      <c r="E64" s="420" t="s">
        <v>585</v>
      </c>
      <c r="F64" s="421" t="s">
        <v>585</v>
      </c>
      <c r="G64" s="422" t="s">
        <v>585</v>
      </c>
      <c r="H64" s="420" t="s">
        <v>585</v>
      </c>
      <c r="I64" s="420" t="s">
        <v>585</v>
      </c>
      <c r="J64" s="420" t="s">
        <v>585</v>
      </c>
      <c r="K64" s="420" t="s">
        <v>585</v>
      </c>
      <c r="L64" s="423" t="s">
        <v>585</v>
      </c>
      <c r="M64" s="424" t="s">
        <v>585</v>
      </c>
      <c r="N64" s="422">
        <v>95</v>
      </c>
      <c r="O64" s="420" t="s">
        <v>585</v>
      </c>
      <c r="P64" s="420" t="s">
        <v>585</v>
      </c>
      <c r="Q64" s="423">
        <v>95</v>
      </c>
      <c r="R64" s="419" t="s">
        <v>585</v>
      </c>
      <c r="S64" s="420" t="s">
        <v>585</v>
      </c>
      <c r="T64" s="420" t="s">
        <v>585</v>
      </c>
      <c r="U64" s="421" t="s">
        <v>585</v>
      </c>
      <c r="V64" s="425" t="s">
        <v>585</v>
      </c>
      <c r="W64" s="424" t="s">
        <v>585</v>
      </c>
      <c r="X64" s="422" t="s">
        <v>585</v>
      </c>
      <c r="Y64" s="420" t="s">
        <v>585</v>
      </c>
      <c r="Z64" s="420" t="s">
        <v>585</v>
      </c>
      <c r="AA64" s="420" t="s">
        <v>585</v>
      </c>
      <c r="AB64" s="420" t="s">
        <v>585</v>
      </c>
      <c r="AC64" s="420" t="s">
        <v>585</v>
      </c>
      <c r="AD64" s="423" t="s">
        <v>585</v>
      </c>
      <c r="AE64" s="424" t="s">
        <v>585</v>
      </c>
      <c r="AF64" s="422" t="s">
        <v>585</v>
      </c>
      <c r="AG64" s="420" t="s">
        <v>585</v>
      </c>
      <c r="AH64" s="420" t="s">
        <v>585</v>
      </c>
      <c r="AI64" s="420" t="s">
        <v>585</v>
      </c>
      <c r="AJ64" s="420" t="s">
        <v>585</v>
      </c>
      <c r="AK64" s="420" t="s">
        <v>585</v>
      </c>
      <c r="AL64" s="420" t="s">
        <v>585</v>
      </c>
      <c r="AM64" s="420" t="s">
        <v>585</v>
      </c>
      <c r="AN64" s="420" t="s">
        <v>585</v>
      </c>
      <c r="AO64" s="420" t="s">
        <v>585</v>
      </c>
      <c r="AP64" s="423" t="s">
        <v>585</v>
      </c>
      <c r="AQ64" s="419" t="s">
        <v>585</v>
      </c>
      <c r="AR64" s="420">
        <v>98</v>
      </c>
      <c r="AS64" s="420" t="s">
        <v>585</v>
      </c>
      <c r="AT64" s="420" t="s">
        <v>585</v>
      </c>
      <c r="AU64" s="420" t="s">
        <v>585</v>
      </c>
      <c r="AV64" s="420" t="s">
        <v>585</v>
      </c>
      <c r="AW64" s="420" t="s">
        <v>585</v>
      </c>
      <c r="AX64" s="420" t="s">
        <v>585</v>
      </c>
      <c r="AY64" s="421">
        <v>98</v>
      </c>
      <c r="AZ64" s="422" t="s">
        <v>585</v>
      </c>
      <c r="BA64" s="420" t="s">
        <v>585</v>
      </c>
      <c r="BB64" s="420" t="s">
        <v>585</v>
      </c>
      <c r="BC64" s="420" t="s">
        <v>585</v>
      </c>
      <c r="BD64" s="420" t="s">
        <v>585</v>
      </c>
      <c r="BE64" s="420" t="s">
        <v>585</v>
      </c>
      <c r="BF64" s="423" t="s">
        <v>585</v>
      </c>
      <c r="BG64" s="424" t="s">
        <v>585</v>
      </c>
      <c r="BH64" s="424" t="s">
        <v>585</v>
      </c>
      <c r="BI64" s="424" t="s">
        <v>585</v>
      </c>
      <c r="BJ64" s="422" t="s">
        <v>585</v>
      </c>
      <c r="BK64" s="420" t="s">
        <v>585</v>
      </c>
      <c r="BL64" s="420" t="s">
        <v>585</v>
      </c>
      <c r="BM64" s="420" t="s">
        <v>585</v>
      </c>
      <c r="BN64" s="420" t="s">
        <v>585</v>
      </c>
      <c r="BO64" s="420" t="s">
        <v>585</v>
      </c>
      <c r="BP64" s="420" t="s">
        <v>585</v>
      </c>
      <c r="BQ64" s="423" t="s">
        <v>585</v>
      </c>
      <c r="BR64" s="419">
        <v>58</v>
      </c>
      <c r="BS64" s="420" t="s">
        <v>585</v>
      </c>
      <c r="BT64" s="420" t="s">
        <v>585</v>
      </c>
      <c r="BU64" s="420">
        <v>31</v>
      </c>
      <c r="BV64" s="420" t="s">
        <v>585</v>
      </c>
      <c r="BW64" s="420" t="s">
        <v>585</v>
      </c>
      <c r="BX64" s="420">
        <v>40</v>
      </c>
      <c r="BY64" s="420" t="s">
        <v>585</v>
      </c>
      <c r="BZ64" s="420" t="s">
        <v>585</v>
      </c>
      <c r="CA64" s="420" t="s">
        <v>585</v>
      </c>
      <c r="CB64" s="420" t="s">
        <v>585</v>
      </c>
      <c r="CC64" s="421">
        <v>129</v>
      </c>
      <c r="CD64" s="422" t="s">
        <v>585</v>
      </c>
      <c r="CE64" s="420" t="s">
        <v>585</v>
      </c>
      <c r="CF64" s="423" t="s">
        <v>585</v>
      </c>
      <c r="CG64" s="424" t="s">
        <v>585</v>
      </c>
      <c r="CH64" s="424" t="s">
        <v>585</v>
      </c>
      <c r="CI64" s="422" t="s">
        <v>585</v>
      </c>
      <c r="CJ64" s="420" t="s">
        <v>585</v>
      </c>
      <c r="CK64" s="420" t="s">
        <v>585</v>
      </c>
      <c r="CL64" s="423" t="s">
        <v>585</v>
      </c>
      <c r="CM64" s="424" t="s">
        <v>585</v>
      </c>
      <c r="CN64" s="422" t="s">
        <v>585</v>
      </c>
      <c r="CO64" s="420" t="s">
        <v>585</v>
      </c>
      <c r="CP64" s="423" t="s">
        <v>585</v>
      </c>
      <c r="CQ64" s="424" t="s">
        <v>585</v>
      </c>
      <c r="CR64" s="424" t="s">
        <v>585</v>
      </c>
      <c r="CS64" s="422" t="s">
        <v>585</v>
      </c>
      <c r="CT64" s="420" t="s">
        <v>585</v>
      </c>
      <c r="CU64" s="420" t="s">
        <v>585</v>
      </c>
      <c r="CV64" s="423" t="s">
        <v>585</v>
      </c>
      <c r="CW64" s="426">
        <v>322</v>
      </c>
      <c r="CX64" s="427">
        <f>322/538718</f>
        <v>5.9771531673343014E-4</v>
      </c>
      <c r="CY64" s="276"/>
      <c r="CZ64" s="276"/>
      <c r="DA64" s="276"/>
    </row>
    <row r="65" spans="1:105" x14ac:dyDescent="0.2">
      <c r="A65" s="208"/>
      <c r="B65" s="410" t="s">
        <v>154</v>
      </c>
      <c r="C65" s="419" t="s">
        <v>585</v>
      </c>
      <c r="D65" s="420" t="s">
        <v>585</v>
      </c>
      <c r="E65" s="420" t="s">
        <v>585</v>
      </c>
      <c r="F65" s="421" t="s">
        <v>585</v>
      </c>
      <c r="G65" s="422">
        <v>3</v>
      </c>
      <c r="H65" s="420" t="s">
        <v>585</v>
      </c>
      <c r="I65" s="420" t="s">
        <v>585</v>
      </c>
      <c r="J65" s="420" t="s">
        <v>585</v>
      </c>
      <c r="K65" s="420" t="s">
        <v>585</v>
      </c>
      <c r="L65" s="423">
        <v>3</v>
      </c>
      <c r="M65" s="424" t="s">
        <v>585</v>
      </c>
      <c r="N65" s="422">
        <v>100</v>
      </c>
      <c r="O65" s="420" t="s">
        <v>585</v>
      </c>
      <c r="P65" s="420" t="s">
        <v>585</v>
      </c>
      <c r="Q65" s="423">
        <v>100</v>
      </c>
      <c r="R65" s="419" t="s">
        <v>585</v>
      </c>
      <c r="S65" s="420" t="s">
        <v>585</v>
      </c>
      <c r="T65" s="420" t="s">
        <v>585</v>
      </c>
      <c r="U65" s="421" t="s">
        <v>585</v>
      </c>
      <c r="V65" s="425" t="s">
        <v>585</v>
      </c>
      <c r="W65" s="424">
        <v>1</v>
      </c>
      <c r="X65" s="422">
        <v>1</v>
      </c>
      <c r="Y65" s="420" t="s">
        <v>585</v>
      </c>
      <c r="Z65" s="420" t="s">
        <v>585</v>
      </c>
      <c r="AA65" s="420" t="s">
        <v>585</v>
      </c>
      <c r="AB65" s="420" t="s">
        <v>585</v>
      </c>
      <c r="AC65" s="420" t="s">
        <v>585</v>
      </c>
      <c r="AD65" s="423">
        <v>1</v>
      </c>
      <c r="AE65" s="424" t="s">
        <v>585</v>
      </c>
      <c r="AF65" s="422">
        <v>1</v>
      </c>
      <c r="AG65" s="420" t="s">
        <v>585</v>
      </c>
      <c r="AH65" s="420" t="s">
        <v>585</v>
      </c>
      <c r="AI65" s="420" t="s">
        <v>585</v>
      </c>
      <c r="AJ65" s="420" t="s">
        <v>585</v>
      </c>
      <c r="AK65" s="420" t="s">
        <v>585</v>
      </c>
      <c r="AL65" s="420" t="s">
        <v>585</v>
      </c>
      <c r="AM65" s="420" t="s">
        <v>585</v>
      </c>
      <c r="AN65" s="420" t="s">
        <v>585</v>
      </c>
      <c r="AO65" s="420" t="s">
        <v>585</v>
      </c>
      <c r="AP65" s="423">
        <v>1</v>
      </c>
      <c r="AQ65" s="419" t="s">
        <v>585</v>
      </c>
      <c r="AR65" s="420">
        <v>128</v>
      </c>
      <c r="AS65" s="420" t="s">
        <v>585</v>
      </c>
      <c r="AT65" s="420" t="s">
        <v>585</v>
      </c>
      <c r="AU65" s="420" t="s">
        <v>585</v>
      </c>
      <c r="AV65" s="420" t="s">
        <v>585</v>
      </c>
      <c r="AW65" s="420" t="s">
        <v>585</v>
      </c>
      <c r="AX65" s="420" t="s">
        <v>585</v>
      </c>
      <c r="AY65" s="421">
        <v>128</v>
      </c>
      <c r="AZ65" s="422" t="s">
        <v>585</v>
      </c>
      <c r="BA65" s="420" t="s">
        <v>585</v>
      </c>
      <c r="BB65" s="420" t="s">
        <v>585</v>
      </c>
      <c r="BC65" s="420" t="s">
        <v>585</v>
      </c>
      <c r="BD65" s="420" t="s">
        <v>585</v>
      </c>
      <c r="BE65" s="420" t="s">
        <v>585</v>
      </c>
      <c r="BF65" s="423" t="s">
        <v>585</v>
      </c>
      <c r="BG65" s="424" t="s">
        <v>585</v>
      </c>
      <c r="BH65" s="424">
        <v>2</v>
      </c>
      <c r="BI65" s="424" t="s">
        <v>585</v>
      </c>
      <c r="BJ65" s="422">
        <v>1</v>
      </c>
      <c r="BK65" s="420" t="s">
        <v>585</v>
      </c>
      <c r="BL65" s="420" t="s">
        <v>585</v>
      </c>
      <c r="BM65" s="420" t="s">
        <v>585</v>
      </c>
      <c r="BN65" s="420" t="s">
        <v>585</v>
      </c>
      <c r="BO65" s="420" t="s">
        <v>585</v>
      </c>
      <c r="BP65" s="420" t="s">
        <v>585</v>
      </c>
      <c r="BQ65" s="423">
        <v>1</v>
      </c>
      <c r="BR65" s="419">
        <v>173</v>
      </c>
      <c r="BS65" s="420" t="s">
        <v>585</v>
      </c>
      <c r="BT65" s="420">
        <v>22</v>
      </c>
      <c r="BU65" s="420">
        <v>719</v>
      </c>
      <c r="BV65" s="420" t="s">
        <v>585</v>
      </c>
      <c r="BW65" s="420" t="s">
        <v>585</v>
      </c>
      <c r="BX65" s="420">
        <v>58</v>
      </c>
      <c r="BY65" s="420" t="s">
        <v>585</v>
      </c>
      <c r="BZ65" s="420" t="s">
        <v>585</v>
      </c>
      <c r="CA65" s="420" t="s">
        <v>585</v>
      </c>
      <c r="CB65" s="420" t="s">
        <v>585</v>
      </c>
      <c r="CC65" s="421">
        <v>972</v>
      </c>
      <c r="CD65" s="422" t="s">
        <v>585</v>
      </c>
      <c r="CE65" s="420" t="s">
        <v>585</v>
      </c>
      <c r="CF65" s="423" t="s">
        <v>585</v>
      </c>
      <c r="CG65" s="424" t="s">
        <v>585</v>
      </c>
      <c r="CH65" s="424" t="s">
        <v>585</v>
      </c>
      <c r="CI65" s="422">
        <v>1</v>
      </c>
      <c r="CJ65" s="420" t="s">
        <v>585</v>
      </c>
      <c r="CK65" s="420" t="s">
        <v>585</v>
      </c>
      <c r="CL65" s="423">
        <v>1</v>
      </c>
      <c r="CM65" s="424" t="s">
        <v>585</v>
      </c>
      <c r="CN65" s="422" t="s">
        <v>585</v>
      </c>
      <c r="CO65" s="420" t="s">
        <v>585</v>
      </c>
      <c r="CP65" s="423" t="s">
        <v>585</v>
      </c>
      <c r="CQ65" s="424" t="s">
        <v>585</v>
      </c>
      <c r="CR65" s="424" t="s">
        <v>585</v>
      </c>
      <c r="CS65" s="422" t="s">
        <v>585</v>
      </c>
      <c r="CT65" s="420" t="s">
        <v>585</v>
      </c>
      <c r="CU65" s="420" t="s">
        <v>585</v>
      </c>
      <c r="CV65" s="423" t="s">
        <v>585</v>
      </c>
      <c r="CW65" s="426">
        <v>1210</v>
      </c>
      <c r="CX65" s="427">
        <f>1210/538718</f>
        <v>2.2460730846194112E-3</v>
      </c>
      <c r="CY65" s="276"/>
      <c r="CZ65" s="276"/>
      <c r="DA65" s="276"/>
    </row>
    <row r="66" spans="1:105" x14ac:dyDescent="0.2">
      <c r="A66" s="208"/>
      <c r="B66" s="410" t="s">
        <v>187</v>
      </c>
      <c r="C66" s="419" t="s">
        <v>585</v>
      </c>
      <c r="D66" s="420" t="s">
        <v>585</v>
      </c>
      <c r="E66" s="420" t="s">
        <v>585</v>
      </c>
      <c r="F66" s="421" t="s">
        <v>585</v>
      </c>
      <c r="G66" s="422">
        <v>1</v>
      </c>
      <c r="H66" s="420">
        <v>7</v>
      </c>
      <c r="I66" s="420">
        <v>3</v>
      </c>
      <c r="J66" s="420" t="s">
        <v>585</v>
      </c>
      <c r="K66" s="420" t="s">
        <v>585</v>
      </c>
      <c r="L66" s="423">
        <v>11</v>
      </c>
      <c r="M66" s="424" t="s">
        <v>585</v>
      </c>
      <c r="N66" s="422">
        <v>215</v>
      </c>
      <c r="O66" s="420" t="s">
        <v>585</v>
      </c>
      <c r="P66" s="420" t="s">
        <v>585</v>
      </c>
      <c r="Q66" s="423">
        <v>215</v>
      </c>
      <c r="R66" s="419" t="s">
        <v>585</v>
      </c>
      <c r="S66" s="420" t="s">
        <v>585</v>
      </c>
      <c r="T66" s="420" t="s">
        <v>585</v>
      </c>
      <c r="U66" s="421" t="s">
        <v>585</v>
      </c>
      <c r="V66" s="425" t="s">
        <v>585</v>
      </c>
      <c r="W66" s="424" t="s">
        <v>585</v>
      </c>
      <c r="X66" s="422">
        <v>2</v>
      </c>
      <c r="Y66" s="420" t="s">
        <v>585</v>
      </c>
      <c r="Z66" s="420">
        <v>8</v>
      </c>
      <c r="AA66" s="420" t="s">
        <v>585</v>
      </c>
      <c r="AB66" s="420" t="s">
        <v>585</v>
      </c>
      <c r="AC66" s="420" t="s">
        <v>585</v>
      </c>
      <c r="AD66" s="423">
        <v>10</v>
      </c>
      <c r="AE66" s="424" t="s">
        <v>585</v>
      </c>
      <c r="AF66" s="422" t="s">
        <v>585</v>
      </c>
      <c r="AG66" s="420" t="s">
        <v>585</v>
      </c>
      <c r="AH66" s="420" t="s">
        <v>585</v>
      </c>
      <c r="AI66" s="420" t="s">
        <v>585</v>
      </c>
      <c r="AJ66" s="420" t="s">
        <v>585</v>
      </c>
      <c r="AK66" s="420" t="s">
        <v>585</v>
      </c>
      <c r="AL66" s="420" t="s">
        <v>585</v>
      </c>
      <c r="AM66" s="420" t="s">
        <v>585</v>
      </c>
      <c r="AN66" s="420" t="s">
        <v>585</v>
      </c>
      <c r="AO66" s="420" t="s">
        <v>585</v>
      </c>
      <c r="AP66" s="423" t="s">
        <v>585</v>
      </c>
      <c r="AQ66" s="419" t="s">
        <v>585</v>
      </c>
      <c r="AR66" s="420">
        <v>80</v>
      </c>
      <c r="AS66" s="420" t="s">
        <v>585</v>
      </c>
      <c r="AT66" s="420" t="s">
        <v>585</v>
      </c>
      <c r="AU66" s="420" t="s">
        <v>585</v>
      </c>
      <c r="AV66" s="420" t="s">
        <v>585</v>
      </c>
      <c r="AW66" s="420" t="s">
        <v>585</v>
      </c>
      <c r="AX66" s="420" t="s">
        <v>585</v>
      </c>
      <c r="AY66" s="421">
        <v>80</v>
      </c>
      <c r="AZ66" s="422" t="s">
        <v>585</v>
      </c>
      <c r="BA66" s="420" t="s">
        <v>585</v>
      </c>
      <c r="BB66" s="420" t="s">
        <v>585</v>
      </c>
      <c r="BC66" s="420" t="s">
        <v>585</v>
      </c>
      <c r="BD66" s="420" t="s">
        <v>585</v>
      </c>
      <c r="BE66" s="420" t="s">
        <v>585</v>
      </c>
      <c r="BF66" s="423" t="s">
        <v>585</v>
      </c>
      <c r="BG66" s="424" t="s">
        <v>585</v>
      </c>
      <c r="BH66" s="424">
        <v>3</v>
      </c>
      <c r="BI66" s="424" t="s">
        <v>585</v>
      </c>
      <c r="BJ66" s="422" t="s">
        <v>585</v>
      </c>
      <c r="BK66" s="420" t="s">
        <v>585</v>
      </c>
      <c r="BL66" s="420">
        <v>2</v>
      </c>
      <c r="BM66" s="420" t="s">
        <v>585</v>
      </c>
      <c r="BN66" s="420" t="s">
        <v>585</v>
      </c>
      <c r="BO66" s="420" t="s">
        <v>585</v>
      </c>
      <c r="BP66" s="420" t="s">
        <v>585</v>
      </c>
      <c r="BQ66" s="423">
        <v>2</v>
      </c>
      <c r="BR66" s="419">
        <v>366</v>
      </c>
      <c r="BS66" s="420" t="s">
        <v>585</v>
      </c>
      <c r="BT66" s="420">
        <v>1</v>
      </c>
      <c r="BU66" s="420">
        <v>631</v>
      </c>
      <c r="BV66" s="420">
        <v>10</v>
      </c>
      <c r="BW66" s="420" t="s">
        <v>585</v>
      </c>
      <c r="BX66" s="420">
        <v>96</v>
      </c>
      <c r="BY66" s="420" t="s">
        <v>585</v>
      </c>
      <c r="BZ66" s="420" t="s">
        <v>585</v>
      </c>
      <c r="CA66" s="420" t="s">
        <v>585</v>
      </c>
      <c r="CB66" s="420" t="s">
        <v>585</v>
      </c>
      <c r="CC66" s="421">
        <v>1104</v>
      </c>
      <c r="CD66" s="422" t="s">
        <v>585</v>
      </c>
      <c r="CE66" s="420" t="s">
        <v>585</v>
      </c>
      <c r="CF66" s="423" t="s">
        <v>585</v>
      </c>
      <c r="CG66" s="424" t="s">
        <v>585</v>
      </c>
      <c r="CH66" s="424" t="s">
        <v>585</v>
      </c>
      <c r="CI66" s="422">
        <v>1</v>
      </c>
      <c r="CJ66" s="420" t="s">
        <v>585</v>
      </c>
      <c r="CK66" s="420" t="s">
        <v>585</v>
      </c>
      <c r="CL66" s="423">
        <v>1</v>
      </c>
      <c r="CM66" s="424" t="s">
        <v>585</v>
      </c>
      <c r="CN66" s="422">
        <v>2</v>
      </c>
      <c r="CO66" s="420" t="s">
        <v>585</v>
      </c>
      <c r="CP66" s="423">
        <v>2</v>
      </c>
      <c r="CQ66" s="424">
        <v>3</v>
      </c>
      <c r="CR66" s="424">
        <v>18</v>
      </c>
      <c r="CS66" s="422" t="s">
        <v>585</v>
      </c>
      <c r="CT66" s="420">
        <v>1</v>
      </c>
      <c r="CU66" s="420">
        <v>1</v>
      </c>
      <c r="CV66" s="423">
        <v>2</v>
      </c>
      <c r="CW66" s="426">
        <v>1451</v>
      </c>
      <c r="CX66" s="427">
        <f>1451/538718</f>
        <v>2.6934314427956743E-3</v>
      </c>
      <c r="CY66" s="276"/>
      <c r="CZ66" s="276"/>
      <c r="DA66" s="276"/>
    </row>
    <row r="67" spans="1:105" x14ac:dyDescent="0.2">
      <c r="A67" s="208"/>
      <c r="B67" s="410" t="s">
        <v>197</v>
      </c>
      <c r="C67" s="419" t="s">
        <v>585</v>
      </c>
      <c r="D67" s="420">
        <v>2</v>
      </c>
      <c r="E67" s="420">
        <v>1</v>
      </c>
      <c r="F67" s="421">
        <v>3</v>
      </c>
      <c r="G67" s="422">
        <v>35</v>
      </c>
      <c r="H67" s="420">
        <v>37</v>
      </c>
      <c r="I67" s="420">
        <v>3</v>
      </c>
      <c r="J67" s="420" t="s">
        <v>585</v>
      </c>
      <c r="K67" s="420" t="s">
        <v>585</v>
      </c>
      <c r="L67" s="423">
        <v>75</v>
      </c>
      <c r="M67" s="424" t="s">
        <v>585</v>
      </c>
      <c r="N67" s="422">
        <v>268</v>
      </c>
      <c r="O67" s="420" t="s">
        <v>585</v>
      </c>
      <c r="P67" s="420" t="s">
        <v>585</v>
      </c>
      <c r="Q67" s="423">
        <v>268</v>
      </c>
      <c r="R67" s="419" t="s">
        <v>585</v>
      </c>
      <c r="S67" s="420" t="s">
        <v>585</v>
      </c>
      <c r="T67" s="420" t="s">
        <v>585</v>
      </c>
      <c r="U67" s="421" t="s">
        <v>585</v>
      </c>
      <c r="V67" s="425" t="s">
        <v>585</v>
      </c>
      <c r="W67" s="424">
        <v>171</v>
      </c>
      <c r="X67" s="422">
        <v>6</v>
      </c>
      <c r="Y67" s="420" t="s">
        <v>585</v>
      </c>
      <c r="Z67" s="420">
        <v>24</v>
      </c>
      <c r="AA67" s="420" t="s">
        <v>585</v>
      </c>
      <c r="AB67" s="420" t="s">
        <v>585</v>
      </c>
      <c r="AC67" s="420" t="s">
        <v>585</v>
      </c>
      <c r="AD67" s="423">
        <v>30</v>
      </c>
      <c r="AE67" s="424">
        <v>2</v>
      </c>
      <c r="AF67" s="422">
        <v>93</v>
      </c>
      <c r="AG67" s="420" t="s">
        <v>585</v>
      </c>
      <c r="AH67" s="420" t="s">
        <v>585</v>
      </c>
      <c r="AI67" s="420" t="s">
        <v>585</v>
      </c>
      <c r="AJ67" s="420" t="s">
        <v>585</v>
      </c>
      <c r="AK67" s="420" t="s">
        <v>585</v>
      </c>
      <c r="AL67" s="420" t="s">
        <v>585</v>
      </c>
      <c r="AM67" s="420">
        <v>40</v>
      </c>
      <c r="AN67" s="420">
        <v>10</v>
      </c>
      <c r="AO67" s="420" t="s">
        <v>585</v>
      </c>
      <c r="AP67" s="423">
        <v>143</v>
      </c>
      <c r="AQ67" s="419" t="s">
        <v>585</v>
      </c>
      <c r="AR67" s="420">
        <v>186</v>
      </c>
      <c r="AS67" s="420" t="s">
        <v>585</v>
      </c>
      <c r="AT67" s="420" t="s">
        <v>585</v>
      </c>
      <c r="AU67" s="420" t="s">
        <v>585</v>
      </c>
      <c r="AV67" s="420" t="s">
        <v>585</v>
      </c>
      <c r="AW67" s="420" t="s">
        <v>585</v>
      </c>
      <c r="AX67" s="420" t="s">
        <v>585</v>
      </c>
      <c r="AY67" s="421">
        <v>186</v>
      </c>
      <c r="AZ67" s="422" t="s">
        <v>585</v>
      </c>
      <c r="BA67" s="420" t="s">
        <v>585</v>
      </c>
      <c r="BB67" s="420" t="s">
        <v>585</v>
      </c>
      <c r="BC67" s="420" t="s">
        <v>585</v>
      </c>
      <c r="BD67" s="420" t="s">
        <v>585</v>
      </c>
      <c r="BE67" s="420" t="s">
        <v>585</v>
      </c>
      <c r="BF67" s="423" t="s">
        <v>585</v>
      </c>
      <c r="BG67" s="424" t="s">
        <v>585</v>
      </c>
      <c r="BH67" s="424">
        <v>298</v>
      </c>
      <c r="BI67" s="424" t="s">
        <v>585</v>
      </c>
      <c r="BJ67" s="422">
        <v>449</v>
      </c>
      <c r="BK67" s="420" t="s">
        <v>585</v>
      </c>
      <c r="BL67" s="420" t="s">
        <v>585</v>
      </c>
      <c r="BM67" s="420">
        <v>42</v>
      </c>
      <c r="BN67" s="420" t="s">
        <v>585</v>
      </c>
      <c r="BO67" s="420" t="s">
        <v>585</v>
      </c>
      <c r="BP67" s="420" t="s">
        <v>585</v>
      </c>
      <c r="BQ67" s="423">
        <v>491</v>
      </c>
      <c r="BR67" s="419">
        <v>7755</v>
      </c>
      <c r="BS67" s="420" t="s">
        <v>585</v>
      </c>
      <c r="BT67" s="420">
        <v>30</v>
      </c>
      <c r="BU67" s="420">
        <v>1467</v>
      </c>
      <c r="BV67" s="420">
        <v>7</v>
      </c>
      <c r="BW67" s="420" t="s">
        <v>585</v>
      </c>
      <c r="BX67" s="420">
        <v>2292</v>
      </c>
      <c r="BY67" s="420" t="s">
        <v>585</v>
      </c>
      <c r="BZ67" s="420" t="s">
        <v>585</v>
      </c>
      <c r="CA67" s="420" t="s">
        <v>585</v>
      </c>
      <c r="CB67" s="420" t="s">
        <v>585</v>
      </c>
      <c r="CC67" s="421">
        <v>11551</v>
      </c>
      <c r="CD67" s="422" t="s">
        <v>585</v>
      </c>
      <c r="CE67" s="420" t="s">
        <v>585</v>
      </c>
      <c r="CF67" s="423" t="s">
        <v>585</v>
      </c>
      <c r="CG67" s="424" t="s">
        <v>585</v>
      </c>
      <c r="CH67" s="424">
        <v>16</v>
      </c>
      <c r="CI67" s="422">
        <v>19</v>
      </c>
      <c r="CJ67" s="420">
        <v>1</v>
      </c>
      <c r="CK67" s="420" t="s">
        <v>585</v>
      </c>
      <c r="CL67" s="423">
        <v>20</v>
      </c>
      <c r="CM67" s="424" t="s">
        <v>585</v>
      </c>
      <c r="CN67" s="422">
        <v>88</v>
      </c>
      <c r="CO67" s="420" t="s">
        <v>585</v>
      </c>
      <c r="CP67" s="423">
        <v>88</v>
      </c>
      <c r="CQ67" s="424">
        <v>14</v>
      </c>
      <c r="CR67" s="424">
        <v>16</v>
      </c>
      <c r="CS67" s="422">
        <v>95</v>
      </c>
      <c r="CT67" s="420">
        <v>42</v>
      </c>
      <c r="CU67" s="420">
        <v>11</v>
      </c>
      <c r="CV67" s="423">
        <v>148</v>
      </c>
      <c r="CW67" s="426">
        <v>13520</v>
      </c>
      <c r="CX67" s="427">
        <f>13520/538718</f>
        <v>2.5096618267813588E-2</v>
      </c>
      <c r="CY67" s="276"/>
      <c r="CZ67" s="276"/>
      <c r="DA67" s="276"/>
    </row>
    <row r="68" spans="1:105" x14ac:dyDescent="0.2">
      <c r="A68" s="208"/>
      <c r="B68" s="410" t="s">
        <v>198</v>
      </c>
      <c r="C68" s="419" t="s">
        <v>585</v>
      </c>
      <c r="D68" s="420" t="s">
        <v>585</v>
      </c>
      <c r="E68" s="420">
        <v>1</v>
      </c>
      <c r="F68" s="421">
        <v>1</v>
      </c>
      <c r="G68" s="422">
        <v>6</v>
      </c>
      <c r="H68" s="420">
        <v>1</v>
      </c>
      <c r="I68" s="420" t="s">
        <v>585</v>
      </c>
      <c r="J68" s="420" t="s">
        <v>585</v>
      </c>
      <c r="K68" s="420" t="s">
        <v>585</v>
      </c>
      <c r="L68" s="423">
        <v>7</v>
      </c>
      <c r="M68" s="424" t="s">
        <v>585</v>
      </c>
      <c r="N68" s="422">
        <v>1123</v>
      </c>
      <c r="O68" s="420" t="s">
        <v>585</v>
      </c>
      <c r="P68" s="420" t="s">
        <v>585</v>
      </c>
      <c r="Q68" s="423">
        <v>1123</v>
      </c>
      <c r="R68" s="419" t="s">
        <v>585</v>
      </c>
      <c r="S68" s="420" t="s">
        <v>585</v>
      </c>
      <c r="T68" s="420" t="s">
        <v>585</v>
      </c>
      <c r="U68" s="421" t="s">
        <v>585</v>
      </c>
      <c r="V68" s="425" t="s">
        <v>585</v>
      </c>
      <c r="W68" s="424" t="s">
        <v>585</v>
      </c>
      <c r="X68" s="422">
        <v>40</v>
      </c>
      <c r="Y68" s="420" t="s">
        <v>585</v>
      </c>
      <c r="Z68" s="420" t="s">
        <v>585</v>
      </c>
      <c r="AA68" s="420" t="s">
        <v>585</v>
      </c>
      <c r="AB68" s="420" t="s">
        <v>585</v>
      </c>
      <c r="AC68" s="420" t="s">
        <v>585</v>
      </c>
      <c r="AD68" s="423">
        <v>40</v>
      </c>
      <c r="AE68" s="424" t="s">
        <v>585</v>
      </c>
      <c r="AF68" s="422" t="s">
        <v>585</v>
      </c>
      <c r="AG68" s="420" t="s">
        <v>585</v>
      </c>
      <c r="AH68" s="420" t="s">
        <v>585</v>
      </c>
      <c r="AI68" s="420" t="s">
        <v>585</v>
      </c>
      <c r="AJ68" s="420" t="s">
        <v>585</v>
      </c>
      <c r="AK68" s="420" t="s">
        <v>585</v>
      </c>
      <c r="AL68" s="420" t="s">
        <v>585</v>
      </c>
      <c r="AM68" s="420" t="s">
        <v>585</v>
      </c>
      <c r="AN68" s="420" t="s">
        <v>585</v>
      </c>
      <c r="AO68" s="420" t="s">
        <v>585</v>
      </c>
      <c r="AP68" s="423" t="s">
        <v>585</v>
      </c>
      <c r="AQ68" s="419" t="s">
        <v>585</v>
      </c>
      <c r="AR68" s="420">
        <v>57</v>
      </c>
      <c r="AS68" s="420" t="s">
        <v>585</v>
      </c>
      <c r="AT68" s="420" t="s">
        <v>585</v>
      </c>
      <c r="AU68" s="420" t="s">
        <v>585</v>
      </c>
      <c r="AV68" s="420" t="s">
        <v>585</v>
      </c>
      <c r="AW68" s="420" t="s">
        <v>585</v>
      </c>
      <c r="AX68" s="420" t="s">
        <v>585</v>
      </c>
      <c r="AY68" s="421">
        <v>57</v>
      </c>
      <c r="AZ68" s="422" t="s">
        <v>585</v>
      </c>
      <c r="BA68" s="420" t="s">
        <v>585</v>
      </c>
      <c r="BB68" s="420" t="s">
        <v>585</v>
      </c>
      <c r="BC68" s="420" t="s">
        <v>585</v>
      </c>
      <c r="BD68" s="420" t="s">
        <v>585</v>
      </c>
      <c r="BE68" s="420" t="s">
        <v>585</v>
      </c>
      <c r="BF68" s="423" t="s">
        <v>585</v>
      </c>
      <c r="BG68" s="424" t="s">
        <v>585</v>
      </c>
      <c r="BH68" s="424">
        <v>4</v>
      </c>
      <c r="BI68" s="424" t="s">
        <v>585</v>
      </c>
      <c r="BJ68" s="422">
        <v>1</v>
      </c>
      <c r="BK68" s="420" t="s">
        <v>585</v>
      </c>
      <c r="BL68" s="420">
        <v>3</v>
      </c>
      <c r="BM68" s="420">
        <v>1</v>
      </c>
      <c r="BN68" s="420" t="s">
        <v>585</v>
      </c>
      <c r="BO68" s="420" t="s">
        <v>585</v>
      </c>
      <c r="BP68" s="420" t="s">
        <v>585</v>
      </c>
      <c r="BQ68" s="423">
        <v>5</v>
      </c>
      <c r="BR68" s="419">
        <v>143</v>
      </c>
      <c r="BS68" s="420" t="s">
        <v>585</v>
      </c>
      <c r="BT68" s="420" t="s">
        <v>585</v>
      </c>
      <c r="BU68" s="420">
        <v>1394</v>
      </c>
      <c r="BV68" s="420">
        <v>2</v>
      </c>
      <c r="BW68" s="420" t="s">
        <v>585</v>
      </c>
      <c r="BX68" s="420">
        <v>56</v>
      </c>
      <c r="BY68" s="420" t="s">
        <v>585</v>
      </c>
      <c r="BZ68" s="420" t="s">
        <v>585</v>
      </c>
      <c r="CA68" s="420" t="s">
        <v>585</v>
      </c>
      <c r="CB68" s="420" t="s">
        <v>585</v>
      </c>
      <c r="CC68" s="421">
        <v>1595</v>
      </c>
      <c r="CD68" s="422" t="s">
        <v>585</v>
      </c>
      <c r="CE68" s="420" t="s">
        <v>585</v>
      </c>
      <c r="CF68" s="423" t="s">
        <v>585</v>
      </c>
      <c r="CG68" s="424" t="s">
        <v>585</v>
      </c>
      <c r="CH68" s="424" t="s">
        <v>585</v>
      </c>
      <c r="CI68" s="422" t="s">
        <v>585</v>
      </c>
      <c r="CJ68" s="420" t="s">
        <v>585</v>
      </c>
      <c r="CK68" s="420" t="s">
        <v>585</v>
      </c>
      <c r="CL68" s="423" t="s">
        <v>585</v>
      </c>
      <c r="CM68" s="424" t="s">
        <v>585</v>
      </c>
      <c r="CN68" s="422" t="s">
        <v>585</v>
      </c>
      <c r="CO68" s="420" t="s">
        <v>585</v>
      </c>
      <c r="CP68" s="423" t="s">
        <v>585</v>
      </c>
      <c r="CQ68" s="424" t="s">
        <v>585</v>
      </c>
      <c r="CR68" s="424" t="s">
        <v>585</v>
      </c>
      <c r="CS68" s="422" t="s">
        <v>585</v>
      </c>
      <c r="CT68" s="420" t="s">
        <v>585</v>
      </c>
      <c r="CU68" s="420" t="s">
        <v>585</v>
      </c>
      <c r="CV68" s="423" t="s">
        <v>585</v>
      </c>
      <c r="CW68" s="426">
        <v>2832</v>
      </c>
      <c r="CX68" s="427">
        <f>2832/538718</f>
        <v>5.2569247732579937E-3</v>
      </c>
      <c r="CY68" s="276"/>
      <c r="CZ68" s="276"/>
      <c r="DA68" s="276"/>
    </row>
    <row r="69" spans="1:105" x14ac:dyDescent="0.2">
      <c r="A69" s="208"/>
      <c r="B69" s="410" t="s">
        <v>217</v>
      </c>
      <c r="C69" s="419" t="s">
        <v>585</v>
      </c>
      <c r="D69" s="420" t="s">
        <v>585</v>
      </c>
      <c r="E69" s="420" t="s">
        <v>585</v>
      </c>
      <c r="F69" s="421" t="s">
        <v>585</v>
      </c>
      <c r="G69" s="422">
        <v>2</v>
      </c>
      <c r="H69" s="420" t="s">
        <v>585</v>
      </c>
      <c r="I69" s="420">
        <v>1</v>
      </c>
      <c r="J69" s="420" t="s">
        <v>585</v>
      </c>
      <c r="K69" s="420" t="s">
        <v>585</v>
      </c>
      <c r="L69" s="423">
        <v>3</v>
      </c>
      <c r="M69" s="424" t="s">
        <v>585</v>
      </c>
      <c r="N69" s="422">
        <v>19</v>
      </c>
      <c r="O69" s="420" t="s">
        <v>585</v>
      </c>
      <c r="P69" s="420" t="s">
        <v>585</v>
      </c>
      <c r="Q69" s="423">
        <v>19</v>
      </c>
      <c r="R69" s="419" t="s">
        <v>585</v>
      </c>
      <c r="S69" s="420" t="s">
        <v>585</v>
      </c>
      <c r="T69" s="420" t="s">
        <v>585</v>
      </c>
      <c r="U69" s="421" t="s">
        <v>585</v>
      </c>
      <c r="V69" s="425" t="s">
        <v>585</v>
      </c>
      <c r="W69" s="424" t="s">
        <v>585</v>
      </c>
      <c r="X69" s="422" t="s">
        <v>585</v>
      </c>
      <c r="Y69" s="420" t="s">
        <v>585</v>
      </c>
      <c r="Z69" s="420" t="s">
        <v>585</v>
      </c>
      <c r="AA69" s="420" t="s">
        <v>585</v>
      </c>
      <c r="AB69" s="420" t="s">
        <v>585</v>
      </c>
      <c r="AC69" s="420" t="s">
        <v>585</v>
      </c>
      <c r="AD69" s="423" t="s">
        <v>585</v>
      </c>
      <c r="AE69" s="424" t="s">
        <v>585</v>
      </c>
      <c r="AF69" s="422">
        <v>3</v>
      </c>
      <c r="AG69" s="420" t="s">
        <v>585</v>
      </c>
      <c r="AH69" s="420" t="s">
        <v>585</v>
      </c>
      <c r="AI69" s="420" t="s">
        <v>585</v>
      </c>
      <c r="AJ69" s="420" t="s">
        <v>585</v>
      </c>
      <c r="AK69" s="420" t="s">
        <v>585</v>
      </c>
      <c r="AL69" s="420" t="s">
        <v>585</v>
      </c>
      <c r="AM69" s="420">
        <v>1</v>
      </c>
      <c r="AN69" s="420" t="s">
        <v>585</v>
      </c>
      <c r="AO69" s="420" t="s">
        <v>585</v>
      </c>
      <c r="AP69" s="423">
        <v>4</v>
      </c>
      <c r="AQ69" s="419" t="s">
        <v>585</v>
      </c>
      <c r="AR69" s="420">
        <v>15</v>
      </c>
      <c r="AS69" s="420" t="s">
        <v>585</v>
      </c>
      <c r="AT69" s="420" t="s">
        <v>585</v>
      </c>
      <c r="AU69" s="420" t="s">
        <v>585</v>
      </c>
      <c r="AV69" s="420" t="s">
        <v>585</v>
      </c>
      <c r="AW69" s="420" t="s">
        <v>585</v>
      </c>
      <c r="AX69" s="420" t="s">
        <v>585</v>
      </c>
      <c r="AY69" s="421">
        <v>15</v>
      </c>
      <c r="AZ69" s="422" t="s">
        <v>585</v>
      </c>
      <c r="BA69" s="420" t="s">
        <v>585</v>
      </c>
      <c r="BB69" s="420" t="s">
        <v>585</v>
      </c>
      <c r="BC69" s="420" t="s">
        <v>585</v>
      </c>
      <c r="BD69" s="420" t="s">
        <v>585</v>
      </c>
      <c r="BE69" s="420" t="s">
        <v>585</v>
      </c>
      <c r="BF69" s="423" t="s">
        <v>585</v>
      </c>
      <c r="BG69" s="424" t="s">
        <v>585</v>
      </c>
      <c r="BH69" s="424">
        <v>3</v>
      </c>
      <c r="BI69" s="424" t="s">
        <v>585</v>
      </c>
      <c r="BJ69" s="422">
        <v>1</v>
      </c>
      <c r="BK69" s="420" t="s">
        <v>585</v>
      </c>
      <c r="BL69" s="420" t="s">
        <v>585</v>
      </c>
      <c r="BM69" s="420" t="s">
        <v>585</v>
      </c>
      <c r="BN69" s="420" t="s">
        <v>585</v>
      </c>
      <c r="BO69" s="420" t="s">
        <v>585</v>
      </c>
      <c r="BP69" s="420" t="s">
        <v>585</v>
      </c>
      <c r="BQ69" s="423">
        <v>1</v>
      </c>
      <c r="BR69" s="419">
        <v>143</v>
      </c>
      <c r="BS69" s="420" t="s">
        <v>585</v>
      </c>
      <c r="BT69" s="420">
        <v>51</v>
      </c>
      <c r="BU69" s="420">
        <v>144</v>
      </c>
      <c r="BV69" s="420" t="s">
        <v>585</v>
      </c>
      <c r="BW69" s="420" t="s">
        <v>585</v>
      </c>
      <c r="BX69" s="420">
        <v>30</v>
      </c>
      <c r="BY69" s="420" t="s">
        <v>585</v>
      </c>
      <c r="BZ69" s="420" t="s">
        <v>585</v>
      </c>
      <c r="CA69" s="420" t="s">
        <v>585</v>
      </c>
      <c r="CB69" s="420" t="s">
        <v>585</v>
      </c>
      <c r="CC69" s="421">
        <v>368</v>
      </c>
      <c r="CD69" s="422" t="s">
        <v>585</v>
      </c>
      <c r="CE69" s="420" t="s">
        <v>585</v>
      </c>
      <c r="CF69" s="423" t="s">
        <v>585</v>
      </c>
      <c r="CG69" s="424" t="s">
        <v>585</v>
      </c>
      <c r="CH69" s="424" t="s">
        <v>585</v>
      </c>
      <c r="CI69" s="422">
        <v>1</v>
      </c>
      <c r="CJ69" s="420" t="s">
        <v>585</v>
      </c>
      <c r="CK69" s="420" t="s">
        <v>585</v>
      </c>
      <c r="CL69" s="423">
        <v>1</v>
      </c>
      <c r="CM69" s="424" t="s">
        <v>585</v>
      </c>
      <c r="CN69" s="422" t="s">
        <v>585</v>
      </c>
      <c r="CO69" s="420" t="s">
        <v>585</v>
      </c>
      <c r="CP69" s="423" t="s">
        <v>585</v>
      </c>
      <c r="CQ69" s="424" t="s">
        <v>585</v>
      </c>
      <c r="CR69" s="424">
        <v>3</v>
      </c>
      <c r="CS69" s="422" t="s">
        <v>585</v>
      </c>
      <c r="CT69" s="420" t="s">
        <v>585</v>
      </c>
      <c r="CU69" s="420" t="s">
        <v>585</v>
      </c>
      <c r="CV69" s="423" t="s">
        <v>585</v>
      </c>
      <c r="CW69" s="426">
        <v>417</v>
      </c>
      <c r="CX69" s="427">
        <f>417/538718</f>
        <v>7.7405989775726817E-4</v>
      </c>
      <c r="CY69" s="276"/>
      <c r="CZ69" s="276"/>
      <c r="DA69" s="276"/>
    </row>
    <row r="70" spans="1:105" ht="13.5" thickBot="1" x14ac:dyDescent="0.25">
      <c r="A70" s="208"/>
      <c r="B70" s="411" t="s">
        <v>257</v>
      </c>
      <c r="C70" s="428">
        <v>12</v>
      </c>
      <c r="D70" s="429">
        <v>8</v>
      </c>
      <c r="E70" s="429">
        <v>45</v>
      </c>
      <c r="F70" s="430">
        <v>65</v>
      </c>
      <c r="G70" s="431">
        <v>21</v>
      </c>
      <c r="H70" s="429">
        <v>19</v>
      </c>
      <c r="I70" s="429">
        <v>1302</v>
      </c>
      <c r="J70" s="429" t="s">
        <v>585</v>
      </c>
      <c r="K70" s="429" t="s">
        <v>585</v>
      </c>
      <c r="L70" s="432">
        <v>1342</v>
      </c>
      <c r="M70" s="433" t="s">
        <v>585</v>
      </c>
      <c r="N70" s="431">
        <v>11465</v>
      </c>
      <c r="O70" s="429" t="s">
        <v>585</v>
      </c>
      <c r="P70" s="429" t="s">
        <v>585</v>
      </c>
      <c r="Q70" s="432">
        <v>11465</v>
      </c>
      <c r="R70" s="428" t="s">
        <v>585</v>
      </c>
      <c r="S70" s="429" t="s">
        <v>585</v>
      </c>
      <c r="T70" s="429" t="s">
        <v>585</v>
      </c>
      <c r="U70" s="430" t="s">
        <v>585</v>
      </c>
      <c r="V70" s="434" t="s">
        <v>585</v>
      </c>
      <c r="W70" s="433">
        <v>72</v>
      </c>
      <c r="X70" s="431">
        <v>290</v>
      </c>
      <c r="Y70" s="429" t="s">
        <v>585</v>
      </c>
      <c r="Z70" s="429" t="s">
        <v>585</v>
      </c>
      <c r="AA70" s="429" t="s">
        <v>585</v>
      </c>
      <c r="AB70" s="429" t="s">
        <v>585</v>
      </c>
      <c r="AC70" s="429" t="s">
        <v>585</v>
      </c>
      <c r="AD70" s="432">
        <v>290</v>
      </c>
      <c r="AE70" s="433" t="s">
        <v>585</v>
      </c>
      <c r="AF70" s="431">
        <v>217</v>
      </c>
      <c r="AG70" s="429" t="s">
        <v>585</v>
      </c>
      <c r="AH70" s="429" t="s">
        <v>585</v>
      </c>
      <c r="AI70" s="429" t="s">
        <v>585</v>
      </c>
      <c r="AJ70" s="429">
        <v>4</v>
      </c>
      <c r="AK70" s="429" t="s">
        <v>585</v>
      </c>
      <c r="AL70" s="429" t="s">
        <v>585</v>
      </c>
      <c r="AM70" s="429">
        <v>51</v>
      </c>
      <c r="AN70" s="429">
        <v>2</v>
      </c>
      <c r="AO70" s="429" t="s">
        <v>585</v>
      </c>
      <c r="AP70" s="432">
        <v>274</v>
      </c>
      <c r="AQ70" s="428" t="s">
        <v>585</v>
      </c>
      <c r="AR70" s="429">
        <v>289</v>
      </c>
      <c r="AS70" s="429" t="s">
        <v>585</v>
      </c>
      <c r="AT70" s="429" t="s">
        <v>585</v>
      </c>
      <c r="AU70" s="429" t="s">
        <v>585</v>
      </c>
      <c r="AV70" s="429" t="s">
        <v>585</v>
      </c>
      <c r="AW70" s="429" t="s">
        <v>585</v>
      </c>
      <c r="AX70" s="429" t="s">
        <v>585</v>
      </c>
      <c r="AY70" s="430">
        <v>289</v>
      </c>
      <c r="AZ70" s="431" t="s">
        <v>585</v>
      </c>
      <c r="BA70" s="429" t="s">
        <v>585</v>
      </c>
      <c r="BB70" s="429" t="s">
        <v>585</v>
      </c>
      <c r="BC70" s="429" t="s">
        <v>585</v>
      </c>
      <c r="BD70" s="429" t="s">
        <v>585</v>
      </c>
      <c r="BE70" s="429" t="s">
        <v>585</v>
      </c>
      <c r="BF70" s="432" t="s">
        <v>585</v>
      </c>
      <c r="BG70" s="433" t="s">
        <v>585</v>
      </c>
      <c r="BH70" s="433">
        <v>212</v>
      </c>
      <c r="BI70" s="433" t="s">
        <v>585</v>
      </c>
      <c r="BJ70" s="431">
        <v>343</v>
      </c>
      <c r="BK70" s="429" t="s">
        <v>585</v>
      </c>
      <c r="BL70" s="429" t="s">
        <v>585</v>
      </c>
      <c r="BM70" s="429">
        <v>84</v>
      </c>
      <c r="BN70" s="429" t="s">
        <v>585</v>
      </c>
      <c r="BO70" s="429" t="s">
        <v>585</v>
      </c>
      <c r="BP70" s="429" t="s">
        <v>585</v>
      </c>
      <c r="BQ70" s="432">
        <v>427</v>
      </c>
      <c r="BR70" s="428">
        <v>11413</v>
      </c>
      <c r="BS70" s="429" t="s">
        <v>585</v>
      </c>
      <c r="BT70" s="429">
        <v>744</v>
      </c>
      <c r="BU70" s="429">
        <v>5850</v>
      </c>
      <c r="BV70" s="429">
        <v>891</v>
      </c>
      <c r="BW70" s="429" t="s">
        <v>585</v>
      </c>
      <c r="BX70" s="429">
        <v>1253</v>
      </c>
      <c r="BY70" s="429" t="s">
        <v>585</v>
      </c>
      <c r="BZ70" s="429" t="s">
        <v>585</v>
      </c>
      <c r="CA70" s="429" t="s">
        <v>585</v>
      </c>
      <c r="CB70" s="429" t="s">
        <v>585</v>
      </c>
      <c r="CC70" s="430">
        <v>20151</v>
      </c>
      <c r="CD70" s="431" t="s">
        <v>585</v>
      </c>
      <c r="CE70" s="429" t="s">
        <v>585</v>
      </c>
      <c r="CF70" s="432" t="s">
        <v>585</v>
      </c>
      <c r="CG70" s="433" t="s">
        <v>585</v>
      </c>
      <c r="CH70" s="433">
        <v>3</v>
      </c>
      <c r="CI70" s="431">
        <v>29</v>
      </c>
      <c r="CJ70" s="429" t="s">
        <v>585</v>
      </c>
      <c r="CK70" s="429" t="s">
        <v>585</v>
      </c>
      <c r="CL70" s="432">
        <v>29</v>
      </c>
      <c r="CM70" s="433" t="s">
        <v>585</v>
      </c>
      <c r="CN70" s="431">
        <v>40</v>
      </c>
      <c r="CO70" s="429" t="s">
        <v>585</v>
      </c>
      <c r="CP70" s="432">
        <v>40</v>
      </c>
      <c r="CQ70" s="433">
        <v>22</v>
      </c>
      <c r="CR70" s="433">
        <v>44</v>
      </c>
      <c r="CS70" s="431">
        <v>78</v>
      </c>
      <c r="CT70" s="429">
        <v>39</v>
      </c>
      <c r="CU70" s="429">
        <v>1</v>
      </c>
      <c r="CV70" s="432">
        <v>118</v>
      </c>
      <c r="CW70" s="435">
        <v>34843</v>
      </c>
      <c r="CX70" s="436">
        <f>34843/538718</f>
        <v>6.4677623543300949E-2</v>
      </c>
      <c r="CY70" s="276"/>
      <c r="CZ70" s="276"/>
      <c r="DA70" s="276"/>
    </row>
    <row r="71" spans="1:105" s="101" customFormat="1" ht="13.5" thickBot="1" x14ac:dyDescent="0.25">
      <c r="A71" s="208"/>
      <c r="B71" s="113" t="s">
        <v>694</v>
      </c>
      <c r="C71" s="437">
        <v>12</v>
      </c>
      <c r="D71" s="212">
        <v>10</v>
      </c>
      <c r="E71" s="212">
        <v>58</v>
      </c>
      <c r="F71" s="438">
        <v>80</v>
      </c>
      <c r="G71" s="439">
        <v>10928</v>
      </c>
      <c r="H71" s="212">
        <v>706</v>
      </c>
      <c r="I71" s="212">
        <v>2054</v>
      </c>
      <c r="J71" s="212" t="s">
        <v>585</v>
      </c>
      <c r="K71" s="212" t="s">
        <v>585</v>
      </c>
      <c r="L71" s="440">
        <v>13688</v>
      </c>
      <c r="M71" s="209" t="s">
        <v>585</v>
      </c>
      <c r="N71" s="439">
        <v>50324</v>
      </c>
      <c r="O71" s="212" t="s">
        <v>585</v>
      </c>
      <c r="P71" s="212">
        <v>624</v>
      </c>
      <c r="Q71" s="440">
        <v>50948</v>
      </c>
      <c r="R71" s="437" t="s">
        <v>585</v>
      </c>
      <c r="S71" s="212" t="s">
        <v>585</v>
      </c>
      <c r="T71" s="212" t="s">
        <v>585</v>
      </c>
      <c r="U71" s="438" t="s">
        <v>585</v>
      </c>
      <c r="V71" s="213">
        <v>4</v>
      </c>
      <c r="W71" s="209">
        <v>693</v>
      </c>
      <c r="X71" s="439">
        <v>1006</v>
      </c>
      <c r="Y71" s="212" t="s">
        <v>585</v>
      </c>
      <c r="Z71" s="212">
        <v>278</v>
      </c>
      <c r="AA71" s="212" t="s">
        <v>585</v>
      </c>
      <c r="AB71" s="212" t="s">
        <v>585</v>
      </c>
      <c r="AC71" s="212" t="s">
        <v>585</v>
      </c>
      <c r="AD71" s="440">
        <v>1284</v>
      </c>
      <c r="AE71" s="209">
        <v>2</v>
      </c>
      <c r="AF71" s="439">
        <v>401</v>
      </c>
      <c r="AG71" s="212" t="s">
        <v>585</v>
      </c>
      <c r="AH71" s="212" t="s">
        <v>585</v>
      </c>
      <c r="AI71" s="212" t="s">
        <v>585</v>
      </c>
      <c r="AJ71" s="212">
        <v>17</v>
      </c>
      <c r="AK71" s="212" t="s">
        <v>585</v>
      </c>
      <c r="AL71" s="212" t="s">
        <v>585</v>
      </c>
      <c r="AM71" s="212">
        <v>109</v>
      </c>
      <c r="AN71" s="212">
        <v>14</v>
      </c>
      <c r="AO71" s="212" t="s">
        <v>585</v>
      </c>
      <c r="AP71" s="440">
        <v>541</v>
      </c>
      <c r="AQ71" s="437" t="s">
        <v>585</v>
      </c>
      <c r="AR71" s="212">
        <v>4478</v>
      </c>
      <c r="AS71" s="212" t="s">
        <v>585</v>
      </c>
      <c r="AT71" s="212" t="s">
        <v>585</v>
      </c>
      <c r="AU71" s="212" t="s">
        <v>585</v>
      </c>
      <c r="AV71" s="212" t="s">
        <v>585</v>
      </c>
      <c r="AW71" s="212" t="s">
        <v>585</v>
      </c>
      <c r="AX71" s="212" t="s">
        <v>585</v>
      </c>
      <c r="AY71" s="438">
        <v>4478</v>
      </c>
      <c r="AZ71" s="439" t="s">
        <v>585</v>
      </c>
      <c r="BA71" s="212" t="s">
        <v>585</v>
      </c>
      <c r="BB71" s="212" t="s">
        <v>585</v>
      </c>
      <c r="BC71" s="212" t="s">
        <v>585</v>
      </c>
      <c r="BD71" s="212" t="s">
        <v>585</v>
      </c>
      <c r="BE71" s="212" t="s">
        <v>585</v>
      </c>
      <c r="BF71" s="440" t="s">
        <v>585</v>
      </c>
      <c r="BG71" s="209" t="s">
        <v>585</v>
      </c>
      <c r="BH71" s="209">
        <v>1008</v>
      </c>
      <c r="BI71" s="209" t="s">
        <v>585</v>
      </c>
      <c r="BJ71" s="439">
        <v>1130</v>
      </c>
      <c r="BK71" s="212" t="s">
        <v>585</v>
      </c>
      <c r="BL71" s="212">
        <v>668</v>
      </c>
      <c r="BM71" s="212">
        <v>167</v>
      </c>
      <c r="BN71" s="212">
        <v>31</v>
      </c>
      <c r="BO71" s="212" t="s">
        <v>585</v>
      </c>
      <c r="BP71" s="212" t="s">
        <v>585</v>
      </c>
      <c r="BQ71" s="440">
        <v>1996</v>
      </c>
      <c r="BR71" s="437">
        <v>80695</v>
      </c>
      <c r="BS71" s="212" t="s">
        <v>585</v>
      </c>
      <c r="BT71" s="212">
        <v>1559</v>
      </c>
      <c r="BU71" s="212">
        <v>57567</v>
      </c>
      <c r="BV71" s="212">
        <v>1319</v>
      </c>
      <c r="BW71" s="212" t="s">
        <v>585</v>
      </c>
      <c r="BX71" s="212">
        <v>26630</v>
      </c>
      <c r="BY71" s="212" t="s">
        <v>585</v>
      </c>
      <c r="BZ71" s="212" t="s">
        <v>585</v>
      </c>
      <c r="CA71" s="212" t="s">
        <v>585</v>
      </c>
      <c r="CB71" s="212" t="s">
        <v>585</v>
      </c>
      <c r="CC71" s="438">
        <v>167770</v>
      </c>
      <c r="CD71" s="439">
        <v>54</v>
      </c>
      <c r="CE71" s="212" t="s">
        <v>585</v>
      </c>
      <c r="CF71" s="440">
        <v>54</v>
      </c>
      <c r="CG71" s="209" t="s">
        <v>585</v>
      </c>
      <c r="CH71" s="209">
        <v>46</v>
      </c>
      <c r="CI71" s="439">
        <v>133</v>
      </c>
      <c r="CJ71" s="212">
        <v>3</v>
      </c>
      <c r="CK71" s="212" t="s">
        <v>585</v>
      </c>
      <c r="CL71" s="440">
        <v>136</v>
      </c>
      <c r="CM71" s="209" t="s">
        <v>585</v>
      </c>
      <c r="CN71" s="439">
        <v>205</v>
      </c>
      <c r="CO71" s="212" t="s">
        <v>585</v>
      </c>
      <c r="CP71" s="440">
        <v>205</v>
      </c>
      <c r="CQ71" s="209">
        <v>144</v>
      </c>
      <c r="CR71" s="209">
        <v>294</v>
      </c>
      <c r="CS71" s="439">
        <v>177</v>
      </c>
      <c r="CT71" s="212">
        <v>114</v>
      </c>
      <c r="CU71" s="212">
        <v>14</v>
      </c>
      <c r="CV71" s="440">
        <v>305</v>
      </c>
      <c r="CW71" s="210">
        <v>243676</v>
      </c>
      <c r="CX71" s="270">
        <f>243676/538718</f>
        <v>0.4523257065848923</v>
      </c>
      <c r="CY71" s="277"/>
      <c r="CZ71" s="277"/>
      <c r="DA71" s="277"/>
    </row>
    <row r="72" spans="1:105" x14ac:dyDescent="0.2">
      <c r="A72" s="208"/>
      <c r="B72" s="304" t="s">
        <v>29</v>
      </c>
      <c r="C72" s="414" t="s">
        <v>585</v>
      </c>
      <c r="D72" s="305">
        <v>4</v>
      </c>
      <c r="E72" s="305" t="s">
        <v>585</v>
      </c>
      <c r="F72" s="415">
        <v>4</v>
      </c>
      <c r="G72" s="416" t="s">
        <v>585</v>
      </c>
      <c r="H72" s="305">
        <v>1</v>
      </c>
      <c r="I72" s="305">
        <v>49</v>
      </c>
      <c r="J72" s="305" t="s">
        <v>585</v>
      </c>
      <c r="K72" s="305" t="s">
        <v>585</v>
      </c>
      <c r="L72" s="417">
        <v>50</v>
      </c>
      <c r="M72" s="307" t="s">
        <v>585</v>
      </c>
      <c r="N72" s="416">
        <v>447</v>
      </c>
      <c r="O72" s="305" t="s">
        <v>585</v>
      </c>
      <c r="P72" s="305" t="s">
        <v>585</v>
      </c>
      <c r="Q72" s="417">
        <v>447</v>
      </c>
      <c r="R72" s="414" t="s">
        <v>585</v>
      </c>
      <c r="S72" s="305" t="s">
        <v>585</v>
      </c>
      <c r="T72" s="305" t="s">
        <v>585</v>
      </c>
      <c r="U72" s="415" t="s">
        <v>585</v>
      </c>
      <c r="V72" s="306" t="s">
        <v>585</v>
      </c>
      <c r="W72" s="307" t="s">
        <v>585</v>
      </c>
      <c r="X72" s="416" t="s">
        <v>585</v>
      </c>
      <c r="Y72" s="305" t="s">
        <v>585</v>
      </c>
      <c r="Z72" s="305" t="s">
        <v>585</v>
      </c>
      <c r="AA72" s="305" t="s">
        <v>585</v>
      </c>
      <c r="AB72" s="305" t="s">
        <v>585</v>
      </c>
      <c r="AC72" s="305" t="s">
        <v>585</v>
      </c>
      <c r="AD72" s="417" t="s">
        <v>585</v>
      </c>
      <c r="AE72" s="307" t="s">
        <v>585</v>
      </c>
      <c r="AF72" s="416">
        <v>92</v>
      </c>
      <c r="AG72" s="305" t="s">
        <v>585</v>
      </c>
      <c r="AH72" s="305" t="s">
        <v>585</v>
      </c>
      <c r="AI72" s="305" t="s">
        <v>585</v>
      </c>
      <c r="AJ72" s="305" t="s">
        <v>585</v>
      </c>
      <c r="AK72" s="305" t="s">
        <v>585</v>
      </c>
      <c r="AL72" s="305" t="s">
        <v>585</v>
      </c>
      <c r="AM72" s="305">
        <v>40</v>
      </c>
      <c r="AN72" s="305" t="s">
        <v>585</v>
      </c>
      <c r="AO72" s="305" t="s">
        <v>585</v>
      </c>
      <c r="AP72" s="417">
        <v>132</v>
      </c>
      <c r="AQ72" s="414" t="s">
        <v>585</v>
      </c>
      <c r="AR72" s="305">
        <v>7</v>
      </c>
      <c r="AS72" s="305" t="s">
        <v>585</v>
      </c>
      <c r="AT72" s="305" t="s">
        <v>585</v>
      </c>
      <c r="AU72" s="305" t="s">
        <v>585</v>
      </c>
      <c r="AV72" s="305" t="s">
        <v>585</v>
      </c>
      <c r="AW72" s="305" t="s">
        <v>585</v>
      </c>
      <c r="AX72" s="305" t="s">
        <v>585</v>
      </c>
      <c r="AY72" s="415">
        <v>7</v>
      </c>
      <c r="AZ72" s="416" t="s">
        <v>585</v>
      </c>
      <c r="BA72" s="305" t="s">
        <v>585</v>
      </c>
      <c r="BB72" s="305" t="s">
        <v>585</v>
      </c>
      <c r="BC72" s="305" t="s">
        <v>585</v>
      </c>
      <c r="BD72" s="305" t="s">
        <v>585</v>
      </c>
      <c r="BE72" s="305" t="s">
        <v>585</v>
      </c>
      <c r="BF72" s="417" t="s">
        <v>585</v>
      </c>
      <c r="BG72" s="307" t="s">
        <v>585</v>
      </c>
      <c r="BH72" s="307">
        <v>95</v>
      </c>
      <c r="BI72" s="307" t="s">
        <v>585</v>
      </c>
      <c r="BJ72" s="416">
        <v>406</v>
      </c>
      <c r="BK72" s="305" t="s">
        <v>585</v>
      </c>
      <c r="BL72" s="305" t="s">
        <v>585</v>
      </c>
      <c r="BM72" s="305">
        <v>7</v>
      </c>
      <c r="BN72" s="305" t="s">
        <v>585</v>
      </c>
      <c r="BO72" s="305" t="s">
        <v>585</v>
      </c>
      <c r="BP72" s="305" t="s">
        <v>585</v>
      </c>
      <c r="BQ72" s="417">
        <v>413</v>
      </c>
      <c r="BR72" s="414">
        <v>664</v>
      </c>
      <c r="BS72" s="305" t="s">
        <v>585</v>
      </c>
      <c r="BT72" s="305">
        <v>19</v>
      </c>
      <c r="BU72" s="305">
        <v>431</v>
      </c>
      <c r="BV72" s="305">
        <v>13</v>
      </c>
      <c r="BW72" s="305" t="s">
        <v>585</v>
      </c>
      <c r="BX72" s="305">
        <v>59</v>
      </c>
      <c r="BY72" s="305" t="s">
        <v>585</v>
      </c>
      <c r="BZ72" s="305" t="s">
        <v>585</v>
      </c>
      <c r="CA72" s="305" t="s">
        <v>585</v>
      </c>
      <c r="CB72" s="305" t="s">
        <v>585</v>
      </c>
      <c r="CC72" s="415">
        <v>1186</v>
      </c>
      <c r="CD72" s="416" t="s">
        <v>585</v>
      </c>
      <c r="CE72" s="305" t="s">
        <v>585</v>
      </c>
      <c r="CF72" s="417" t="s">
        <v>585</v>
      </c>
      <c r="CG72" s="307" t="s">
        <v>585</v>
      </c>
      <c r="CH72" s="307">
        <v>18</v>
      </c>
      <c r="CI72" s="416">
        <v>7</v>
      </c>
      <c r="CJ72" s="305" t="s">
        <v>585</v>
      </c>
      <c r="CK72" s="305" t="s">
        <v>585</v>
      </c>
      <c r="CL72" s="417">
        <v>7</v>
      </c>
      <c r="CM72" s="307" t="s">
        <v>585</v>
      </c>
      <c r="CN72" s="416">
        <v>16</v>
      </c>
      <c r="CO72" s="305" t="s">
        <v>585</v>
      </c>
      <c r="CP72" s="417">
        <v>16</v>
      </c>
      <c r="CQ72" s="307" t="s">
        <v>585</v>
      </c>
      <c r="CR72" s="307" t="s">
        <v>585</v>
      </c>
      <c r="CS72" s="416" t="s">
        <v>585</v>
      </c>
      <c r="CT72" s="305">
        <v>7</v>
      </c>
      <c r="CU72" s="305">
        <v>8</v>
      </c>
      <c r="CV72" s="417">
        <v>15</v>
      </c>
      <c r="CW72" s="418">
        <v>2390</v>
      </c>
      <c r="CX72" s="308">
        <f>2390/538718</f>
        <v>4.4364584068102425E-3</v>
      </c>
      <c r="CY72" s="276"/>
      <c r="CZ72" s="276"/>
      <c r="DA72" s="276"/>
    </row>
    <row r="73" spans="1:105" x14ac:dyDescent="0.2">
      <c r="A73" s="208"/>
      <c r="B73" s="410" t="s">
        <v>51</v>
      </c>
      <c r="C73" s="419" t="s">
        <v>585</v>
      </c>
      <c r="D73" s="420" t="s">
        <v>585</v>
      </c>
      <c r="E73" s="420" t="s">
        <v>585</v>
      </c>
      <c r="F73" s="421">
        <v>0</v>
      </c>
      <c r="G73" s="422">
        <v>1</v>
      </c>
      <c r="H73" s="420" t="s">
        <v>585</v>
      </c>
      <c r="I73" s="420" t="s">
        <v>585</v>
      </c>
      <c r="J73" s="420" t="s">
        <v>585</v>
      </c>
      <c r="K73" s="420" t="s">
        <v>585</v>
      </c>
      <c r="L73" s="423">
        <v>1</v>
      </c>
      <c r="M73" s="424" t="s">
        <v>585</v>
      </c>
      <c r="N73" s="422">
        <v>28</v>
      </c>
      <c r="O73" s="420" t="s">
        <v>585</v>
      </c>
      <c r="P73" s="420" t="s">
        <v>585</v>
      </c>
      <c r="Q73" s="423">
        <v>28</v>
      </c>
      <c r="R73" s="419" t="s">
        <v>585</v>
      </c>
      <c r="S73" s="420" t="s">
        <v>585</v>
      </c>
      <c r="T73" s="420" t="s">
        <v>585</v>
      </c>
      <c r="U73" s="421" t="s">
        <v>585</v>
      </c>
      <c r="V73" s="425" t="s">
        <v>585</v>
      </c>
      <c r="W73" s="424" t="s">
        <v>585</v>
      </c>
      <c r="X73" s="422">
        <v>2</v>
      </c>
      <c r="Y73" s="420" t="s">
        <v>585</v>
      </c>
      <c r="Z73" s="420" t="s">
        <v>585</v>
      </c>
      <c r="AA73" s="420" t="s">
        <v>585</v>
      </c>
      <c r="AB73" s="420" t="s">
        <v>585</v>
      </c>
      <c r="AC73" s="420" t="s">
        <v>585</v>
      </c>
      <c r="AD73" s="423">
        <v>2</v>
      </c>
      <c r="AE73" s="424" t="s">
        <v>585</v>
      </c>
      <c r="AF73" s="422" t="s">
        <v>585</v>
      </c>
      <c r="AG73" s="420" t="s">
        <v>585</v>
      </c>
      <c r="AH73" s="420" t="s">
        <v>585</v>
      </c>
      <c r="AI73" s="420" t="s">
        <v>585</v>
      </c>
      <c r="AJ73" s="420" t="s">
        <v>585</v>
      </c>
      <c r="AK73" s="420" t="s">
        <v>585</v>
      </c>
      <c r="AL73" s="420" t="s">
        <v>585</v>
      </c>
      <c r="AM73" s="420" t="s">
        <v>585</v>
      </c>
      <c r="AN73" s="420" t="s">
        <v>585</v>
      </c>
      <c r="AO73" s="420" t="s">
        <v>585</v>
      </c>
      <c r="AP73" s="423" t="s">
        <v>585</v>
      </c>
      <c r="AQ73" s="419" t="s">
        <v>585</v>
      </c>
      <c r="AR73" s="420">
        <v>2</v>
      </c>
      <c r="AS73" s="420" t="s">
        <v>585</v>
      </c>
      <c r="AT73" s="420" t="s">
        <v>585</v>
      </c>
      <c r="AU73" s="420" t="s">
        <v>585</v>
      </c>
      <c r="AV73" s="420" t="s">
        <v>585</v>
      </c>
      <c r="AW73" s="420" t="s">
        <v>585</v>
      </c>
      <c r="AX73" s="420" t="s">
        <v>585</v>
      </c>
      <c r="AY73" s="421">
        <v>2</v>
      </c>
      <c r="AZ73" s="422" t="s">
        <v>585</v>
      </c>
      <c r="BA73" s="420" t="s">
        <v>585</v>
      </c>
      <c r="BB73" s="420" t="s">
        <v>585</v>
      </c>
      <c r="BC73" s="420" t="s">
        <v>585</v>
      </c>
      <c r="BD73" s="420" t="s">
        <v>585</v>
      </c>
      <c r="BE73" s="420" t="s">
        <v>585</v>
      </c>
      <c r="BF73" s="423" t="s">
        <v>585</v>
      </c>
      <c r="BG73" s="424" t="s">
        <v>585</v>
      </c>
      <c r="BH73" s="424" t="s">
        <v>585</v>
      </c>
      <c r="BI73" s="424" t="s">
        <v>585</v>
      </c>
      <c r="BJ73" s="422">
        <v>4</v>
      </c>
      <c r="BK73" s="420" t="s">
        <v>585</v>
      </c>
      <c r="BL73" s="420" t="s">
        <v>585</v>
      </c>
      <c r="BM73" s="420">
        <v>1</v>
      </c>
      <c r="BN73" s="420" t="s">
        <v>585</v>
      </c>
      <c r="BO73" s="420" t="s">
        <v>585</v>
      </c>
      <c r="BP73" s="420" t="s">
        <v>585</v>
      </c>
      <c r="BQ73" s="423">
        <v>5</v>
      </c>
      <c r="BR73" s="419">
        <v>62</v>
      </c>
      <c r="BS73" s="420" t="s">
        <v>585</v>
      </c>
      <c r="BT73" s="420" t="s">
        <v>585</v>
      </c>
      <c r="BU73" s="420">
        <v>64</v>
      </c>
      <c r="BV73" s="420" t="s">
        <v>585</v>
      </c>
      <c r="BW73" s="420" t="s">
        <v>585</v>
      </c>
      <c r="BX73" s="420">
        <v>38</v>
      </c>
      <c r="BY73" s="420" t="s">
        <v>585</v>
      </c>
      <c r="BZ73" s="420" t="s">
        <v>585</v>
      </c>
      <c r="CA73" s="420" t="s">
        <v>585</v>
      </c>
      <c r="CB73" s="420" t="s">
        <v>585</v>
      </c>
      <c r="CC73" s="421">
        <v>164</v>
      </c>
      <c r="CD73" s="422" t="s">
        <v>585</v>
      </c>
      <c r="CE73" s="420" t="s">
        <v>585</v>
      </c>
      <c r="CF73" s="423" t="s">
        <v>585</v>
      </c>
      <c r="CG73" s="424" t="s">
        <v>585</v>
      </c>
      <c r="CH73" s="424" t="s">
        <v>585</v>
      </c>
      <c r="CI73" s="422" t="s">
        <v>585</v>
      </c>
      <c r="CJ73" s="420" t="s">
        <v>585</v>
      </c>
      <c r="CK73" s="420" t="s">
        <v>585</v>
      </c>
      <c r="CL73" s="423" t="s">
        <v>585</v>
      </c>
      <c r="CM73" s="424" t="s">
        <v>585</v>
      </c>
      <c r="CN73" s="422">
        <v>1</v>
      </c>
      <c r="CO73" s="420" t="s">
        <v>585</v>
      </c>
      <c r="CP73" s="423">
        <v>1</v>
      </c>
      <c r="CQ73" s="424" t="s">
        <v>585</v>
      </c>
      <c r="CR73" s="424" t="s">
        <v>585</v>
      </c>
      <c r="CS73" s="422">
        <v>1</v>
      </c>
      <c r="CT73" s="420" t="s">
        <v>585</v>
      </c>
      <c r="CU73" s="420" t="s">
        <v>585</v>
      </c>
      <c r="CV73" s="423">
        <v>1</v>
      </c>
      <c r="CW73" s="426">
        <v>204</v>
      </c>
      <c r="CX73" s="427">
        <f>204/538718</f>
        <v>3.7867678451434703E-4</v>
      </c>
      <c r="CY73" s="276"/>
      <c r="CZ73" s="276"/>
      <c r="DA73" s="276"/>
    </row>
    <row r="74" spans="1:105" x14ac:dyDescent="0.2">
      <c r="A74" s="208"/>
      <c r="B74" s="410" t="s">
        <v>56</v>
      </c>
      <c r="C74" s="419" t="s">
        <v>585</v>
      </c>
      <c r="D74" s="420">
        <v>1</v>
      </c>
      <c r="E74" s="420">
        <v>1</v>
      </c>
      <c r="F74" s="421">
        <v>2</v>
      </c>
      <c r="G74" s="422">
        <v>13</v>
      </c>
      <c r="H74" s="420">
        <v>4</v>
      </c>
      <c r="I74" s="420">
        <v>1</v>
      </c>
      <c r="J74" s="420" t="s">
        <v>585</v>
      </c>
      <c r="K74" s="420" t="s">
        <v>585</v>
      </c>
      <c r="L74" s="423">
        <v>18</v>
      </c>
      <c r="M74" s="424" t="s">
        <v>585</v>
      </c>
      <c r="N74" s="422">
        <v>2130</v>
      </c>
      <c r="O74" s="420" t="s">
        <v>585</v>
      </c>
      <c r="P74" s="420" t="s">
        <v>585</v>
      </c>
      <c r="Q74" s="423">
        <v>2130</v>
      </c>
      <c r="R74" s="419" t="s">
        <v>585</v>
      </c>
      <c r="S74" s="420" t="s">
        <v>585</v>
      </c>
      <c r="T74" s="420" t="s">
        <v>585</v>
      </c>
      <c r="U74" s="421" t="s">
        <v>585</v>
      </c>
      <c r="V74" s="425" t="s">
        <v>585</v>
      </c>
      <c r="W74" s="424">
        <v>105</v>
      </c>
      <c r="X74" s="422">
        <v>91</v>
      </c>
      <c r="Y74" s="420" t="s">
        <v>585</v>
      </c>
      <c r="Z74" s="420" t="s">
        <v>585</v>
      </c>
      <c r="AA74" s="420" t="s">
        <v>585</v>
      </c>
      <c r="AB74" s="420" t="s">
        <v>585</v>
      </c>
      <c r="AC74" s="420" t="s">
        <v>585</v>
      </c>
      <c r="AD74" s="423">
        <v>91</v>
      </c>
      <c r="AE74" s="424">
        <v>5</v>
      </c>
      <c r="AF74" s="422">
        <v>53</v>
      </c>
      <c r="AG74" s="420" t="s">
        <v>585</v>
      </c>
      <c r="AH74" s="420" t="s">
        <v>585</v>
      </c>
      <c r="AI74" s="420" t="s">
        <v>585</v>
      </c>
      <c r="AJ74" s="420" t="s">
        <v>585</v>
      </c>
      <c r="AK74" s="420" t="s">
        <v>585</v>
      </c>
      <c r="AL74" s="420" t="s">
        <v>585</v>
      </c>
      <c r="AM74" s="420">
        <v>33</v>
      </c>
      <c r="AN74" s="420">
        <v>1</v>
      </c>
      <c r="AO74" s="420" t="s">
        <v>585</v>
      </c>
      <c r="AP74" s="423">
        <v>87</v>
      </c>
      <c r="AQ74" s="419" t="s">
        <v>585</v>
      </c>
      <c r="AR74" s="420">
        <v>55</v>
      </c>
      <c r="AS74" s="420" t="s">
        <v>585</v>
      </c>
      <c r="AT74" s="420" t="s">
        <v>585</v>
      </c>
      <c r="AU74" s="420" t="s">
        <v>585</v>
      </c>
      <c r="AV74" s="420" t="s">
        <v>585</v>
      </c>
      <c r="AW74" s="420" t="s">
        <v>585</v>
      </c>
      <c r="AX74" s="420" t="s">
        <v>585</v>
      </c>
      <c r="AY74" s="421">
        <v>55</v>
      </c>
      <c r="AZ74" s="422" t="s">
        <v>585</v>
      </c>
      <c r="BA74" s="420" t="s">
        <v>585</v>
      </c>
      <c r="BB74" s="420" t="s">
        <v>585</v>
      </c>
      <c r="BC74" s="420" t="s">
        <v>585</v>
      </c>
      <c r="BD74" s="420" t="s">
        <v>585</v>
      </c>
      <c r="BE74" s="420" t="s">
        <v>585</v>
      </c>
      <c r="BF74" s="423" t="s">
        <v>585</v>
      </c>
      <c r="BG74" s="424" t="s">
        <v>585</v>
      </c>
      <c r="BH74" s="424">
        <v>252</v>
      </c>
      <c r="BI74" s="424" t="s">
        <v>585</v>
      </c>
      <c r="BJ74" s="422">
        <v>136</v>
      </c>
      <c r="BK74" s="420" t="s">
        <v>585</v>
      </c>
      <c r="BL74" s="420">
        <v>6</v>
      </c>
      <c r="BM74" s="420">
        <v>2</v>
      </c>
      <c r="BN74" s="420" t="s">
        <v>585</v>
      </c>
      <c r="BO74" s="420" t="s">
        <v>585</v>
      </c>
      <c r="BP74" s="420" t="s">
        <v>585</v>
      </c>
      <c r="BQ74" s="423">
        <v>144</v>
      </c>
      <c r="BR74" s="419">
        <v>187</v>
      </c>
      <c r="BS74" s="420" t="s">
        <v>585</v>
      </c>
      <c r="BT74" s="420">
        <v>10</v>
      </c>
      <c r="BU74" s="420">
        <v>249</v>
      </c>
      <c r="BV74" s="420">
        <v>5</v>
      </c>
      <c r="BW74" s="420" t="s">
        <v>585</v>
      </c>
      <c r="BX74" s="420">
        <v>55</v>
      </c>
      <c r="BY74" s="420" t="s">
        <v>585</v>
      </c>
      <c r="BZ74" s="420" t="s">
        <v>585</v>
      </c>
      <c r="CA74" s="420" t="s">
        <v>585</v>
      </c>
      <c r="CB74" s="420" t="s">
        <v>585</v>
      </c>
      <c r="CC74" s="421">
        <v>506</v>
      </c>
      <c r="CD74" s="422" t="s">
        <v>585</v>
      </c>
      <c r="CE74" s="420" t="s">
        <v>585</v>
      </c>
      <c r="CF74" s="423" t="s">
        <v>585</v>
      </c>
      <c r="CG74" s="424" t="s">
        <v>585</v>
      </c>
      <c r="CH74" s="424">
        <v>31</v>
      </c>
      <c r="CI74" s="422">
        <v>26</v>
      </c>
      <c r="CJ74" s="420">
        <v>2</v>
      </c>
      <c r="CK74" s="420">
        <v>1</v>
      </c>
      <c r="CL74" s="423">
        <v>29</v>
      </c>
      <c r="CM74" s="424" t="s">
        <v>585</v>
      </c>
      <c r="CN74" s="422">
        <v>64</v>
      </c>
      <c r="CO74" s="420" t="s">
        <v>585</v>
      </c>
      <c r="CP74" s="423">
        <v>64</v>
      </c>
      <c r="CQ74" s="424">
        <v>8</v>
      </c>
      <c r="CR74" s="424">
        <v>28</v>
      </c>
      <c r="CS74" s="422">
        <v>3</v>
      </c>
      <c r="CT74" s="420">
        <v>1</v>
      </c>
      <c r="CU74" s="420" t="s">
        <v>585</v>
      </c>
      <c r="CV74" s="423">
        <v>4</v>
      </c>
      <c r="CW74" s="426">
        <v>3559</v>
      </c>
      <c r="CX74" s="427">
        <f>3559/538718</f>
        <v>6.6064248827772598E-3</v>
      </c>
      <c r="CY74" s="276"/>
      <c r="CZ74" s="276"/>
      <c r="DA74" s="276"/>
    </row>
    <row r="75" spans="1:105" x14ac:dyDescent="0.2">
      <c r="A75" s="208"/>
      <c r="B75" s="410" t="s">
        <v>76</v>
      </c>
      <c r="C75" s="419" t="s">
        <v>585</v>
      </c>
      <c r="D75" s="420" t="s">
        <v>585</v>
      </c>
      <c r="E75" s="420" t="s">
        <v>585</v>
      </c>
      <c r="F75" s="421" t="s">
        <v>585</v>
      </c>
      <c r="G75" s="422">
        <v>4</v>
      </c>
      <c r="H75" s="420" t="s">
        <v>585</v>
      </c>
      <c r="I75" s="420" t="s">
        <v>585</v>
      </c>
      <c r="J75" s="420" t="s">
        <v>585</v>
      </c>
      <c r="K75" s="420" t="s">
        <v>585</v>
      </c>
      <c r="L75" s="423">
        <v>4</v>
      </c>
      <c r="M75" s="424" t="s">
        <v>585</v>
      </c>
      <c r="N75" s="422">
        <v>17</v>
      </c>
      <c r="O75" s="420" t="s">
        <v>585</v>
      </c>
      <c r="P75" s="420" t="s">
        <v>585</v>
      </c>
      <c r="Q75" s="423">
        <v>17</v>
      </c>
      <c r="R75" s="419" t="s">
        <v>585</v>
      </c>
      <c r="S75" s="420" t="s">
        <v>585</v>
      </c>
      <c r="T75" s="420" t="s">
        <v>585</v>
      </c>
      <c r="U75" s="421" t="s">
        <v>585</v>
      </c>
      <c r="V75" s="425" t="s">
        <v>585</v>
      </c>
      <c r="W75" s="424">
        <v>5</v>
      </c>
      <c r="X75" s="422" t="s">
        <v>585</v>
      </c>
      <c r="Y75" s="420" t="s">
        <v>585</v>
      </c>
      <c r="Z75" s="420" t="s">
        <v>585</v>
      </c>
      <c r="AA75" s="420" t="s">
        <v>585</v>
      </c>
      <c r="AB75" s="420" t="s">
        <v>585</v>
      </c>
      <c r="AC75" s="420" t="s">
        <v>585</v>
      </c>
      <c r="AD75" s="423" t="s">
        <v>585</v>
      </c>
      <c r="AE75" s="424" t="s">
        <v>585</v>
      </c>
      <c r="AF75" s="422">
        <v>1</v>
      </c>
      <c r="AG75" s="420" t="s">
        <v>585</v>
      </c>
      <c r="AH75" s="420" t="s">
        <v>585</v>
      </c>
      <c r="AI75" s="420" t="s">
        <v>585</v>
      </c>
      <c r="AJ75" s="420">
        <v>1</v>
      </c>
      <c r="AK75" s="420" t="s">
        <v>585</v>
      </c>
      <c r="AL75" s="420" t="s">
        <v>585</v>
      </c>
      <c r="AM75" s="420" t="s">
        <v>585</v>
      </c>
      <c r="AN75" s="420" t="s">
        <v>585</v>
      </c>
      <c r="AO75" s="420" t="s">
        <v>585</v>
      </c>
      <c r="AP75" s="423">
        <v>2</v>
      </c>
      <c r="AQ75" s="419" t="s">
        <v>585</v>
      </c>
      <c r="AR75" s="420">
        <v>2</v>
      </c>
      <c r="AS75" s="420" t="s">
        <v>585</v>
      </c>
      <c r="AT75" s="420" t="s">
        <v>585</v>
      </c>
      <c r="AU75" s="420" t="s">
        <v>585</v>
      </c>
      <c r="AV75" s="420" t="s">
        <v>585</v>
      </c>
      <c r="AW75" s="420" t="s">
        <v>585</v>
      </c>
      <c r="AX75" s="420" t="s">
        <v>585</v>
      </c>
      <c r="AY75" s="421">
        <v>2</v>
      </c>
      <c r="AZ75" s="422" t="s">
        <v>585</v>
      </c>
      <c r="BA75" s="420" t="s">
        <v>585</v>
      </c>
      <c r="BB75" s="420" t="s">
        <v>585</v>
      </c>
      <c r="BC75" s="420" t="s">
        <v>585</v>
      </c>
      <c r="BD75" s="420" t="s">
        <v>585</v>
      </c>
      <c r="BE75" s="420" t="s">
        <v>585</v>
      </c>
      <c r="BF75" s="423" t="s">
        <v>585</v>
      </c>
      <c r="BG75" s="424" t="s">
        <v>585</v>
      </c>
      <c r="BH75" s="424">
        <v>13</v>
      </c>
      <c r="BI75" s="424" t="s">
        <v>585</v>
      </c>
      <c r="BJ75" s="422">
        <v>10</v>
      </c>
      <c r="BK75" s="420" t="s">
        <v>585</v>
      </c>
      <c r="BL75" s="420" t="s">
        <v>585</v>
      </c>
      <c r="BM75" s="420" t="s">
        <v>585</v>
      </c>
      <c r="BN75" s="420" t="s">
        <v>585</v>
      </c>
      <c r="BO75" s="420" t="s">
        <v>585</v>
      </c>
      <c r="BP75" s="420" t="s">
        <v>585</v>
      </c>
      <c r="BQ75" s="423">
        <v>10</v>
      </c>
      <c r="BR75" s="419">
        <v>204</v>
      </c>
      <c r="BS75" s="420" t="s">
        <v>585</v>
      </c>
      <c r="BT75" s="420">
        <v>4</v>
      </c>
      <c r="BU75" s="420">
        <v>157</v>
      </c>
      <c r="BV75" s="420" t="s">
        <v>585</v>
      </c>
      <c r="BW75" s="420" t="s">
        <v>585</v>
      </c>
      <c r="BX75" s="420">
        <v>135</v>
      </c>
      <c r="BY75" s="420" t="s">
        <v>585</v>
      </c>
      <c r="BZ75" s="420" t="s">
        <v>585</v>
      </c>
      <c r="CA75" s="420" t="s">
        <v>585</v>
      </c>
      <c r="CB75" s="420" t="s">
        <v>585</v>
      </c>
      <c r="CC75" s="421">
        <v>500</v>
      </c>
      <c r="CD75" s="422" t="s">
        <v>585</v>
      </c>
      <c r="CE75" s="420" t="s">
        <v>585</v>
      </c>
      <c r="CF75" s="423" t="s">
        <v>585</v>
      </c>
      <c r="CG75" s="424" t="s">
        <v>585</v>
      </c>
      <c r="CH75" s="424">
        <v>6</v>
      </c>
      <c r="CI75" s="422" t="s">
        <v>585</v>
      </c>
      <c r="CJ75" s="420" t="s">
        <v>585</v>
      </c>
      <c r="CK75" s="420" t="s">
        <v>585</v>
      </c>
      <c r="CL75" s="423" t="s">
        <v>585</v>
      </c>
      <c r="CM75" s="424" t="s">
        <v>585</v>
      </c>
      <c r="CN75" s="422" t="s">
        <v>585</v>
      </c>
      <c r="CO75" s="420" t="s">
        <v>585</v>
      </c>
      <c r="CP75" s="423" t="s">
        <v>585</v>
      </c>
      <c r="CQ75" s="424">
        <v>1</v>
      </c>
      <c r="CR75" s="424" t="s">
        <v>585</v>
      </c>
      <c r="CS75" s="422">
        <v>1</v>
      </c>
      <c r="CT75" s="420">
        <v>1</v>
      </c>
      <c r="CU75" s="420" t="s">
        <v>585</v>
      </c>
      <c r="CV75" s="423">
        <v>2</v>
      </c>
      <c r="CW75" s="426">
        <v>562</v>
      </c>
      <c r="CX75" s="427">
        <f>562/538718</f>
        <v>1.0432174161620737E-3</v>
      </c>
      <c r="CY75" s="276"/>
      <c r="CZ75" s="276"/>
      <c r="DA75" s="276"/>
    </row>
    <row r="76" spans="1:105" x14ac:dyDescent="0.2">
      <c r="A76" s="208"/>
      <c r="B76" s="410" t="s">
        <v>101</v>
      </c>
      <c r="C76" s="419" t="s">
        <v>585</v>
      </c>
      <c r="D76" s="420" t="s">
        <v>585</v>
      </c>
      <c r="E76" s="420" t="s">
        <v>585</v>
      </c>
      <c r="F76" s="421" t="s">
        <v>585</v>
      </c>
      <c r="G76" s="422">
        <v>15</v>
      </c>
      <c r="H76" s="420" t="s">
        <v>585</v>
      </c>
      <c r="I76" s="420">
        <v>7</v>
      </c>
      <c r="J76" s="420" t="s">
        <v>585</v>
      </c>
      <c r="K76" s="420" t="s">
        <v>585</v>
      </c>
      <c r="L76" s="423">
        <v>22</v>
      </c>
      <c r="M76" s="424" t="s">
        <v>585</v>
      </c>
      <c r="N76" s="422">
        <v>1041</v>
      </c>
      <c r="O76" s="420" t="s">
        <v>585</v>
      </c>
      <c r="P76" s="420" t="s">
        <v>585</v>
      </c>
      <c r="Q76" s="423">
        <v>1041</v>
      </c>
      <c r="R76" s="419" t="s">
        <v>585</v>
      </c>
      <c r="S76" s="420" t="s">
        <v>585</v>
      </c>
      <c r="T76" s="420" t="s">
        <v>585</v>
      </c>
      <c r="U76" s="421" t="s">
        <v>585</v>
      </c>
      <c r="V76" s="425" t="s">
        <v>585</v>
      </c>
      <c r="W76" s="424" t="s">
        <v>585</v>
      </c>
      <c r="X76" s="422">
        <v>38</v>
      </c>
      <c r="Y76" s="420" t="s">
        <v>585</v>
      </c>
      <c r="Z76" s="420" t="s">
        <v>585</v>
      </c>
      <c r="AA76" s="420" t="s">
        <v>585</v>
      </c>
      <c r="AB76" s="420" t="s">
        <v>585</v>
      </c>
      <c r="AC76" s="420" t="s">
        <v>585</v>
      </c>
      <c r="AD76" s="423">
        <v>38</v>
      </c>
      <c r="AE76" s="424" t="s">
        <v>585</v>
      </c>
      <c r="AF76" s="422" t="s">
        <v>585</v>
      </c>
      <c r="AG76" s="420" t="s">
        <v>585</v>
      </c>
      <c r="AH76" s="420" t="s">
        <v>585</v>
      </c>
      <c r="AI76" s="420" t="s">
        <v>585</v>
      </c>
      <c r="AJ76" s="420" t="s">
        <v>585</v>
      </c>
      <c r="AK76" s="420" t="s">
        <v>585</v>
      </c>
      <c r="AL76" s="420" t="s">
        <v>585</v>
      </c>
      <c r="AM76" s="420" t="s">
        <v>585</v>
      </c>
      <c r="AN76" s="420" t="s">
        <v>585</v>
      </c>
      <c r="AO76" s="420" t="s">
        <v>585</v>
      </c>
      <c r="AP76" s="423" t="s">
        <v>585</v>
      </c>
      <c r="AQ76" s="419" t="s">
        <v>585</v>
      </c>
      <c r="AR76" s="420">
        <v>38</v>
      </c>
      <c r="AS76" s="420" t="s">
        <v>585</v>
      </c>
      <c r="AT76" s="420" t="s">
        <v>585</v>
      </c>
      <c r="AU76" s="420" t="s">
        <v>585</v>
      </c>
      <c r="AV76" s="420" t="s">
        <v>585</v>
      </c>
      <c r="AW76" s="420" t="s">
        <v>585</v>
      </c>
      <c r="AX76" s="420" t="s">
        <v>585</v>
      </c>
      <c r="AY76" s="421">
        <v>38</v>
      </c>
      <c r="AZ76" s="422" t="s">
        <v>585</v>
      </c>
      <c r="BA76" s="420" t="s">
        <v>585</v>
      </c>
      <c r="BB76" s="420" t="s">
        <v>585</v>
      </c>
      <c r="BC76" s="420" t="s">
        <v>585</v>
      </c>
      <c r="BD76" s="420" t="s">
        <v>585</v>
      </c>
      <c r="BE76" s="420" t="s">
        <v>585</v>
      </c>
      <c r="BF76" s="423" t="s">
        <v>585</v>
      </c>
      <c r="BG76" s="424" t="s">
        <v>585</v>
      </c>
      <c r="BH76" s="424">
        <v>2</v>
      </c>
      <c r="BI76" s="424" t="s">
        <v>585</v>
      </c>
      <c r="BJ76" s="422">
        <v>5</v>
      </c>
      <c r="BK76" s="420" t="s">
        <v>585</v>
      </c>
      <c r="BL76" s="420" t="s">
        <v>585</v>
      </c>
      <c r="BM76" s="420">
        <v>1</v>
      </c>
      <c r="BN76" s="420" t="s">
        <v>585</v>
      </c>
      <c r="BO76" s="420" t="s">
        <v>585</v>
      </c>
      <c r="BP76" s="420" t="s">
        <v>585</v>
      </c>
      <c r="BQ76" s="423">
        <v>6</v>
      </c>
      <c r="BR76" s="419">
        <v>52</v>
      </c>
      <c r="BS76" s="420" t="s">
        <v>585</v>
      </c>
      <c r="BT76" s="420">
        <v>1</v>
      </c>
      <c r="BU76" s="420">
        <v>42</v>
      </c>
      <c r="BV76" s="420" t="s">
        <v>585</v>
      </c>
      <c r="BW76" s="420" t="s">
        <v>585</v>
      </c>
      <c r="BX76" s="420">
        <v>19</v>
      </c>
      <c r="BY76" s="420" t="s">
        <v>585</v>
      </c>
      <c r="BZ76" s="420" t="s">
        <v>585</v>
      </c>
      <c r="CA76" s="420" t="s">
        <v>585</v>
      </c>
      <c r="CB76" s="420" t="s">
        <v>585</v>
      </c>
      <c r="CC76" s="421">
        <v>114</v>
      </c>
      <c r="CD76" s="422" t="s">
        <v>585</v>
      </c>
      <c r="CE76" s="420" t="s">
        <v>585</v>
      </c>
      <c r="CF76" s="423" t="s">
        <v>585</v>
      </c>
      <c r="CG76" s="424" t="s">
        <v>585</v>
      </c>
      <c r="CH76" s="424" t="s">
        <v>585</v>
      </c>
      <c r="CI76" s="422" t="s">
        <v>585</v>
      </c>
      <c r="CJ76" s="420" t="s">
        <v>585</v>
      </c>
      <c r="CK76" s="420" t="s">
        <v>585</v>
      </c>
      <c r="CL76" s="423" t="s">
        <v>585</v>
      </c>
      <c r="CM76" s="424" t="s">
        <v>585</v>
      </c>
      <c r="CN76" s="422" t="s">
        <v>585</v>
      </c>
      <c r="CO76" s="420" t="s">
        <v>585</v>
      </c>
      <c r="CP76" s="423" t="s">
        <v>585</v>
      </c>
      <c r="CQ76" s="424" t="s">
        <v>585</v>
      </c>
      <c r="CR76" s="424" t="s">
        <v>585</v>
      </c>
      <c r="CS76" s="422" t="s">
        <v>585</v>
      </c>
      <c r="CT76" s="420" t="s">
        <v>585</v>
      </c>
      <c r="CU76" s="420" t="s">
        <v>585</v>
      </c>
      <c r="CV76" s="423" t="s">
        <v>585</v>
      </c>
      <c r="CW76" s="426">
        <v>1261</v>
      </c>
      <c r="CX76" s="427">
        <f>1261/538718</f>
        <v>2.340742280747998E-3</v>
      </c>
      <c r="CY76" s="276"/>
      <c r="CZ76" s="276"/>
      <c r="DA76" s="276"/>
    </row>
    <row r="77" spans="1:105" x14ac:dyDescent="0.2">
      <c r="A77" s="208"/>
      <c r="B77" s="410" t="s">
        <v>106</v>
      </c>
      <c r="C77" s="419" t="s">
        <v>585</v>
      </c>
      <c r="D77" s="420">
        <v>10</v>
      </c>
      <c r="E77" s="420">
        <v>4</v>
      </c>
      <c r="F77" s="421">
        <v>14</v>
      </c>
      <c r="G77" s="422">
        <v>7</v>
      </c>
      <c r="H77" s="420">
        <v>30</v>
      </c>
      <c r="I77" s="420">
        <v>1</v>
      </c>
      <c r="J77" s="420" t="s">
        <v>585</v>
      </c>
      <c r="K77" s="420" t="s">
        <v>585</v>
      </c>
      <c r="L77" s="423">
        <v>38</v>
      </c>
      <c r="M77" s="424" t="s">
        <v>585</v>
      </c>
      <c r="N77" s="422">
        <v>226</v>
      </c>
      <c r="O77" s="420" t="s">
        <v>585</v>
      </c>
      <c r="P77" s="420" t="s">
        <v>585</v>
      </c>
      <c r="Q77" s="423">
        <v>226</v>
      </c>
      <c r="R77" s="419" t="s">
        <v>585</v>
      </c>
      <c r="S77" s="420" t="s">
        <v>585</v>
      </c>
      <c r="T77" s="420" t="s">
        <v>585</v>
      </c>
      <c r="U77" s="421" t="s">
        <v>585</v>
      </c>
      <c r="V77" s="425" t="s">
        <v>585</v>
      </c>
      <c r="W77" s="424">
        <v>35</v>
      </c>
      <c r="X77" s="422">
        <v>30</v>
      </c>
      <c r="Y77" s="420" t="s">
        <v>585</v>
      </c>
      <c r="Z77" s="420" t="s">
        <v>585</v>
      </c>
      <c r="AA77" s="420" t="s">
        <v>585</v>
      </c>
      <c r="AB77" s="420" t="s">
        <v>585</v>
      </c>
      <c r="AC77" s="420" t="s">
        <v>585</v>
      </c>
      <c r="AD77" s="423">
        <v>30</v>
      </c>
      <c r="AE77" s="424" t="s">
        <v>585</v>
      </c>
      <c r="AF77" s="422">
        <v>171</v>
      </c>
      <c r="AG77" s="420" t="s">
        <v>585</v>
      </c>
      <c r="AH77" s="420" t="s">
        <v>585</v>
      </c>
      <c r="AI77" s="420" t="s">
        <v>585</v>
      </c>
      <c r="AJ77" s="420">
        <v>2</v>
      </c>
      <c r="AK77" s="420" t="s">
        <v>585</v>
      </c>
      <c r="AL77" s="420" t="s">
        <v>585</v>
      </c>
      <c r="AM77" s="420">
        <v>22</v>
      </c>
      <c r="AN77" s="420">
        <v>17</v>
      </c>
      <c r="AO77" s="420" t="s">
        <v>585</v>
      </c>
      <c r="AP77" s="423">
        <v>212</v>
      </c>
      <c r="AQ77" s="419" t="s">
        <v>585</v>
      </c>
      <c r="AR77" s="420">
        <v>143</v>
      </c>
      <c r="AS77" s="420" t="s">
        <v>585</v>
      </c>
      <c r="AT77" s="420" t="s">
        <v>585</v>
      </c>
      <c r="AU77" s="420" t="s">
        <v>585</v>
      </c>
      <c r="AV77" s="420" t="s">
        <v>585</v>
      </c>
      <c r="AW77" s="420" t="s">
        <v>585</v>
      </c>
      <c r="AX77" s="420" t="s">
        <v>585</v>
      </c>
      <c r="AY77" s="421">
        <v>143</v>
      </c>
      <c r="AZ77" s="422" t="s">
        <v>585</v>
      </c>
      <c r="BA77" s="420" t="s">
        <v>585</v>
      </c>
      <c r="BB77" s="420" t="s">
        <v>585</v>
      </c>
      <c r="BC77" s="420" t="s">
        <v>585</v>
      </c>
      <c r="BD77" s="420" t="s">
        <v>585</v>
      </c>
      <c r="BE77" s="420" t="s">
        <v>585</v>
      </c>
      <c r="BF77" s="423" t="s">
        <v>585</v>
      </c>
      <c r="BG77" s="424" t="s">
        <v>585</v>
      </c>
      <c r="BH77" s="424">
        <v>154</v>
      </c>
      <c r="BI77" s="424" t="s">
        <v>585</v>
      </c>
      <c r="BJ77" s="422">
        <v>175</v>
      </c>
      <c r="BK77" s="420" t="s">
        <v>585</v>
      </c>
      <c r="BL77" s="420">
        <v>18</v>
      </c>
      <c r="BM77" s="420">
        <v>9</v>
      </c>
      <c r="BN77" s="420">
        <v>1</v>
      </c>
      <c r="BO77" s="420" t="s">
        <v>585</v>
      </c>
      <c r="BP77" s="420" t="s">
        <v>585</v>
      </c>
      <c r="BQ77" s="423">
        <v>203</v>
      </c>
      <c r="BR77" s="419">
        <v>81</v>
      </c>
      <c r="BS77" s="420" t="s">
        <v>585</v>
      </c>
      <c r="BT77" s="420">
        <v>2</v>
      </c>
      <c r="BU77" s="420">
        <v>113</v>
      </c>
      <c r="BV77" s="420" t="s">
        <v>585</v>
      </c>
      <c r="BW77" s="420" t="s">
        <v>585</v>
      </c>
      <c r="BX77" s="420">
        <v>27</v>
      </c>
      <c r="BY77" s="420" t="s">
        <v>585</v>
      </c>
      <c r="BZ77" s="420" t="s">
        <v>585</v>
      </c>
      <c r="CA77" s="420" t="s">
        <v>585</v>
      </c>
      <c r="CB77" s="420" t="s">
        <v>585</v>
      </c>
      <c r="CC77" s="421">
        <v>223</v>
      </c>
      <c r="CD77" s="422" t="s">
        <v>585</v>
      </c>
      <c r="CE77" s="420" t="s">
        <v>585</v>
      </c>
      <c r="CF77" s="423" t="s">
        <v>585</v>
      </c>
      <c r="CG77" s="424" t="s">
        <v>585</v>
      </c>
      <c r="CH77" s="424">
        <v>2</v>
      </c>
      <c r="CI77" s="422">
        <v>40</v>
      </c>
      <c r="CJ77" s="420">
        <v>1</v>
      </c>
      <c r="CK77" s="420" t="s">
        <v>585</v>
      </c>
      <c r="CL77" s="423">
        <v>41</v>
      </c>
      <c r="CM77" s="424" t="s">
        <v>585</v>
      </c>
      <c r="CN77" s="422">
        <v>30</v>
      </c>
      <c r="CO77" s="420" t="s">
        <v>585</v>
      </c>
      <c r="CP77" s="423">
        <v>30</v>
      </c>
      <c r="CQ77" s="424">
        <v>9</v>
      </c>
      <c r="CR77" s="424" t="s">
        <v>585</v>
      </c>
      <c r="CS77" s="422">
        <v>7</v>
      </c>
      <c r="CT77" s="420">
        <v>6</v>
      </c>
      <c r="CU77" s="420">
        <v>2</v>
      </c>
      <c r="CV77" s="423">
        <v>15</v>
      </c>
      <c r="CW77" s="426">
        <v>1384</v>
      </c>
      <c r="CX77" s="427">
        <f>1384/538718</f>
        <v>2.5690621067051777E-3</v>
      </c>
      <c r="CY77" s="276"/>
      <c r="CZ77" s="276"/>
      <c r="DA77" s="276"/>
    </row>
    <row r="78" spans="1:105" x14ac:dyDescent="0.2">
      <c r="A78" s="208"/>
      <c r="B78" s="410" t="s">
        <v>128</v>
      </c>
      <c r="C78" s="419" t="s">
        <v>585</v>
      </c>
      <c r="D78" s="420" t="s">
        <v>585</v>
      </c>
      <c r="E78" s="420" t="s">
        <v>585</v>
      </c>
      <c r="F78" s="421" t="s">
        <v>585</v>
      </c>
      <c r="G78" s="422" t="s">
        <v>585</v>
      </c>
      <c r="H78" s="420" t="s">
        <v>585</v>
      </c>
      <c r="I78" s="420" t="s">
        <v>585</v>
      </c>
      <c r="J78" s="420" t="s">
        <v>585</v>
      </c>
      <c r="K78" s="420" t="s">
        <v>585</v>
      </c>
      <c r="L78" s="423" t="s">
        <v>585</v>
      </c>
      <c r="M78" s="424" t="s">
        <v>585</v>
      </c>
      <c r="N78" s="422">
        <v>50</v>
      </c>
      <c r="O78" s="420" t="s">
        <v>585</v>
      </c>
      <c r="P78" s="420" t="s">
        <v>585</v>
      </c>
      <c r="Q78" s="423">
        <v>50</v>
      </c>
      <c r="R78" s="419" t="s">
        <v>585</v>
      </c>
      <c r="S78" s="420" t="s">
        <v>585</v>
      </c>
      <c r="T78" s="420" t="s">
        <v>585</v>
      </c>
      <c r="U78" s="421" t="s">
        <v>585</v>
      </c>
      <c r="V78" s="425" t="s">
        <v>585</v>
      </c>
      <c r="W78" s="424">
        <v>143</v>
      </c>
      <c r="X78" s="422">
        <v>2</v>
      </c>
      <c r="Y78" s="420" t="s">
        <v>585</v>
      </c>
      <c r="Z78" s="420" t="s">
        <v>585</v>
      </c>
      <c r="AA78" s="420" t="s">
        <v>585</v>
      </c>
      <c r="AB78" s="420" t="s">
        <v>585</v>
      </c>
      <c r="AC78" s="420" t="s">
        <v>585</v>
      </c>
      <c r="AD78" s="423">
        <v>2</v>
      </c>
      <c r="AE78" s="424" t="s">
        <v>585</v>
      </c>
      <c r="AF78" s="422">
        <v>67</v>
      </c>
      <c r="AG78" s="420" t="s">
        <v>585</v>
      </c>
      <c r="AH78" s="420" t="s">
        <v>585</v>
      </c>
      <c r="AI78" s="420" t="s">
        <v>585</v>
      </c>
      <c r="AJ78" s="420" t="s">
        <v>585</v>
      </c>
      <c r="AK78" s="420" t="s">
        <v>585</v>
      </c>
      <c r="AL78" s="420" t="s">
        <v>585</v>
      </c>
      <c r="AM78" s="420">
        <v>5</v>
      </c>
      <c r="AN78" s="420">
        <v>9</v>
      </c>
      <c r="AO78" s="420" t="s">
        <v>585</v>
      </c>
      <c r="AP78" s="423">
        <v>81</v>
      </c>
      <c r="AQ78" s="419" t="s">
        <v>585</v>
      </c>
      <c r="AR78" s="420">
        <v>2</v>
      </c>
      <c r="AS78" s="420" t="s">
        <v>585</v>
      </c>
      <c r="AT78" s="420" t="s">
        <v>585</v>
      </c>
      <c r="AU78" s="420" t="s">
        <v>585</v>
      </c>
      <c r="AV78" s="420" t="s">
        <v>585</v>
      </c>
      <c r="AW78" s="420" t="s">
        <v>585</v>
      </c>
      <c r="AX78" s="420" t="s">
        <v>585</v>
      </c>
      <c r="AY78" s="421">
        <v>2</v>
      </c>
      <c r="AZ78" s="422" t="s">
        <v>585</v>
      </c>
      <c r="BA78" s="420" t="s">
        <v>585</v>
      </c>
      <c r="BB78" s="420" t="s">
        <v>585</v>
      </c>
      <c r="BC78" s="420" t="s">
        <v>585</v>
      </c>
      <c r="BD78" s="420" t="s">
        <v>585</v>
      </c>
      <c r="BE78" s="420" t="s">
        <v>585</v>
      </c>
      <c r="BF78" s="423" t="s">
        <v>585</v>
      </c>
      <c r="BG78" s="424" t="s">
        <v>585</v>
      </c>
      <c r="BH78" s="424">
        <v>307</v>
      </c>
      <c r="BI78" s="424" t="s">
        <v>585</v>
      </c>
      <c r="BJ78" s="422">
        <v>202</v>
      </c>
      <c r="BK78" s="420" t="s">
        <v>585</v>
      </c>
      <c r="BL78" s="420" t="s">
        <v>585</v>
      </c>
      <c r="BM78" s="420">
        <v>23</v>
      </c>
      <c r="BN78" s="420" t="s">
        <v>585</v>
      </c>
      <c r="BO78" s="420" t="s">
        <v>585</v>
      </c>
      <c r="BP78" s="420" t="s">
        <v>585</v>
      </c>
      <c r="BQ78" s="423">
        <v>225</v>
      </c>
      <c r="BR78" s="419">
        <v>4</v>
      </c>
      <c r="BS78" s="420" t="s">
        <v>585</v>
      </c>
      <c r="BT78" s="420">
        <v>1</v>
      </c>
      <c r="BU78" s="420">
        <v>56</v>
      </c>
      <c r="BV78" s="420" t="s">
        <v>585</v>
      </c>
      <c r="BW78" s="420" t="s">
        <v>585</v>
      </c>
      <c r="BX78" s="420">
        <v>3</v>
      </c>
      <c r="BY78" s="420" t="s">
        <v>585</v>
      </c>
      <c r="BZ78" s="420" t="s">
        <v>585</v>
      </c>
      <c r="CA78" s="420" t="s">
        <v>585</v>
      </c>
      <c r="CB78" s="420" t="s">
        <v>585</v>
      </c>
      <c r="CC78" s="421">
        <v>64</v>
      </c>
      <c r="CD78" s="422" t="s">
        <v>585</v>
      </c>
      <c r="CE78" s="420" t="s">
        <v>585</v>
      </c>
      <c r="CF78" s="423" t="s">
        <v>585</v>
      </c>
      <c r="CG78" s="424" t="s">
        <v>585</v>
      </c>
      <c r="CH78" s="424" t="s">
        <v>585</v>
      </c>
      <c r="CI78" s="422">
        <v>2</v>
      </c>
      <c r="CJ78" s="420" t="s">
        <v>585</v>
      </c>
      <c r="CK78" s="420" t="s">
        <v>585</v>
      </c>
      <c r="CL78" s="423">
        <v>2</v>
      </c>
      <c r="CM78" s="424" t="s">
        <v>585</v>
      </c>
      <c r="CN78" s="422">
        <v>153</v>
      </c>
      <c r="CO78" s="420" t="s">
        <v>585</v>
      </c>
      <c r="CP78" s="423">
        <v>153</v>
      </c>
      <c r="CQ78" s="424" t="s">
        <v>585</v>
      </c>
      <c r="CR78" s="424">
        <v>3</v>
      </c>
      <c r="CS78" s="422" t="s">
        <v>585</v>
      </c>
      <c r="CT78" s="420">
        <v>4</v>
      </c>
      <c r="CU78" s="420" t="s">
        <v>585</v>
      </c>
      <c r="CV78" s="423">
        <v>4</v>
      </c>
      <c r="CW78" s="426">
        <v>1036</v>
      </c>
      <c r="CX78" s="427">
        <f>1036/538718</f>
        <v>1.9230840625336447E-3</v>
      </c>
      <c r="CY78" s="276"/>
      <c r="CZ78" s="276"/>
      <c r="DA78" s="276"/>
    </row>
    <row r="79" spans="1:105" x14ac:dyDescent="0.2">
      <c r="A79" s="208"/>
      <c r="B79" s="410" t="s">
        <v>138</v>
      </c>
      <c r="C79" s="419" t="s">
        <v>585</v>
      </c>
      <c r="D79" s="420" t="s">
        <v>585</v>
      </c>
      <c r="E79" s="420" t="s">
        <v>585</v>
      </c>
      <c r="F79" s="421" t="s">
        <v>585</v>
      </c>
      <c r="G79" s="422" t="s">
        <v>585</v>
      </c>
      <c r="H79" s="420" t="s">
        <v>585</v>
      </c>
      <c r="I79" s="420" t="s">
        <v>585</v>
      </c>
      <c r="J79" s="420" t="s">
        <v>585</v>
      </c>
      <c r="K79" s="420" t="s">
        <v>585</v>
      </c>
      <c r="L79" s="423" t="s">
        <v>585</v>
      </c>
      <c r="M79" s="424" t="s">
        <v>585</v>
      </c>
      <c r="N79" s="422">
        <v>24</v>
      </c>
      <c r="O79" s="420" t="s">
        <v>585</v>
      </c>
      <c r="P79" s="420" t="s">
        <v>585</v>
      </c>
      <c r="Q79" s="423">
        <v>24</v>
      </c>
      <c r="R79" s="419" t="s">
        <v>585</v>
      </c>
      <c r="S79" s="420" t="s">
        <v>585</v>
      </c>
      <c r="T79" s="420" t="s">
        <v>585</v>
      </c>
      <c r="U79" s="421" t="s">
        <v>585</v>
      </c>
      <c r="V79" s="425" t="s">
        <v>585</v>
      </c>
      <c r="W79" s="424" t="s">
        <v>585</v>
      </c>
      <c r="X79" s="422" t="s">
        <v>585</v>
      </c>
      <c r="Y79" s="420" t="s">
        <v>585</v>
      </c>
      <c r="Z79" s="420" t="s">
        <v>585</v>
      </c>
      <c r="AA79" s="420" t="s">
        <v>585</v>
      </c>
      <c r="AB79" s="420" t="s">
        <v>585</v>
      </c>
      <c r="AC79" s="420" t="s">
        <v>585</v>
      </c>
      <c r="AD79" s="423" t="s">
        <v>585</v>
      </c>
      <c r="AE79" s="424" t="s">
        <v>585</v>
      </c>
      <c r="AF79" s="422" t="s">
        <v>585</v>
      </c>
      <c r="AG79" s="420" t="s">
        <v>585</v>
      </c>
      <c r="AH79" s="420" t="s">
        <v>585</v>
      </c>
      <c r="AI79" s="420" t="s">
        <v>585</v>
      </c>
      <c r="AJ79" s="420" t="s">
        <v>585</v>
      </c>
      <c r="AK79" s="420" t="s">
        <v>585</v>
      </c>
      <c r="AL79" s="420" t="s">
        <v>585</v>
      </c>
      <c r="AM79" s="420" t="s">
        <v>585</v>
      </c>
      <c r="AN79" s="420" t="s">
        <v>585</v>
      </c>
      <c r="AO79" s="420" t="s">
        <v>585</v>
      </c>
      <c r="AP79" s="423" t="s">
        <v>585</v>
      </c>
      <c r="AQ79" s="419" t="s">
        <v>585</v>
      </c>
      <c r="AR79" s="420" t="s">
        <v>585</v>
      </c>
      <c r="AS79" s="420" t="s">
        <v>585</v>
      </c>
      <c r="AT79" s="420" t="s">
        <v>585</v>
      </c>
      <c r="AU79" s="420" t="s">
        <v>585</v>
      </c>
      <c r="AV79" s="420" t="s">
        <v>585</v>
      </c>
      <c r="AW79" s="420" t="s">
        <v>585</v>
      </c>
      <c r="AX79" s="420" t="s">
        <v>585</v>
      </c>
      <c r="AY79" s="421" t="s">
        <v>585</v>
      </c>
      <c r="AZ79" s="422" t="s">
        <v>585</v>
      </c>
      <c r="BA79" s="420" t="s">
        <v>585</v>
      </c>
      <c r="BB79" s="420" t="s">
        <v>585</v>
      </c>
      <c r="BC79" s="420" t="s">
        <v>585</v>
      </c>
      <c r="BD79" s="420" t="s">
        <v>585</v>
      </c>
      <c r="BE79" s="420" t="s">
        <v>585</v>
      </c>
      <c r="BF79" s="423" t="s">
        <v>585</v>
      </c>
      <c r="BG79" s="424" t="s">
        <v>585</v>
      </c>
      <c r="BH79" s="424" t="s">
        <v>585</v>
      </c>
      <c r="BI79" s="424" t="s">
        <v>585</v>
      </c>
      <c r="BJ79" s="422" t="s">
        <v>585</v>
      </c>
      <c r="BK79" s="420" t="s">
        <v>585</v>
      </c>
      <c r="BL79" s="420" t="s">
        <v>585</v>
      </c>
      <c r="BM79" s="420" t="s">
        <v>585</v>
      </c>
      <c r="BN79" s="420" t="s">
        <v>585</v>
      </c>
      <c r="BO79" s="420" t="s">
        <v>585</v>
      </c>
      <c r="BP79" s="420" t="s">
        <v>585</v>
      </c>
      <c r="BQ79" s="423" t="s">
        <v>585</v>
      </c>
      <c r="BR79" s="419">
        <v>3</v>
      </c>
      <c r="BS79" s="420" t="s">
        <v>585</v>
      </c>
      <c r="BT79" s="420" t="s">
        <v>585</v>
      </c>
      <c r="BU79" s="420">
        <v>6</v>
      </c>
      <c r="BV79" s="420" t="s">
        <v>585</v>
      </c>
      <c r="BW79" s="420" t="s">
        <v>585</v>
      </c>
      <c r="BX79" s="420">
        <v>1</v>
      </c>
      <c r="BY79" s="420" t="s">
        <v>585</v>
      </c>
      <c r="BZ79" s="420" t="s">
        <v>585</v>
      </c>
      <c r="CA79" s="420" t="s">
        <v>585</v>
      </c>
      <c r="CB79" s="420" t="s">
        <v>585</v>
      </c>
      <c r="CC79" s="421">
        <v>10</v>
      </c>
      <c r="CD79" s="422" t="s">
        <v>585</v>
      </c>
      <c r="CE79" s="420" t="s">
        <v>585</v>
      </c>
      <c r="CF79" s="423" t="s">
        <v>585</v>
      </c>
      <c r="CG79" s="424" t="s">
        <v>585</v>
      </c>
      <c r="CH79" s="424" t="s">
        <v>585</v>
      </c>
      <c r="CI79" s="422" t="s">
        <v>585</v>
      </c>
      <c r="CJ79" s="420" t="s">
        <v>585</v>
      </c>
      <c r="CK79" s="420" t="s">
        <v>585</v>
      </c>
      <c r="CL79" s="423" t="s">
        <v>585</v>
      </c>
      <c r="CM79" s="424" t="s">
        <v>585</v>
      </c>
      <c r="CN79" s="422" t="s">
        <v>585</v>
      </c>
      <c r="CO79" s="420" t="s">
        <v>585</v>
      </c>
      <c r="CP79" s="423" t="s">
        <v>585</v>
      </c>
      <c r="CQ79" s="424" t="s">
        <v>585</v>
      </c>
      <c r="CR79" s="424" t="s">
        <v>585</v>
      </c>
      <c r="CS79" s="422" t="s">
        <v>585</v>
      </c>
      <c r="CT79" s="420" t="s">
        <v>585</v>
      </c>
      <c r="CU79" s="420" t="s">
        <v>585</v>
      </c>
      <c r="CV79" s="423" t="s">
        <v>585</v>
      </c>
      <c r="CW79" s="426">
        <v>34</v>
      </c>
      <c r="CX79" s="427">
        <f>34/538718</f>
        <v>6.3112797419057843E-5</v>
      </c>
      <c r="CY79" s="276"/>
      <c r="CZ79" s="276"/>
      <c r="DA79" s="276"/>
    </row>
    <row r="80" spans="1:105" x14ac:dyDescent="0.2">
      <c r="A80" s="208"/>
      <c r="B80" s="410" t="s">
        <v>627</v>
      </c>
      <c r="C80" s="419" t="s">
        <v>585</v>
      </c>
      <c r="D80" s="420" t="s">
        <v>585</v>
      </c>
      <c r="E80" s="420" t="s">
        <v>585</v>
      </c>
      <c r="F80" s="421" t="s">
        <v>585</v>
      </c>
      <c r="G80" s="422" t="s">
        <v>585</v>
      </c>
      <c r="H80" s="420" t="s">
        <v>585</v>
      </c>
      <c r="I80" s="420" t="s">
        <v>585</v>
      </c>
      <c r="J80" s="420" t="s">
        <v>585</v>
      </c>
      <c r="K80" s="420" t="s">
        <v>585</v>
      </c>
      <c r="L80" s="423" t="s">
        <v>585</v>
      </c>
      <c r="M80" s="424" t="s">
        <v>585</v>
      </c>
      <c r="N80" s="422">
        <v>177</v>
      </c>
      <c r="O80" s="420" t="s">
        <v>585</v>
      </c>
      <c r="P80" s="420" t="s">
        <v>585</v>
      </c>
      <c r="Q80" s="423">
        <v>177</v>
      </c>
      <c r="R80" s="419" t="s">
        <v>585</v>
      </c>
      <c r="S80" s="420" t="s">
        <v>585</v>
      </c>
      <c r="T80" s="420" t="s">
        <v>585</v>
      </c>
      <c r="U80" s="421" t="s">
        <v>585</v>
      </c>
      <c r="V80" s="425" t="s">
        <v>585</v>
      </c>
      <c r="W80" s="424" t="s">
        <v>585</v>
      </c>
      <c r="X80" s="422" t="s">
        <v>585</v>
      </c>
      <c r="Y80" s="420" t="s">
        <v>585</v>
      </c>
      <c r="Z80" s="420" t="s">
        <v>585</v>
      </c>
      <c r="AA80" s="420" t="s">
        <v>585</v>
      </c>
      <c r="AB80" s="420" t="s">
        <v>585</v>
      </c>
      <c r="AC80" s="420" t="s">
        <v>585</v>
      </c>
      <c r="AD80" s="423" t="s">
        <v>585</v>
      </c>
      <c r="AE80" s="424" t="s">
        <v>585</v>
      </c>
      <c r="AF80" s="422" t="s">
        <v>585</v>
      </c>
      <c r="AG80" s="420" t="s">
        <v>585</v>
      </c>
      <c r="AH80" s="420" t="s">
        <v>585</v>
      </c>
      <c r="AI80" s="420" t="s">
        <v>585</v>
      </c>
      <c r="AJ80" s="420" t="s">
        <v>585</v>
      </c>
      <c r="AK80" s="420" t="s">
        <v>585</v>
      </c>
      <c r="AL80" s="420" t="s">
        <v>585</v>
      </c>
      <c r="AM80" s="420" t="s">
        <v>585</v>
      </c>
      <c r="AN80" s="420" t="s">
        <v>585</v>
      </c>
      <c r="AO80" s="420" t="s">
        <v>585</v>
      </c>
      <c r="AP80" s="423" t="s">
        <v>585</v>
      </c>
      <c r="AQ80" s="419" t="s">
        <v>585</v>
      </c>
      <c r="AR80" s="420" t="s">
        <v>585</v>
      </c>
      <c r="AS80" s="420" t="s">
        <v>585</v>
      </c>
      <c r="AT80" s="420" t="s">
        <v>585</v>
      </c>
      <c r="AU80" s="420" t="s">
        <v>585</v>
      </c>
      <c r="AV80" s="420" t="s">
        <v>585</v>
      </c>
      <c r="AW80" s="420" t="s">
        <v>585</v>
      </c>
      <c r="AX80" s="420" t="s">
        <v>585</v>
      </c>
      <c r="AY80" s="421" t="s">
        <v>585</v>
      </c>
      <c r="AZ80" s="422" t="s">
        <v>585</v>
      </c>
      <c r="BA80" s="420" t="s">
        <v>585</v>
      </c>
      <c r="BB80" s="420" t="s">
        <v>585</v>
      </c>
      <c r="BC80" s="420" t="s">
        <v>585</v>
      </c>
      <c r="BD80" s="420" t="s">
        <v>585</v>
      </c>
      <c r="BE80" s="420" t="s">
        <v>585</v>
      </c>
      <c r="BF80" s="423" t="s">
        <v>585</v>
      </c>
      <c r="BG80" s="424" t="s">
        <v>585</v>
      </c>
      <c r="BH80" s="424" t="s">
        <v>585</v>
      </c>
      <c r="BI80" s="424" t="s">
        <v>585</v>
      </c>
      <c r="BJ80" s="422" t="s">
        <v>585</v>
      </c>
      <c r="BK80" s="420" t="s">
        <v>585</v>
      </c>
      <c r="BL80" s="420" t="s">
        <v>585</v>
      </c>
      <c r="BM80" s="420" t="s">
        <v>585</v>
      </c>
      <c r="BN80" s="420" t="s">
        <v>585</v>
      </c>
      <c r="BO80" s="420" t="s">
        <v>585</v>
      </c>
      <c r="BP80" s="420" t="s">
        <v>585</v>
      </c>
      <c r="BQ80" s="423" t="s">
        <v>585</v>
      </c>
      <c r="BR80" s="419">
        <v>20</v>
      </c>
      <c r="BS80" s="420" t="s">
        <v>585</v>
      </c>
      <c r="BT80" s="420">
        <v>1</v>
      </c>
      <c r="BU80" s="420">
        <v>38</v>
      </c>
      <c r="BV80" s="420" t="s">
        <v>585</v>
      </c>
      <c r="BW80" s="420" t="s">
        <v>585</v>
      </c>
      <c r="BX80" s="420">
        <v>4</v>
      </c>
      <c r="BY80" s="420" t="s">
        <v>585</v>
      </c>
      <c r="BZ80" s="420" t="s">
        <v>585</v>
      </c>
      <c r="CA80" s="420" t="s">
        <v>585</v>
      </c>
      <c r="CB80" s="420" t="s">
        <v>585</v>
      </c>
      <c r="CC80" s="421">
        <v>63</v>
      </c>
      <c r="CD80" s="422" t="s">
        <v>585</v>
      </c>
      <c r="CE80" s="420" t="s">
        <v>585</v>
      </c>
      <c r="CF80" s="423" t="s">
        <v>585</v>
      </c>
      <c r="CG80" s="424" t="s">
        <v>585</v>
      </c>
      <c r="CH80" s="424" t="s">
        <v>585</v>
      </c>
      <c r="CI80" s="422" t="s">
        <v>585</v>
      </c>
      <c r="CJ80" s="420" t="s">
        <v>585</v>
      </c>
      <c r="CK80" s="420" t="s">
        <v>585</v>
      </c>
      <c r="CL80" s="423" t="s">
        <v>585</v>
      </c>
      <c r="CM80" s="424" t="s">
        <v>585</v>
      </c>
      <c r="CN80" s="422" t="s">
        <v>585</v>
      </c>
      <c r="CO80" s="420" t="s">
        <v>585</v>
      </c>
      <c r="CP80" s="423" t="s">
        <v>585</v>
      </c>
      <c r="CQ80" s="424" t="s">
        <v>585</v>
      </c>
      <c r="CR80" s="424" t="s">
        <v>585</v>
      </c>
      <c r="CS80" s="422" t="s">
        <v>585</v>
      </c>
      <c r="CT80" s="420" t="s">
        <v>585</v>
      </c>
      <c r="CU80" s="420" t="s">
        <v>585</v>
      </c>
      <c r="CV80" s="423" t="s">
        <v>585</v>
      </c>
      <c r="CW80" s="426">
        <v>240</v>
      </c>
      <c r="CX80" s="427">
        <f>240/538718</f>
        <v>4.4550209942864356E-4</v>
      </c>
      <c r="CY80" s="276"/>
      <c r="CZ80" s="276"/>
      <c r="DA80" s="276"/>
    </row>
    <row r="81" spans="1:105" x14ac:dyDescent="0.2">
      <c r="A81" s="208"/>
      <c r="B81" s="410" t="s">
        <v>147</v>
      </c>
      <c r="C81" s="419" t="s">
        <v>585</v>
      </c>
      <c r="D81" s="420" t="s">
        <v>585</v>
      </c>
      <c r="E81" s="420" t="s">
        <v>585</v>
      </c>
      <c r="F81" s="421" t="s">
        <v>585</v>
      </c>
      <c r="G81" s="422">
        <v>4</v>
      </c>
      <c r="H81" s="420" t="s">
        <v>585</v>
      </c>
      <c r="I81" s="420" t="s">
        <v>585</v>
      </c>
      <c r="J81" s="420" t="s">
        <v>585</v>
      </c>
      <c r="K81" s="420" t="s">
        <v>585</v>
      </c>
      <c r="L81" s="423">
        <v>4</v>
      </c>
      <c r="M81" s="424" t="s">
        <v>585</v>
      </c>
      <c r="N81" s="422">
        <v>5</v>
      </c>
      <c r="O81" s="420" t="s">
        <v>585</v>
      </c>
      <c r="P81" s="420" t="s">
        <v>585</v>
      </c>
      <c r="Q81" s="423">
        <v>5</v>
      </c>
      <c r="R81" s="419" t="s">
        <v>585</v>
      </c>
      <c r="S81" s="420" t="s">
        <v>585</v>
      </c>
      <c r="T81" s="420" t="s">
        <v>585</v>
      </c>
      <c r="U81" s="421" t="s">
        <v>585</v>
      </c>
      <c r="V81" s="425" t="s">
        <v>585</v>
      </c>
      <c r="W81" s="424">
        <v>8</v>
      </c>
      <c r="X81" s="422">
        <v>2</v>
      </c>
      <c r="Y81" s="420" t="s">
        <v>585</v>
      </c>
      <c r="Z81" s="420" t="s">
        <v>585</v>
      </c>
      <c r="AA81" s="420" t="s">
        <v>585</v>
      </c>
      <c r="AB81" s="420" t="s">
        <v>585</v>
      </c>
      <c r="AC81" s="420" t="s">
        <v>585</v>
      </c>
      <c r="AD81" s="423">
        <v>2</v>
      </c>
      <c r="AE81" s="424" t="s">
        <v>585</v>
      </c>
      <c r="AF81" s="422">
        <v>8</v>
      </c>
      <c r="AG81" s="420" t="s">
        <v>585</v>
      </c>
      <c r="AH81" s="420" t="s">
        <v>585</v>
      </c>
      <c r="AI81" s="420" t="s">
        <v>585</v>
      </c>
      <c r="AJ81" s="420">
        <v>27</v>
      </c>
      <c r="AK81" s="420" t="s">
        <v>585</v>
      </c>
      <c r="AL81" s="420" t="s">
        <v>585</v>
      </c>
      <c r="AM81" s="420">
        <v>11</v>
      </c>
      <c r="AN81" s="420">
        <v>2</v>
      </c>
      <c r="AO81" s="420" t="s">
        <v>585</v>
      </c>
      <c r="AP81" s="423">
        <v>48</v>
      </c>
      <c r="AQ81" s="419" t="s">
        <v>585</v>
      </c>
      <c r="AR81" s="420" t="s">
        <v>585</v>
      </c>
      <c r="AS81" s="420" t="s">
        <v>585</v>
      </c>
      <c r="AT81" s="420" t="s">
        <v>585</v>
      </c>
      <c r="AU81" s="420" t="s">
        <v>585</v>
      </c>
      <c r="AV81" s="420" t="s">
        <v>585</v>
      </c>
      <c r="AW81" s="420" t="s">
        <v>585</v>
      </c>
      <c r="AX81" s="420" t="s">
        <v>585</v>
      </c>
      <c r="AY81" s="421" t="s">
        <v>585</v>
      </c>
      <c r="AZ81" s="422" t="s">
        <v>585</v>
      </c>
      <c r="BA81" s="420" t="s">
        <v>585</v>
      </c>
      <c r="BB81" s="420" t="s">
        <v>585</v>
      </c>
      <c r="BC81" s="420" t="s">
        <v>585</v>
      </c>
      <c r="BD81" s="420" t="s">
        <v>585</v>
      </c>
      <c r="BE81" s="420" t="s">
        <v>585</v>
      </c>
      <c r="BF81" s="423" t="s">
        <v>585</v>
      </c>
      <c r="BG81" s="424" t="s">
        <v>585</v>
      </c>
      <c r="BH81" s="424">
        <v>153</v>
      </c>
      <c r="BI81" s="424" t="s">
        <v>585</v>
      </c>
      <c r="BJ81" s="422">
        <v>41</v>
      </c>
      <c r="BK81" s="420" t="s">
        <v>585</v>
      </c>
      <c r="BL81" s="420">
        <v>3</v>
      </c>
      <c r="BM81" s="420">
        <v>9</v>
      </c>
      <c r="BN81" s="420" t="s">
        <v>585</v>
      </c>
      <c r="BO81" s="420" t="s">
        <v>585</v>
      </c>
      <c r="BP81" s="420" t="s">
        <v>585</v>
      </c>
      <c r="BQ81" s="423">
        <v>53</v>
      </c>
      <c r="BR81" s="419">
        <v>129</v>
      </c>
      <c r="BS81" s="420" t="s">
        <v>585</v>
      </c>
      <c r="BT81" s="420">
        <v>4</v>
      </c>
      <c r="BU81" s="420">
        <v>82</v>
      </c>
      <c r="BV81" s="420" t="s">
        <v>585</v>
      </c>
      <c r="BW81" s="420" t="s">
        <v>585</v>
      </c>
      <c r="BX81" s="420">
        <v>24</v>
      </c>
      <c r="BY81" s="420" t="s">
        <v>585</v>
      </c>
      <c r="BZ81" s="420" t="s">
        <v>585</v>
      </c>
      <c r="CA81" s="420" t="s">
        <v>585</v>
      </c>
      <c r="CB81" s="420" t="s">
        <v>585</v>
      </c>
      <c r="CC81" s="421">
        <v>239</v>
      </c>
      <c r="CD81" s="422" t="s">
        <v>585</v>
      </c>
      <c r="CE81" s="420" t="s">
        <v>585</v>
      </c>
      <c r="CF81" s="423" t="s">
        <v>585</v>
      </c>
      <c r="CG81" s="424" t="s">
        <v>585</v>
      </c>
      <c r="CH81" s="424">
        <v>52</v>
      </c>
      <c r="CI81" s="422">
        <v>35</v>
      </c>
      <c r="CJ81" s="420">
        <v>1</v>
      </c>
      <c r="CK81" s="420" t="s">
        <v>585</v>
      </c>
      <c r="CL81" s="423">
        <v>36</v>
      </c>
      <c r="CM81" s="424" t="s">
        <v>585</v>
      </c>
      <c r="CN81" s="422">
        <v>14</v>
      </c>
      <c r="CO81" s="420" t="s">
        <v>585</v>
      </c>
      <c r="CP81" s="423">
        <v>14</v>
      </c>
      <c r="CQ81" s="424">
        <v>3</v>
      </c>
      <c r="CR81" s="424">
        <v>5</v>
      </c>
      <c r="CS81" s="422">
        <v>2</v>
      </c>
      <c r="CT81" s="420" t="s">
        <v>585</v>
      </c>
      <c r="CU81" s="420" t="s">
        <v>585</v>
      </c>
      <c r="CV81" s="423">
        <v>2</v>
      </c>
      <c r="CW81" s="426">
        <v>624</v>
      </c>
      <c r="CX81" s="427">
        <f>624/538718</f>
        <v>1.1583054585144732E-3</v>
      </c>
      <c r="CY81" s="276"/>
      <c r="CZ81" s="276"/>
      <c r="DA81" s="276"/>
    </row>
    <row r="82" spans="1:105" x14ac:dyDescent="0.2">
      <c r="A82" s="208"/>
      <c r="B82" s="410" t="s">
        <v>151</v>
      </c>
      <c r="C82" s="419" t="s">
        <v>585</v>
      </c>
      <c r="D82" s="420" t="s">
        <v>585</v>
      </c>
      <c r="E82" s="420" t="s">
        <v>585</v>
      </c>
      <c r="F82" s="421" t="s">
        <v>585</v>
      </c>
      <c r="G82" s="422">
        <v>8</v>
      </c>
      <c r="H82" s="420">
        <v>5</v>
      </c>
      <c r="I82" s="420">
        <v>0</v>
      </c>
      <c r="J82" s="420" t="s">
        <v>585</v>
      </c>
      <c r="K82" s="420" t="s">
        <v>585</v>
      </c>
      <c r="L82" s="423">
        <v>13</v>
      </c>
      <c r="M82" s="424" t="s">
        <v>585</v>
      </c>
      <c r="N82" s="422">
        <v>88</v>
      </c>
      <c r="O82" s="420" t="s">
        <v>585</v>
      </c>
      <c r="P82" s="420" t="s">
        <v>585</v>
      </c>
      <c r="Q82" s="423">
        <v>88</v>
      </c>
      <c r="R82" s="419" t="s">
        <v>585</v>
      </c>
      <c r="S82" s="420" t="s">
        <v>585</v>
      </c>
      <c r="T82" s="420" t="s">
        <v>585</v>
      </c>
      <c r="U82" s="421" t="s">
        <v>585</v>
      </c>
      <c r="V82" s="425" t="s">
        <v>585</v>
      </c>
      <c r="W82" s="424">
        <v>33</v>
      </c>
      <c r="X82" s="422" t="s">
        <v>585</v>
      </c>
      <c r="Y82" s="420" t="s">
        <v>585</v>
      </c>
      <c r="Z82" s="420" t="s">
        <v>585</v>
      </c>
      <c r="AA82" s="420" t="s">
        <v>585</v>
      </c>
      <c r="AB82" s="420" t="s">
        <v>585</v>
      </c>
      <c r="AC82" s="420" t="s">
        <v>585</v>
      </c>
      <c r="AD82" s="423" t="s">
        <v>585</v>
      </c>
      <c r="AE82" s="424">
        <v>6</v>
      </c>
      <c r="AF82" s="422">
        <v>8</v>
      </c>
      <c r="AG82" s="420" t="s">
        <v>585</v>
      </c>
      <c r="AH82" s="420" t="s">
        <v>585</v>
      </c>
      <c r="AI82" s="420" t="s">
        <v>585</v>
      </c>
      <c r="AJ82" s="420">
        <v>15</v>
      </c>
      <c r="AK82" s="420" t="s">
        <v>585</v>
      </c>
      <c r="AL82" s="420" t="s">
        <v>585</v>
      </c>
      <c r="AM82" s="420">
        <v>9</v>
      </c>
      <c r="AN82" s="420">
        <v>4</v>
      </c>
      <c r="AO82" s="420" t="s">
        <v>585</v>
      </c>
      <c r="AP82" s="423">
        <v>36</v>
      </c>
      <c r="AQ82" s="419" t="s">
        <v>585</v>
      </c>
      <c r="AR82" s="420">
        <v>4</v>
      </c>
      <c r="AS82" s="420" t="s">
        <v>585</v>
      </c>
      <c r="AT82" s="420" t="s">
        <v>585</v>
      </c>
      <c r="AU82" s="420" t="s">
        <v>585</v>
      </c>
      <c r="AV82" s="420" t="s">
        <v>585</v>
      </c>
      <c r="AW82" s="420" t="s">
        <v>585</v>
      </c>
      <c r="AX82" s="420" t="s">
        <v>585</v>
      </c>
      <c r="AY82" s="421">
        <v>4</v>
      </c>
      <c r="AZ82" s="422" t="s">
        <v>585</v>
      </c>
      <c r="BA82" s="420" t="s">
        <v>585</v>
      </c>
      <c r="BB82" s="420" t="s">
        <v>585</v>
      </c>
      <c r="BC82" s="420" t="s">
        <v>585</v>
      </c>
      <c r="BD82" s="420" t="s">
        <v>585</v>
      </c>
      <c r="BE82" s="420" t="s">
        <v>585</v>
      </c>
      <c r="BF82" s="423" t="s">
        <v>585</v>
      </c>
      <c r="BG82" s="424" t="s">
        <v>585</v>
      </c>
      <c r="BH82" s="424">
        <v>37</v>
      </c>
      <c r="BI82" s="424" t="s">
        <v>585</v>
      </c>
      <c r="BJ82" s="422">
        <v>72</v>
      </c>
      <c r="BK82" s="420" t="s">
        <v>585</v>
      </c>
      <c r="BL82" s="420">
        <v>15</v>
      </c>
      <c r="BM82" s="420" t="s">
        <v>585</v>
      </c>
      <c r="BN82" s="420" t="s">
        <v>585</v>
      </c>
      <c r="BO82" s="420" t="s">
        <v>585</v>
      </c>
      <c r="BP82" s="420" t="s">
        <v>585</v>
      </c>
      <c r="BQ82" s="423">
        <v>87</v>
      </c>
      <c r="BR82" s="419">
        <v>99</v>
      </c>
      <c r="BS82" s="420" t="s">
        <v>585</v>
      </c>
      <c r="BT82" s="420">
        <v>1</v>
      </c>
      <c r="BU82" s="420">
        <v>208</v>
      </c>
      <c r="BV82" s="420" t="s">
        <v>585</v>
      </c>
      <c r="BW82" s="420" t="s">
        <v>585</v>
      </c>
      <c r="BX82" s="420">
        <v>334</v>
      </c>
      <c r="BY82" s="420" t="s">
        <v>585</v>
      </c>
      <c r="BZ82" s="420" t="s">
        <v>585</v>
      </c>
      <c r="CA82" s="420" t="s">
        <v>585</v>
      </c>
      <c r="CB82" s="420" t="s">
        <v>585</v>
      </c>
      <c r="CC82" s="421">
        <v>642</v>
      </c>
      <c r="CD82" s="422">
        <v>7</v>
      </c>
      <c r="CE82" s="420" t="s">
        <v>585</v>
      </c>
      <c r="CF82" s="423">
        <v>7</v>
      </c>
      <c r="CG82" s="424" t="s">
        <v>585</v>
      </c>
      <c r="CH82" s="424">
        <v>8</v>
      </c>
      <c r="CI82" s="422">
        <v>30</v>
      </c>
      <c r="CJ82" s="420">
        <v>1</v>
      </c>
      <c r="CK82" s="420">
        <v>0</v>
      </c>
      <c r="CL82" s="423">
        <v>31</v>
      </c>
      <c r="CM82" s="424" t="s">
        <v>585</v>
      </c>
      <c r="CN82" s="422">
        <v>4</v>
      </c>
      <c r="CO82" s="420" t="s">
        <v>585</v>
      </c>
      <c r="CP82" s="423">
        <v>4</v>
      </c>
      <c r="CQ82" s="424">
        <v>9</v>
      </c>
      <c r="CR82" s="424">
        <v>4</v>
      </c>
      <c r="CS82" s="422">
        <v>4</v>
      </c>
      <c r="CT82" s="420" t="s">
        <v>585</v>
      </c>
      <c r="CU82" s="420" t="s">
        <v>585</v>
      </c>
      <c r="CV82" s="423">
        <v>4</v>
      </c>
      <c r="CW82" s="426">
        <v>1013</v>
      </c>
      <c r="CX82" s="427">
        <f>1013/538718</f>
        <v>1.8803901113383997E-3</v>
      </c>
      <c r="CY82" s="276"/>
      <c r="CZ82" s="276"/>
      <c r="DA82" s="276"/>
    </row>
    <row r="83" spans="1:105" x14ac:dyDescent="0.2">
      <c r="A83" s="208"/>
      <c r="B83" s="410" t="s">
        <v>161</v>
      </c>
      <c r="C83" s="419" t="s">
        <v>585</v>
      </c>
      <c r="D83" s="420" t="s">
        <v>585</v>
      </c>
      <c r="E83" s="420" t="s">
        <v>585</v>
      </c>
      <c r="F83" s="421" t="s">
        <v>585</v>
      </c>
      <c r="G83" s="422">
        <v>1</v>
      </c>
      <c r="H83" s="420" t="s">
        <v>585</v>
      </c>
      <c r="I83" s="420">
        <v>1</v>
      </c>
      <c r="J83" s="420" t="s">
        <v>585</v>
      </c>
      <c r="K83" s="420" t="s">
        <v>585</v>
      </c>
      <c r="L83" s="423">
        <v>2</v>
      </c>
      <c r="M83" s="424" t="s">
        <v>585</v>
      </c>
      <c r="N83" s="422">
        <v>56</v>
      </c>
      <c r="O83" s="420" t="s">
        <v>585</v>
      </c>
      <c r="P83" s="420" t="s">
        <v>585</v>
      </c>
      <c r="Q83" s="423">
        <v>56</v>
      </c>
      <c r="R83" s="419" t="s">
        <v>585</v>
      </c>
      <c r="S83" s="420" t="s">
        <v>585</v>
      </c>
      <c r="T83" s="420" t="s">
        <v>585</v>
      </c>
      <c r="U83" s="421" t="s">
        <v>585</v>
      </c>
      <c r="V83" s="425" t="s">
        <v>585</v>
      </c>
      <c r="W83" s="424">
        <v>2</v>
      </c>
      <c r="X83" s="422" t="s">
        <v>585</v>
      </c>
      <c r="Y83" s="420" t="s">
        <v>585</v>
      </c>
      <c r="Z83" s="420" t="s">
        <v>585</v>
      </c>
      <c r="AA83" s="420" t="s">
        <v>585</v>
      </c>
      <c r="AB83" s="420" t="s">
        <v>585</v>
      </c>
      <c r="AC83" s="420" t="s">
        <v>585</v>
      </c>
      <c r="AD83" s="423" t="s">
        <v>585</v>
      </c>
      <c r="AE83" s="424" t="s">
        <v>585</v>
      </c>
      <c r="AF83" s="422" t="s">
        <v>585</v>
      </c>
      <c r="AG83" s="420" t="s">
        <v>585</v>
      </c>
      <c r="AH83" s="420" t="s">
        <v>585</v>
      </c>
      <c r="AI83" s="420" t="s">
        <v>585</v>
      </c>
      <c r="AJ83" s="420" t="s">
        <v>585</v>
      </c>
      <c r="AK83" s="420" t="s">
        <v>585</v>
      </c>
      <c r="AL83" s="420" t="s">
        <v>585</v>
      </c>
      <c r="AM83" s="420" t="s">
        <v>585</v>
      </c>
      <c r="AN83" s="420" t="s">
        <v>585</v>
      </c>
      <c r="AO83" s="420" t="s">
        <v>585</v>
      </c>
      <c r="AP83" s="423" t="s">
        <v>585</v>
      </c>
      <c r="AQ83" s="419" t="s">
        <v>585</v>
      </c>
      <c r="AR83" s="420" t="s">
        <v>585</v>
      </c>
      <c r="AS83" s="420" t="s">
        <v>585</v>
      </c>
      <c r="AT83" s="420" t="s">
        <v>585</v>
      </c>
      <c r="AU83" s="420" t="s">
        <v>585</v>
      </c>
      <c r="AV83" s="420" t="s">
        <v>585</v>
      </c>
      <c r="AW83" s="420" t="s">
        <v>585</v>
      </c>
      <c r="AX83" s="420" t="s">
        <v>585</v>
      </c>
      <c r="AY83" s="421" t="s">
        <v>585</v>
      </c>
      <c r="AZ83" s="422" t="s">
        <v>585</v>
      </c>
      <c r="BA83" s="420" t="s">
        <v>585</v>
      </c>
      <c r="BB83" s="420" t="s">
        <v>585</v>
      </c>
      <c r="BC83" s="420" t="s">
        <v>585</v>
      </c>
      <c r="BD83" s="420" t="s">
        <v>585</v>
      </c>
      <c r="BE83" s="420" t="s">
        <v>585</v>
      </c>
      <c r="BF83" s="423" t="s">
        <v>585</v>
      </c>
      <c r="BG83" s="424" t="s">
        <v>585</v>
      </c>
      <c r="BH83" s="424">
        <v>1</v>
      </c>
      <c r="BI83" s="424" t="s">
        <v>585</v>
      </c>
      <c r="BJ83" s="422">
        <v>1</v>
      </c>
      <c r="BK83" s="420" t="s">
        <v>585</v>
      </c>
      <c r="BL83" s="420" t="s">
        <v>585</v>
      </c>
      <c r="BM83" s="420" t="s">
        <v>585</v>
      </c>
      <c r="BN83" s="420" t="s">
        <v>585</v>
      </c>
      <c r="BO83" s="420" t="s">
        <v>585</v>
      </c>
      <c r="BP83" s="420" t="s">
        <v>585</v>
      </c>
      <c r="BQ83" s="423">
        <v>1</v>
      </c>
      <c r="BR83" s="419">
        <v>4</v>
      </c>
      <c r="BS83" s="420" t="s">
        <v>585</v>
      </c>
      <c r="BT83" s="420" t="s">
        <v>585</v>
      </c>
      <c r="BU83" s="420">
        <v>21</v>
      </c>
      <c r="BV83" s="420" t="s">
        <v>585</v>
      </c>
      <c r="BW83" s="420" t="s">
        <v>585</v>
      </c>
      <c r="BX83" s="420">
        <v>1</v>
      </c>
      <c r="BY83" s="420" t="s">
        <v>585</v>
      </c>
      <c r="BZ83" s="420" t="s">
        <v>585</v>
      </c>
      <c r="CA83" s="420" t="s">
        <v>585</v>
      </c>
      <c r="CB83" s="420" t="s">
        <v>585</v>
      </c>
      <c r="CC83" s="421">
        <v>26</v>
      </c>
      <c r="CD83" s="422" t="s">
        <v>585</v>
      </c>
      <c r="CE83" s="420" t="s">
        <v>585</v>
      </c>
      <c r="CF83" s="423" t="s">
        <v>585</v>
      </c>
      <c r="CG83" s="424" t="s">
        <v>585</v>
      </c>
      <c r="CH83" s="424" t="s">
        <v>585</v>
      </c>
      <c r="CI83" s="422" t="s">
        <v>585</v>
      </c>
      <c r="CJ83" s="420" t="s">
        <v>585</v>
      </c>
      <c r="CK83" s="420" t="s">
        <v>585</v>
      </c>
      <c r="CL83" s="423" t="s">
        <v>585</v>
      </c>
      <c r="CM83" s="424" t="s">
        <v>585</v>
      </c>
      <c r="CN83" s="422" t="s">
        <v>585</v>
      </c>
      <c r="CO83" s="420" t="s">
        <v>585</v>
      </c>
      <c r="CP83" s="423" t="s">
        <v>585</v>
      </c>
      <c r="CQ83" s="424" t="s">
        <v>585</v>
      </c>
      <c r="CR83" s="424" t="s">
        <v>585</v>
      </c>
      <c r="CS83" s="422" t="s">
        <v>585</v>
      </c>
      <c r="CT83" s="420" t="s">
        <v>585</v>
      </c>
      <c r="CU83" s="420" t="s">
        <v>585</v>
      </c>
      <c r="CV83" s="423" t="s">
        <v>585</v>
      </c>
      <c r="CW83" s="426">
        <v>88</v>
      </c>
      <c r="CX83" s="427">
        <f>88/538718</f>
        <v>1.6335076979050265E-4</v>
      </c>
      <c r="CY83" s="276"/>
      <c r="CZ83" s="276"/>
      <c r="DA83" s="276"/>
    </row>
    <row r="84" spans="1:105" x14ac:dyDescent="0.2">
      <c r="A84" s="208"/>
      <c r="B84" s="410" t="s">
        <v>201</v>
      </c>
      <c r="C84" s="419" t="s">
        <v>585</v>
      </c>
      <c r="D84" s="420">
        <v>2</v>
      </c>
      <c r="E84" s="420">
        <v>8</v>
      </c>
      <c r="F84" s="421">
        <v>10</v>
      </c>
      <c r="G84" s="422">
        <v>47</v>
      </c>
      <c r="H84" s="420">
        <v>20</v>
      </c>
      <c r="I84" s="420">
        <v>1</v>
      </c>
      <c r="J84" s="420" t="s">
        <v>585</v>
      </c>
      <c r="K84" s="420" t="s">
        <v>585</v>
      </c>
      <c r="L84" s="423">
        <v>68</v>
      </c>
      <c r="M84" s="424" t="s">
        <v>585</v>
      </c>
      <c r="N84" s="422">
        <v>876</v>
      </c>
      <c r="O84" s="420" t="s">
        <v>585</v>
      </c>
      <c r="P84" s="420" t="s">
        <v>585</v>
      </c>
      <c r="Q84" s="423">
        <v>876</v>
      </c>
      <c r="R84" s="419" t="s">
        <v>585</v>
      </c>
      <c r="S84" s="420" t="s">
        <v>585</v>
      </c>
      <c r="T84" s="420" t="s">
        <v>585</v>
      </c>
      <c r="U84" s="421" t="s">
        <v>585</v>
      </c>
      <c r="V84" s="425" t="s">
        <v>585</v>
      </c>
      <c r="W84" s="424">
        <v>123</v>
      </c>
      <c r="X84" s="422">
        <v>10</v>
      </c>
      <c r="Y84" s="420" t="s">
        <v>585</v>
      </c>
      <c r="Z84" s="420" t="s">
        <v>585</v>
      </c>
      <c r="AA84" s="420" t="s">
        <v>585</v>
      </c>
      <c r="AB84" s="420" t="s">
        <v>585</v>
      </c>
      <c r="AC84" s="420" t="s">
        <v>585</v>
      </c>
      <c r="AD84" s="423">
        <v>10</v>
      </c>
      <c r="AE84" s="424">
        <v>2</v>
      </c>
      <c r="AF84" s="422">
        <v>124</v>
      </c>
      <c r="AG84" s="420" t="s">
        <v>585</v>
      </c>
      <c r="AH84" s="420" t="s">
        <v>585</v>
      </c>
      <c r="AI84" s="420" t="s">
        <v>585</v>
      </c>
      <c r="AJ84" s="420">
        <v>5</v>
      </c>
      <c r="AK84" s="420" t="s">
        <v>585</v>
      </c>
      <c r="AL84" s="420" t="s">
        <v>585</v>
      </c>
      <c r="AM84" s="420">
        <v>31</v>
      </c>
      <c r="AN84" s="420">
        <v>9</v>
      </c>
      <c r="AO84" s="420" t="s">
        <v>585</v>
      </c>
      <c r="AP84" s="423">
        <v>169</v>
      </c>
      <c r="AQ84" s="419" t="s">
        <v>585</v>
      </c>
      <c r="AR84" s="420">
        <v>35</v>
      </c>
      <c r="AS84" s="420" t="s">
        <v>585</v>
      </c>
      <c r="AT84" s="420" t="s">
        <v>585</v>
      </c>
      <c r="AU84" s="420" t="s">
        <v>585</v>
      </c>
      <c r="AV84" s="420" t="s">
        <v>585</v>
      </c>
      <c r="AW84" s="420" t="s">
        <v>585</v>
      </c>
      <c r="AX84" s="420" t="s">
        <v>585</v>
      </c>
      <c r="AY84" s="421">
        <v>35</v>
      </c>
      <c r="AZ84" s="422" t="s">
        <v>585</v>
      </c>
      <c r="BA84" s="420" t="s">
        <v>585</v>
      </c>
      <c r="BB84" s="420" t="s">
        <v>585</v>
      </c>
      <c r="BC84" s="420" t="s">
        <v>585</v>
      </c>
      <c r="BD84" s="420" t="s">
        <v>585</v>
      </c>
      <c r="BE84" s="420" t="s">
        <v>585</v>
      </c>
      <c r="BF84" s="423" t="s">
        <v>585</v>
      </c>
      <c r="BG84" s="424" t="s">
        <v>585</v>
      </c>
      <c r="BH84" s="424">
        <v>273</v>
      </c>
      <c r="BI84" s="424" t="s">
        <v>585</v>
      </c>
      <c r="BJ84" s="422">
        <v>424</v>
      </c>
      <c r="BK84" s="420" t="s">
        <v>585</v>
      </c>
      <c r="BL84" s="420">
        <v>294</v>
      </c>
      <c r="BM84" s="420">
        <v>25</v>
      </c>
      <c r="BN84" s="420">
        <v>9</v>
      </c>
      <c r="BO84" s="420" t="s">
        <v>585</v>
      </c>
      <c r="BP84" s="420" t="s">
        <v>585</v>
      </c>
      <c r="BQ84" s="423">
        <v>752</v>
      </c>
      <c r="BR84" s="419">
        <v>393</v>
      </c>
      <c r="BS84" s="420" t="s">
        <v>585</v>
      </c>
      <c r="BT84" s="420">
        <v>15</v>
      </c>
      <c r="BU84" s="420">
        <v>1250</v>
      </c>
      <c r="BV84" s="420">
        <v>6</v>
      </c>
      <c r="BW84" s="420" t="s">
        <v>585</v>
      </c>
      <c r="BX84" s="420">
        <v>97</v>
      </c>
      <c r="BY84" s="420" t="s">
        <v>585</v>
      </c>
      <c r="BZ84" s="420" t="s">
        <v>585</v>
      </c>
      <c r="CA84" s="420" t="s">
        <v>585</v>
      </c>
      <c r="CB84" s="420" t="s">
        <v>585</v>
      </c>
      <c r="CC84" s="421">
        <v>1761</v>
      </c>
      <c r="CD84" s="422">
        <v>2</v>
      </c>
      <c r="CE84" s="420" t="s">
        <v>585</v>
      </c>
      <c r="CF84" s="423">
        <v>2</v>
      </c>
      <c r="CG84" s="424" t="s">
        <v>585</v>
      </c>
      <c r="CH84" s="424">
        <v>8</v>
      </c>
      <c r="CI84" s="422">
        <v>49</v>
      </c>
      <c r="CJ84" s="420">
        <v>3</v>
      </c>
      <c r="CK84" s="420">
        <v>1</v>
      </c>
      <c r="CL84" s="423">
        <v>53</v>
      </c>
      <c r="CM84" s="424" t="s">
        <v>585</v>
      </c>
      <c r="CN84" s="422">
        <v>129</v>
      </c>
      <c r="CO84" s="420" t="s">
        <v>585</v>
      </c>
      <c r="CP84" s="423">
        <v>129</v>
      </c>
      <c r="CQ84" s="424">
        <v>32</v>
      </c>
      <c r="CR84" s="424">
        <v>54</v>
      </c>
      <c r="CS84" s="422">
        <v>52</v>
      </c>
      <c r="CT84" s="420">
        <v>92</v>
      </c>
      <c r="CU84" s="420">
        <v>2</v>
      </c>
      <c r="CV84" s="423">
        <v>146</v>
      </c>
      <c r="CW84" s="426">
        <v>4503</v>
      </c>
      <c r="CX84" s="427">
        <f>4503/538718</f>
        <v>8.3587331405299246E-3</v>
      </c>
      <c r="CY84" s="276"/>
      <c r="CZ84" s="276"/>
      <c r="DA84" s="276"/>
    </row>
    <row r="85" spans="1:105" x14ac:dyDescent="0.2">
      <c r="A85" s="208"/>
      <c r="B85" s="410" t="s">
        <v>214</v>
      </c>
      <c r="C85" s="419" t="s">
        <v>585</v>
      </c>
      <c r="D85" s="420" t="s">
        <v>585</v>
      </c>
      <c r="E85" s="420" t="s">
        <v>585</v>
      </c>
      <c r="F85" s="421" t="s">
        <v>585</v>
      </c>
      <c r="G85" s="422" t="s">
        <v>585</v>
      </c>
      <c r="H85" s="420" t="s">
        <v>585</v>
      </c>
      <c r="I85" s="420">
        <v>1</v>
      </c>
      <c r="J85" s="420" t="s">
        <v>585</v>
      </c>
      <c r="K85" s="420" t="s">
        <v>585</v>
      </c>
      <c r="L85" s="423">
        <v>1</v>
      </c>
      <c r="M85" s="424" t="s">
        <v>585</v>
      </c>
      <c r="N85" s="422">
        <v>544</v>
      </c>
      <c r="O85" s="420" t="s">
        <v>585</v>
      </c>
      <c r="P85" s="420" t="s">
        <v>585</v>
      </c>
      <c r="Q85" s="423">
        <v>544</v>
      </c>
      <c r="R85" s="419" t="s">
        <v>585</v>
      </c>
      <c r="S85" s="420" t="s">
        <v>585</v>
      </c>
      <c r="T85" s="420" t="s">
        <v>585</v>
      </c>
      <c r="U85" s="421" t="s">
        <v>585</v>
      </c>
      <c r="V85" s="425" t="s">
        <v>585</v>
      </c>
      <c r="W85" s="424">
        <v>8</v>
      </c>
      <c r="X85" s="422">
        <v>16</v>
      </c>
      <c r="Y85" s="420" t="s">
        <v>585</v>
      </c>
      <c r="Z85" s="420" t="s">
        <v>585</v>
      </c>
      <c r="AA85" s="420" t="s">
        <v>585</v>
      </c>
      <c r="AB85" s="420" t="s">
        <v>585</v>
      </c>
      <c r="AC85" s="420" t="s">
        <v>585</v>
      </c>
      <c r="AD85" s="423">
        <v>16</v>
      </c>
      <c r="AE85" s="424" t="s">
        <v>585</v>
      </c>
      <c r="AF85" s="422" t="s">
        <v>585</v>
      </c>
      <c r="AG85" s="420" t="s">
        <v>585</v>
      </c>
      <c r="AH85" s="420" t="s">
        <v>585</v>
      </c>
      <c r="AI85" s="420" t="s">
        <v>585</v>
      </c>
      <c r="AJ85" s="420" t="s">
        <v>585</v>
      </c>
      <c r="AK85" s="420" t="s">
        <v>585</v>
      </c>
      <c r="AL85" s="420" t="s">
        <v>585</v>
      </c>
      <c r="AM85" s="420" t="s">
        <v>585</v>
      </c>
      <c r="AN85" s="420" t="s">
        <v>585</v>
      </c>
      <c r="AO85" s="420" t="s">
        <v>585</v>
      </c>
      <c r="AP85" s="423" t="s">
        <v>585</v>
      </c>
      <c r="AQ85" s="419" t="s">
        <v>585</v>
      </c>
      <c r="AR85" s="420">
        <v>1</v>
      </c>
      <c r="AS85" s="420" t="s">
        <v>585</v>
      </c>
      <c r="AT85" s="420" t="s">
        <v>585</v>
      </c>
      <c r="AU85" s="420" t="s">
        <v>585</v>
      </c>
      <c r="AV85" s="420" t="s">
        <v>585</v>
      </c>
      <c r="AW85" s="420" t="s">
        <v>585</v>
      </c>
      <c r="AX85" s="420" t="s">
        <v>585</v>
      </c>
      <c r="AY85" s="421">
        <v>1</v>
      </c>
      <c r="AZ85" s="422" t="s">
        <v>585</v>
      </c>
      <c r="BA85" s="420" t="s">
        <v>585</v>
      </c>
      <c r="BB85" s="420" t="s">
        <v>585</v>
      </c>
      <c r="BC85" s="420" t="s">
        <v>585</v>
      </c>
      <c r="BD85" s="420" t="s">
        <v>585</v>
      </c>
      <c r="BE85" s="420" t="s">
        <v>585</v>
      </c>
      <c r="BF85" s="423" t="s">
        <v>585</v>
      </c>
      <c r="BG85" s="424" t="s">
        <v>585</v>
      </c>
      <c r="BH85" s="424">
        <v>13</v>
      </c>
      <c r="BI85" s="424" t="s">
        <v>585</v>
      </c>
      <c r="BJ85" s="422">
        <v>29</v>
      </c>
      <c r="BK85" s="420" t="s">
        <v>585</v>
      </c>
      <c r="BL85" s="420" t="s">
        <v>585</v>
      </c>
      <c r="BM85" s="420" t="s">
        <v>585</v>
      </c>
      <c r="BN85" s="420" t="s">
        <v>585</v>
      </c>
      <c r="BO85" s="420" t="s">
        <v>585</v>
      </c>
      <c r="BP85" s="420" t="s">
        <v>585</v>
      </c>
      <c r="BQ85" s="423">
        <v>29</v>
      </c>
      <c r="BR85" s="419">
        <v>490</v>
      </c>
      <c r="BS85" s="420" t="s">
        <v>585</v>
      </c>
      <c r="BT85" s="420">
        <v>6</v>
      </c>
      <c r="BU85" s="420">
        <v>234</v>
      </c>
      <c r="BV85" s="420" t="s">
        <v>585</v>
      </c>
      <c r="BW85" s="420" t="s">
        <v>585</v>
      </c>
      <c r="BX85" s="420">
        <v>58</v>
      </c>
      <c r="BY85" s="420" t="s">
        <v>585</v>
      </c>
      <c r="BZ85" s="420" t="s">
        <v>585</v>
      </c>
      <c r="CA85" s="420" t="s">
        <v>585</v>
      </c>
      <c r="CB85" s="420" t="s">
        <v>585</v>
      </c>
      <c r="CC85" s="421">
        <v>788</v>
      </c>
      <c r="CD85" s="422" t="s">
        <v>585</v>
      </c>
      <c r="CE85" s="420" t="s">
        <v>585</v>
      </c>
      <c r="CF85" s="423" t="s">
        <v>585</v>
      </c>
      <c r="CG85" s="424" t="s">
        <v>585</v>
      </c>
      <c r="CH85" s="424" t="s">
        <v>585</v>
      </c>
      <c r="CI85" s="422" t="s">
        <v>585</v>
      </c>
      <c r="CJ85" s="420" t="s">
        <v>585</v>
      </c>
      <c r="CK85" s="420">
        <v>1</v>
      </c>
      <c r="CL85" s="423">
        <v>1</v>
      </c>
      <c r="CM85" s="424" t="s">
        <v>585</v>
      </c>
      <c r="CN85" s="422">
        <v>10</v>
      </c>
      <c r="CO85" s="420" t="s">
        <v>585</v>
      </c>
      <c r="CP85" s="423">
        <v>10</v>
      </c>
      <c r="CQ85" s="424" t="s">
        <v>585</v>
      </c>
      <c r="CR85" s="424" t="s">
        <v>585</v>
      </c>
      <c r="CS85" s="422" t="s">
        <v>585</v>
      </c>
      <c r="CT85" s="420" t="s">
        <v>585</v>
      </c>
      <c r="CU85" s="420" t="s">
        <v>585</v>
      </c>
      <c r="CV85" s="423" t="s">
        <v>585</v>
      </c>
      <c r="CW85" s="426">
        <v>1411</v>
      </c>
      <c r="CX85" s="427">
        <f>1411/538718</f>
        <v>2.6191810928909002E-3</v>
      </c>
      <c r="CY85" s="276"/>
      <c r="CZ85" s="276"/>
      <c r="DA85" s="276"/>
    </row>
    <row r="86" spans="1:105" x14ac:dyDescent="0.2">
      <c r="A86" s="208"/>
      <c r="B86" s="410" t="s">
        <v>218</v>
      </c>
      <c r="C86" s="419" t="s">
        <v>585</v>
      </c>
      <c r="D86" s="420" t="s">
        <v>585</v>
      </c>
      <c r="E86" s="420">
        <v>1</v>
      </c>
      <c r="F86" s="421">
        <v>1</v>
      </c>
      <c r="G86" s="422" t="s">
        <v>585</v>
      </c>
      <c r="H86" s="420" t="s">
        <v>585</v>
      </c>
      <c r="I86" s="420" t="s">
        <v>585</v>
      </c>
      <c r="J86" s="420" t="s">
        <v>585</v>
      </c>
      <c r="K86" s="420" t="s">
        <v>585</v>
      </c>
      <c r="L86" s="423" t="s">
        <v>585</v>
      </c>
      <c r="M86" s="424" t="s">
        <v>585</v>
      </c>
      <c r="N86" s="422">
        <v>182</v>
      </c>
      <c r="O86" s="420" t="s">
        <v>585</v>
      </c>
      <c r="P86" s="420" t="s">
        <v>585</v>
      </c>
      <c r="Q86" s="423">
        <v>182</v>
      </c>
      <c r="R86" s="419" t="s">
        <v>585</v>
      </c>
      <c r="S86" s="420" t="s">
        <v>585</v>
      </c>
      <c r="T86" s="420" t="s">
        <v>585</v>
      </c>
      <c r="U86" s="421" t="s">
        <v>585</v>
      </c>
      <c r="V86" s="425" t="s">
        <v>585</v>
      </c>
      <c r="W86" s="424" t="s">
        <v>585</v>
      </c>
      <c r="X86" s="422">
        <v>26</v>
      </c>
      <c r="Y86" s="420" t="s">
        <v>585</v>
      </c>
      <c r="Z86" s="420" t="s">
        <v>585</v>
      </c>
      <c r="AA86" s="420" t="s">
        <v>585</v>
      </c>
      <c r="AB86" s="420" t="s">
        <v>585</v>
      </c>
      <c r="AC86" s="420" t="s">
        <v>585</v>
      </c>
      <c r="AD86" s="423">
        <v>26</v>
      </c>
      <c r="AE86" s="424" t="s">
        <v>585</v>
      </c>
      <c r="AF86" s="422">
        <v>11</v>
      </c>
      <c r="AG86" s="420" t="s">
        <v>585</v>
      </c>
      <c r="AH86" s="420" t="s">
        <v>585</v>
      </c>
      <c r="AI86" s="420" t="s">
        <v>585</v>
      </c>
      <c r="AJ86" s="420" t="s">
        <v>585</v>
      </c>
      <c r="AK86" s="420" t="s">
        <v>585</v>
      </c>
      <c r="AL86" s="420" t="s">
        <v>585</v>
      </c>
      <c r="AM86" s="420" t="s">
        <v>585</v>
      </c>
      <c r="AN86" s="420" t="s">
        <v>585</v>
      </c>
      <c r="AO86" s="420" t="s">
        <v>585</v>
      </c>
      <c r="AP86" s="423">
        <v>11</v>
      </c>
      <c r="AQ86" s="419" t="s">
        <v>585</v>
      </c>
      <c r="AR86" s="420">
        <v>38</v>
      </c>
      <c r="AS86" s="420" t="s">
        <v>585</v>
      </c>
      <c r="AT86" s="420" t="s">
        <v>585</v>
      </c>
      <c r="AU86" s="420" t="s">
        <v>585</v>
      </c>
      <c r="AV86" s="420" t="s">
        <v>585</v>
      </c>
      <c r="AW86" s="420" t="s">
        <v>585</v>
      </c>
      <c r="AX86" s="420" t="s">
        <v>585</v>
      </c>
      <c r="AY86" s="421">
        <v>38</v>
      </c>
      <c r="AZ86" s="422" t="s">
        <v>585</v>
      </c>
      <c r="BA86" s="420" t="s">
        <v>585</v>
      </c>
      <c r="BB86" s="420" t="s">
        <v>585</v>
      </c>
      <c r="BC86" s="420" t="s">
        <v>585</v>
      </c>
      <c r="BD86" s="420" t="s">
        <v>585</v>
      </c>
      <c r="BE86" s="420" t="s">
        <v>585</v>
      </c>
      <c r="BF86" s="423" t="s">
        <v>585</v>
      </c>
      <c r="BG86" s="424" t="s">
        <v>585</v>
      </c>
      <c r="BH86" s="424">
        <v>4</v>
      </c>
      <c r="BI86" s="424" t="s">
        <v>585</v>
      </c>
      <c r="BJ86" s="422">
        <v>1</v>
      </c>
      <c r="BK86" s="420" t="s">
        <v>585</v>
      </c>
      <c r="BL86" s="420">
        <v>1</v>
      </c>
      <c r="BM86" s="420">
        <v>6</v>
      </c>
      <c r="BN86" s="420" t="s">
        <v>585</v>
      </c>
      <c r="BO86" s="420" t="s">
        <v>585</v>
      </c>
      <c r="BP86" s="420" t="s">
        <v>585</v>
      </c>
      <c r="BQ86" s="423">
        <v>8</v>
      </c>
      <c r="BR86" s="419">
        <v>129</v>
      </c>
      <c r="BS86" s="420" t="s">
        <v>585</v>
      </c>
      <c r="BT86" s="420">
        <v>4</v>
      </c>
      <c r="BU86" s="420">
        <v>73</v>
      </c>
      <c r="BV86" s="420" t="s">
        <v>585</v>
      </c>
      <c r="BW86" s="420" t="s">
        <v>585</v>
      </c>
      <c r="BX86" s="420">
        <v>90</v>
      </c>
      <c r="BY86" s="420" t="s">
        <v>585</v>
      </c>
      <c r="BZ86" s="420" t="s">
        <v>585</v>
      </c>
      <c r="CA86" s="420" t="s">
        <v>585</v>
      </c>
      <c r="CB86" s="420" t="s">
        <v>585</v>
      </c>
      <c r="CC86" s="421">
        <v>296</v>
      </c>
      <c r="CD86" s="422" t="s">
        <v>585</v>
      </c>
      <c r="CE86" s="420" t="s">
        <v>585</v>
      </c>
      <c r="CF86" s="423" t="s">
        <v>585</v>
      </c>
      <c r="CG86" s="424" t="s">
        <v>585</v>
      </c>
      <c r="CH86" s="424" t="s">
        <v>585</v>
      </c>
      <c r="CI86" s="422" t="s">
        <v>585</v>
      </c>
      <c r="CJ86" s="420" t="s">
        <v>585</v>
      </c>
      <c r="CK86" s="420" t="s">
        <v>585</v>
      </c>
      <c r="CL86" s="423" t="s">
        <v>585</v>
      </c>
      <c r="CM86" s="424" t="s">
        <v>585</v>
      </c>
      <c r="CN86" s="422" t="s">
        <v>585</v>
      </c>
      <c r="CO86" s="420" t="s">
        <v>585</v>
      </c>
      <c r="CP86" s="423" t="s">
        <v>585</v>
      </c>
      <c r="CQ86" s="424" t="s">
        <v>585</v>
      </c>
      <c r="CR86" s="424" t="s">
        <v>585</v>
      </c>
      <c r="CS86" s="422" t="s">
        <v>585</v>
      </c>
      <c r="CT86" s="420" t="s">
        <v>585</v>
      </c>
      <c r="CU86" s="420" t="s">
        <v>585</v>
      </c>
      <c r="CV86" s="423" t="s">
        <v>585</v>
      </c>
      <c r="CW86" s="426">
        <v>566</v>
      </c>
      <c r="CX86" s="427">
        <f>566/538718</f>
        <v>1.0506424511525512E-3</v>
      </c>
      <c r="CY86" s="276"/>
      <c r="CZ86" s="276"/>
      <c r="DA86" s="276"/>
    </row>
    <row r="87" spans="1:105" ht="13.5" thickBot="1" x14ac:dyDescent="0.25">
      <c r="A87" s="208"/>
      <c r="B87" s="411" t="s">
        <v>685</v>
      </c>
      <c r="C87" s="428" t="s">
        <v>585</v>
      </c>
      <c r="D87" s="429" t="s">
        <v>585</v>
      </c>
      <c r="E87" s="429" t="s">
        <v>585</v>
      </c>
      <c r="F87" s="430" t="s">
        <v>585</v>
      </c>
      <c r="G87" s="431">
        <v>1</v>
      </c>
      <c r="H87" s="429" t="s">
        <v>585</v>
      </c>
      <c r="I87" s="429" t="s">
        <v>585</v>
      </c>
      <c r="J87" s="429" t="s">
        <v>585</v>
      </c>
      <c r="K87" s="429" t="s">
        <v>585</v>
      </c>
      <c r="L87" s="432">
        <v>1</v>
      </c>
      <c r="M87" s="433" t="s">
        <v>585</v>
      </c>
      <c r="N87" s="431">
        <v>348</v>
      </c>
      <c r="O87" s="429" t="s">
        <v>585</v>
      </c>
      <c r="P87" s="429">
        <v>3</v>
      </c>
      <c r="Q87" s="432">
        <v>351</v>
      </c>
      <c r="R87" s="428" t="s">
        <v>585</v>
      </c>
      <c r="S87" s="429" t="s">
        <v>585</v>
      </c>
      <c r="T87" s="429" t="s">
        <v>585</v>
      </c>
      <c r="U87" s="430" t="s">
        <v>585</v>
      </c>
      <c r="V87" s="434" t="s">
        <v>585</v>
      </c>
      <c r="W87" s="433" t="s">
        <v>585</v>
      </c>
      <c r="X87" s="431" t="s">
        <v>585</v>
      </c>
      <c r="Y87" s="429" t="s">
        <v>585</v>
      </c>
      <c r="Z87" s="429" t="s">
        <v>585</v>
      </c>
      <c r="AA87" s="429" t="s">
        <v>585</v>
      </c>
      <c r="AB87" s="429" t="s">
        <v>585</v>
      </c>
      <c r="AC87" s="429" t="s">
        <v>585</v>
      </c>
      <c r="AD87" s="432" t="s">
        <v>585</v>
      </c>
      <c r="AE87" s="433" t="s">
        <v>585</v>
      </c>
      <c r="AF87" s="431">
        <v>1</v>
      </c>
      <c r="AG87" s="429" t="s">
        <v>585</v>
      </c>
      <c r="AH87" s="429" t="s">
        <v>585</v>
      </c>
      <c r="AI87" s="429" t="s">
        <v>585</v>
      </c>
      <c r="AJ87" s="429" t="s">
        <v>585</v>
      </c>
      <c r="AK87" s="429" t="s">
        <v>585</v>
      </c>
      <c r="AL87" s="429" t="s">
        <v>585</v>
      </c>
      <c r="AM87" s="429" t="s">
        <v>585</v>
      </c>
      <c r="AN87" s="429" t="s">
        <v>585</v>
      </c>
      <c r="AO87" s="429" t="s">
        <v>585</v>
      </c>
      <c r="AP87" s="432">
        <v>1</v>
      </c>
      <c r="AQ87" s="428" t="s">
        <v>585</v>
      </c>
      <c r="AR87" s="429" t="s">
        <v>585</v>
      </c>
      <c r="AS87" s="429" t="s">
        <v>585</v>
      </c>
      <c r="AT87" s="429" t="s">
        <v>585</v>
      </c>
      <c r="AU87" s="429" t="s">
        <v>585</v>
      </c>
      <c r="AV87" s="429" t="s">
        <v>585</v>
      </c>
      <c r="AW87" s="429" t="s">
        <v>585</v>
      </c>
      <c r="AX87" s="429" t="s">
        <v>585</v>
      </c>
      <c r="AY87" s="430" t="s">
        <v>585</v>
      </c>
      <c r="AZ87" s="431" t="s">
        <v>585</v>
      </c>
      <c r="BA87" s="429" t="s">
        <v>585</v>
      </c>
      <c r="BB87" s="429" t="s">
        <v>585</v>
      </c>
      <c r="BC87" s="429" t="s">
        <v>585</v>
      </c>
      <c r="BD87" s="429" t="s">
        <v>585</v>
      </c>
      <c r="BE87" s="429" t="s">
        <v>585</v>
      </c>
      <c r="BF87" s="432" t="s">
        <v>585</v>
      </c>
      <c r="BG87" s="433" t="s">
        <v>585</v>
      </c>
      <c r="BH87" s="433" t="s">
        <v>585</v>
      </c>
      <c r="BI87" s="433" t="s">
        <v>585</v>
      </c>
      <c r="BJ87" s="431" t="s">
        <v>585</v>
      </c>
      <c r="BK87" s="429" t="s">
        <v>585</v>
      </c>
      <c r="BL87" s="429" t="s">
        <v>585</v>
      </c>
      <c r="BM87" s="429" t="s">
        <v>585</v>
      </c>
      <c r="BN87" s="429" t="s">
        <v>585</v>
      </c>
      <c r="BO87" s="429" t="s">
        <v>585</v>
      </c>
      <c r="BP87" s="429" t="s">
        <v>585</v>
      </c>
      <c r="BQ87" s="432" t="s">
        <v>585</v>
      </c>
      <c r="BR87" s="428">
        <v>27</v>
      </c>
      <c r="BS87" s="429" t="s">
        <v>585</v>
      </c>
      <c r="BT87" s="429" t="s">
        <v>585</v>
      </c>
      <c r="BU87" s="429">
        <v>19</v>
      </c>
      <c r="BV87" s="429">
        <v>2</v>
      </c>
      <c r="BW87" s="429" t="s">
        <v>585</v>
      </c>
      <c r="BX87" s="429">
        <v>10</v>
      </c>
      <c r="BY87" s="429" t="s">
        <v>585</v>
      </c>
      <c r="BZ87" s="429" t="s">
        <v>585</v>
      </c>
      <c r="CA87" s="429" t="s">
        <v>585</v>
      </c>
      <c r="CB87" s="429" t="s">
        <v>585</v>
      </c>
      <c r="CC87" s="430">
        <v>58</v>
      </c>
      <c r="CD87" s="431" t="s">
        <v>585</v>
      </c>
      <c r="CE87" s="429" t="s">
        <v>585</v>
      </c>
      <c r="CF87" s="432" t="s">
        <v>585</v>
      </c>
      <c r="CG87" s="433" t="s">
        <v>585</v>
      </c>
      <c r="CH87" s="433" t="s">
        <v>585</v>
      </c>
      <c r="CI87" s="431" t="s">
        <v>585</v>
      </c>
      <c r="CJ87" s="429" t="s">
        <v>585</v>
      </c>
      <c r="CK87" s="429" t="s">
        <v>585</v>
      </c>
      <c r="CL87" s="432" t="s">
        <v>585</v>
      </c>
      <c r="CM87" s="433" t="s">
        <v>585</v>
      </c>
      <c r="CN87" s="431" t="s">
        <v>585</v>
      </c>
      <c r="CO87" s="429" t="s">
        <v>585</v>
      </c>
      <c r="CP87" s="432" t="s">
        <v>585</v>
      </c>
      <c r="CQ87" s="433" t="s">
        <v>585</v>
      </c>
      <c r="CR87" s="433" t="s">
        <v>585</v>
      </c>
      <c r="CS87" s="431" t="s">
        <v>585</v>
      </c>
      <c r="CT87" s="429" t="s">
        <v>585</v>
      </c>
      <c r="CU87" s="429" t="s">
        <v>585</v>
      </c>
      <c r="CV87" s="432" t="s">
        <v>585</v>
      </c>
      <c r="CW87" s="435">
        <v>411</v>
      </c>
      <c r="CX87" s="436">
        <f>411/538718</f>
        <v>7.629223452715521E-4</v>
      </c>
      <c r="CY87" s="276"/>
      <c r="CZ87" s="276"/>
      <c r="DA87" s="276"/>
    </row>
    <row r="88" spans="1:105" s="101" customFormat="1" ht="13.5" thickBot="1" x14ac:dyDescent="0.25">
      <c r="A88" s="208"/>
      <c r="B88" s="113" t="s">
        <v>695</v>
      </c>
      <c r="C88" s="437" t="s">
        <v>585</v>
      </c>
      <c r="D88" s="212">
        <v>17</v>
      </c>
      <c r="E88" s="212">
        <v>14</v>
      </c>
      <c r="F88" s="438">
        <v>31</v>
      </c>
      <c r="G88" s="439">
        <v>101</v>
      </c>
      <c r="H88" s="212">
        <v>60</v>
      </c>
      <c r="I88" s="212">
        <v>61</v>
      </c>
      <c r="J88" s="212" t="s">
        <v>585</v>
      </c>
      <c r="K88" s="212" t="s">
        <v>585</v>
      </c>
      <c r="L88" s="440">
        <v>222</v>
      </c>
      <c r="M88" s="209" t="s">
        <v>585</v>
      </c>
      <c r="N88" s="439">
        <v>6239</v>
      </c>
      <c r="O88" s="212" t="s">
        <v>585</v>
      </c>
      <c r="P88" s="212">
        <v>3</v>
      </c>
      <c r="Q88" s="440">
        <v>6242</v>
      </c>
      <c r="R88" s="437" t="s">
        <v>585</v>
      </c>
      <c r="S88" s="212" t="s">
        <v>585</v>
      </c>
      <c r="T88" s="212" t="s">
        <v>585</v>
      </c>
      <c r="U88" s="438" t="s">
        <v>585</v>
      </c>
      <c r="V88" s="213" t="s">
        <v>585</v>
      </c>
      <c r="W88" s="209">
        <v>462</v>
      </c>
      <c r="X88" s="439">
        <v>217</v>
      </c>
      <c r="Y88" s="212" t="s">
        <v>585</v>
      </c>
      <c r="Z88" s="212" t="s">
        <v>585</v>
      </c>
      <c r="AA88" s="212" t="s">
        <v>585</v>
      </c>
      <c r="AB88" s="212" t="s">
        <v>585</v>
      </c>
      <c r="AC88" s="212" t="s">
        <v>585</v>
      </c>
      <c r="AD88" s="440">
        <v>217</v>
      </c>
      <c r="AE88" s="209">
        <v>13</v>
      </c>
      <c r="AF88" s="439">
        <v>536</v>
      </c>
      <c r="AG88" s="212" t="s">
        <v>585</v>
      </c>
      <c r="AH88" s="212" t="s">
        <v>585</v>
      </c>
      <c r="AI88" s="212" t="s">
        <v>585</v>
      </c>
      <c r="AJ88" s="212">
        <v>50</v>
      </c>
      <c r="AK88" s="212" t="s">
        <v>585</v>
      </c>
      <c r="AL88" s="212" t="s">
        <v>585</v>
      </c>
      <c r="AM88" s="212">
        <v>151</v>
      </c>
      <c r="AN88" s="212">
        <v>42</v>
      </c>
      <c r="AO88" s="212" t="s">
        <v>585</v>
      </c>
      <c r="AP88" s="440">
        <v>779</v>
      </c>
      <c r="AQ88" s="437" t="s">
        <v>585</v>
      </c>
      <c r="AR88" s="212">
        <v>327</v>
      </c>
      <c r="AS88" s="212" t="s">
        <v>585</v>
      </c>
      <c r="AT88" s="212" t="s">
        <v>585</v>
      </c>
      <c r="AU88" s="212" t="s">
        <v>585</v>
      </c>
      <c r="AV88" s="212" t="s">
        <v>585</v>
      </c>
      <c r="AW88" s="212" t="s">
        <v>585</v>
      </c>
      <c r="AX88" s="212" t="s">
        <v>585</v>
      </c>
      <c r="AY88" s="438">
        <v>327</v>
      </c>
      <c r="AZ88" s="439" t="s">
        <v>585</v>
      </c>
      <c r="BA88" s="212" t="s">
        <v>585</v>
      </c>
      <c r="BB88" s="212" t="s">
        <v>585</v>
      </c>
      <c r="BC88" s="212" t="s">
        <v>585</v>
      </c>
      <c r="BD88" s="212" t="s">
        <v>585</v>
      </c>
      <c r="BE88" s="212" t="s">
        <v>585</v>
      </c>
      <c r="BF88" s="440" t="s">
        <v>585</v>
      </c>
      <c r="BG88" s="209" t="s">
        <v>585</v>
      </c>
      <c r="BH88" s="209">
        <v>1304</v>
      </c>
      <c r="BI88" s="209" t="s">
        <v>585</v>
      </c>
      <c r="BJ88" s="439">
        <v>1506</v>
      </c>
      <c r="BK88" s="212" t="s">
        <v>585</v>
      </c>
      <c r="BL88" s="212">
        <v>337</v>
      </c>
      <c r="BM88" s="212">
        <v>83</v>
      </c>
      <c r="BN88" s="212">
        <v>10</v>
      </c>
      <c r="BO88" s="212" t="s">
        <v>585</v>
      </c>
      <c r="BP88" s="212" t="s">
        <v>585</v>
      </c>
      <c r="BQ88" s="440">
        <v>1936</v>
      </c>
      <c r="BR88" s="437">
        <v>2548</v>
      </c>
      <c r="BS88" s="212" t="s">
        <v>585</v>
      </c>
      <c r="BT88" s="212">
        <v>68</v>
      </c>
      <c r="BU88" s="212">
        <v>3043</v>
      </c>
      <c r="BV88" s="212">
        <v>26</v>
      </c>
      <c r="BW88" s="212" t="s">
        <v>585</v>
      </c>
      <c r="BX88" s="212">
        <v>955</v>
      </c>
      <c r="BY88" s="212" t="s">
        <v>585</v>
      </c>
      <c r="BZ88" s="212" t="s">
        <v>585</v>
      </c>
      <c r="CA88" s="212" t="s">
        <v>585</v>
      </c>
      <c r="CB88" s="212" t="s">
        <v>585</v>
      </c>
      <c r="CC88" s="438">
        <v>6640</v>
      </c>
      <c r="CD88" s="439">
        <v>9</v>
      </c>
      <c r="CE88" s="212" t="s">
        <v>585</v>
      </c>
      <c r="CF88" s="440">
        <v>9</v>
      </c>
      <c r="CG88" s="209" t="s">
        <v>585</v>
      </c>
      <c r="CH88" s="209">
        <v>125</v>
      </c>
      <c r="CI88" s="439">
        <v>189</v>
      </c>
      <c r="CJ88" s="212">
        <v>8</v>
      </c>
      <c r="CK88" s="212">
        <v>3</v>
      </c>
      <c r="CL88" s="440">
        <v>200</v>
      </c>
      <c r="CM88" s="209" t="s">
        <v>585</v>
      </c>
      <c r="CN88" s="439">
        <v>421</v>
      </c>
      <c r="CO88" s="212" t="s">
        <v>585</v>
      </c>
      <c r="CP88" s="440">
        <v>421</v>
      </c>
      <c r="CQ88" s="209">
        <v>62</v>
      </c>
      <c r="CR88" s="209">
        <v>103</v>
      </c>
      <c r="CS88" s="439">
        <v>70</v>
      </c>
      <c r="CT88" s="212">
        <v>111</v>
      </c>
      <c r="CU88" s="212">
        <v>12</v>
      </c>
      <c r="CV88" s="440">
        <v>193</v>
      </c>
      <c r="CW88" s="210">
        <v>19286</v>
      </c>
      <c r="CX88" s="270">
        <f>19286/538718</f>
        <v>3.5799806206586751E-2</v>
      </c>
      <c r="CY88" s="277"/>
      <c r="CZ88" s="277"/>
      <c r="DA88" s="277"/>
    </row>
    <row r="89" spans="1:105" s="101" customFormat="1" ht="13.5" thickBot="1" x14ac:dyDescent="0.25">
      <c r="A89" s="208"/>
      <c r="B89" s="113" t="s">
        <v>696</v>
      </c>
      <c r="C89" s="437">
        <v>12</v>
      </c>
      <c r="D89" s="212">
        <v>27</v>
      </c>
      <c r="E89" s="212">
        <v>72</v>
      </c>
      <c r="F89" s="438">
        <v>111</v>
      </c>
      <c r="G89" s="439">
        <v>11029</v>
      </c>
      <c r="H89" s="212">
        <v>766</v>
      </c>
      <c r="I89" s="212">
        <v>2115</v>
      </c>
      <c r="J89" s="212" t="s">
        <v>585</v>
      </c>
      <c r="K89" s="212" t="s">
        <v>585</v>
      </c>
      <c r="L89" s="440">
        <v>13910</v>
      </c>
      <c r="M89" s="209" t="s">
        <v>585</v>
      </c>
      <c r="N89" s="439">
        <v>56563</v>
      </c>
      <c r="O89" s="212" t="s">
        <v>585</v>
      </c>
      <c r="P89" s="212">
        <v>627</v>
      </c>
      <c r="Q89" s="440">
        <v>57190</v>
      </c>
      <c r="R89" s="437" t="s">
        <v>585</v>
      </c>
      <c r="S89" s="212" t="s">
        <v>585</v>
      </c>
      <c r="T89" s="212" t="s">
        <v>585</v>
      </c>
      <c r="U89" s="438" t="s">
        <v>585</v>
      </c>
      <c r="V89" s="213">
        <v>4</v>
      </c>
      <c r="W89" s="209">
        <v>1155</v>
      </c>
      <c r="X89" s="439">
        <v>1223</v>
      </c>
      <c r="Y89" s="212" t="s">
        <v>585</v>
      </c>
      <c r="Z89" s="212">
        <v>278</v>
      </c>
      <c r="AA89" s="212" t="s">
        <v>585</v>
      </c>
      <c r="AB89" s="212" t="s">
        <v>585</v>
      </c>
      <c r="AC89" s="212" t="s">
        <v>585</v>
      </c>
      <c r="AD89" s="440">
        <v>1501</v>
      </c>
      <c r="AE89" s="209">
        <v>15</v>
      </c>
      <c r="AF89" s="439">
        <v>937</v>
      </c>
      <c r="AG89" s="212" t="s">
        <v>585</v>
      </c>
      <c r="AH89" s="212" t="s">
        <v>585</v>
      </c>
      <c r="AI89" s="212" t="s">
        <v>585</v>
      </c>
      <c r="AJ89" s="212">
        <v>67</v>
      </c>
      <c r="AK89" s="212" t="s">
        <v>585</v>
      </c>
      <c r="AL89" s="212" t="s">
        <v>585</v>
      </c>
      <c r="AM89" s="212">
        <v>260</v>
      </c>
      <c r="AN89" s="212">
        <v>56</v>
      </c>
      <c r="AO89" s="212" t="s">
        <v>585</v>
      </c>
      <c r="AP89" s="440">
        <v>1320</v>
      </c>
      <c r="AQ89" s="437" t="s">
        <v>585</v>
      </c>
      <c r="AR89" s="212">
        <v>4805</v>
      </c>
      <c r="AS89" s="212" t="s">
        <v>585</v>
      </c>
      <c r="AT89" s="212" t="s">
        <v>585</v>
      </c>
      <c r="AU89" s="212" t="s">
        <v>585</v>
      </c>
      <c r="AV89" s="212" t="s">
        <v>585</v>
      </c>
      <c r="AW89" s="212" t="s">
        <v>585</v>
      </c>
      <c r="AX89" s="212" t="s">
        <v>585</v>
      </c>
      <c r="AY89" s="438">
        <v>4805</v>
      </c>
      <c r="AZ89" s="439" t="s">
        <v>585</v>
      </c>
      <c r="BA89" s="212" t="s">
        <v>585</v>
      </c>
      <c r="BB89" s="212" t="s">
        <v>585</v>
      </c>
      <c r="BC89" s="212" t="s">
        <v>585</v>
      </c>
      <c r="BD89" s="212" t="s">
        <v>585</v>
      </c>
      <c r="BE89" s="212" t="s">
        <v>585</v>
      </c>
      <c r="BF89" s="440" t="s">
        <v>585</v>
      </c>
      <c r="BG89" s="209" t="s">
        <v>585</v>
      </c>
      <c r="BH89" s="209">
        <v>2312</v>
      </c>
      <c r="BI89" s="209" t="s">
        <v>585</v>
      </c>
      <c r="BJ89" s="439">
        <v>2636</v>
      </c>
      <c r="BK89" s="212" t="s">
        <v>585</v>
      </c>
      <c r="BL89" s="212">
        <v>1005</v>
      </c>
      <c r="BM89" s="212">
        <v>250</v>
      </c>
      <c r="BN89" s="212">
        <v>41</v>
      </c>
      <c r="BO89" s="212" t="s">
        <v>585</v>
      </c>
      <c r="BP89" s="212" t="s">
        <v>585</v>
      </c>
      <c r="BQ89" s="440">
        <v>3932</v>
      </c>
      <c r="BR89" s="437">
        <v>83243</v>
      </c>
      <c r="BS89" s="212" t="s">
        <v>585</v>
      </c>
      <c r="BT89" s="212">
        <v>1627</v>
      </c>
      <c r="BU89" s="212">
        <v>60610</v>
      </c>
      <c r="BV89" s="212">
        <v>1345</v>
      </c>
      <c r="BW89" s="212" t="s">
        <v>585</v>
      </c>
      <c r="BX89" s="212">
        <v>27585</v>
      </c>
      <c r="BY89" s="212" t="s">
        <v>585</v>
      </c>
      <c r="BZ89" s="212" t="s">
        <v>585</v>
      </c>
      <c r="CA89" s="212" t="s">
        <v>585</v>
      </c>
      <c r="CB89" s="212" t="s">
        <v>585</v>
      </c>
      <c r="CC89" s="438">
        <v>174410</v>
      </c>
      <c r="CD89" s="439">
        <v>63</v>
      </c>
      <c r="CE89" s="212" t="s">
        <v>585</v>
      </c>
      <c r="CF89" s="440">
        <v>63</v>
      </c>
      <c r="CG89" s="209" t="s">
        <v>585</v>
      </c>
      <c r="CH89" s="209">
        <v>171</v>
      </c>
      <c r="CI89" s="439">
        <v>322</v>
      </c>
      <c r="CJ89" s="212">
        <v>11</v>
      </c>
      <c r="CK89" s="212">
        <v>3</v>
      </c>
      <c r="CL89" s="440">
        <v>336</v>
      </c>
      <c r="CM89" s="209" t="s">
        <v>585</v>
      </c>
      <c r="CN89" s="439">
        <v>626</v>
      </c>
      <c r="CO89" s="212" t="s">
        <v>585</v>
      </c>
      <c r="CP89" s="440">
        <v>626</v>
      </c>
      <c r="CQ89" s="209">
        <v>206</v>
      </c>
      <c r="CR89" s="209">
        <v>397</v>
      </c>
      <c r="CS89" s="439">
        <v>247</v>
      </c>
      <c r="CT89" s="212">
        <v>225</v>
      </c>
      <c r="CU89" s="212">
        <v>26</v>
      </c>
      <c r="CV89" s="440">
        <v>498</v>
      </c>
      <c r="CW89" s="210">
        <v>262962</v>
      </c>
      <c r="CX89" s="270">
        <f>262962/538718</f>
        <v>0.48812551279147903</v>
      </c>
      <c r="CY89" s="277"/>
      <c r="CZ89" s="277"/>
      <c r="DA89" s="277"/>
    </row>
    <row r="90" spans="1:105" x14ac:dyDescent="0.2">
      <c r="A90" s="208"/>
      <c r="B90" s="304" t="s">
        <v>33</v>
      </c>
      <c r="C90" s="414">
        <v>2</v>
      </c>
      <c r="D90" s="305">
        <v>17</v>
      </c>
      <c r="E90" s="305" t="s">
        <v>585</v>
      </c>
      <c r="F90" s="415">
        <v>19</v>
      </c>
      <c r="G90" s="416" t="s">
        <v>585</v>
      </c>
      <c r="H90" s="305">
        <v>22</v>
      </c>
      <c r="I90" s="305" t="s">
        <v>585</v>
      </c>
      <c r="J90" s="305" t="s">
        <v>585</v>
      </c>
      <c r="K90" s="305" t="s">
        <v>585</v>
      </c>
      <c r="L90" s="417">
        <v>22</v>
      </c>
      <c r="M90" s="307" t="s">
        <v>585</v>
      </c>
      <c r="N90" s="416">
        <v>39</v>
      </c>
      <c r="O90" s="305" t="s">
        <v>585</v>
      </c>
      <c r="P90" s="305" t="s">
        <v>585</v>
      </c>
      <c r="Q90" s="417">
        <v>39</v>
      </c>
      <c r="R90" s="414" t="s">
        <v>585</v>
      </c>
      <c r="S90" s="305" t="s">
        <v>585</v>
      </c>
      <c r="T90" s="305" t="s">
        <v>585</v>
      </c>
      <c r="U90" s="415" t="s">
        <v>585</v>
      </c>
      <c r="V90" s="306">
        <v>32</v>
      </c>
      <c r="W90" s="307">
        <v>340</v>
      </c>
      <c r="X90" s="416">
        <v>2</v>
      </c>
      <c r="Y90" s="305" t="s">
        <v>585</v>
      </c>
      <c r="Z90" s="305" t="s">
        <v>585</v>
      </c>
      <c r="AA90" s="305" t="s">
        <v>585</v>
      </c>
      <c r="AB90" s="305" t="s">
        <v>585</v>
      </c>
      <c r="AC90" s="305" t="s">
        <v>585</v>
      </c>
      <c r="AD90" s="417">
        <v>2</v>
      </c>
      <c r="AE90" s="307">
        <v>544</v>
      </c>
      <c r="AF90" s="416">
        <v>320</v>
      </c>
      <c r="AG90" s="305" t="s">
        <v>585</v>
      </c>
      <c r="AH90" s="305" t="s">
        <v>585</v>
      </c>
      <c r="AI90" s="305" t="s">
        <v>585</v>
      </c>
      <c r="AJ90" s="305" t="s">
        <v>585</v>
      </c>
      <c r="AK90" s="305" t="s">
        <v>585</v>
      </c>
      <c r="AL90" s="305" t="s">
        <v>585</v>
      </c>
      <c r="AM90" s="305">
        <v>49</v>
      </c>
      <c r="AN90" s="305" t="s">
        <v>585</v>
      </c>
      <c r="AO90" s="305" t="s">
        <v>585</v>
      </c>
      <c r="AP90" s="417">
        <v>369</v>
      </c>
      <c r="AQ90" s="414" t="s">
        <v>585</v>
      </c>
      <c r="AR90" s="305">
        <v>2</v>
      </c>
      <c r="AS90" s="305" t="s">
        <v>585</v>
      </c>
      <c r="AT90" s="305" t="s">
        <v>585</v>
      </c>
      <c r="AU90" s="305" t="s">
        <v>585</v>
      </c>
      <c r="AV90" s="305" t="s">
        <v>585</v>
      </c>
      <c r="AW90" s="305" t="s">
        <v>585</v>
      </c>
      <c r="AX90" s="305" t="s">
        <v>585</v>
      </c>
      <c r="AY90" s="415">
        <v>2</v>
      </c>
      <c r="AZ90" s="416" t="s">
        <v>585</v>
      </c>
      <c r="BA90" s="305" t="s">
        <v>585</v>
      </c>
      <c r="BB90" s="305" t="s">
        <v>585</v>
      </c>
      <c r="BC90" s="305" t="s">
        <v>585</v>
      </c>
      <c r="BD90" s="305" t="s">
        <v>585</v>
      </c>
      <c r="BE90" s="305" t="s">
        <v>585</v>
      </c>
      <c r="BF90" s="417" t="s">
        <v>585</v>
      </c>
      <c r="BG90" s="307">
        <v>78</v>
      </c>
      <c r="BH90" s="307">
        <v>754</v>
      </c>
      <c r="BI90" s="307" t="s">
        <v>585</v>
      </c>
      <c r="BJ90" s="416">
        <v>563</v>
      </c>
      <c r="BK90" s="305" t="s">
        <v>585</v>
      </c>
      <c r="BL90" s="305">
        <v>277</v>
      </c>
      <c r="BM90" s="305">
        <v>1</v>
      </c>
      <c r="BN90" s="305">
        <v>1</v>
      </c>
      <c r="BO90" s="305" t="s">
        <v>585</v>
      </c>
      <c r="BP90" s="305" t="s">
        <v>585</v>
      </c>
      <c r="BQ90" s="417">
        <v>842</v>
      </c>
      <c r="BR90" s="414">
        <v>9</v>
      </c>
      <c r="BS90" s="305" t="s">
        <v>585</v>
      </c>
      <c r="BT90" s="305" t="s">
        <v>585</v>
      </c>
      <c r="BU90" s="305">
        <v>1</v>
      </c>
      <c r="BV90" s="305" t="s">
        <v>585</v>
      </c>
      <c r="BW90" s="305" t="s">
        <v>585</v>
      </c>
      <c r="BX90" s="305">
        <v>1</v>
      </c>
      <c r="BY90" s="305" t="s">
        <v>585</v>
      </c>
      <c r="BZ90" s="305" t="s">
        <v>585</v>
      </c>
      <c r="CA90" s="305" t="s">
        <v>585</v>
      </c>
      <c r="CB90" s="305" t="s">
        <v>585</v>
      </c>
      <c r="CC90" s="415">
        <v>11</v>
      </c>
      <c r="CD90" s="416">
        <v>43</v>
      </c>
      <c r="CE90" s="305">
        <v>5</v>
      </c>
      <c r="CF90" s="417">
        <v>48</v>
      </c>
      <c r="CG90" s="307" t="s">
        <v>585</v>
      </c>
      <c r="CH90" s="307">
        <v>578</v>
      </c>
      <c r="CI90" s="416">
        <v>2484</v>
      </c>
      <c r="CJ90" s="305">
        <v>28</v>
      </c>
      <c r="CK90" s="305" t="s">
        <v>585</v>
      </c>
      <c r="CL90" s="417">
        <v>2512</v>
      </c>
      <c r="CM90" s="307" t="s">
        <v>585</v>
      </c>
      <c r="CN90" s="416">
        <v>698</v>
      </c>
      <c r="CO90" s="305" t="s">
        <v>585</v>
      </c>
      <c r="CP90" s="417">
        <v>698</v>
      </c>
      <c r="CQ90" s="307">
        <v>267</v>
      </c>
      <c r="CR90" s="307">
        <v>142</v>
      </c>
      <c r="CS90" s="416">
        <v>4</v>
      </c>
      <c r="CT90" s="305">
        <v>75</v>
      </c>
      <c r="CU90" s="305">
        <v>144</v>
      </c>
      <c r="CV90" s="417">
        <v>223</v>
      </c>
      <c r="CW90" s="418">
        <v>7522</v>
      </c>
      <c r="CX90" s="308">
        <f>7522/538718</f>
        <v>1.3962778299592736E-2</v>
      </c>
      <c r="CY90" s="276"/>
      <c r="CZ90" s="276"/>
      <c r="DA90" s="276"/>
    </row>
    <row r="91" spans="1:105" x14ac:dyDescent="0.2">
      <c r="A91" s="208"/>
      <c r="B91" s="410" t="s">
        <v>46</v>
      </c>
      <c r="C91" s="419" t="s">
        <v>585</v>
      </c>
      <c r="D91" s="420" t="s">
        <v>585</v>
      </c>
      <c r="E91" s="420">
        <v>1</v>
      </c>
      <c r="F91" s="421">
        <v>1</v>
      </c>
      <c r="G91" s="422">
        <v>2</v>
      </c>
      <c r="H91" s="420" t="s">
        <v>585</v>
      </c>
      <c r="I91" s="420">
        <v>1</v>
      </c>
      <c r="J91" s="420" t="s">
        <v>585</v>
      </c>
      <c r="K91" s="420" t="s">
        <v>585</v>
      </c>
      <c r="L91" s="423">
        <v>3</v>
      </c>
      <c r="M91" s="424" t="s">
        <v>585</v>
      </c>
      <c r="N91" s="422">
        <v>13</v>
      </c>
      <c r="O91" s="420" t="s">
        <v>585</v>
      </c>
      <c r="P91" s="420" t="s">
        <v>585</v>
      </c>
      <c r="Q91" s="423">
        <v>13</v>
      </c>
      <c r="R91" s="419" t="s">
        <v>585</v>
      </c>
      <c r="S91" s="420" t="s">
        <v>585</v>
      </c>
      <c r="T91" s="420" t="s">
        <v>585</v>
      </c>
      <c r="U91" s="421" t="s">
        <v>585</v>
      </c>
      <c r="V91" s="425" t="s">
        <v>585</v>
      </c>
      <c r="W91" s="424">
        <v>1</v>
      </c>
      <c r="X91" s="422">
        <v>2</v>
      </c>
      <c r="Y91" s="420" t="s">
        <v>585</v>
      </c>
      <c r="Z91" s="420" t="s">
        <v>585</v>
      </c>
      <c r="AA91" s="420" t="s">
        <v>585</v>
      </c>
      <c r="AB91" s="420" t="s">
        <v>585</v>
      </c>
      <c r="AC91" s="420" t="s">
        <v>585</v>
      </c>
      <c r="AD91" s="423">
        <v>2</v>
      </c>
      <c r="AE91" s="424" t="s">
        <v>585</v>
      </c>
      <c r="AF91" s="422" t="s">
        <v>585</v>
      </c>
      <c r="AG91" s="420" t="s">
        <v>585</v>
      </c>
      <c r="AH91" s="420" t="s">
        <v>585</v>
      </c>
      <c r="AI91" s="420" t="s">
        <v>585</v>
      </c>
      <c r="AJ91" s="420">
        <v>1</v>
      </c>
      <c r="AK91" s="420" t="s">
        <v>585</v>
      </c>
      <c r="AL91" s="420" t="s">
        <v>585</v>
      </c>
      <c r="AM91" s="420">
        <v>2</v>
      </c>
      <c r="AN91" s="420" t="s">
        <v>585</v>
      </c>
      <c r="AO91" s="420" t="s">
        <v>585</v>
      </c>
      <c r="AP91" s="423">
        <v>3</v>
      </c>
      <c r="AQ91" s="419" t="s">
        <v>585</v>
      </c>
      <c r="AR91" s="420">
        <v>2</v>
      </c>
      <c r="AS91" s="420" t="s">
        <v>585</v>
      </c>
      <c r="AT91" s="420" t="s">
        <v>585</v>
      </c>
      <c r="AU91" s="420" t="s">
        <v>585</v>
      </c>
      <c r="AV91" s="420" t="s">
        <v>585</v>
      </c>
      <c r="AW91" s="420" t="s">
        <v>585</v>
      </c>
      <c r="AX91" s="420" t="s">
        <v>585</v>
      </c>
      <c r="AY91" s="421">
        <v>2</v>
      </c>
      <c r="AZ91" s="422" t="s">
        <v>585</v>
      </c>
      <c r="BA91" s="420" t="s">
        <v>585</v>
      </c>
      <c r="BB91" s="420" t="s">
        <v>585</v>
      </c>
      <c r="BC91" s="420" t="s">
        <v>585</v>
      </c>
      <c r="BD91" s="420" t="s">
        <v>585</v>
      </c>
      <c r="BE91" s="420" t="s">
        <v>585</v>
      </c>
      <c r="BF91" s="423" t="s">
        <v>585</v>
      </c>
      <c r="BG91" s="424" t="s">
        <v>585</v>
      </c>
      <c r="BH91" s="424">
        <v>15</v>
      </c>
      <c r="BI91" s="424" t="s">
        <v>585</v>
      </c>
      <c r="BJ91" s="422">
        <v>13</v>
      </c>
      <c r="BK91" s="420" t="s">
        <v>585</v>
      </c>
      <c r="BL91" s="420">
        <v>12</v>
      </c>
      <c r="BM91" s="420">
        <v>1</v>
      </c>
      <c r="BN91" s="420" t="s">
        <v>585</v>
      </c>
      <c r="BO91" s="420" t="s">
        <v>585</v>
      </c>
      <c r="BP91" s="420" t="s">
        <v>585</v>
      </c>
      <c r="BQ91" s="423">
        <v>26</v>
      </c>
      <c r="BR91" s="419">
        <v>22</v>
      </c>
      <c r="BS91" s="420" t="s">
        <v>585</v>
      </c>
      <c r="BT91" s="420" t="s">
        <v>585</v>
      </c>
      <c r="BU91" s="420">
        <v>23</v>
      </c>
      <c r="BV91" s="420" t="s">
        <v>585</v>
      </c>
      <c r="BW91" s="420" t="s">
        <v>585</v>
      </c>
      <c r="BX91" s="420">
        <v>8</v>
      </c>
      <c r="BY91" s="420" t="s">
        <v>585</v>
      </c>
      <c r="BZ91" s="420" t="s">
        <v>585</v>
      </c>
      <c r="CA91" s="420" t="s">
        <v>585</v>
      </c>
      <c r="CB91" s="420" t="s">
        <v>585</v>
      </c>
      <c r="CC91" s="421">
        <v>53</v>
      </c>
      <c r="CD91" s="422" t="s">
        <v>585</v>
      </c>
      <c r="CE91" s="420" t="s">
        <v>585</v>
      </c>
      <c r="CF91" s="423" t="s">
        <v>585</v>
      </c>
      <c r="CG91" s="424" t="s">
        <v>585</v>
      </c>
      <c r="CH91" s="424">
        <v>91</v>
      </c>
      <c r="CI91" s="422">
        <v>17</v>
      </c>
      <c r="CJ91" s="420">
        <v>2</v>
      </c>
      <c r="CK91" s="420" t="s">
        <v>585</v>
      </c>
      <c r="CL91" s="423">
        <v>19</v>
      </c>
      <c r="CM91" s="424" t="s">
        <v>585</v>
      </c>
      <c r="CN91" s="422">
        <v>5</v>
      </c>
      <c r="CO91" s="420" t="s">
        <v>585</v>
      </c>
      <c r="CP91" s="423">
        <v>5</v>
      </c>
      <c r="CQ91" s="424" t="s">
        <v>585</v>
      </c>
      <c r="CR91" s="424" t="s">
        <v>585</v>
      </c>
      <c r="CS91" s="422" t="s">
        <v>585</v>
      </c>
      <c r="CT91" s="420" t="s">
        <v>585</v>
      </c>
      <c r="CU91" s="420">
        <v>3</v>
      </c>
      <c r="CV91" s="423">
        <v>3</v>
      </c>
      <c r="CW91" s="426">
        <v>237</v>
      </c>
      <c r="CX91" s="427">
        <f>237/538718</f>
        <v>4.3993332318578552E-4</v>
      </c>
      <c r="CY91" s="276"/>
      <c r="CZ91" s="276"/>
      <c r="DA91" s="276"/>
    </row>
    <row r="92" spans="1:105" x14ac:dyDescent="0.2">
      <c r="A92" s="208"/>
      <c r="B92" s="410" t="s">
        <v>75</v>
      </c>
      <c r="C92" s="419" t="s">
        <v>585</v>
      </c>
      <c r="D92" s="420" t="s">
        <v>585</v>
      </c>
      <c r="E92" s="420" t="s">
        <v>585</v>
      </c>
      <c r="F92" s="421" t="s">
        <v>585</v>
      </c>
      <c r="G92" s="422">
        <v>10</v>
      </c>
      <c r="H92" s="420" t="s">
        <v>585</v>
      </c>
      <c r="I92" s="420">
        <v>1</v>
      </c>
      <c r="J92" s="420" t="s">
        <v>585</v>
      </c>
      <c r="K92" s="420" t="s">
        <v>585</v>
      </c>
      <c r="L92" s="423">
        <v>11</v>
      </c>
      <c r="M92" s="424" t="s">
        <v>585</v>
      </c>
      <c r="N92" s="422">
        <v>18</v>
      </c>
      <c r="O92" s="420" t="s">
        <v>585</v>
      </c>
      <c r="P92" s="420" t="s">
        <v>585</v>
      </c>
      <c r="Q92" s="423">
        <v>18</v>
      </c>
      <c r="R92" s="419" t="s">
        <v>585</v>
      </c>
      <c r="S92" s="420" t="s">
        <v>585</v>
      </c>
      <c r="T92" s="420" t="s">
        <v>585</v>
      </c>
      <c r="U92" s="421" t="s">
        <v>585</v>
      </c>
      <c r="V92" s="425" t="s">
        <v>585</v>
      </c>
      <c r="W92" s="424">
        <v>1</v>
      </c>
      <c r="X92" s="422">
        <v>6</v>
      </c>
      <c r="Y92" s="420" t="s">
        <v>585</v>
      </c>
      <c r="Z92" s="420" t="s">
        <v>585</v>
      </c>
      <c r="AA92" s="420" t="s">
        <v>585</v>
      </c>
      <c r="AB92" s="420" t="s">
        <v>585</v>
      </c>
      <c r="AC92" s="420" t="s">
        <v>585</v>
      </c>
      <c r="AD92" s="423">
        <v>6</v>
      </c>
      <c r="AE92" s="424" t="s">
        <v>585</v>
      </c>
      <c r="AF92" s="422" t="s">
        <v>585</v>
      </c>
      <c r="AG92" s="420" t="s">
        <v>585</v>
      </c>
      <c r="AH92" s="420" t="s">
        <v>585</v>
      </c>
      <c r="AI92" s="420" t="s">
        <v>585</v>
      </c>
      <c r="AJ92" s="420" t="s">
        <v>585</v>
      </c>
      <c r="AK92" s="420" t="s">
        <v>585</v>
      </c>
      <c r="AL92" s="420" t="s">
        <v>585</v>
      </c>
      <c r="AM92" s="420" t="s">
        <v>585</v>
      </c>
      <c r="AN92" s="420" t="s">
        <v>585</v>
      </c>
      <c r="AO92" s="420" t="s">
        <v>585</v>
      </c>
      <c r="AP92" s="423" t="s">
        <v>585</v>
      </c>
      <c r="AQ92" s="419" t="s">
        <v>585</v>
      </c>
      <c r="AR92" s="420" t="s">
        <v>585</v>
      </c>
      <c r="AS92" s="420" t="s">
        <v>585</v>
      </c>
      <c r="AT92" s="420" t="s">
        <v>585</v>
      </c>
      <c r="AU92" s="420" t="s">
        <v>585</v>
      </c>
      <c r="AV92" s="420" t="s">
        <v>585</v>
      </c>
      <c r="AW92" s="420" t="s">
        <v>585</v>
      </c>
      <c r="AX92" s="420" t="s">
        <v>585</v>
      </c>
      <c r="AY92" s="421" t="s">
        <v>585</v>
      </c>
      <c r="AZ92" s="422" t="s">
        <v>585</v>
      </c>
      <c r="BA92" s="420" t="s">
        <v>585</v>
      </c>
      <c r="BB92" s="420" t="s">
        <v>585</v>
      </c>
      <c r="BC92" s="420" t="s">
        <v>585</v>
      </c>
      <c r="BD92" s="420" t="s">
        <v>585</v>
      </c>
      <c r="BE92" s="420" t="s">
        <v>585</v>
      </c>
      <c r="BF92" s="423" t="s">
        <v>585</v>
      </c>
      <c r="BG92" s="424" t="s">
        <v>585</v>
      </c>
      <c r="BH92" s="424">
        <v>1</v>
      </c>
      <c r="BI92" s="424" t="s">
        <v>585</v>
      </c>
      <c r="BJ92" s="422" t="s">
        <v>585</v>
      </c>
      <c r="BK92" s="420" t="s">
        <v>585</v>
      </c>
      <c r="BL92" s="420" t="s">
        <v>585</v>
      </c>
      <c r="BM92" s="420" t="s">
        <v>585</v>
      </c>
      <c r="BN92" s="420" t="s">
        <v>585</v>
      </c>
      <c r="BO92" s="420" t="s">
        <v>585</v>
      </c>
      <c r="BP92" s="420" t="s">
        <v>585</v>
      </c>
      <c r="BQ92" s="423" t="s">
        <v>585</v>
      </c>
      <c r="BR92" s="419">
        <v>37</v>
      </c>
      <c r="BS92" s="420" t="s">
        <v>585</v>
      </c>
      <c r="BT92" s="420" t="s">
        <v>585</v>
      </c>
      <c r="BU92" s="420">
        <v>14</v>
      </c>
      <c r="BV92" s="420" t="s">
        <v>585</v>
      </c>
      <c r="BW92" s="420" t="s">
        <v>585</v>
      </c>
      <c r="BX92" s="420">
        <v>3</v>
      </c>
      <c r="BY92" s="420" t="s">
        <v>585</v>
      </c>
      <c r="BZ92" s="420" t="s">
        <v>585</v>
      </c>
      <c r="CA92" s="420" t="s">
        <v>585</v>
      </c>
      <c r="CB92" s="420" t="s">
        <v>585</v>
      </c>
      <c r="CC92" s="421">
        <v>54</v>
      </c>
      <c r="CD92" s="422" t="s">
        <v>585</v>
      </c>
      <c r="CE92" s="420" t="s">
        <v>585</v>
      </c>
      <c r="CF92" s="423" t="s">
        <v>585</v>
      </c>
      <c r="CG92" s="424" t="s">
        <v>585</v>
      </c>
      <c r="CH92" s="424">
        <v>2</v>
      </c>
      <c r="CI92" s="422">
        <v>5</v>
      </c>
      <c r="CJ92" s="420" t="s">
        <v>585</v>
      </c>
      <c r="CK92" s="420" t="s">
        <v>585</v>
      </c>
      <c r="CL92" s="423">
        <v>5</v>
      </c>
      <c r="CM92" s="424" t="s">
        <v>585</v>
      </c>
      <c r="CN92" s="422" t="s">
        <v>585</v>
      </c>
      <c r="CO92" s="420" t="s">
        <v>585</v>
      </c>
      <c r="CP92" s="423" t="s">
        <v>585</v>
      </c>
      <c r="CQ92" s="424" t="s">
        <v>585</v>
      </c>
      <c r="CR92" s="424" t="s">
        <v>585</v>
      </c>
      <c r="CS92" s="422" t="s">
        <v>585</v>
      </c>
      <c r="CT92" s="420" t="s">
        <v>585</v>
      </c>
      <c r="CU92" s="420">
        <v>5</v>
      </c>
      <c r="CV92" s="423">
        <v>5</v>
      </c>
      <c r="CW92" s="426">
        <v>103</v>
      </c>
      <c r="CX92" s="427">
        <f>103/538718</f>
        <v>1.9119465100479285E-4</v>
      </c>
      <c r="CY92" s="276"/>
      <c r="CZ92" s="276"/>
      <c r="DA92" s="276"/>
    </row>
    <row r="93" spans="1:105" x14ac:dyDescent="0.2">
      <c r="A93" s="208"/>
      <c r="B93" s="410" t="s">
        <v>104</v>
      </c>
      <c r="C93" s="419">
        <v>1</v>
      </c>
      <c r="D93" s="420" t="s">
        <v>585</v>
      </c>
      <c r="E93" s="420">
        <v>5</v>
      </c>
      <c r="F93" s="421">
        <v>6</v>
      </c>
      <c r="G93" s="422" t="s">
        <v>585</v>
      </c>
      <c r="H93" s="420">
        <v>19</v>
      </c>
      <c r="I93" s="420" t="s">
        <v>585</v>
      </c>
      <c r="J93" s="420" t="s">
        <v>585</v>
      </c>
      <c r="K93" s="420" t="s">
        <v>585</v>
      </c>
      <c r="L93" s="423">
        <v>19</v>
      </c>
      <c r="M93" s="424" t="s">
        <v>585</v>
      </c>
      <c r="N93" s="422">
        <v>16</v>
      </c>
      <c r="O93" s="420" t="s">
        <v>585</v>
      </c>
      <c r="P93" s="420" t="s">
        <v>585</v>
      </c>
      <c r="Q93" s="423">
        <v>16</v>
      </c>
      <c r="R93" s="419" t="s">
        <v>585</v>
      </c>
      <c r="S93" s="420" t="s">
        <v>585</v>
      </c>
      <c r="T93" s="420" t="s">
        <v>585</v>
      </c>
      <c r="U93" s="421" t="s">
        <v>585</v>
      </c>
      <c r="V93" s="425">
        <v>4</v>
      </c>
      <c r="W93" s="424">
        <v>333</v>
      </c>
      <c r="X93" s="422" t="s">
        <v>585</v>
      </c>
      <c r="Y93" s="420" t="s">
        <v>585</v>
      </c>
      <c r="Z93" s="420" t="s">
        <v>585</v>
      </c>
      <c r="AA93" s="420" t="s">
        <v>585</v>
      </c>
      <c r="AB93" s="420" t="s">
        <v>585</v>
      </c>
      <c r="AC93" s="420" t="s">
        <v>585</v>
      </c>
      <c r="AD93" s="423" t="s">
        <v>585</v>
      </c>
      <c r="AE93" s="424">
        <v>509</v>
      </c>
      <c r="AF93" s="422">
        <v>351</v>
      </c>
      <c r="AG93" s="420" t="s">
        <v>585</v>
      </c>
      <c r="AH93" s="420" t="s">
        <v>585</v>
      </c>
      <c r="AI93" s="420" t="s">
        <v>585</v>
      </c>
      <c r="AJ93" s="420">
        <v>5</v>
      </c>
      <c r="AK93" s="420" t="s">
        <v>585</v>
      </c>
      <c r="AL93" s="420" t="s">
        <v>585</v>
      </c>
      <c r="AM93" s="420">
        <v>107</v>
      </c>
      <c r="AN93" s="420" t="s">
        <v>585</v>
      </c>
      <c r="AO93" s="420" t="s">
        <v>585</v>
      </c>
      <c r="AP93" s="423">
        <v>463</v>
      </c>
      <c r="AQ93" s="419" t="s">
        <v>585</v>
      </c>
      <c r="AR93" s="420" t="s">
        <v>585</v>
      </c>
      <c r="AS93" s="420" t="s">
        <v>585</v>
      </c>
      <c r="AT93" s="420" t="s">
        <v>585</v>
      </c>
      <c r="AU93" s="420" t="s">
        <v>585</v>
      </c>
      <c r="AV93" s="420" t="s">
        <v>585</v>
      </c>
      <c r="AW93" s="420" t="s">
        <v>585</v>
      </c>
      <c r="AX93" s="420" t="s">
        <v>585</v>
      </c>
      <c r="AY93" s="421" t="s">
        <v>585</v>
      </c>
      <c r="AZ93" s="422" t="s">
        <v>585</v>
      </c>
      <c r="BA93" s="420" t="s">
        <v>585</v>
      </c>
      <c r="BB93" s="420" t="s">
        <v>585</v>
      </c>
      <c r="BC93" s="420" t="s">
        <v>585</v>
      </c>
      <c r="BD93" s="420" t="s">
        <v>585</v>
      </c>
      <c r="BE93" s="420" t="s">
        <v>585</v>
      </c>
      <c r="BF93" s="423" t="s">
        <v>585</v>
      </c>
      <c r="BG93" s="424">
        <v>12</v>
      </c>
      <c r="BH93" s="424">
        <v>1084</v>
      </c>
      <c r="BI93" s="424" t="s">
        <v>585</v>
      </c>
      <c r="BJ93" s="422">
        <v>517</v>
      </c>
      <c r="BK93" s="420" t="s">
        <v>585</v>
      </c>
      <c r="BL93" s="420" t="s">
        <v>585</v>
      </c>
      <c r="BM93" s="420" t="s">
        <v>585</v>
      </c>
      <c r="BN93" s="420" t="s">
        <v>585</v>
      </c>
      <c r="BO93" s="420" t="s">
        <v>585</v>
      </c>
      <c r="BP93" s="420" t="s">
        <v>585</v>
      </c>
      <c r="BQ93" s="423">
        <v>517</v>
      </c>
      <c r="BR93" s="419">
        <v>34</v>
      </c>
      <c r="BS93" s="420" t="s">
        <v>585</v>
      </c>
      <c r="BT93" s="420" t="s">
        <v>585</v>
      </c>
      <c r="BU93" s="420">
        <v>41</v>
      </c>
      <c r="BV93" s="420" t="s">
        <v>585</v>
      </c>
      <c r="BW93" s="420" t="s">
        <v>585</v>
      </c>
      <c r="BX93" s="420">
        <v>4</v>
      </c>
      <c r="BY93" s="420" t="s">
        <v>585</v>
      </c>
      <c r="BZ93" s="420" t="s">
        <v>585</v>
      </c>
      <c r="CA93" s="420" t="s">
        <v>585</v>
      </c>
      <c r="CB93" s="420" t="s">
        <v>585</v>
      </c>
      <c r="CC93" s="421">
        <v>79</v>
      </c>
      <c r="CD93" s="422">
        <v>103</v>
      </c>
      <c r="CE93" s="420">
        <v>7</v>
      </c>
      <c r="CF93" s="423">
        <v>110</v>
      </c>
      <c r="CG93" s="424" t="s">
        <v>585</v>
      </c>
      <c r="CH93" s="424">
        <v>176</v>
      </c>
      <c r="CI93" s="422">
        <v>2030</v>
      </c>
      <c r="CJ93" s="420">
        <v>32</v>
      </c>
      <c r="CK93" s="420">
        <v>6</v>
      </c>
      <c r="CL93" s="423">
        <v>2068</v>
      </c>
      <c r="CM93" s="424" t="s">
        <v>585</v>
      </c>
      <c r="CN93" s="422">
        <v>365</v>
      </c>
      <c r="CO93" s="420" t="s">
        <v>585</v>
      </c>
      <c r="CP93" s="423">
        <v>365</v>
      </c>
      <c r="CQ93" s="424">
        <v>107</v>
      </c>
      <c r="CR93" s="424">
        <v>87</v>
      </c>
      <c r="CS93" s="422">
        <v>4</v>
      </c>
      <c r="CT93" s="420">
        <v>86</v>
      </c>
      <c r="CU93" s="420">
        <v>59</v>
      </c>
      <c r="CV93" s="423">
        <v>149</v>
      </c>
      <c r="CW93" s="426">
        <v>6104</v>
      </c>
      <c r="CX93" s="427">
        <f>6104/538718</f>
        <v>1.1330603395468502E-2</v>
      </c>
      <c r="CY93" s="276"/>
      <c r="CZ93" s="276"/>
      <c r="DA93" s="276"/>
    </row>
    <row r="94" spans="1:105" x14ac:dyDescent="0.2">
      <c r="A94" s="208"/>
      <c r="B94" s="410" t="s">
        <v>131</v>
      </c>
      <c r="C94" s="419" t="s">
        <v>585</v>
      </c>
      <c r="D94" s="420" t="s">
        <v>585</v>
      </c>
      <c r="E94" s="420" t="s">
        <v>585</v>
      </c>
      <c r="F94" s="421" t="s">
        <v>585</v>
      </c>
      <c r="G94" s="422" t="s">
        <v>585</v>
      </c>
      <c r="H94" s="420" t="s">
        <v>585</v>
      </c>
      <c r="I94" s="420" t="s">
        <v>585</v>
      </c>
      <c r="J94" s="420" t="s">
        <v>585</v>
      </c>
      <c r="K94" s="420" t="s">
        <v>585</v>
      </c>
      <c r="L94" s="423" t="s">
        <v>585</v>
      </c>
      <c r="M94" s="424" t="s">
        <v>585</v>
      </c>
      <c r="N94" s="422">
        <v>26</v>
      </c>
      <c r="O94" s="420" t="s">
        <v>585</v>
      </c>
      <c r="P94" s="420" t="s">
        <v>585</v>
      </c>
      <c r="Q94" s="423">
        <v>26</v>
      </c>
      <c r="R94" s="419" t="s">
        <v>585</v>
      </c>
      <c r="S94" s="420" t="s">
        <v>585</v>
      </c>
      <c r="T94" s="420" t="s">
        <v>585</v>
      </c>
      <c r="U94" s="421" t="s">
        <v>585</v>
      </c>
      <c r="V94" s="425" t="s">
        <v>585</v>
      </c>
      <c r="W94" s="424">
        <v>1</v>
      </c>
      <c r="X94" s="422" t="s">
        <v>585</v>
      </c>
      <c r="Y94" s="420" t="s">
        <v>585</v>
      </c>
      <c r="Z94" s="420" t="s">
        <v>585</v>
      </c>
      <c r="AA94" s="420" t="s">
        <v>585</v>
      </c>
      <c r="AB94" s="420" t="s">
        <v>585</v>
      </c>
      <c r="AC94" s="420" t="s">
        <v>585</v>
      </c>
      <c r="AD94" s="423" t="s">
        <v>585</v>
      </c>
      <c r="AE94" s="424" t="s">
        <v>585</v>
      </c>
      <c r="AF94" s="422">
        <v>2</v>
      </c>
      <c r="AG94" s="420" t="s">
        <v>585</v>
      </c>
      <c r="AH94" s="420" t="s">
        <v>585</v>
      </c>
      <c r="AI94" s="420" t="s">
        <v>585</v>
      </c>
      <c r="AJ94" s="420" t="s">
        <v>585</v>
      </c>
      <c r="AK94" s="420" t="s">
        <v>585</v>
      </c>
      <c r="AL94" s="420" t="s">
        <v>585</v>
      </c>
      <c r="AM94" s="420">
        <v>1</v>
      </c>
      <c r="AN94" s="420" t="s">
        <v>585</v>
      </c>
      <c r="AO94" s="420" t="s">
        <v>585</v>
      </c>
      <c r="AP94" s="423">
        <v>3</v>
      </c>
      <c r="AQ94" s="419" t="s">
        <v>585</v>
      </c>
      <c r="AR94" s="420" t="s">
        <v>585</v>
      </c>
      <c r="AS94" s="420" t="s">
        <v>585</v>
      </c>
      <c r="AT94" s="420" t="s">
        <v>585</v>
      </c>
      <c r="AU94" s="420" t="s">
        <v>585</v>
      </c>
      <c r="AV94" s="420" t="s">
        <v>585</v>
      </c>
      <c r="AW94" s="420" t="s">
        <v>585</v>
      </c>
      <c r="AX94" s="420" t="s">
        <v>585</v>
      </c>
      <c r="AY94" s="421" t="s">
        <v>585</v>
      </c>
      <c r="AZ94" s="422" t="s">
        <v>585</v>
      </c>
      <c r="BA94" s="420" t="s">
        <v>585</v>
      </c>
      <c r="BB94" s="420" t="s">
        <v>585</v>
      </c>
      <c r="BC94" s="420" t="s">
        <v>585</v>
      </c>
      <c r="BD94" s="420" t="s">
        <v>585</v>
      </c>
      <c r="BE94" s="420" t="s">
        <v>585</v>
      </c>
      <c r="BF94" s="423" t="s">
        <v>585</v>
      </c>
      <c r="BG94" s="424" t="s">
        <v>585</v>
      </c>
      <c r="BH94" s="424">
        <v>4</v>
      </c>
      <c r="BI94" s="424" t="s">
        <v>585</v>
      </c>
      <c r="BJ94" s="422">
        <v>1</v>
      </c>
      <c r="BK94" s="420" t="s">
        <v>585</v>
      </c>
      <c r="BL94" s="420" t="s">
        <v>585</v>
      </c>
      <c r="BM94" s="420" t="s">
        <v>585</v>
      </c>
      <c r="BN94" s="420" t="s">
        <v>585</v>
      </c>
      <c r="BO94" s="420" t="s">
        <v>585</v>
      </c>
      <c r="BP94" s="420" t="s">
        <v>585</v>
      </c>
      <c r="BQ94" s="423">
        <v>1</v>
      </c>
      <c r="BR94" s="419">
        <v>9</v>
      </c>
      <c r="BS94" s="420" t="s">
        <v>585</v>
      </c>
      <c r="BT94" s="420" t="s">
        <v>585</v>
      </c>
      <c r="BU94" s="420">
        <v>21</v>
      </c>
      <c r="BV94" s="420" t="s">
        <v>585</v>
      </c>
      <c r="BW94" s="420" t="s">
        <v>585</v>
      </c>
      <c r="BX94" s="420">
        <v>8</v>
      </c>
      <c r="BY94" s="420" t="s">
        <v>585</v>
      </c>
      <c r="BZ94" s="420" t="s">
        <v>585</v>
      </c>
      <c r="CA94" s="420" t="s">
        <v>585</v>
      </c>
      <c r="CB94" s="420" t="s">
        <v>585</v>
      </c>
      <c r="CC94" s="421">
        <v>38</v>
      </c>
      <c r="CD94" s="422" t="s">
        <v>585</v>
      </c>
      <c r="CE94" s="420" t="s">
        <v>585</v>
      </c>
      <c r="CF94" s="423" t="s">
        <v>585</v>
      </c>
      <c r="CG94" s="424" t="s">
        <v>585</v>
      </c>
      <c r="CH94" s="424">
        <v>22</v>
      </c>
      <c r="CI94" s="422">
        <v>7</v>
      </c>
      <c r="CJ94" s="420" t="s">
        <v>585</v>
      </c>
      <c r="CK94" s="420" t="s">
        <v>585</v>
      </c>
      <c r="CL94" s="423">
        <v>7</v>
      </c>
      <c r="CM94" s="424" t="s">
        <v>585</v>
      </c>
      <c r="CN94" s="422">
        <v>4</v>
      </c>
      <c r="CO94" s="420" t="s">
        <v>585</v>
      </c>
      <c r="CP94" s="423">
        <v>4</v>
      </c>
      <c r="CQ94" s="424" t="s">
        <v>585</v>
      </c>
      <c r="CR94" s="424" t="s">
        <v>585</v>
      </c>
      <c r="CS94" s="422" t="s">
        <v>585</v>
      </c>
      <c r="CT94" s="420" t="s">
        <v>585</v>
      </c>
      <c r="CU94" s="420" t="s">
        <v>585</v>
      </c>
      <c r="CV94" s="423" t="s">
        <v>585</v>
      </c>
      <c r="CW94" s="426">
        <v>106</v>
      </c>
      <c r="CX94" s="427">
        <f>106/538718</f>
        <v>1.9676342724765091E-4</v>
      </c>
      <c r="CY94" s="276"/>
      <c r="CZ94" s="276"/>
      <c r="DA94" s="276"/>
    </row>
    <row r="95" spans="1:105" x14ac:dyDescent="0.2">
      <c r="A95" s="208"/>
      <c r="B95" s="410" t="s">
        <v>133</v>
      </c>
      <c r="C95" s="419" t="s">
        <v>585</v>
      </c>
      <c r="D95" s="420" t="s">
        <v>585</v>
      </c>
      <c r="E95" s="420" t="s">
        <v>585</v>
      </c>
      <c r="F95" s="421" t="s">
        <v>585</v>
      </c>
      <c r="G95" s="422">
        <v>1</v>
      </c>
      <c r="H95" s="420" t="s">
        <v>585</v>
      </c>
      <c r="I95" s="420" t="s">
        <v>585</v>
      </c>
      <c r="J95" s="420" t="s">
        <v>585</v>
      </c>
      <c r="K95" s="420" t="s">
        <v>585</v>
      </c>
      <c r="L95" s="423">
        <v>1</v>
      </c>
      <c r="M95" s="424" t="s">
        <v>585</v>
      </c>
      <c r="N95" s="422">
        <v>9</v>
      </c>
      <c r="O95" s="420" t="s">
        <v>585</v>
      </c>
      <c r="P95" s="420" t="s">
        <v>585</v>
      </c>
      <c r="Q95" s="423">
        <v>9</v>
      </c>
      <c r="R95" s="419" t="s">
        <v>585</v>
      </c>
      <c r="S95" s="420" t="s">
        <v>585</v>
      </c>
      <c r="T95" s="420" t="s">
        <v>585</v>
      </c>
      <c r="U95" s="421" t="s">
        <v>585</v>
      </c>
      <c r="V95" s="425" t="s">
        <v>585</v>
      </c>
      <c r="W95" s="424">
        <v>1</v>
      </c>
      <c r="X95" s="422" t="s">
        <v>585</v>
      </c>
      <c r="Y95" s="420" t="s">
        <v>585</v>
      </c>
      <c r="Z95" s="420" t="s">
        <v>585</v>
      </c>
      <c r="AA95" s="420" t="s">
        <v>585</v>
      </c>
      <c r="AB95" s="420" t="s">
        <v>585</v>
      </c>
      <c r="AC95" s="420" t="s">
        <v>585</v>
      </c>
      <c r="AD95" s="423" t="s">
        <v>585</v>
      </c>
      <c r="AE95" s="424" t="s">
        <v>585</v>
      </c>
      <c r="AF95" s="422" t="s">
        <v>585</v>
      </c>
      <c r="AG95" s="420" t="s">
        <v>585</v>
      </c>
      <c r="AH95" s="420" t="s">
        <v>585</v>
      </c>
      <c r="AI95" s="420" t="s">
        <v>585</v>
      </c>
      <c r="AJ95" s="420" t="s">
        <v>585</v>
      </c>
      <c r="AK95" s="420" t="s">
        <v>585</v>
      </c>
      <c r="AL95" s="420" t="s">
        <v>585</v>
      </c>
      <c r="AM95" s="420" t="s">
        <v>585</v>
      </c>
      <c r="AN95" s="420" t="s">
        <v>585</v>
      </c>
      <c r="AO95" s="420" t="s">
        <v>585</v>
      </c>
      <c r="AP95" s="423" t="s">
        <v>585</v>
      </c>
      <c r="AQ95" s="419" t="s">
        <v>585</v>
      </c>
      <c r="AR95" s="420" t="s">
        <v>585</v>
      </c>
      <c r="AS95" s="420" t="s">
        <v>585</v>
      </c>
      <c r="AT95" s="420" t="s">
        <v>585</v>
      </c>
      <c r="AU95" s="420" t="s">
        <v>585</v>
      </c>
      <c r="AV95" s="420" t="s">
        <v>585</v>
      </c>
      <c r="AW95" s="420" t="s">
        <v>585</v>
      </c>
      <c r="AX95" s="420" t="s">
        <v>585</v>
      </c>
      <c r="AY95" s="421" t="s">
        <v>585</v>
      </c>
      <c r="AZ95" s="422" t="s">
        <v>585</v>
      </c>
      <c r="BA95" s="420" t="s">
        <v>585</v>
      </c>
      <c r="BB95" s="420" t="s">
        <v>585</v>
      </c>
      <c r="BC95" s="420" t="s">
        <v>585</v>
      </c>
      <c r="BD95" s="420" t="s">
        <v>585</v>
      </c>
      <c r="BE95" s="420" t="s">
        <v>585</v>
      </c>
      <c r="BF95" s="423" t="s">
        <v>585</v>
      </c>
      <c r="BG95" s="424" t="s">
        <v>585</v>
      </c>
      <c r="BH95" s="424" t="s">
        <v>585</v>
      </c>
      <c r="BI95" s="424" t="s">
        <v>585</v>
      </c>
      <c r="BJ95" s="422">
        <v>1</v>
      </c>
      <c r="BK95" s="420" t="s">
        <v>585</v>
      </c>
      <c r="BL95" s="420" t="s">
        <v>585</v>
      </c>
      <c r="BM95" s="420" t="s">
        <v>585</v>
      </c>
      <c r="BN95" s="420" t="s">
        <v>585</v>
      </c>
      <c r="BO95" s="420" t="s">
        <v>585</v>
      </c>
      <c r="BP95" s="420" t="s">
        <v>585</v>
      </c>
      <c r="BQ95" s="423">
        <v>1</v>
      </c>
      <c r="BR95" s="419">
        <v>2</v>
      </c>
      <c r="BS95" s="420" t="s">
        <v>585</v>
      </c>
      <c r="BT95" s="420" t="s">
        <v>585</v>
      </c>
      <c r="BU95" s="420">
        <v>22</v>
      </c>
      <c r="BV95" s="420" t="s">
        <v>585</v>
      </c>
      <c r="BW95" s="420" t="s">
        <v>585</v>
      </c>
      <c r="BX95" s="420">
        <v>11</v>
      </c>
      <c r="BY95" s="420" t="s">
        <v>585</v>
      </c>
      <c r="BZ95" s="420" t="s">
        <v>585</v>
      </c>
      <c r="CA95" s="420" t="s">
        <v>585</v>
      </c>
      <c r="CB95" s="420" t="s">
        <v>585</v>
      </c>
      <c r="CC95" s="421">
        <v>35</v>
      </c>
      <c r="CD95" s="422" t="s">
        <v>585</v>
      </c>
      <c r="CE95" s="420" t="s">
        <v>585</v>
      </c>
      <c r="CF95" s="423" t="s">
        <v>585</v>
      </c>
      <c r="CG95" s="424" t="s">
        <v>585</v>
      </c>
      <c r="CH95" s="424">
        <v>12</v>
      </c>
      <c r="CI95" s="422">
        <v>18</v>
      </c>
      <c r="CJ95" s="420" t="s">
        <v>585</v>
      </c>
      <c r="CK95" s="420" t="s">
        <v>585</v>
      </c>
      <c r="CL95" s="423">
        <v>18</v>
      </c>
      <c r="CM95" s="424" t="s">
        <v>585</v>
      </c>
      <c r="CN95" s="422" t="s">
        <v>585</v>
      </c>
      <c r="CO95" s="420" t="s">
        <v>585</v>
      </c>
      <c r="CP95" s="423" t="s">
        <v>585</v>
      </c>
      <c r="CQ95" s="424" t="s">
        <v>585</v>
      </c>
      <c r="CR95" s="424" t="s">
        <v>585</v>
      </c>
      <c r="CS95" s="422" t="s">
        <v>585</v>
      </c>
      <c r="CT95" s="420" t="s">
        <v>585</v>
      </c>
      <c r="CU95" s="420" t="s">
        <v>585</v>
      </c>
      <c r="CV95" s="423" t="s">
        <v>585</v>
      </c>
      <c r="CW95" s="426">
        <v>77</v>
      </c>
      <c r="CX95" s="427">
        <f>77/538718</f>
        <v>1.4293192356668982E-4</v>
      </c>
      <c r="CY95" s="276"/>
      <c r="CZ95" s="276"/>
      <c r="DA95" s="276"/>
    </row>
    <row r="96" spans="1:105" x14ac:dyDescent="0.2">
      <c r="A96" s="208"/>
      <c r="B96" s="410" t="s">
        <v>173</v>
      </c>
      <c r="C96" s="419" t="s">
        <v>585</v>
      </c>
      <c r="D96" s="420" t="s">
        <v>585</v>
      </c>
      <c r="E96" s="420" t="s">
        <v>585</v>
      </c>
      <c r="F96" s="421" t="s">
        <v>585</v>
      </c>
      <c r="G96" s="422" t="s">
        <v>585</v>
      </c>
      <c r="H96" s="420" t="s">
        <v>585</v>
      </c>
      <c r="I96" s="420" t="s">
        <v>585</v>
      </c>
      <c r="J96" s="420" t="s">
        <v>585</v>
      </c>
      <c r="K96" s="420" t="s">
        <v>585</v>
      </c>
      <c r="L96" s="423" t="s">
        <v>585</v>
      </c>
      <c r="M96" s="424" t="s">
        <v>585</v>
      </c>
      <c r="N96" s="422">
        <v>24</v>
      </c>
      <c r="O96" s="420" t="s">
        <v>585</v>
      </c>
      <c r="P96" s="420" t="s">
        <v>585</v>
      </c>
      <c r="Q96" s="423">
        <v>24</v>
      </c>
      <c r="R96" s="419" t="s">
        <v>585</v>
      </c>
      <c r="S96" s="420" t="s">
        <v>585</v>
      </c>
      <c r="T96" s="420" t="s">
        <v>585</v>
      </c>
      <c r="U96" s="421" t="s">
        <v>585</v>
      </c>
      <c r="V96" s="425" t="s">
        <v>585</v>
      </c>
      <c r="W96" s="424">
        <v>3</v>
      </c>
      <c r="X96" s="422" t="s">
        <v>585</v>
      </c>
      <c r="Y96" s="420" t="s">
        <v>585</v>
      </c>
      <c r="Z96" s="420" t="s">
        <v>585</v>
      </c>
      <c r="AA96" s="420" t="s">
        <v>585</v>
      </c>
      <c r="AB96" s="420" t="s">
        <v>585</v>
      </c>
      <c r="AC96" s="420" t="s">
        <v>585</v>
      </c>
      <c r="AD96" s="423" t="s">
        <v>585</v>
      </c>
      <c r="AE96" s="424" t="s">
        <v>585</v>
      </c>
      <c r="AF96" s="422" t="s">
        <v>585</v>
      </c>
      <c r="AG96" s="420" t="s">
        <v>585</v>
      </c>
      <c r="AH96" s="420" t="s">
        <v>585</v>
      </c>
      <c r="AI96" s="420" t="s">
        <v>585</v>
      </c>
      <c r="AJ96" s="420" t="s">
        <v>585</v>
      </c>
      <c r="AK96" s="420" t="s">
        <v>585</v>
      </c>
      <c r="AL96" s="420" t="s">
        <v>585</v>
      </c>
      <c r="AM96" s="420" t="s">
        <v>585</v>
      </c>
      <c r="AN96" s="420" t="s">
        <v>585</v>
      </c>
      <c r="AO96" s="420" t="s">
        <v>585</v>
      </c>
      <c r="AP96" s="423" t="s">
        <v>585</v>
      </c>
      <c r="AQ96" s="419" t="s">
        <v>585</v>
      </c>
      <c r="AR96" s="420">
        <v>1</v>
      </c>
      <c r="AS96" s="420" t="s">
        <v>585</v>
      </c>
      <c r="AT96" s="420" t="s">
        <v>585</v>
      </c>
      <c r="AU96" s="420" t="s">
        <v>585</v>
      </c>
      <c r="AV96" s="420" t="s">
        <v>585</v>
      </c>
      <c r="AW96" s="420" t="s">
        <v>585</v>
      </c>
      <c r="AX96" s="420" t="s">
        <v>585</v>
      </c>
      <c r="AY96" s="421">
        <v>1</v>
      </c>
      <c r="AZ96" s="422" t="s">
        <v>585</v>
      </c>
      <c r="BA96" s="420" t="s">
        <v>585</v>
      </c>
      <c r="BB96" s="420" t="s">
        <v>585</v>
      </c>
      <c r="BC96" s="420" t="s">
        <v>585</v>
      </c>
      <c r="BD96" s="420" t="s">
        <v>585</v>
      </c>
      <c r="BE96" s="420" t="s">
        <v>585</v>
      </c>
      <c r="BF96" s="423" t="s">
        <v>585</v>
      </c>
      <c r="BG96" s="424" t="s">
        <v>585</v>
      </c>
      <c r="BH96" s="424">
        <v>5</v>
      </c>
      <c r="BI96" s="424" t="s">
        <v>585</v>
      </c>
      <c r="BJ96" s="422">
        <v>7</v>
      </c>
      <c r="BK96" s="420" t="s">
        <v>585</v>
      </c>
      <c r="BL96" s="420" t="s">
        <v>585</v>
      </c>
      <c r="BM96" s="420" t="s">
        <v>585</v>
      </c>
      <c r="BN96" s="420" t="s">
        <v>585</v>
      </c>
      <c r="BO96" s="420" t="s">
        <v>585</v>
      </c>
      <c r="BP96" s="420" t="s">
        <v>585</v>
      </c>
      <c r="BQ96" s="423">
        <v>7</v>
      </c>
      <c r="BR96" s="419">
        <v>25</v>
      </c>
      <c r="BS96" s="420" t="s">
        <v>585</v>
      </c>
      <c r="BT96" s="420">
        <v>3</v>
      </c>
      <c r="BU96" s="420">
        <v>25</v>
      </c>
      <c r="BV96" s="420">
        <v>1</v>
      </c>
      <c r="BW96" s="420" t="s">
        <v>585</v>
      </c>
      <c r="BX96" s="420">
        <v>12</v>
      </c>
      <c r="BY96" s="420" t="s">
        <v>585</v>
      </c>
      <c r="BZ96" s="420" t="s">
        <v>585</v>
      </c>
      <c r="CA96" s="420" t="s">
        <v>585</v>
      </c>
      <c r="CB96" s="420" t="s">
        <v>585</v>
      </c>
      <c r="CC96" s="421">
        <v>66</v>
      </c>
      <c r="CD96" s="422" t="s">
        <v>585</v>
      </c>
      <c r="CE96" s="420" t="s">
        <v>585</v>
      </c>
      <c r="CF96" s="423" t="s">
        <v>585</v>
      </c>
      <c r="CG96" s="424" t="s">
        <v>585</v>
      </c>
      <c r="CH96" s="424">
        <v>52</v>
      </c>
      <c r="CI96" s="422">
        <v>2</v>
      </c>
      <c r="CJ96" s="420" t="s">
        <v>585</v>
      </c>
      <c r="CK96" s="420" t="s">
        <v>585</v>
      </c>
      <c r="CL96" s="423">
        <v>2</v>
      </c>
      <c r="CM96" s="424" t="s">
        <v>585</v>
      </c>
      <c r="CN96" s="422">
        <v>1</v>
      </c>
      <c r="CO96" s="420" t="s">
        <v>585</v>
      </c>
      <c r="CP96" s="423">
        <v>1</v>
      </c>
      <c r="CQ96" s="424">
        <v>5</v>
      </c>
      <c r="CR96" s="424" t="s">
        <v>585</v>
      </c>
      <c r="CS96" s="422" t="s">
        <v>585</v>
      </c>
      <c r="CT96" s="420">
        <v>2</v>
      </c>
      <c r="CU96" s="420" t="s">
        <v>585</v>
      </c>
      <c r="CV96" s="423">
        <v>2</v>
      </c>
      <c r="CW96" s="426">
        <v>168</v>
      </c>
      <c r="CX96" s="427">
        <f>168/538718</f>
        <v>3.118514696000505E-4</v>
      </c>
      <c r="CY96" s="276"/>
      <c r="CZ96" s="276"/>
      <c r="DA96" s="276"/>
    </row>
    <row r="97" spans="1:105" x14ac:dyDescent="0.2">
      <c r="A97" s="208"/>
      <c r="B97" s="410" t="s">
        <v>189</v>
      </c>
      <c r="C97" s="419" t="s">
        <v>585</v>
      </c>
      <c r="D97" s="420" t="s">
        <v>585</v>
      </c>
      <c r="E97" s="420" t="s">
        <v>585</v>
      </c>
      <c r="F97" s="421" t="s">
        <v>585</v>
      </c>
      <c r="G97" s="422">
        <v>2</v>
      </c>
      <c r="H97" s="420" t="s">
        <v>585</v>
      </c>
      <c r="I97" s="420" t="s">
        <v>585</v>
      </c>
      <c r="J97" s="420" t="s">
        <v>585</v>
      </c>
      <c r="K97" s="420" t="s">
        <v>585</v>
      </c>
      <c r="L97" s="423">
        <v>2</v>
      </c>
      <c r="M97" s="424" t="s">
        <v>585</v>
      </c>
      <c r="N97" s="422">
        <v>3</v>
      </c>
      <c r="O97" s="420" t="s">
        <v>585</v>
      </c>
      <c r="P97" s="420" t="s">
        <v>585</v>
      </c>
      <c r="Q97" s="423">
        <v>3</v>
      </c>
      <c r="R97" s="419" t="s">
        <v>585</v>
      </c>
      <c r="S97" s="420" t="s">
        <v>585</v>
      </c>
      <c r="T97" s="420" t="s">
        <v>585</v>
      </c>
      <c r="U97" s="421" t="s">
        <v>585</v>
      </c>
      <c r="V97" s="425" t="s">
        <v>585</v>
      </c>
      <c r="W97" s="424" t="s">
        <v>585</v>
      </c>
      <c r="X97" s="422" t="s">
        <v>585</v>
      </c>
      <c r="Y97" s="420" t="s">
        <v>585</v>
      </c>
      <c r="Z97" s="420" t="s">
        <v>585</v>
      </c>
      <c r="AA97" s="420" t="s">
        <v>585</v>
      </c>
      <c r="AB97" s="420" t="s">
        <v>585</v>
      </c>
      <c r="AC97" s="420" t="s">
        <v>585</v>
      </c>
      <c r="AD97" s="423" t="s">
        <v>585</v>
      </c>
      <c r="AE97" s="424" t="s">
        <v>585</v>
      </c>
      <c r="AF97" s="422">
        <v>1</v>
      </c>
      <c r="AG97" s="420" t="s">
        <v>585</v>
      </c>
      <c r="AH97" s="420" t="s">
        <v>585</v>
      </c>
      <c r="AI97" s="420" t="s">
        <v>585</v>
      </c>
      <c r="AJ97" s="420" t="s">
        <v>585</v>
      </c>
      <c r="AK97" s="420" t="s">
        <v>585</v>
      </c>
      <c r="AL97" s="420" t="s">
        <v>585</v>
      </c>
      <c r="AM97" s="420" t="s">
        <v>585</v>
      </c>
      <c r="AN97" s="420" t="s">
        <v>585</v>
      </c>
      <c r="AO97" s="420" t="s">
        <v>585</v>
      </c>
      <c r="AP97" s="423">
        <v>1</v>
      </c>
      <c r="AQ97" s="419" t="s">
        <v>585</v>
      </c>
      <c r="AR97" s="420" t="s">
        <v>585</v>
      </c>
      <c r="AS97" s="420" t="s">
        <v>585</v>
      </c>
      <c r="AT97" s="420" t="s">
        <v>585</v>
      </c>
      <c r="AU97" s="420" t="s">
        <v>585</v>
      </c>
      <c r="AV97" s="420" t="s">
        <v>585</v>
      </c>
      <c r="AW97" s="420" t="s">
        <v>585</v>
      </c>
      <c r="AX97" s="420" t="s">
        <v>585</v>
      </c>
      <c r="AY97" s="421" t="s">
        <v>585</v>
      </c>
      <c r="AZ97" s="422" t="s">
        <v>585</v>
      </c>
      <c r="BA97" s="420" t="s">
        <v>585</v>
      </c>
      <c r="BB97" s="420" t="s">
        <v>585</v>
      </c>
      <c r="BC97" s="420" t="s">
        <v>585</v>
      </c>
      <c r="BD97" s="420" t="s">
        <v>585</v>
      </c>
      <c r="BE97" s="420" t="s">
        <v>585</v>
      </c>
      <c r="BF97" s="423" t="s">
        <v>585</v>
      </c>
      <c r="BG97" s="424" t="s">
        <v>585</v>
      </c>
      <c r="BH97" s="424">
        <v>9</v>
      </c>
      <c r="BI97" s="424" t="s">
        <v>585</v>
      </c>
      <c r="BJ97" s="422" t="s">
        <v>585</v>
      </c>
      <c r="BK97" s="420" t="s">
        <v>585</v>
      </c>
      <c r="BL97" s="420" t="s">
        <v>585</v>
      </c>
      <c r="BM97" s="420" t="s">
        <v>585</v>
      </c>
      <c r="BN97" s="420" t="s">
        <v>585</v>
      </c>
      <c r="BO97" s="420" t="s">
        <v>585</v>
      </c>
      <c r="BP97" s="420" t="s">
        <v>585</v>
      </c>
      <c r="BQ97" s="423" t="s">
        <v>585</v>
      </c>
      <c r="BR97" s="419">
        <v>2</v>
      </c>
      <c r="BS97" s="420" t="s">
        <v>585</v>
      </c>
      <c r="BT97" s="420" t="s">
        <v>585</v>
      </c>
      <c r="BU97" s="420">
        <v>51</v>
      </c>
      <c r="BV97" s="420" t="s">
        <v>585</v>
      </c>
      <c r="BW97" s="420" t="s">
        <v>585</v>
      </c>
      <c r="BX97" s="420">
        <v>23</v>
      </c>
      <c r="BY97" s="420" t="s">
        <v>585</v>
      </c>
      <c r="BZ97" s="420" t="s">
        <v>585</v>
      </c>
      <c r="CA97" s="420" t="s">
        <v>585</v>
      </c>
      <c r="CB97" s="420" t="s">
        <v>585</v>
      </c>
      <c r="CC97" s="421">
        <v>76</v>
      </c>
      <c r="CD97" s="422" t="s">
        <v>585</v>
      </c>
      <c r="CE97" s="420" t="s">
        <v>585</v>
      </c>
      <c r="CF97" s="423" t="s">
        <v>585</v>
      </c>
      <c r="CG97" s="424" t="s">
        <v>585</v>
      </c>
      <c r="CH97" s="424">
        <v>2</v>
      </c>
      <c r="CI97" s="422">
        <v>6</v>
      </c>
      <c r="CJ97" s="420">
        <v>1</v>
      </c>
      <c r="CK97" s="420" t="s">
        <v>585</v>
      </c>
      <c r="CL97" s="423">
        <v>7</v>
      </c>
      <c r="CM97" s="424" t="s">
        <v>585</v>
      </c>
      <c r="CN97" s="422" t="s">
        <v>585</v>
      </c>
      <c r="CO97" s="420" t="s">
        <v>585</v>
      </c>
      <c r="CP97" s="423" t="s">
        <v>585</v>
      </c>
      <c r="CQ97" s="424">
        <v>2</v>
      </c>
      <c r="CR97" s="424" t="s">
        <v>585</v>
      </c>
      <c r="CS97" s="422" t="s">
        <v>585</v>
      </c>
      <c r="CT97" s="420" t="s">
        <v>585</v>
      </c>
      <c r="CU97" s="420" t="s">
        <v>585</v>
      </c>
      <c r="CV97" s="423" t="s">
        <v>585</v>
      </c>
      <c r="CW97" s="426">
        <v>102</v>
      </c>
      <c r="CX97" s="427">
        <f>102/538718</f>
        <v>1.8933839225717352E-4</v>
      </c>
      <c r="CY97" s="276"/>
      <c r="CZ97" s="276"/>
      <c r="DA97" s="276"/>
    </row>
    <row r="98" spans="1:105" x14ac:dyDescent="0.2">
      <c r="A98" s="208"/>
      <c r="B98" s="410" t="s">
        <v>203</v>
      </c>
      <c r="C98" s="419">
        <v>4</v>
      </c>
      <c r="D98" s="420">
        <v>13</v>
      </c>
      <c r="E98" s="420">
        <v>14</v>
      </c>
      <c r="F98" s="421">
        <v>31</v>
      </c>
      <c r="G98" s="422">
        <v>4</v>
      </c>
      <c r="H98" s="420">
        <v>214</v>
      </c>
      <c r="I98" s="420">
        <v>0</v>
      </c>
      <c r="J98" s="420" t="s">
        <v>585</v>
      </c>
      <c r="K98" s="420" t="s">
        <v>585</v>
      </c>
      <c r="L98" s="423">
        <v>218</v>
      </c>
      <c r="M98" s="424" t="s">
        <v>585</v>
      </c>
      <c r="N98" s="422">
        <v>417</v>
      </c>
      <c r="O98" s="420" t="s">
        <v>585</v>
      </c>
      <c r="P98" s="420">
        <v>4</v>
      </c>
      <c r="Q98" s="423">
        <v>421</v>
      </c>
      <c r="R98" s="419" t="s">
        <v>585</v>
      </c>
      <c r="S98" s="420" t="s">
        <v>585</v>
      </c>
      <c r="T98" s="420" t="s">
        <v>585</v>
      </c>
      <c r="U98" s="421" t="s">
        <v>585</v>
      </c>
      <c r="V98" s="425">
        <v>14</v>
      </c>
      <c r="W98" s="424">
        <v>681</v>
      </c>
      <c r="X98" s="422">
        <v>34</v>
      </c>
      <c r="Y98" s="420" t="s">
        <v>585</v>
      </c>
      <c r="Z98" s="420" t="s">
        <v>585</v>
      </c>
      <c r="AA98" s="420" t="s">
        <v>585</v>
      </c>
      <c r="AB98" s="420" t="s">
        <v>585</v>
      </c>
      <c r="AC98" s="420" t="s">
        <v>585</v>
      </c>
      <c r="AD98" s="423">
        <v>34</v>
      </c>
      <c r="AE98" s="424">
        <v>501</v>
      </c>
      <c r="AF98" s="422">
        <v>1046</v>
      </c>
      <c r="AG98" s="420" t="s">
        <v>585</v>
      </c>
      <c r="AH98" s="420" t="s">
        <v>585</v>
      </c>
      <c r="AI98" s="420" t="s">
        <v>585</v>
      </c>
      <c r="AJ98" s="420">
        <v>26</v>
      </c>
      <c r="AK98" s="420" t="s">
        <v>585</v>
      </c>
      <c r="AL98" s="420" t="s">
        <v>585</v>
      </c>
      <c r="AM98" s="420">
        <v>154</v>
      </c>
      <c r="AN98" s="420">
        <v>2</v>
      </c>
      <c r="AO98" s="420" t="s">
        <v>585</v>
      </c>
      <c r="AP98" s="423">
        <v>1228</v>
      </c>
      <c r="AQ98" s="419" t="s">
        <v>585</v>
      </c>
      <c r="AR98" s="420">
        <v>56</v>
      </c>
      <c r="AS98" s="420" t="s">
        <v>585</v>
      </c>
      <c r="AT98" s="420" t="s">
        <v>585</v>
      </c>
      <c r="AU98" s="420" t="s">
        <v>585</v>
      </c>
      <c r="AV98" s="420" t="s">
        <v>585</v>
      </c>
      <c r="AW98" s="420" t="s">
        <v>585</v>
      </c>
      <c r="AX98" s="420" t="s">
        <v>585</v>
      </c>
      <c r="AY98" s="421">
        <v>56</v>
      </c>
      <c r="AZ98" s="422" t="s">
        <v>585</v>
      </c>
      <c r="BA98" s="420" t="s">
        <v>585</v>
      </c>
      <c r="BB98" s="420" t="s">
        <v>585</v>
      </c>
      <c r="BC98" s="420" t="s">
        <v>585</v>
      </c>
      <c r="BD98" s="420" t="s">
        <v>585</v>
      </c>
      <c r="BE98" s="420" t="s">
        <v>585</v>
      </c>
      <c r="BF98" s="423" t="s">
        <v>585</v>
      </c>
      <c r="BG98" s="424">
        <v>162</v>
      </c>
      <c r="BH98" s="424">
        <v>2890</v>
      </c>
      <c r="BI98" s="424" t="s">
        <v>585</v>
      </c>
      <c r="BJ98" s="422">
        <v>1708</v>
      </c>
      <c r="BK98" s="420" t="s">
        <v>585</v>
      </c>
      <c r="BL98" s="420">
        <v>324</v>
      </c>
      <c r="BM98" s="420">
        <v>38</v>
      </c>
      <c r="BN98" s="420">
        <v>1</v>
      </c>
      <c r="BO98" s="420" t="s">
        <v>585</v>
      </c>
      <c r="BP98" s="420" t="s">
        <v>585</v>
      </c>
      <c r="BQ98" s="423">
        <v>2071</v>
      </c>
      <c r="BR98" s="419">
        <v>1131</v>
      </c>
      <c r="BS98" s="420" t="s">
        <v>585</v>
      </c>
      <c r="BT98" s="420">
        <v>7</v>
      </c>
      <c r="BU98" s="420">
        <v>584</v>
      </c>
      <c r="BV98" s="420" t="s">
        <v>585</v>
      </c>
      <c r="BW98" s="420" t="s">
        <v>585</v>
      </c>
      <c r="BX98" s="420">
        <v>181</v>
      </c>
      <c r="BY98" s="420" t="s">
        <v>585</v>
      </c>
      <c r="BZ98" s="420" t="s">
        <v>585</v>
      </c>
      <c r="CA98" s="420" t="s">
        <v>585</v>
      </c>
      <c r="CB98" s="420" t="s">
        <v>585</v>
      </c>
      <c r="CC98" s="421">
        <v>1903</v>
      </c>
      <c r="CD98" s="422">
        <v>207</v>
      </c>
      <c r="CE98" s="420">
        <v>16</v>
      </c>
      <c r="CF98" s="423">
        <v>223</v>
      </c>
      <c r="CG98" s="424" t="s">
        <v>585</v>
      </c>
      <c r="CH98" s="424">
        <v>1394</v>
      </c>
      <c r="CI98" s="422">
        <v>4932</v>
      </c>
      <c r="CJ98" s="420">
        <v>78</v>
      </c>
      <c r="CK98" s="420">
        <v>4</v>
      </c>
      <c r="CL98" s="423">
        <v>5014</v>
      </c>
      <c r="CM98" s="424" t="s">
        <v>585</v>
      </c>
      <c r="CN98" s="422">
        <v>2448</v>
      </c>
      <c r="CO98" s="420" t="s">
        <v>585</v>
      </c>
      <c r="CP98" s="423">
        <v>2448</v>
      </c>
      <c r="CQ98" s="424">
        <v>1058</v>
      </c>
      <c r="CR98" s="424">
        <v>334</v>
      </c>
      <c r="CS98" s="422">
        <v>89</v>
      </c>
      <c r="CT98" s="420">
        <v>262</v>
      </c>
      <c r="CU98" s="420">
        <v>690</v>
      </c>
      <c r="CV98" s="423">
        <v>1041</v>
      </c>
      <c r="CW98" s="426">
        <v>21722</v>
      </c>
      <c r="CX98" s="427">
        <f>21722/538718</f>
        <v>4.0321652515787482E-2</v>
      </c>
      <c r="CY98" s="276"/>
      <c r="CZ98" s="276"/>
      <c r="DA98" s="276"/>
    </row>
    <row r="99" spans="1:105" x14ac:dyDescent="0.2">
      <c r="A99" s="208"/>
      <c r="B99" s="410" t="s">
        <v>229</v>
      </c>
      <c r="C99" s="419" t="s">
        <v>585</v>
      </c>
      <c r="D99" s="420" t="s">
        <v>585</v>
      </c>
      <c r="E99" s="420" t="s">
        <v>585</v>
      </c>
      <c r="F99" s="421" t="s">
        <v>585</v>
      </c>
      <c r="G99" s="422" t="s">
        <v>585</v>
      </c>
      <c r="H99" s="420" t="s">
        <v>585</v>
      </c>
      <c r="I99" s="420" t="s">
        <v>585</v>
      </c>
      <c r="J99" s="420" t="s">
        <v>585</v>
      </c>
      <c r="K99" s="420" t="s">
        <v>585</v>
      </c>
      <c r="L99" s="423" t="s">
        <v>585</v>
      </c>
      <c r="M99" s="424" t="s">
        <v>585</v>
      </c>
      <c r="N99" s="422">
        <v>1</v>
      </c>
      <c r="O99" s="420" t="s">
        <v>585</v>
      </c>
      <c r="P99" s="420" t="s">
        <v>585</v>
      </c>
      <c r="Q99" s="423">
        <v>1</v>
      </c>
      <c r="R99" s="419" t="s">
        <v>585</v>
      </c>
      <c r="S99" s="420" t="s">
        <v>585</v>
      </c>
      <c r="T99" s="420" t="s">
        <v>585</v>
      </c>
      <c r="U99" s="421" t="s">
        <v>585</v>
      </c>
      <c r="V99" s="425" t="s">
        <v>585</v>
      </c>
      <c r="W99" s="424" t="s">
        <v>585</v>
      </c>
      <c r="X99" s="422" t="s">
        <v>585</v>
      </c>
      <c r="Y99" s="420" t="s">
        <v>585</v>
      </c>
      <c r="Z99" s="420" t="s">
        <v>585</v>
      </c>
      <c r="AA99" s="420" t="s">
        <v>585</v>
      </c>
      <c r="AB99" s="420" t="s">
        <v>585</v>
      </c>
      <c r="AC99" s="420" t="s">
        <v>585</v>
      </c>
      <c r="AD99" s="423" t="s">
        <v>585</v>
      </c>
      <c r="AE99" s="424" t="s">
        <v>585</v>
      </c>
      <c r="AF99" s="422" t="s">
        <v>585</v>
      </c>
      <c r="AG99" s="420" t="s">
        <v>585</v>
      </c>
      <c r="AH99" s="420" t="s">
        <v>585</v>
      </c>
      <c r="AI99" s="420" t="s">
        <v>585</v>
      </c>
      <c r="AJ99" s="420" t="s">
        <v>585</v>
      </c>
      <c r="AK99" s="420" t="s">
        <v>585</v>
      </c>
      <c r="AL99" s="420" t="s">
        <v>585</v>
      </c>
      <c r="AM99" s="420" t="s">
        <v>585</v>
      </c>
      <c r="AN99" s="420" t="s">
        <v>585</v>
      </c>
      <c r="AO99" s="420" t="s">
        <v>585</v>
      </c>
      <c r="AP99" s="423" t="s">
        <v>585</v>
      </c>
      <c r="AQ99" s="419" t="s">
        <v>585</v>
      </c>
      <c r="AR99" s="420" t="s">
        <v>585</v>
      </c>
      <c r="AS99" s="420" t="s">
        <v>585</v>
      </c>
      <c r="AT99" s="420" t="s">
        <v>585</v>
      </c>
      <c r="AU99" s="420" t="s">
        <v>585</v>
      </c>
      <c r="AV99" s="420" t="s">
        <v>585</v>
      </c>
      <c r="AW99" s="420" t="s">
        <v>585</v>
      </c>
      <c r="AX99" s="420" t="s">
        <v>585</v>
      </c>
      <c r="AY99" s="421" t="s">
        <v>585</v>
      </c>
      <c r="AZ99" s="422" t="s">
        <v>585</v>
      </c>
      <c r="BA99" s="420" t="s">
        <v>585</v>
      </c>
      <c r="BB99" s="420" t="s">
        <v>585</v>
      </c>
      <c r="BC99" s="420" t="s">
        <v>585</v>
      </c>
      <c r="BD99" s="420" t="s">
        <v>585</v>
      </c>
      <c r="BE99" s="420" t="s">
        <v>585</v>
      </c>
      <c r="BF99" s="423" t="s">
        <v>585</v>
      </c>
      <c r="BG99" s="424" t="s">
        <v>585</v>
      </c>
      <c r="BH99" s="424" t="s">
        <v>585</v>
      </c>
      <c r="BI99" s="424" t="s">
        <v>585</v>
      </c>
      <c r="BJ99" s="422" t="s">
        <v>585</v>
      </c>
      <c r="BK99" s="420" t="s">
        <v>585</v>
      </c>
      <c r="BL99" s="420" t="s">
        <v>585</v>
      </c>
      <c r="BM99" s="420" t="s">
        <v>585</v>
      </c>
      <c r="BN99" s="420" t="s">
        <v>585</v>
      </c>
      <c r="BO99" s="420" t="s">
        <v>585</v>
      </c>
      <c r="BP99" s="420" t="s">
        <v>585</v>
      </c>
      <c r="BQ99" s="423" t="s">
        <v>585</v>
      </c>
      <c r="BR99" s="419">
        <v>1</v>
      </c>
      <c r="BS99" s="420" t="s">
        <v>585</v>
      </c>
      <c r="BT99" s="420" t="s">
        <v>585</v>
      </c>
      <c r="BU99" s="420" t="s">
        <v>585</v>
      </c>
      <c r="BV99" s="420" t="s">
        <v>585</v>
      </c>
      <c r="BW99" s="420" t="s">
        <v>585</v>
      </c>
      <c r="BX99" s="420" t="s">
        <v>585</v>
      </c>
      <c r="BY99" s="420" t="s">
        <v>585</v>
      </c>
      <c r="BZ99" s="420" t="s">
        <v>585</v>
      </c>
      <c r="CA99" s="420" t="s">
        <v>585</v>
      </c>
      <c r="CB99" s="420" t="s">
        <v>585</v>
      </c>
      <c r="CC99" s="421">
        <v>1</v>
      </c>
      <c r="CD99" s="422" t="s">
        <v>585</v>
      </c>
      <c r="CE99" s="420" t="s">
        <v>585</v>
      </c>
      <c r="CF99" s="423" t="s">
        <v>585</v>
      </c>
      <c r="CG99" s="424" t="s">
        <v>585</v>
      </c>
      <c r="CH99" s="424" t="s">
        <v>585</v>
      </c>
      <c r="CI99" s="422" t="s">
        <v>585</v>
      </c>
      <c r="CJ99" s="420" t="s">
        <v>585</v>
      </c>
      <c r="CK99" s="420" t="s">
        <v>585</v>
      </c>
      <c r="CL99" s="423" t="s">
        <v>585</v>
      </c>
      <c r="CM99" s="424" t="s">
        <v>585</v>
      </c>
      <c r="CN99" s="422" t="s">
        <v>585</v>
      </c>
      <c r="CO99" s="420" t="s">
        <v>585</v>
      </c>
      <c r="CP99" s="423" t="s">
        <v>585</v>
      </c>
      <c r="CQ99" s="424" t="s">
        <v>585</v>
      </c>
      <c r="CR99" s="424" t="s">
        <v>585</v>
      </c>
      <c r="CS99" s="422" t="s">
        <v>585</v>
      </c>
      <c r="CT99" s="420" t="s">
        <v>585</v>
      </c>
      <c r="CU99" s="420" t="s">
        <v>585</v>
      </c>
      <c r="CV99" s="423" t="s">
        <v>585</v>
      </c>
      <c r="CW99" s="426">
        <v>2</v>
      </c>
      <c r="CX99" s="427">
        <f>2/538718</f>
        <v>3.7125174952386965E-6</v>
      </c>
      <c r="CY99" s="276"/>
      <c r="CZ99" s="276"/>
      <c r="DA99" s="276"/>
    </row>
    <row r="100" spans="1:105" x14ac:dyDescent="0.2">
      <c r="A100" s="208"/>
      <c r="B100" s="410" t="s">
        <v>241</v>
      </c>
      <c r="C100" s="419" t="s">
        <v>585</v>
      </c>
      <c r="D100" s="420" t="s">
        <v>585</v>
      </c>
      <c r="E100" s="420" t="s">
        <v>585</v>
      </c>
      <c r="F100" s="421" t="s">
        <v>585</v>
      </c>
      <c r="G100" s="422" t="s">
        <v>585</v>
      </c>
      <c r="H100" s="420" t="s">
        <v>585</v>
      </c>
      <c r="I100" s="420" t="s">
        <v>585</v>
      </c>
      <c r="J100" s="420" t="s">
        <v>585</v>
      </c>
      <c r="K100" s="420" t="s">
        <v>585</v>
      </c>
      <c r="L100" s="423" t="s">
        <v>585</v>
      </c>
      <c r="M100" s="424" t="s">
        <v>585</v>
      </c>
      <c r="N100" s="422">
        <v>1</v>
      </c>
      <c r="O100" s="420" t="s">
        <v>585</v>
      </c>
      <c r="P100" s="420" t="s">
        <v>585</v>
      </c>
      <c r="Q100" s="423">
        <v>1</v>
      </c>
      <c r="R100" s="419" t="s">
        <v>585</v>
      </c>
      <c r="S100" s="420" t="s">
        <v>585</v>
      </c>
      <c r="T100" s="420" t="s">
        <v>585</v>
      </c>
      <c r="U100" s="421" t="s">
        <v>585</v>
      </c>
      <c r="V100" s="425" t="s">
        <v>585</v>
      </c>
      <c r="W100" s="424" t="s">
        <v>585</v>
      </c>
      <c r="X100" s="422" t="s">
        <v>585</v>
      </c>
      <c r="Y100" s="420" t="s">
        <v>585</v>
      </c>
      <c r="Z100" s="420" t="s">
        <v>585</v>
      </c>
      <c r="AA100" s="420" t="s">
        <v>585</v>
      </c>
      <c r="AB100" s="420" t="s">
        <v>585</v>
      </c>
      <c r="AC100" s="420" t="s">
        <v>585</v>
      </c>
      <c r="AD100" s="423" t="s">
        <v>585</v>
      </c>
      <c r="AE100" s="424" t="s">
        <v>585</v>
      </c>
      <c r="AF100" s="422">
        <v>1</v>
      </c>
      <c r="AG100" s="420" t="s">
        <v>585</v>
      </c>
      <c r="AH100" s="420" t="s">
        <v>585</v>
      </c>
      <c r="AI100" s="420" t="s">
        <v>585</v>
      </c>
      <c r="AJ100" s="420" t="s">
        <v>585</v>
      </c>
      <c r="AK100" s="420" t="s">
        <v>585</v>
      </c>
      <c r="AL100" s="420" t="s">
        <v>585</v>
      </c>
      <c r="AM100" s="420" t="s">
        <v>585</v>
      </c>
      <c r="AN100" s="420" t="s">
        <v>585</v>
      </c>
      <c r="AO100" s="420" t="s">
        <v>585</v>
      </c>
      <c r="AP100" s="423">
        <v>1</v>
      </c>
      <c r="AQ100" s="419" t="s">
        <v>585</v>
      </c>
      <c r="AR100" s="420" t="s">
        <v>585</v>
      </c>
      <c r="AS100" s="420" t="s">
        <v>585</v>
      </c>
      <c r="AT100" s="420" t="s">
        <v>585</v>
      </c>
      <c r="AU100" s="420" t="s">
        <v>585</v>
      </c>
      <c r="AV100" s="420" t="s">
        <v>585</v>
      </c>
      <c r="AW100" s="420" t="s">
        <v>585</v>
      </c>
      <c r="AX100" s="420" t="s">
        <v>585</v>
      </c>
      <c r="AY100" s="421" t="s">
        <v>585</v>
      </c>
      <c r="AZ100" s="422" t="s">
        <v>585</v>
      </c>
      <c r="BA100" s="420" t="s">
        <v>585</v>
      </c>
      <c r="BB100" s="420" t="s">
        <v>585</v>
      </c>
      <c r="BC100" s="420" t="s">
        <v>585</v>
      </c>
      <c r="BD100" s="420" t="s">
        <v>585</v>
      </c>
      <c r="BE100" s="420" t="s">
        <v>585</v>
      </c>
      <c r="BF100" s="423" t="s">
        <v>585</v>
      </c>
      <c r="BG100" s="424" t="s">
        <v>585</v>
      </c>
      <c r="BH100" s="424" t="s">
        <v>585</v>
      </c>
      <c r="BI100" s="424" t="s">
        <v>585</v>
      </c>
      <c r="BJ100" s="422" t="s">
        <v>585</v>
      </c>
      <c r="BK100" s="420" t="s">
        <v>585</v>
      </c>
      <c r="BL100" s="420" t="s">
        <v>585</v>
      </c>
      <c r="BM100" s="420" t="s">
        <v>585</v>
      </c>
      <c r="BN100" s="420" t="s">
        <v>585</v>
      </c>
      <c r="BO100" s="420" t="s">
        <v>585</v>
      </c>
      <c r="BP100" s="420" t="s">
        <v>585</v>
      </c>
      <c r="BQ100" s="423" t="s">
        <v>585</v>
      </c>
      <c r="BR100" s="419" t="s">
        <v>585</v>
      </c>
      <c r="BS100" s="420" t="s">
        <v>585</v>
      </c>
      <c r="BT100" s="420" t="s">
        <v>585</v>
      </c>
      <c r="BU100" s="420">
        <v>1</v>
      </c>
      <c r="BV100" s="420" t="s">
        <v>585</v>
      </c>
      <c r="BW100" s="420" t="s">
        <v>585</v>
      </c>
      <c r="BX100" s="420" t="s">
        <v>585</v>
      </c>
      <c r="BY100" s="420" t="s">
        <v>585</v>
      </c>
      <c r="BZ100" s="420" t="s">
        <v>585</v>
      </c>
      <c r="CA100" s="420" t="s">
        <v>585</v>
      </c>
      <c r="CB100" s="420" t="s">
        <v>585</v>
      </c>
      <c r="CC100" s="421">
        <v>1</v>
      </c>
      <c r="CD100" s="422" t="s">
        <v>585</v>
      </c>
      <c r="CE100" s="420" t="s">
        <v>585</v>
      </c>
      <c r="CF100" s="423" t="s">
        <v>585</v>
      </c>
      <c r="CG100" s="424" t="s">
        <v>585</v>
      </c>
      <c r="CH100" s="424">
        <v>18</v>
      </c>
      <c r="CI100" s="422" t="s">
        <v>585</v>
      </c>
      <c r="CJ100" s="420" t="s">
        <v>585</v>
      </c>
      <c r="CK100" s="420" t="s">
        <v>585</v>
      </c>
      <c r="CL100" s="423" t="s">
        <v>585</v>
      </c>
      <c r="CM100" s="424" t="s">
        <v>585</v>
      </c>
      <c r="CN100" s="422" t="s">
        <v>585</v>
      </c>
      <c r="CO100" s="420" t="s">
        <v>585</v>
      </c>
      <c r="CP100" s="423" t="s">
        <v>585</v>
      </c>
      <c r="CQ100" s="424" t="s">
        <v>585</v>
      </c>
      <c r="CR100" s="424" t="s">
        <v>585</v>
      </c>
      <c r="CS100" s="422" t="s">
        <v>585</v>
      </c>
      <c r="CT100" s="420" t="s">
        <v>585</v>
      </c>
      <c r="CU100" s="420" t="s">
        <v>585</v>
      </c>
      <c r="CV100" s="423" t="s">
        <v>585</v>
      </c>
      <c r="CW100" s="426">
        <v>21</v>
      </c>
      <c r="CX100" s="427">
        <f>21/538718</f>
        <v>3.8981433700006313E-5</v>
      </c>
      <c r="CY100" s="276"/>
      <c r="CZ100" s="276"/>
      <c r="DA100" s="276"/>
    </row>
    <row r="101" spans="1:105" ht="13.5" thickBot="1" x14ac:dyDescent="0.25">
      <c r="A101" s="208"/>
      <c r="B101" s="411" t="s">
        <v>243</v>
      </c>
      <c r="C101" s="428">
        <v>4</v>
      </c>
      <c r="D101" s="429">
        <v>23</v>
      </c>
      <c r="E101" s="429">
        <v>7</v>
      </c>
      <c r="F101" s="430">
        <v>34</v>
      </c>
      <c r="G101" s="431">
        <v>12</v>
      </c>
      <c r="H101" s="429">
        <v>911</v>
      </c>
      <c r="I101" s="429">
        <v>22</v>
      </c>
      <c r="J101" s="429" t="s">
        <v>585</v>
      </c>
      <c r="K101" s="429" t="s">
        <v>585</v>
      </c>
      <c r="L101" s="432">
        <v>945</v>
      </c>
      <c r="M101" s="433" t="s">
        <v>585</v>
      </c>
      <c r="N101" s="431">
        <v>221</v>
      </c>
      <c r="O101" s="429" t="s">
        <v>585</v>
      </c>
      <c r="P101" s="429" t="s">
        <v>585</v>
      </c>
      <c r="Q101" s="432">
        <v>221</v>
      </c>
      <c r="R101" s="428" t="s">
        <v>585</v>
      </c>
      <c r="S101" s="429" t="s">
        <v>585</v>
      </c>
      <c r="T101" s="429" t="s">
        <v>585</v>
      </c>
      <c r="U101" s="430" t="s">
        <v>585</v>
      </c>
      <c r="V101" s="434">
        <v>20</v>
      </c>
      <c r="W101" s="433">
        <v>1160</v>
      </c>
      <c r="X101" s="431">
        <v>5</v>
      </c>
      <c r="Y101" s="429" t="s">
        <v>585</v>
      </c>
      <c r="Z101" s="429" t="s">
        <v>585</v>
      </c>
      <c r="AA101" s="429" t="s">
        <v>585</v>
      </c>
      <c r="AB101" s="429" t="s">
        <v>585</v>
      </c>
      <c r="AC101" s="429" t="s">
        <v>585</v>
      </c>
      <c r="AD101" s="432">
        <v>5</v>
      </c>
      <c r="AE101" s="433">
        <v>2257</v>
      </c>
      <c r="AF101" s="431">
        <v>1218</v>
      </c>
      <c r="AG101" s="429" t="s">
        <v>585</v>
      </c>
      <c r="AH101" s="429" t="s">
        <v>585</v>
      </c>
      <c r="AI101" s="429" t="s">
        <v>585</v>
      </c>
      <c r="AJ101" s="429">
        <v>31</v>
      </c>
      <c r="AK101" s="429" t="s">
        <v>585</v>
      </c>
      <c r="AL101" s="429" t="s">
        <v>585</v>
      </c>
      <c r="AM101" s="429">
        <v>531</v>
      </c>
      <c r="AN101" s="429">
        <v>2</v>
      </c>
      <c r="AO101" s="429" t="s">
        <v>585</v>
      </c>
      <c r="AP101" s="432">
        <v>1782</v>
      </c>
      <c r="AQ101" s="428" t="s">
        <v>585</v>
      </c>
      <c r="AR101" s="429">
        <v>23</v>
      </c>
      <c r="AS101" s="429" t="s">
        <v>585</v>
      </c>
      <c r="AT101" s="429" t="s">
        <v>585</v>
      </c>
      <c r="AU101" s="429" t="s">
        <v>585</v>
      </c>
      <c r="AV101" s="429" t="s">
        <v>585</v>
      </c>
      <c r="AW101" s="429" t="s">
        <v>585</v>
      </c>
      <c r="AX101" s="429" t="s">
        <v>585</v>
      </c>
      <c r="AY101" s="430">
        <v>23</v>
      </c>
      <c r="AZ101" s="431" t="s">
        <v>585</v>
      </c>
      <c r="BA101" s="429" t="s">
        <v>585</v>
      </c>
      <c r="BB101" s="429" t="s">
        <v>585</v>
      </c>
      <c r="BC101" s="429" t="s">
        <v>585</v>
      </c>
      <c r="BD101" s="429" t="s">
        <v>585</v>
      </c>
      <c r="BE101" s="429" t="s">
        <v>585</v>
      </c>
      <c r="BF101" s="432" t="s">
        <v>585</v>
      </c>
      <c r="BG101" s="433">
        <v>27</v>
      </c>
      <c r="BH101" s="433">
        <v>4072</v>
      </c>
      <c r="BI101" s="433" t="s">
        <v>585</v>
      </c>
      <c r="BJ101" s="431">
        <v>3298</v>
      </c>
      <c r="BK101" s="429" t="s">
        <v>585</v>
      </c>
      <c r="BL101" s="429">
        <v>909</v>
      </c>
      <c r="BM101" s="429">
        <v>287</v>
      </c>
      <c r="BN101" s="429">
        <v>10</v>
      </c>
      <c r="BO101" s="429" t="s">
        <v>585</v>
      </c>
      <c r="BP101" s="429" t="s">
        <v>585</v>
      </c>
      <c r="BQ101" s="432">
        <v>4504</v>
      </c>
      <c r="BR101" s="428">
        <v>328</v>
      </c>
      <c r="BS101" s="429" t="s">
        <v>585</v>
      </c>
      <c r="BT101" s="429">
        <v>4</v>
      </c>
      <c r="BU101" s="429">
        <v>817</v>
      </c>
      <c r="BV101" s="429">
        <v>2</v>
      </c>
      <c r="BW101" s="429" t="s">
        <v>585</v>
      </c>
      <c r="BX101" s="429">
        <v>265</v>
      </c>
      <c r="BY101" s="429" t="s">
        <v>585</v>
      </c>
      <c r="BZ101" s="429" t="s">
        <v>585</v>
      </c>
      <c r="CA101" s="429" t="s">
        <v>585</v>
      </c>
      <c r="CB101" s="429" t="s">
        <v>585</v>
      </c>
      <c r="CC101" s="430">
        <v>1416</v>
      </c>
      <c r="CD101" s="431">
        <v>314</v>
      </c>
      <c r="CE101" s="429">
        <v>23</v>
      </c>
      <c r="CF101" s="432">
        <v>337</v>
      </c>
      <c r="CG101" s="433" t="s">
        <v>585</v>
      </c>
      <c r="CH101" s="433">
        <v>2610</v>
      </c>
      <c r="CI101" s="431">
        <v>6723</v>
      </c>
      <c r="CJ101" s="429">
        <v>148</v>
      </c>
      <c r="CK101" s="429">
        <v>11</v>
      </c>
      <c r="CL101" s="432">
        <v>6882</v>
      </c>
      <c r="CM101" s="433" t="s">
        <v>585</v>
      </c>
      <c r="CN101" s="431">
        <v>2690</v>
      </c>
      <c r="CO101" s="429" t="s">
        <v>585</v>
      </c>
      <c r="CP101" s="432">
        <v>2690</v>
      </c>
      <c r="CQ101" s="433">
        <v>2064</v>
      </c>
      <c r="CR101" s="433">
        <v>230</v>
      </c>
      <c r="CS101" s="431">
        <v>190</v>
      </c>
      <c r="CT101" s="429">
        <v>655</v>
      </c>
      <c r="CU101" s="429">
        <v>749</v>
      </c>
      <c r="CV101" s="432">
        <v>1594</v>
      </c>
      <c r="CW101" s="435">
        <v>32873</v>
      </c>
      <c r="CX101" s="436">
        <f>32873/538718</f>
        <v>6.1020793810490831E-2</v>
      </c>
      <c r="CY101" s="276"/>
      <c r="CZ101" s="276"/>
      <c r="DA101" s="276"/>
    </row>
    <row r="102" spans="1:105" s="101" customFormat="1" ht="13.5" thickBot="1" x14ac:dyDescent="0.25">
      <c r="A102" s="208"/>
      <c r="B102" s="113" t="s">
        <v>697</v>
      </c>
      <c r="C102" s="437">
        <v>11</v>
      </c>
      <c r="D102" s="212">
        <v>53</v>
      </c>
      <c r="E102" s="212">
        <v>27</v>
      </c>
      <c r="F102" s="438">
        <v>91</v>
      </c>
      <c r="G102" s="439">
        <v>31</v>
      </c>
      <c r="H102" s="212">
        <v>1166</v>
      </c>
      <c r="I102" s="212">
        <v>24</v>
      </c>
      <c r="J102" s="212" t="s">
        <v>585</v>
      </c>
      <c r="K102" s="212" t="s">
        <v>585</v>
      </c>
      <c r="L102" s="440">
        <v>1221</v>
      </c>
      <c r="M102" s="209" t="s">
        <v>585</v>
      </c>
      <c r="N102" s="439">
        <v>788</v>
      </c>
      <c r="O102" s="212" t="s">
        <v>585</v>
      </c>
      <c r="P102" s="212">
        <v>4</v>
      </c>
      <c r="Q102" s="440">
        <v>792</v>
      </c>
      <c r="R102" s="437" t="s">
        <v>585</v>
      </c>
      <c r="S102" s="212" t="s">
        <v>585</v>
      </c>
      <c r="T102" s="212" t="s">
        <v>585</v>
      </c>
      <c r="U102" s="438" t="s">
        <v>585</v>
      </c>
      <c r="V102" s="213">
        <v>70</v>
      </c>
      <c r="W102" s="209">
        <v>2521</v>
      </c>
      <c r="X102" s="439">
        <v>49</v>
      </c>
      <c r="Y102" s="212" t="s">
        <v>585</v>
      </c>
      <c r="Z102" s="212" t="s">
        <v>585</v>
      </c>
      <c r="AA102" s="212" t="s">
        <v>585</v>
      </c>
      <c r="AB102" s="212" t="s">
        <v>585</v>
      </c>
      <c r="AC102" s="212" t="s">
        <v>585</v>
      </c>
      <c r="AD102" s="440">
        <v>49</v>
      </c>
      <c r="AE102" s="209">
        <v>3811</v>
      </c>
      <c r="AF102" s="439">
        <v>2939</v>
      </c>
      <c r="AG102" s="212" t="s">
        <v>585</v>
      </c>
      <c r="AH102" s="212" t="s">
        <v>585</v>
      </c>
      <c r="AI102" s="212" t="s">
        <v>585</v>
      </c>
      <c r="AJ102" s="212">
        <v>63</v>
      </c>
      <c r="AK102" s="212" t="s">
        <v>585</v>
      </c>
      <c r="AL102" s="212" t="s">
        <v>585</v>
      </c>
      <c r="AM102" s="212">
        <v>844</v>
      </c>
      <c r="AN102" s="212">
        <v>4</v>
      </c>
      <c r="AO102" s="212" t="s">
        <v>585</v>
      </c>
      <c r="AP102" s="440">
        <v>3850</v>
      </c>
      <c r="AQ102" s="437" t="s">
        <v>585</v>
      </c>
      <c r="AR102" s="212">
        <v>84</v>
      </c>
      <c r="AS102" s="212" t="s">
        <v>585</v>
      </c>
      <c r="AT102" s="212" t="s">
        <v>585</v>
      </c>
      <c r="AU102" s="212" t="s">
        <v>585</v>
      </c>
      <c r="AV102" s="212" t="s">
        <v>585</v>
      </c>
      <c r="AW102" s="212" t="s">
        <v>585</v>
      </c>
      <c r="AX102" s="212" t="s">
        <v>585</v>
      </c>
      <c r="AY102" s="438">
        <v>84</v>
      </c>
      <c r="AZ102" s="439" t="s">
        <v>585</v>
      </c>
      <c r="BA102" s="212" t="s">
        <v>585</v>
      </c>
      <c r="BB102" s="212" t="s">
        <v>585</v>
      </c>
      <c r="BC102" s="212" t="s">
        <v>585</v>
      </c>
      <c r="BD102" s="212" t="s">
        <v>585</v>
      </c>
      <c r="BE102" s="212" t="s">
        <v>585</v>
      </c>
      <c r="BF102" s="440" t="s">
        <v>585</v>
      </c>
      <c r="BG102" s="209">
        <v>279</v>
      </c>
      <c r="BH102" s="209">
        <v>8834</v>
      </c>
      <c r="BI102" s="209" t="s">
        <v>585</v>
      </c>
      <c r="BJ102" s="439">
        <v>6108</v>
      </c>
      <c r="BK102" s="212" t="s">
        <v>585</v>
      </c>
      <c r="BL102" s="212">
        <v>1522</v>
      </c>
      <c r="BM102" s="212">
        <v>327</v>
      </c>
      <c r="BN102" s="212">
        <v>12</v>
      </c>
      <c r="BO102" s="212" t="s">
        <v>585</v>
      </c>
      <c r="BP102" s="212" t="s">
        <v>585</v>
      </c>
      <c r="BQ102" s="440">
        <v>7969</v>
      </c>
      <c r="BR102" s="437">
        <v>1600</v>
      </c>
      <c r="BS102" s="212" t="s">
        <v>585</v>
      </c>
      <c r="BT102" s="212">
        <v>14</v>
      </c>
      <c r="BU102" s="212">
        <v>1600</v>
      </c>
      <c r="BV102" s="212">
        <v>3</v>
      </c>
      <c r="BW102" s="212" t="s">
        <v>585</v>
      </c>
      <c r="BX102" s="212">
        <v>516</v>
      </c>
      <c r="BY102" s="212" t="s">
        <v>585</v>
      </c>
      <c r="BZ102" s="212" t="s">
        <v>585</v>
      </c>
      <c r="CA102" s="212" t="s">
        <v>585</v>
      </c>
      <c r="CB102" s="212" t="s">
        <v>585</v>
      </c>
      <c r="CC102" s="438">
        <v>3733</v>
      </c>
      <c r="CD102" s="439">
        <v>667</v>
      </c>
      <c r="CE102" s="212">
        <v>51</v>
      </c>
      <c r="CF102" s="440">
        <v>718</v>
      </c>
      <c r="CG102" s="209" t="s">
        <v>585</v>
      </c>
      <c r="CH102" s="209">
        <v>4957</v>
      </c>
      <c r="CI102" s="439">
        <v>16224</v>
      </c>
      <c r="CJ102" s="212">
        <v>289</v>
      </c>
      <c r="CK102" s="212">
        <v>21</v>
      </c>
      <c r="CL102" s="440">
        <v>16534</v>
      </c>
      <c r="CM102" s="209" t="s">
        <v>585</v>
      </c>
      <c r="CN102" s="439">
        <v>6211</v>
      </c>
      <c r="CO102" s="212" t="s">
        <v>585</v>
      </c>
      <c r="CP102" s="440">
        <v>6211</v>
      </c>
      <c r="CQ102" s="209">
        <v>3503</v>
      </c>
      <c r="CR102" s="209">
        <v>793</v>
      </c>
      <c r="CS102" s="439">
        <v>287</v>
      </c>
      <c r="CT102" s="212">
        <v>1080</v>
      </c>
      <c r="CU102" s="212">
        <v>1650</v>
      </c>
      <c r="CV102" s="440">
        <v>3017</v>
      </c>
      <c r="CW102" s="210">
        <v>69037</v>
      </c>
      <c r="CX102" s="270">
        <f>69037/538718</f>
        <v>0.12815053515939695</v>
      </c>
      <c r="CY102" s="277"/>
      <c r="CZ102" s="277"/>
      <c r="DA102" s="277"/>
    </row>
    <row r="103" spans="1:105" x14ac:dyDescent="0.2">
      <c r="A103" s="208"/>
      <c r="B103" s="304" t="s">
        <v>22</v>
      </c>
      <c r="C103" s="414" t="s">
        <v>585</v>
      </c>
      <c r="D103" s="305" t="s">
        <v>585</v>
      </c>
      <c r="E103" s="305" t="s">
        <v>585</v>
      </c>
      <c r="F103" s="415" t="s">
        <v>585</v>
      </c>
      <c r="G103" s="416">
        <v>88</v>
      </c>
      <c r="H103" s="305">
        <v>5</v>
      </c>
      <c r="I103" s="305">
        <v>37</v>
      </c>
      <c r="J103" s="305" t="s">
        <v>585</v>
      </c>
      <c r="K103" s="305" t="s">
        <v>585</v>
      </c>
      <c r="L103" s="417">
        <v>130</v>
      </c>
      <c r="M103" s="307" t="s">
        <v>585</v>
      </c>
      <c r="N103" s="416">
        <v>52936</v>
      </c>
      <c r="O103" s="305" t="s">
        <v>585</v>
      </c>
      <c r="P103" s="305">
        <v>4</v>
      </c>
      <c r="Q103" s="417">
        <v>52940</v>
      </c>
      <c r="R103" s="414" t="s">
        <v>585</v>
      </c>
      <c r="S103" s="305" t="s">
        <v>585</v>
      </c>
      <c r="T103" s="305" t="s">
        <v>585</v>
      </c>
      <c r="U103" s="415" t="s">
        <v>585</v>
      </c>
      <c r="V103" s="306" t="s">
        <v>585</v>
      </c>
      <c r="W103" s="307" t="s">
        <v>585</v>
      </c>
      <c r="X103" s="416">
        <v>1023</v>
      </c>
      <c r="Y103" s="305" t="s">
        <v>585</v>
      </c>
      <c r="Z103" s="305">
        <v>26</v>
      </c>
      <c r="AA103" s="305" t="s">
        <v>585</v>
      </c>
      <c r="AB103" s="305" t="s">
        <v>585</v>
      </c>
      <c r="AC103" s="305" t="s">
        <v>585</v>
      </c>
      <c r="AD103" s="417">
        <v>1049</v>
      </c>
      <c r="AE103" s="307" t="s">
        <v>585</v>
      </c>
      <c r="AF103" s="416">
        <v>132</v>
      </c>
      <c r="AG103" s="305" t="s">
        <v>585</v>
      </c>
      <c r="AH103" s="305" t="s">
        <v>585</v>
      </c>
      <c r="AI103" s="305" t="s">
        <v>585</v>
      </c>
      <c r="AJ103" s="305" t="s">
        <v>585</v>
      </c>
      <c r="AK103" s="305" t="s">
        <v>585</v>
      </c>
      <c r="AL103" s="305" t="s">
        <v>585</v>
      </c>
      <c r="AM103" s="305" t="s">
        <v>585</v>
      </c>
      <c r="AN103" s="305" t="s">
        <v>585</v>
      </c>
      <c r="AO103" s="305" t="s">
        <v>585</v>
      </c>
      <c r="AP103" s="417">
        <v>132</v>
      </c>
      <c r="AQ103" s="414" t="s">
        <v>585</v>
      </c>
      <c r="AR103" s="305">
        <v>2185</v>
      </c>
      <c r="AS103" s="305" t="s">
        <v>585</v>
      </c>
      <c r="AT103" s="305" t="s">
        <v>585</v>
      </c>
      <c r="AU103" s="305" t="s">
        <v>585</v>
      </c>
      <c r="AV103" s="305" t="s">
        <v>585</v>
      </c>
      <c r="AW103" s="305" t="s">
        <v>585</v>
      </c>
      <c r="AX103" s="305" t="s">
        <v>585</v>
      </c>
      <c r="AY103" s="415">
        <v>2185</v>
      </c>
      <c r="AZ103" s="416" t="s">
        <v>585</v>
      </c>
      <c r="BA103" s="305" t="s">
        <v>585</v>
      </c>
      <c r="BB103" s="305" t="s">
        <v>585</v>
      </c>
      <c r="BC103" s="305" t="s">
        <v>585</v>
      </c>
      <c r="BD103" s="305" t="s">
        <v>585</v>
      </c>
      <c r="BE103" s="305" t="s">
        <v>585</v>
      </c>
      <c r="BF103" s="417" t="s">
        <v>585</v>
      </c>
      <c r="BG103" s="307" t="s">
        <v>585</v>
      </c>
      <c r="BH103" s="307" t="s">
        <v>585</v>
      </c>
      <c r="BI103" s="307" t="s">
        <v>585</v>
      </c>
      <c r="BJ103" s="416">
        <v>891</v>
      </c>
      <c r="BK103" s="305" t="s">
        <v>585</v>
      </c>
      <c r="BL103" s="305">
        <v>3</v>
      </c>
      <c r="BM103" s="305" t="s">
        <v>585</v>
      </c>
      <c r="BN103" s="305" t="s">
        <v>585</v>
      </c>
      <c r="BO103" s="305" t="s">
        <v>585</v>
      </c>
      <c r="BP103" s="305" t="s">
        <v>585</v>
      </c>
      <c r="BQ103" s="417">
        <v>894</v>
      </c>
      <c r="BR103" s="414">
        <v>336</v>
      </c>
      <c r="BS103" s="305" t="s">
        <v>585</v>
      </c>
      <c r="BT103" s="305">
        <v>31</v>
      </c>
      <c r="BU103" s="305">
        <v>1605</v>
      </c>
      <c r="BV103" s="305">
        <v>43</v>
      </c>
      <c r="BW103" s="305" t="s">
        <v>585</v>
      </c>
      <c r="BX103" s="305">
        <v>563</v>
      </c>
      <c r="BY103" s="305" t="s">
        <v>585</v>
      </c>
      <c r="BZ103" s="305" t="s">
        <v>585</v>
      </c>
      <c r="CA103" s="305" t="s">
        <v>585</v>
      </c>
      <c r="CB103" s="305" t="s">
        <v>585</v>
      </c>
      <c r="CC103" s="415">
        <v>2578</v>
      </c>
      <c r="CD103" s="416" t="s">
        <v>585</v>
      </c>
      <c r="CE103" s="305" t="s">
        <v>585</v>
      </c>
      <c r="CF103" s="417" t="s">
        <v>585</v>
      </c>
      <c r="CG103" s="307" t="s">
        <v>585</v>
      </c>
      <c r="CH103" s="307" t="s">
        <v>585</v>
      </c>
      <c r="CI103" s="416" t="s">
        <v>585</v>
      </c>
      <c r="CJ103" s="305" t="s">
        <v>585</v>
      </c>
      <c r="CK103" s="305" t="s">
        <v>585</v>
      </c>
      <c r="CL103" s="417" t="s">
        <v>585</v>
      </c>
      <c r="CM103" s="307" t="s">
        <v>585</v>
      </c>
      <c r="CN103" s="416" t="s">
        <v>585</v>
      </c>
      <c r="CO103" s="305" t="s">
        <v>585</v>
      </c>
      <c r="CP103" s="417" t="s">
        <v>585</v>
      </c>
      <c r="CQ103" s="307" t="s">
        <v>585</v>
      </c>
      <c r="CR103" s="307" t="s">
        <v>585</v>
      </c>
      <c r="CS103" s="416" t="s">
        <v>585</v>
      </c>
      <c r="CT103" s="305" t="s">
        <v>585</v>
      </c>
      <c r="CU103" s="305" t="s">
        <v>585</v>
      </c>
      <c r="CV103" s="417" t="s">
        <v>585</v>
      </c>
      <c r="CW103" s="418">
        <v>59908</v>
      </c>
      <c r="CX103" s="308">
        <f>59908/538718</f>
        <v>0.11120474905237991</v>
      </c>
      <c r="CY103" s="276"/>
      <c r="CZ103" s="276"/>
      <c r="DA103" s="276"/>
    </row>
    <row r="104" spans="1:105" x14ac:dyDescent="0.2">
      <c r="A104" s="208"/>
      <c r="B104" s="410" t="s">
        <v>31</v>
      </c>
      <c r="C104" s="419" t="s">
        <v>585</v>
      </c>
      <c r="D104" s="420" t="s">
        <v>585</v>
      </c>
      <c r="E104" s="420" t="s">
        <v>585</v>
      </c>
      <c r="F104" s="421" t="s">
        <v>585</v>
      </c>
      <c r="G104" s="422">
        <v>27</v>
      </c>
      <c r="H104" s="420">
        <v>2</v>
      </c>
      <c r="I104" s="420">
        <v>958</v>
      </c>
      <c r="J104" s="420" t="s">
        <v>585</v>
      </c>
      <c r="K104" s="420" t="s">
        <v>585</v>
      </c>
      <c r="L104" s="423">
        <v>987</v>
      </c>
      <c r="M104" s="424" t="s">
        <v>585</v>
      </c>
      <c r="N104" s="422">
        <v>7649</v>
      </c>
      <c r="O104" s="420" t="s">
        <v>585</v>
      </c>
      <c r="P104" s="420">
        <v>1</v>
      </c>
      <c r="Q104" s="423">
        <v>7650</v>
      </c>
      <c r="R104" s="419" t="s">
        <v>585</v>
      </c>
      <c r="S104" s="420" t="s">
        <v>585</v>
      </c>
      <c r="T104" s="420" t="s">
        <v>585</v>
      </c>
      <c r="U104" s="421" t="s">
        <v>585</v>
      </c>
      <c r="V104" s="425" t="s">
        <v>585</v>
      </c>
      <c r="W104" s="424" t="s">
        <v>585</v>
      </c>
      <c r="X104" s="422">
        <v>69</v>
      </c>
      <c r="Y104" s="420" t="s">
        <v>585</v>
      </c>
      <c r="Z104" s="420">
        <v>27</v>
      </c>
      <c r="AA104" s="420" t="s">
        <v>585</v>
      </c>
      <c r="AB104" s="420" t="s">
        <v>585</v>
      </c>
      <c r="AC104" s="420" t="s">
        <v>585</v>
      </c>
      <c r="AD104" s="423">
        <v>96</v>
      </c>
      <c r="AE104" s="424" t="s">
        <v>585</v>
      </c>
      <c r="AF104" s="422">
        <v>1</v>
      </c>
      <c r="AG104" s="420" t="s">
        <v>585</v>
      </c>
      <c r="AH104" s="420" t="s">
        <v>585</v>
      </c>
      <c r="AI104" s="420" t="s">
        <v>585</v>
      </c>
      <c r="AJ104" s="420" t="s">
        <v>585</v>
      </c>
      <c r="AK104" s="420" t="s">
        <v>585</v>
      </c>
      <c r="AL104" s="420" t="s">
        <v>585</v>
      </c>
      <c r="AM104" s="420" t="s">
        <v>585</v>
      </c>
      <c r="AN104" s="420" t="s">
        <v>585</v>
      </c>
      <c r="AO104" s="420" t="s">
        <v>585</v>
      </c>
      <c r="AP104" s="423">
        <v>1</v>
      </c>
      <c r="AQ104" s="419" t="s">
        <v>585</v>
      </c>
      <c r="AR104" s="420">
        <v>245</v>
      </c>
      <c r="AS104" s="420" t="s">
        <v>585</v>
      </c>
      <c r="AT104" s="420" t="s">
        <v>585</v>
      </c>
      <c r="AU104" s="420" t="s">
        <v>585</v>
      </c>
      <c r="AV104" s="420" t="s">
        <v>585</v>
      </c>
      <c r="AW104" s="420" t="s">
        <v>585</v>
      </c>
      <c r="AX104" s="420" t="s">
        <v>585</v>
      </c>
      <c r="AY104" s="421">
        <v>245</v>
      </c>
      <c r="AZ104" s="422" t="s">
        <v>585</v>
      </c>
      <c r="BA104" s="420" t="s">
        <v>585</v>
      </c>
      <c r="BB104" s="420" t="s">
        <v>585</v>
      </c>
      <c r="BC104" s="420" t="s">
        <v>585</v>
      </c>
      <c r="BD104" s="420" t="s">
        <v>585</v>
      </c>
      <c r="BE104" s="420" t="s">
        <v>585</v>
      </c>
      <c r="BF104" s="423" t="s">
        <v>585</v>
      </c>
      <c r="BG104" s="424" t="s">
        <v>585</v>
      </c>
      <c r="BH104" s="424">
        <v>2</v>
      </c>
      <c r="BI104" s="424" t="s">
        <v>585</v>
      </c>
      <c r="BJ104" s="422">
        <v>1</v>
      </c>
      <c r="BK104" s="420" t="s">
        <v>585</v>
      </c>
      <c r="BL104" s="420" t="s">
        <v>585</v>
      </c>
      <c r="BM104" s="420" t="s">
        <v>585</v>
      </c>
      <c r="BN104" s="420" t="s">
        <v>585</v>
      </c>
      <c r="BO104" s="420" t="s">
        <v>585</v>
      </c>
      <c r="BP104" s="420" t="s">
        <v>585</v>
      </c>
      <c r="BQ104" s="423">
        <v>1</v>
      </c>
      <c r="BR104" s="419">
        <v>457</v>
      </c>
      <c r="BS104" s="420" t="s">
        <v>585</v>
      </c>
      <c r="BT104" s="420">
        <v>27</v>
      </c>
      <c r="BU104" s="420">
        <v>444</v>
      </c>
      <c r="BV104" s="420">
        <v>145</v>
      </c>
      <c r="BW104" s="420" t="s">
        <v>585</v>
      </c>
      <c r="BX104" s="420">
        <v>224</v>
      </c>
      <c r="BY104" s="420" t="s">
        <v>585</v>
      </c>
      <c r="BZ104" s="420" t="s">
        <v>585</v>
      </c>
      <c r="CA104" s="420" t="s">
        <v>585</v>
      </c>
      <c r="CB104" s="420" t="s">
        <v>585</v>
      </c>
      <c r="CC104" s="421">
        <v>1297</v>
      </c>
      <c r="CD104" s="422" t="s">
        <v>585</v>
      </c>
      <c r="CE104" s="420" t="s">
        <v>585</v>
      </c>
      <c r="CF104" s="423" t="s">
        <v>585</v>
      </c>
      <c r="CG104" s="424" t="s">
        <v>585</v>
      </c>
      <c r="CH104" s="424">
        <v>3</v>
      </c>
      <c r="CI104" s="422" t="s">
        <v>585</v>
      </c>
      <c r="CJ104" s="420" t="s">
        <v>585</v>
      </c>
      <c r="CK104" s="420" t="s">
        <v>585</v>
      </c>
      <c r="CL104" s="423" t="s">
        <v>585</v>
      </c>
      <c r="CM104" s="424" t="s">
        <v>585</v>
      </c>
      <c r="CN104" s="422" t="s">
        <v>585</v>
      </c>
      <c r="CO104" s="420" t="s">
        <v>585</v>
      </c>
      <c r="CP104" s="423" t="s">
        <v>585</v>
      </c>
      <c r="CQ104" s="424" t="s">
        <v>585</v>
      </c>
      <c r="CR104" s="424" t="s">
        <v>585</v>
      </c>
      <c r="CS104" s="422" t="s">
        <v>585</v>
      </c>
      <c r="CT104" s="420" t="s">
        <v>585</v>
      </c>
      <c r="CU104" s="420" t="s">
        <v>585</v>
      </c>
      <c r="CV104" s="423" t="s">
        <v>585</v>
      </c>
      <c r="CW104" s="426">
        <v>10282</v>
      </c>
      <c r="CX104" s="427">
        <f>10282/538718</f>
        <v>1.9086052443022139E-2</v>
      </c>
      <c r="CY104" s="276"/>
      <c r="CZ104" s="276"/>
      <c r="DA104" s="276"/>
    </row>
    <row r="105" spans="1:105" x14ac:dyDescent="0.2">
      <c r="A105" s="208"/>
      <c r="B105" s="410" t="s">
        <v>102</v>
      </c>
      <c r="C105" s="419" t="s">
        <v>585</v>
      </c>
      <c r="D105" s="420">
        <v>10</v>
      </c>
      <c r="E105" s="420">
        <v>1</v>
      </c>
      <c r="F105" s="421">
        <v>11</v>
      </c>
      <c r="G105" s="422">
        <v>1</v>
      </c>
      <c r="H105" s="420" t="s">
        <v>585</v>
      </c>
      <c r="I105" s="420" t="s">
        <v>585</v>
      </c>
      <c r="J105" s="420" t="s">
        <v>585</v>
      </c>
      <c r="K105" s="420" t="s">
        <v>585</v>
      </c>
      <c r="L105" s="423">
        <v>1</v>
      </c>
      <c r="M105" s="424" t="s">
        <v>585</v>
      </c>
      <c r="N105" s="422">
        <v>352</v>
      </c>
      <c r="O105" s="420" t="s">
        <v>585</v>
      </c>
      <c r="P105" s="420" t="s">
        <v>585</v>
      </c>
      <c r="Q105" s="423">
        <v>352</v>
      </c>
      <c r="R105" s="419" t="s">
        <v>585</v>
      </c>
      <c r="S105" s="420" t="s">
        <v>585</v>
      </c>
      <c r="T105" s="420" t="s">
        <v>585</v>
      </c>
      <c r="U105" s="421" t="s">
        <v>585</v>
      </c>
      <c r="V105" s="425" t="s">
        <v>585</v>
      </c>
      <c r="W105" s="424">
        <v>15</v>
      </c>
      <c r="X105" s="422">
        <v>5</v>
      </c>
      <c r="Y105" s="420" t="s">
        <v>585</v>
      </c>
      <c r="Z105" s="420" t="s">
        <v>585</v>
      </c>
      <c r="AA105" s="420" t="s">
        <v>585</v>
      </c>
      <c r="AB105" s="420" t="s">
        <v>585</v>
      </c>
      <c r="AC105" s="420" t="s">
        <v>585</v>
      </c>
      <c r="AD105" s="423">
        <v>5</v>
      </c>
      <c r="AE105" s="424" t="s">
        <v>585</v>
      </c>
      <c r="AF105" s="422">
        <v>6</v>
      </c>
      <c r="AG105" s="420" t="s">
        <v>585</v>
      </c>
      <c r="AH105" s="420" t="s">
        <v>585</v>
      </c>
      <c r="AI105" s="420" t="s">
        <v>585</v>
      </c>
      <c r="AJ105" s="420">
        <v>13</v>
      </c>
      <c r="AK105" s="420" t="s">
        <v>585</v>
      </c>
      <c r="AL105" s="420" t="s">
        <v>585</v>
      </c>
      <c r="AM105" s="420" t="s">
        <v>585</v>
      </c>
      <c r="AN105" s="420" t="s">
        <v>585</v>
      </c>
      <c r="AO105" s="420" t="s">
        <v>585</v>
      </c>
      <c r="AP105" s="423">
        <v>19</v>
      </c>
      <c r="AQ105" s="419" t="s">
        <v>585</v>
      </c>
      <c r="AR105" s="420" t="s">
        <v>585</v>
      </c>
      <c r="AS105" s="420" t="s">
        <v>585</v>
      </c>
      <c r="AT105" s="420" t="s">
        <v>585</v>
      </c>
      <c r="AU105" s="420" t="s">
        <v>585</v>
      </c>
      <c r="AV105" s="420" t="s">
        <v>585</v>
      </c>
      <c r="AW105" s="420" t="s">
        <v>585</v>
      </c>
      <c r="AX105" s="420" t="s">
        <v>585</v>
      </c>
      <c r="AY105" s="421" t="s">
        <v>585</v>
      </c>
      <c r="AZ105" s="422" t="s">
        <v>585</v>
      </c>
      <c r="BA105" s="420" t="s">
        <v>585</v>
      </c>
      <c r="BB105" s="420" t="s">
        <v>585</v>
      </c>
      <c r="BC105" s="420" t="s">
        <v>585</v>
      </c>
      <c r="BD105" s="420" t="s">
        <v>585</v>
      </c>
      <c r="BE105" s="420" t="s">
        <v>585</v>
      </c>
      <c r="BF105" s="423" t="s">
        <v>585</v>
      </c>
      <c r="BG105" s="424" t="s">
        <v>585</v>
      </c>
      <c r="BH105" s="424">
        <v>204</v>
      </c>
      <c r="BI105" s="424" t="s">
        <v>585</v>
      </c>
      <c r="BJ105" s="422">
        <v>22</v>
      </c>
      <c r="BK105" s="420" t="s">
        <v>585</v>
      </c>
      <c r="BL105" s="420" t="s">
        <v>585</v>
      </c>
      <c r="BM105" s="420">
        <v>12</v>
      </c>
      <c r="BN105" s="420" t="s">
        <v>585</v>
      </c>
      <c r="BO105" s="420" t="s">
        <v>585</v>
      </c>
      <c r="BP105" s="420" t="s">
        <v>585</v>
      </c>
      <c r="BQ105" s="423">
        <v>34</v>
      </c>
      <c r="BR105" s="419">
        <v>7</v>
      </c>
      <c r="BS105" s="420" t="s">
        <v>585</v>
      </c>
      <c r="BT105" s="420" t="s">
        <v>585</v>
      </c>
      <c r="BU105" s="420">
        <v>14</v>
      </c>
      <c r="BV105" s="420" t="s">
        <v>585</v>
      </c>
      <c r="BW105" s="420" t="s">
        <v>585</v>
      </c>
      <c r="BX105" s="420">
        <v>2</v>
      </c>
      <c r="BY105" s="420" t="s">
        <v>585</v>
      </c>
      <c r="BZ105" s="420" t="s">
        <v>585</v>
      </c>
      <c r="CA105" s="420" t="s">
        <v>585</v>
      </c>
      <c r="CB105" s="420" t="s">
        <v>585</v>
      </c>
      <c r="CC105" s="421">
        <v>23</v>
      </c>
      <c r="CD105" s="422" t="s">
        <v>585</v>
      </c>
      <c r="CE105" s="420" t="s">
        <v>585</v>
      </c>
      <c r="CF105" s="423" t="s">
        <v>585</v>
      </c>
      <c r="CG105" s="424" t="s">
        <v>585</v>
      </c>
      <c r="CH105" s="424" t="s">
        <v>585</v>
      </c>
      <c r="CI105" s="422">
        <v>1</v>
      </c>
      <c r="CJ105" s="420" t="s">
        <v>585</v>
      </c>
      <c r="CK105" s="420">
        <v>1</v>
      </c>
      <c r="CL105" s="423">
        <v>2</v>
      </c>
      <c r="CM105" s="424" t="s">
        <v>585</v>
      </c>
      <c r="CN105" s="422">
        <v>5</v>
      </c>
      <c r="CO105" s="420" t="s">
        <v>585</v>
      </c>
      <c r="CP105" s="423">
        <v>5</v>
      </c>
      <c r="CQ105" s="424">
        <v>3</v>
      </c>
      <c r="CR105" s="424">
        <v>6</v>
      </c>
      <c r="CS105" s="422">
        <v>3</v>
      </c>
      <c r="CT105" s="420">
        <v>7</v>
      </c>
      <c r="CU105" s="420" t="s">
        <v>585</v>
      </c>
      <c r="CV105" s="423">
        <v>10</v>
      </c>
      <c r="CW105" s="426">
        <v>690</v>
      </c>
      <c r="CX105" s="427">
        <f>690/538718</f>
        <v>1.2808185358573502E-3</v>
      </c>
      <c r="CY105" s="276"/>
      <c r="CZ105" s="276"/>
      <c r="DA105" s="276"/>
    </row>
    <row r="106" spans="1:105" x14ac:dyDescent="0.2">
      <c r="A106" s="208"/>
      <c r="B106" s="410" t="s">
        <v>124</v>
      </c>
      <c r="C106" s="419" t="s">
        <v>585</v>
      </c>
      <c r="D106" s="420" t="s">
        <v>585</v>
      </c>
      <c r="E106" s="420" t="s">
        <v>585</v>
      </c>
      <c r="F106" s="421" t="s">
        <v>585</v>
      </c>
      <c r="G106" s="422">
        <v>2</v>
      </c>
      <c r="H106" s="420" t="s">
        <v>585</v>
      </c>
      <c r="I106" s="420" t="s">
        <v>585</v>
      </c>
      <c r="J106" s="420" t="s">
        <v>585</v>
      </c>
      <c r="K106" s="420" t="s">
        <v>585</v>
      </c>
      <c r="L106" s="423">
        <v>2</v>
      </c>
      <c r="M106" s="424" t="s">
        <v>585</v>
      </c>
      <c r="N106" s="422">
        <v>5153</v>
      </c>
      <c r="O106" s="420" t="s">
        <v>585</v>
      </c>
      <c r="P106" s="420" t="s">
        <v>585</v>
      </c>
      <c r="Q106" s="423">
        <v>5153</v>
      </c>
      <c r="R106" s="419" t="s">
        <v>585</v>
      </c>
      <c r="S106" s="420" t="s">
        <v>585</v>
      </c>
      <c r="T106" s="420" t="s">
        <v>585</v>
      </c>
      <c r="U106" s="421" t="s">
        <v>585</v>
      </c>
      <c r="V106" s="425" t="s">
        <v>585</v>
      </c>
      <c r="W106" s="424" t="s">
        <v>585</v>
      </c>
      <c r="X106" s="422">
        <v>3</v>
      </c>
      <c r="Y106" s="420" t="s">
        <v>585</v>
      </c>
      <c r="Z106" s="420" t="s">
        <v>585</v>
      </c>
      <c r="AA106" s="420" t="s">
        <v>585</v>
      </c>
      <c r="AB106" s="420" t="s">
        <v>585</v>
      </c>
      <c r="AC106" s="420" t="s">
        <v>585</v>
      </c>
      <c r="AD106" s="423">
        <v>3</v>
      </c>
      <c r="AE106" s="424" t="s">
        <v>585</v>
      </c>
      <c r="AF106" s="422">
        <v>2</v>
      </c>
      <c r="AG106" s="420" t="s">
        <v>585</v>
      </c>
      <c r="AH106" s="420" t="s">
        <v>585</v>
      </c>
      <c r="AI106" s="420" t="s">
        <v>585</v>
      </c>
      <c r="AJ106" s="420" t="s">
        <v>585</v>
      </c>
      <c r="AK106" s="420" t="s">
        <v>585</v>
      </c>
      <c r="AL106" s="420" t="s">
        <v>585</v>
      </c>
      <c r="AM106" s="420" t="s">
        <v>585</v>
      </c>
      <c r="AN106" s="420" t="s">
        <v>585</v>
      </c>
      <c r="AO106" s="420" t="s">
        <v>585</v>
      </c>
      <c r="AP106" s="423">
        <v>2</v>
      </c>
      <c r="AQ106" s="419" t="s">
        <v>585</v>
      </c>
      <c r="AR106" s="420">
        <v>45</v>
      </c>
      <c r="AS106" s="420" t="s">
        <v>585</v>
      </c>
      <c r="AT106" s="420" t="s">
        <v>585</v>
      </c>
      <c r="AU106" s="420" t="s">
        <v>585</v>
      </c>
      <c r="AV106" s="420" t="s">
        <v>585</v>
      </c>
      <c r="AW106" s="420" t="s">
        <v>585</v>
      </c>
      <c r="AX106" s="420" t="s">
        <v>585</v>
      </c>
      <c r="AY106" s="421">
        <v>45</v>
      </c>
      <c r="AZ106" s="422" t="s">
        <v>585</v>
      </c>
      <c r="BA106" s="420" t="s">
        <v>585</v>
      </c>
      <c r="BB106" s="420" t="s">
        <v>585</v>
      </c>
      <c r="BC106" s="420" t="s">
        <v>585</v>
      </c>
      <c r="BD106" s="420" t="s">
        <v>585</v>
      </c>
      <c r="BE106" s="420" t="s">
        <v>585</v>
      </c>
      <c r="BF106" s="423" t="s">
        <v>585</v>
      </c>
      <c r="BG106" s="424" t="s">
        <v>585</v>
      </c>
      <c r="BH106" s="424">
        <v>2</v>
      </c>
      <c r="BI106" s="424" t="s">
        <v>585</v>
      </c>
      <c r="BJ106" s="422" t="s">
        <v>585</v>
      </c>
      <c r="BK106" s="420" t="s">
        <v>585</v>
      </c>
      <c r="BL106" s="420" t="s">
        <v>585</v>
      </c>
      <c r="BM106" s="420" t="s">
        <v>585</v>
      </c>
      <c r="BN106" s="420" t="s">
        <v>585</v>
      </c>
      <c r="BO106" s="420" t="s">
        <v>585</v>
      </c>
      <c r="BP106" s="420" t="s">
        <v>585</v>
      </c>
      <c r="BQ106" s="423" t="s">
        <v>585</v>
      </c>
      <c r="BR106" s="419">
        <v>15</v>
      </c>
      <c r="BS106" s="420" t="s">
        <v>585</v>
      </c>
      <c r="BT106" s="420" t="s">
        <v>585</v>
      </c>
      <c r="BU106" s="420">
        <v>439</v>
      </c>
      <c r="BV106" s="420" t="s">
        <v>585</v>
      </c>
      <c r="BW106" s="420" t="s">
        <v>585</v>
      </c>
      <c r="BX106" s="420">
        <v>9</v>
      </c>
      <c r="BY106" s="420" t="s">
        <v>585</v>
      </c>
      <c r="BZ106" s="420" t="s">
        <v>585</v>
      </c>
      <c r="CA106" s="420" t="s">
        <v>585</v>
      </c>
      <c r="CB106" s="420" t="s">
        <v>585</v>
      </c>
      <c r="CC106" s="421">
        <v>463</v>
      </c>
      <c r="CD106" s="422" t="s">
        <v>585</v>
      </c>
      <c r="CE106" s="420" t="s">
        <v>585</v>
      </c>
      <c r="CF106" s="423" t="s">
        <v>585</v>
      </c>
      <c r="CG106" s="424" t="s">
        <v>585</v>
      </c>
      <c r="CH106" s="424" t="s">
        <v>585</v>
      </c>
      <c r="CI106" s="422">
        <v>5</v>
      </c>
      <c r="CJ106" s="420" t="s">
        <v>585</v>
      </c>
      <c r="CK106" s="420" t="s">
        <v>585</v>
      </c>
      <c r="CL106" s="423">
        <v>5</v>
      </c>
      <c r="CM106" s="424" t="s">
        <v>585</v>
      </c>
      <c r="CN106" s="422" t="s">
        <v>585</v>
      </c>
      <c r="CO106" s="420" t="s">
        <v>585</v>
      </c>
      <c r="CP106" s="423" t="s">
        <v>585</v>
      </c>
      <c r="CQ106" s="424" t="s">
        <v>585</v>
      </c>
      <c r="CR106" s="424" t="s">
        <v>585</v>
      </c>
      <c r="CS106" s="422">
        <v>3</v>
      </c>
      <c r="CT106" s="420" t="s">
        <v>585</v>
      </c>
      <c r="CU106" s="420" t="s">
        <v>585</v>
      </c>
      <c r="CV106" s="423">
        <v>3</v>
      </c>
      <c r="CW106" s="426">
        <v>5678</v>
      </c>
      <c r="CX106" s="427">
        <f>5678/538718</f>
        <v>1.0539837168982659E-2</v>
      </c>
      <c r="CY106" s="276"/>
      <c r="CZ106" s="276"/>
      <c r="DA106" s="276"/>
    </row>
    <row r="107" spans="1:105" x14ac:dyDescent="0.2">
      <c r="A107" s="208"/>
      <c r="B107" s="410" t="s">
        <v>127</v>
      </c>
      <c r="C107" s="419" t="s">
        <v>585</v>
      </c>
      <c r="D107" s="420" t="s">
        <v>585</v>
      </c>
      <c r="E107" s="420" t="s">
        <v>585</v>
      </c>
      <c r="F107" s="421" t="s">
        <v>585</v>
      </c>
      <c r="G107" s="422">
        <v>56</v>
      </c>
      <c r="H107" s="420">
        <v>245</v>
      </c>
      <c r="I107" s="420">
        <v>4</v>
      </c>
      <c r="J107" s="420" t="s">
        <v>585</v>
      </c>
      <c r="K107" s="420" t="s">
        <v>585</v>
      </c>
      <c r="L107" s="423">
        <v>305</v>
      </c>
      <c r="M107" s="424" t="s">
        <v>585</v>
      </c>
      <c r="N107" s="422">
        <v>8820</v>
      </c>
      <c r="O107" s="420" t="s">
        <v>585</v>
      </c>
      <c r="P107" s="420">
        <v>4</v>
      </c>
      <c r="Q107" s="423">
        <v>8824</v>
      </c>
      <c r="R107" s="419" t="s">
        <v>585</v>
      </c>
      <c r="S107" s="420" t="s">
        <v>585</v>
      </c>
      <c r="T107" s="420" t="s">
        <v>585</v>
      </c>
      <c r="U107" s="421" t="s">
        <v>585</v>
      </c>
      <c r="V107" s="425" t="s">
        <v>585</v>
      </c>
      <c r="W107" s="424" t="s">
        <v>585</v>
      </c>
      <c r="X107" s="422">
        <v>107</v>
      </c>
      <c r="Y107" s="420" t="s">
        <v>585</v>
      </c>
      <c r="Z107" s="420">
        <v>1</v>
      </c>
      <c r="AA107" s="420" t="s">
        <v>585</v>
      </c>
      <c r="AB107" s="420" t="s">
        <v>585</v>
      </c>
      <c r="AC107" s="420" t="s">
        <v>585</v>
      </c>
      <c r="AD107" s="423">
        <v>108</v>
      </c>
      <c r="AE107" s="424" t="s">
        <v>585</v>
      </c>
      <c r="AF107" s="422">
        <v>2</v>
      </c>
      <c r="AG107" s="420" t="s">
        <v>585</v>
      </c>
      <c r="AH107" s="420" t="s">
        <v>585</v>
      </c>
      <c r="AI107" s="420" t="s">
        <v>585</v>
      </c>
      <c r="AJ107" s="420" t="s">
        <v>585</v>
      </c>
      <c r="AK107" s="420" t="s">
        <v>585</v>
      </c>
      <c r="AL107" s="420" t="s">
        <v>585</v>
      </c>
      <c r="AM107" s="420">
        <v>1</v>
      </c>
      <c r="AN107" s="420" t="s">
        <v>585</v>
      </c>
      <c r="AO107" s="420" t="s">
        <v>585</v>
      </c>
      <c r="AP107" s="423">
        <v>3</v>
      </c>
      <c r="AQ107" s="419" t="s">
        <v>585</v>
      </c>
      <c r="AR107" s="420">
        <v>266</v>
      </c>
      <c r="AS107" s="420" t="s">
        <v>585</v>
      </c>
      <c r="AT107" s="420" t="s">
        <v>585</v>
      </c>
      <c r="AU107" s="420" t="s">
        <v>585</v>
      </c>
      <c r="AV107" s="420" t="s">
        <v>585</v>
      </c>
      <c r="AW107" s="420" t="s">
        <v>585</v>
      </c>
      <c r="AX107" s="420" t="s">
        <v>585</v>
      </c>
      <c r="AY107" s="421">
        <v>266</v>
      </c>
      <c r="AZ107" s="422" t="s">
        <v>585</v>
      </c>
      <c r="BA107" s="420" t="s">
        <v>585</v>
      </c>
      <c r="BB107" s="420" t="s">
        <v>585</v>
      </c>
      <c r="BC107" s="420" t="s">
        <v>585</v>
      </c>
      <c r="BD107" s="420" t="s">
        <v>585</v>
      </c>
      <c r="BE107" s="420" t="s">
        <v>585</v>
      </c>
      <c r="BF107" s="423" t="s">
        <v>585</v>
      </c>
      <c r="BG107" s="424" t="s">
        <v>585</v>
      </c>
      <c r="BH107" s="424">
        <v>1</v>
      </c>
      <c r="BI107" s="424" t="s">
        <v>585</v>
      </c>
      <c r="BJ107" s="422">
        <v>5</v>
      </c>
      <c r="BK107" s="420" t="s">
        <v>585</v>
      </c>
      <c r="BL107" s="420" t="s">
        <v>585</v>
      </c>
      <c r="BM107" s="420" t="s">
        <v>585</v>
      </c>
      <c r="BN107" s="420" t="s">
        <v>585</v>
      </c>
      <c r="BO107" s="420" t="s">
        <v>585</v>
      </c>
      <c r="BP107" s="420" t="s">
        <v>585</v>
      </c>
      <c r="BQ107" s="423">
        <v>5</v>
      </c>
      <c r="BR107" s="419">
        <v>130</v>
      </c>
      <c r="BS107" s="420" t="s">
        <v>585</v>
      </c>
      <c r="BT107" s="420">
        <v>2</v>
      </c>
      <c r="BU107" s="420">
        <v>549</v>
      </c>
      <c r="BV107" s="420">
        <v>14</v>
      </c>
      <c r="BW107" s="420" t="s">
        <v>585</v>
      </c>
      <c r="BX107" s="420">
        <v>63</v>
      </c>
      <c r="BY107" s="420" t="s">
        <v>585</v>
      </c>
      <c r="BZ107" s="420" t="s">
        <v>585</v>
      </c>
      <c r="CA107" s="420" t="s">
        <v>585</v>
      </c>
      <c r="CB107" s="420" t="s">
        <v>585</v>
      </c>
      <c r="CC107" s="421">
        <v>758</v>
      </c>
      <c r="CD107" s="422" t="s">
        <v>585</v>
      </c>
      <c r="CE107" s="420" t="s">
        <v>585</v>
      </c>
      <c r="CF107" s="423" t="s">
        <v>585</v>
      </c>
      <c r="CG107" s="424" t="s">
        <v>585</v>
      </c>
      <c r="CH107" s="424" t="s">
        <v>585</v>
      </c>
      <c r="CI107" s="422" t="s">
        <v>585</v>
      </c>
      <c r="CJ107" s="420" t="s">
        <v>585</v>
      </c>
      <c r="CK107" s="420" t="s">
        <v>585</v>
      </c>
      <c r="CL107" s="423" t="s">
        <v>585</v>
      </c>
      <c r="CM107" s="424" t="s">
        <v>585</v>
      </c>
      <c r="CN107" s="422" t="s">
        <v>585</v>
      </c>
      <c r="CO107" s="420" t="s">
        <v>585</v>
      </c>
      <c r="CP107" s="423" t="s">
        <v>585</v>
      </c>
      <c r="CQ107" s="424" t="s">
        <v>585</v>
      </c>
      <c r="CR107" s="424" t="s">
        <v>585</v>
      </c>
      <c r="CS107" s="422" t="s">
        <v>585</v>
      </c>
      <c r="CT107" s="420" t="s">
        <v>585</v>
      </c>
      <c r="CU107" s="420" t="s">
        <v>585</v>
      </c>
      <c r="CV107" s="423" t="s">
        <v>585</v>
      </c>
      <c r="CW107" s="426">
        <v>10270</v>
      </c>
      <c r="CX107" s="427">
        <f>10270/538718</f>
        <v>1.9063777338050706E-2</v>
      </c>
      <c r="CY107" s="276"/>
      <c r="CZ107" s="276"/>
      <c r="DA107" s="276"/>
    </row>
    <row r="108" spans="1:105" x14ac:dyDescent="0.2">
      <c r="A108" s="208"/>
      <c r="B108" s="410" t="s">
        <v>167</v>
      </c>
      <c r="C108" s="419" t="s">
        <v>585</v>
      </c>
      <c r="D108" s="420" t="s">
        <v>585</v>
      </c>
      <c r="E108" s="420" t="s">
        <v>585</v>
      </c>
      <c r="F108" s="421" t="s">
        <v>585</v>
      </c>
      <c r="G108" s="422">
        <v>4</v>
      </c>
      <c r="H108" s="420" t="s">
        <v>585</v>
      </c>
      <c r="I108" s="420" t="s">
        <v>585</v>
      </c>
      <c r="J108" s="420" t="s">
        <v>585</v>
      </c>
      <c r="K108" s="420" t="s">
        <v>585</v>
      </c>
      <c r="L108" s="423">
        <v>4</v>
      </c>
      <c r="M108" s="424" t="s">
        <v>585</v>
      </c>
      <c r="N108" s="422">
        <v>2424</v>
      </c>
      <c r="O108" s="420" t="s">
        <v>585</v>
      </c>
      <c r="P108" s="420" t="s">
        <v>585</v>
      </c>
      <c r="Q108" s="423">
        <v>2424</v>
      </c>
      <c r="R108" s="419" t="s">
        <v>585</v>
      </c>
      <c r="S108" s="420" t="s">
        <v>585</v>
      </c>
      <c r="T108" s="420" t="s">
        <v>585</v>
      </c>
      <c r="U108" s="421" t="s">
        <v>585</v>
      </c>
      <c r="V108" s="425" t="s">
        <v>585</v>
      </c>
      <c r="W108" s="424" t="s">
        <v>585</v>
      </c>
      <c r="X108" s="422">
        <v>30</v>
      </c>
      <c r="Y108" s="420" t="s">
        <v>585</v>
      </c>
      <c r="Z108" s="420" t="s">
        <v>585</v>
      </c>
      <c r="AA108" s="420" t="s">
        <v>585</v>
      </c>
      <c r="AB108" s="420" t="s">
        <v>585</v>
      </c>
      <c r="AC108" s="420" t="s">
        <v>585</v>
      </c>
      <c r="AD108" s="423">
        <v>30</v>
      </c>
      <c r="AE108" s="424" t="s">
        <v>585</v>
      </c>
      <c r="AF108" s="422" t="s">
        <v>585</v>
      </c>
      <c r="AG108" s="420" t="s">
        <v>585</v>
      </c>
      <c r="AH108" s="420" t="s">
        <v>585</v>
      </c>
      <c r="AI108" s="420" t="s">
        <v>585</v>
      </c>
      <c r="AJ108" s="420" t="s">
        <v>585</v>
      </c>
      <c r="AK108" s="420" t="s">
        <v>585</v>
      </c>
      <c r="AL108" s="420" t="s">
        <v>585</v>
      </c>
      <c r="AM108" s="420" t="s">
        <v>585</v>
      </c>
      <c r="AN108" s="420" t="s">
        <v>585</v>
      </c>
      <c r="AO108" s="420" t="s">
        <v>585</v>
      </c>
      <c r="AP108" s="423" t="s">
        <v>585</v>
      </c>
      <c r="AQ108" s="419" t="s">
        <v>585</v>
      </c>
      <c r="AR108" s="420">
        <v>96</v>
      </c>
      <c r="AS108" s="420" t="s">
        <v>585</v>
      </c>
      <c r="AT108" s="420" t="s">
        <v>585</v>
      </c>
      <c r="AU108" s="420" t="s">
        <v>585</v>
      </c>
      <c r="AV108" s="420" t="s">
        <v>585</v>
      </c>
      <c r="AW108" s="420" t="s">
        <v>585</v>
      </c>
      <c r="AX108" s="420" t="s">
        <v>585</v>
      </c>
      <c r="AY108" s="421">
        <v>96</v>
      </c>
      <c r="AZ108" s="422" t="s">
        <v>585</v>
      </c>
      <c r="BA108" s="420" t="s">
        <v>585</v>
      </c>
      <c r="BB108" s="420" t="s">
        <v>585</v>
      </c>
      <c r="BC108" s="420" t="s">
        <v>585</v>
      </c>
      <c r="BD108" s="420" t="s">
        <v>585</v>
      </c>
      <c r="BE108" s="420" t="s">
        <v>585</v>
      </c>
      <c r="BF108" s="423" t="s">
        <v>585</v>
      </c>
      <c r="BG108" s="424" t="s">
        <v>585</v>
      </c>
      <c r="BH108" s="424" t="s">
        <v>585</v>
      </c>
      <c r="BI108" s="424" t="s">
        <v>585</v>
      </c>
      <c r="BJ108" s="422" t="s">
        <v>585</v>
      </c>
      <c r="BK108" s="420" t="s">
        <v>585</v>
      </c>
      <c r="BL108" s="420">
        <v>2</v>
      </c>
      <c r="BM108" s="420" t="s">
        <v>585</v>
      </c>
      <c r="BN108" s="420" t="s">
        <v>585</v>
      </c>
      <c r="BO108" s="420" t="s">
        <v>585</v>
      </c>
      <c r="BP108" s="420" t="s">
        <v>585</v>
      </c>
      <c r="BQ108" s="423">
        <v>2</v>
      </c>
      <c r="BR108" s="419">
        <v>14</v>
      </c>
      <c r="BS108" s="420" t="s">
        <v>585</v>
      </c>
      <c r="BT108" s="420">
        <v>1</v>
      </c>
      <c r="BU108" s="420">
        <v>452</v>
      </c>
      <c r="BV108" s="420" t="s">
        <v>585</v>
      </c>
      <c r="BW108" s="420" t="s">
        <v>585</v>
      </c>
      <c r="BX108" s="420">
        <v>19</v>
      </c>
      <c r="BY108" s="420" t="s">
        <v>585</v>
      </c>
      <c r="BZ108" s="420" t="s">
        <v>585</v>
      </c>
      <c r="CA108" s="420" t="s">
        <v>585</v>
      </c>
      <c r="CB108" s="420" t="s">
        <v>585</v>
      </c>
      <c r="CC108" s="421">
        <v>486</v>
      </c>
      <c r="CD108" s="422" t="s">
        <v>585</v>
      </c>
      <c r="CE108" s="420" t="s">
        <v>585</v>
      </c>
      <c r="CF108" s="423" t="s">
        <v>585</v>
      </c>
      <c r="CG108" s="424" t="s">
        <v>585</v>
      </c>
      <c r="CH108" s="424" t="s">
        <v>585</v>
      </c>
      <c r="CI108" s="422" t="s">
        <v>585</v>
      </c>
      <c r="CJ108" s="420" t="s">
        <v>585</v>
      </c>
      <c r="CK108" s="420" t="s">
        <v>585</v>
      </c>
      <c r="CL108" s="423" t="s">
        <v>585</v>
      </c>
      <c r="CM108" s="424" t="s">
        <v>585</v>
      </c>
      <c r="CN108" s="422" t="s">
        <v>585</v>
      </c>
      <c r="CO108" s="420" t="s">
        <v>585</v>
      </c>
      <c r="CP108" s="423" t="s">
        <v>585</v>
      </c>
      <c r="CQ108" s="424" t="s">
        <v>585</v>
      </c>
      <c r="CR108" s="424">
        <v>1</v>
      </c>
      <c r="CS108" s="422">
        <v>2</v>
      </c>
      <c r="CT108" s="420" t="s">
        <v>585</v>
      </c>
      <c r="CU108" s="420" t="s">
        <v>585</v>
      </c>
      <c r="CV108" s="423">
        <v>2</v>
      </c>
      <c r="CW108" s="426">
        <v>3045</v>
      </c>
      <c r="CX108" s="427">
        <f>3045/538718</f>
        <v>5.6523078865009149E-3</v>
      </c>
      <c r="CY108" s="276"/>
      <c r="CZ108" s="276"/>
      <c r="DA108" s="276"/>
    </row>
    <row r="109" spans="1:105" ht="13.5" thickBot="1" x14ac:dyDescent="0.25">
      <c r="A109" s="208"/>
      <c r="B109" s="411" t="s">
        <v>255</v>
      </c>
      <c r="C109" s="428" t="s">
        <v>585</v>
      </c>
      <c r="D109" s="429" t="s">
        <v>585</v>
      </c>
      <c r="E109" s="429" t="s">
        <v>585</v>
      </c>
      <c r="F109" s="430" t="s">
        <v>585</v>
      </c>
      <c r="G109" s="431">
        <v>9</v>
      </c>
      <c r="H109" s="429" t="s">
        <v>585</v>
      </c>
      <c r="I109" s="429">
        <v>10</v>
      </c>
      <c r="J109" s="429" t="s">
        <v>585</v>
      </c>
      <c r="K109" s="429" t="s">
        <v>585</v>
      </c>
      <c r="L109" s="432">
        <v>19</v>
      </c>
      <c r="M109" s="433" t="s">
        <v>585</v>
      </c>
      <c r="N109" s="431">
        <v>1337</v>
      </c>
      <c r="O109" s="429" t="s">
        <v>585</v>
      </c>
      <c r="P109" s="429" t="s">
        <v>585</v>
      </c>
      <c r="Q109" s="432">
        <v>1337</v>
      </c>
      <c r="R109" s="428" t="s">
        <v>585</v>
      </c>
      <c r="S109" s="429" t="s">
        <v>585</v>
      </c>
      <c r="T109" s="429" t="s">
        <v>585</v>
      </c>
      <c r="U109" s="430" t="s">
        <v>585</v>
      </c>
      <c r="V109" s="434" t="s">
        <v>585</v>
      </c>
      <c r="W109" s="433" t="s">
        <v>585</v>
      </c>
      <c r="X109" s="431">
        <v>9</v>
      </c>
      <c r="Y109" s="429" t="s">
        <v>585</v>
      </c>
      <c r="Z109" s="429" t="s">
        <v>585</v>
      </c>
      <c r="AA109" s="429" t="s">
        <v>585</v>
      </c>
      <c r="AB109" s="429" t="s">
        <v>585</v>
      </c>
      <c r="AC109" s="429" t="s">
        <v>585</v>
      </c>
      <c r="AD109" s="432">
        <v>9</v>
      </c>
      <c r="AE109" s="433" t="s">
        <v>585</v>
      </c>
      <c r="AF109" s="431" t="s">
        <v>585</v>
      </c>
      <c r="AG109" s="429" t="s">
        <v>585</v>
      </c>
      <c r="AH109" s="429" t="s">
        <v>585</v>
      </c>
      <c r="AI109" s="429" t="s">
        <v>585</v>
      </c>
      <c r="AJ109" s="429" t="s">
        <v>585</v>
      </c>
      <c r="AK109" s="429" t="s">
        <v>585</v>
      </c>
      <c r="AL109" s="429" t="s">
        <v>585</v>
      </c>
      <c r="AM109" s="429" t="s">
        <v>585</v>
      </c>
      <c r="AN109" s="429" t="s">
        <v>585</v>
      </c>
      <c r="AO109" s="429" t="s">
        <v>585</v>
      </c>
      <c r="AP109" s="432" t="s">
        <v>585</v>
      </c>
      <c r="AQ109" s="428" t="s">
        <v>585</v>
      </c>
      <c r="AR109" s="429">
        <v>26</v>
      </c>
      <c r="AS109" s="429" t="s">
        <v>585</v>
      </c>
      <c r="AT109" s="429" t="s">
        <v>585</v>
      </c>
      <c r="AU109" s="429" t="s">
        <v>585</v>
      </c>
      <c r="AV109" s="429" t="s">
        <v>585</v>
      </c>
      <c r="AW109" s="429" t="s">
        <v>585</v>
      </c>
      <c r="AX109" s="429" t="s">
        <v>585</v>
      </c>
      <c r="AY109" s="430">
        <v>26</v>
      </c>
      <c r="AZ109" s="431" t="s">
        <v>585</v>
      </c>
      <c r="BA109" s="429" t="s">
        <v>585</v>
      </c>
      <c r="BB109" s="429" t="s">
        <v>585</v>
      </c>
      <c r="BC109" s="429" t="s">
        <v>585</v>
      </c>
      <c r="BD109" s="429" t="s">
        <v>585</v>
      </c>
      <c r="BE109" s="429" t="s">
        <v>585</v>
      </c>
      <c r="BF109" s="432" t="s">
        <v>585</v>
      </c>
      <c r="BG109" s="433" t="s">
        <v>585</v>
      </c>
      <c r="BH109" s="433">
        <v>3</v>
      </c>
      <c r="BI109" s="433" t="s">
        <v>585</v>
      </c>
      <c r="BJ109" s="431" t="s">
        <v>585</v>
      </c>
      <c r="BK109" s="429" t="s">
        <v>585</v>
      </c>
      <c r="BL109" s="429">
        <v>2</v>
      </c>
      <c r="BM109" s="429" t="s">
        <v>585</v>
      </c>
      <c r="BN109" s="429" t="s">
        <v>585</v>
      </c>
      <c r="BO109" s="429" t="s">
        <v>585</v>
      </c>
      <c r="BP109" s="429" t="s">
        <v>585</v>
      </c>
      <c r="BQ109" s="432">
        <v>2</v>
      </c>
      <c r="BR109" s="428">
        <v>29</v>
      </c>
      <c r="BS109" s="429" t="s">
        <v>585</v>
      </c>
      <c r="BT109" s="429">
        <v>3</v>
      </c>
      <c r="BU109" s="429">
        <v>88</v>
      </c>
      <c r="BV109" s="429" t="s">
        <v>585</v>
      </c>
      <c r="BW109" s="429" t="s">
        <v>585</v>
      </c>
      <c r="BX109" s="429">
        <v>20</v>
      </c>
      <c r="BY109" s="429" t="s">
        <v>585</v>
      </c>
      <c r="BZ109" s="429" t="s">
        <v>585</v>
      </c>
      <c r="CA109" s="429" t="s">
        <v>585</v>
      </c>
      <c r="CB109" s="429" t="s">
        <v>585</v>
      </c>
      <c r="CC109" s="430">
        <v>140</v>
      </c>
      <c r="CD109" s="431" t="s">
        <v>585</v>
      </c>
      <c r="CE109" s="429" t="s">
        <v>585</v>
      </c>
      <c r="CF109" s="432" t="s">
        <v>585</v>
      </c>
      <c r="CG109" s="433" t="s">
        <v>585</v>
      </c>
      <c r="CH109" s="433" t="s">
        <v>585</v>
      </c>
      <c r="CI109" s="431" t="s">
        <v>585</v>
      </c>
      <c r="CJ109" s="429" t="s">
        <v>585</v>
      </c>
      <c r="CK109" s="429" t="s">
        <v>585</v>
      </c>
      <c r="CL109" s="432" t="s">
        <v>585</v>
      </c>
      <c r="CM109" s="433" t="s">
        <v>585</v>
      </c>
      <c r="CN109" s="431" t="s">
        <v>585</v>
      </c>
      <c r="CO109" s="429" t="s">
        <v>585</v>
      </c>
      <c r="CP109" s="432" t="s">
        <v>585</v>
      </c>
      <c r="CQ109" s="433" t="s">
        <v>585</v>
      </c>
      <c r="CR109" s="433" t="s">
        <v>585</v>
      </c>
      <c r="CS109" s="431" t="s">
        <v>585</v>
      </c>
      <c r="CT109" s="429" t="s">
        <v>585</v>
      </c>
      <c r="CU109" s="429" t="s">
        <v>585</v>
      </c>
      <c r="CV109" s="432" t="s">
        <v>585</v>
      </c>
      <c r="CW109" s="435">
        <v>1536</v>
      </c>
      <c r="CX109" s="436">
        <f>1536/538718</f>
        <v>2.8512134363433187E-3</v>
      </c>
      <c r="CY109" s="276"/>
      <c r="CZ109" s="276"/>
      <c r="DA109" s="276"/>
    </row>
    <row r="110" spans="1:105" s="101" customFormat="1" ht="13.5" thickBot="1" x14ac:dyDescent="0.25">
      <c r="A110" s="208"/>
      <c r="B110" s="113" t="s">
        <v>698</v>
      </c>
      <c r="C110" s="437" t="s">
        <v>585</v>
      </c>
      <c r="D110" s="212">
        <v>10</v>
      </c>
      <c r="E110" s="212">
        <v>1</v>
      </c>
      <c r="F110" s="438">
        <v>11</v>
      </c>
      <c r="G110" s="439">
        <v>187</v>
      </c>
      <c r="H110" s="212">
        <v>252</v>
      </c>
      <c r="I110" s="212">
        <v>1009</v>
      </c>
      <c r="J110" s="212" t="s">
        <v>585</v>
      </c>
      <c r="K110" s="212" t="s">
        <v>585</v>
      </c>
      <c r="L110" s="440">
        <v>1448</v>
      </c>
      <c r="M110" s="209" t="s">
        <v>585</v>
      </c>
      <c r="N110" s="439">
        <v>78671</v>
      </c>
      <c r="O110" s="212" t="s">
        <v>585</v>
      </c>
      <c r="P110" s="212">
        <v>9</v>
      </c>
      <c r="Q110" s="440">
        <v>78680</v>
      </c>
      <c r="R110" s="437" t="s">
        <v>585</v>
      </c>
      <c r="S110" s="212" t="s">
        <v>585</v>
      </c>
      <c r="T110" s="212" t="s">
        <v>585</v>
      </c>
      <c r="U110" s="438" t="s">
        <v>585</v>
      </c>
      <c r="V110" s="213" t="s">
        <v>585</v>
      </c>
      <c r="W110" s="209">
        <v>15</v>
      </c>
      <c r="X110" s="439">
        <v>1246</v>
      </c>
      <c r="Y110" s="212" t="s">
        <v>585</v>
      </c>
      <c r="Z110" s="212">
        <v>54</v>
      </c>
      <c r="AA110" s="212" t="s">
        <v>585</v>
      </c>
      <c r="AB110" s="212" t="s">
        <v>585</v>
      </c>
      <c r="AC110" s="212" t="s">
        <v>585</v>
      </c>
      <c r="AD110" s="440">
        <v>1300</v>
      </c>
      <c r="AE110" s="209" t="s">
        <v>585</v>
      </c>
      <c r="AF110" s="439">
        <v>143</v>
      </c>
      <c r="AG110" s="212" t="s">
        <v>585</v>
      </c>
      <c r="AH110" s="212" t="s">
        <v>585</v>
      </c>
      <c r="AI110" s="212" t="s">
        <v>585</v>
      </c>
      <c r="AJ110" s="212">
        <v>13</v>
      </c>
      <c r="AK110" s="212" t="s">
        <v>585</v>
      </c>
      <c r="AL110" s="212" t="s">
        <v>585</v>
      </c>
      <c r="AM110" s="212">
        <v>1</v>
      </c>
      <c r="AN110" s="212" t="s">
        <v>585</v>
      </c>
      <c r="AO110" s="212" t="s">
        <v>585</v>
      </c>
      <c r="AP110" s="440">
        <v>157</v>
      </c>
      <c r="AQ110" s="437" t="s">
        <v>585</v>
      </c>
      <c r="AR110" s="212">
        <v>2863</v>
      </c>
      <c r="AS110" s="212" t="s">
        <v>585</v>
      </c>
      <c r="AT110" s="212" t="s">
        <v>585</v>
      </c>
      <c r="AU110" s="212" t="s">
        <v>585</v>
      </c>
      <c r="AV110" s="212" t="s">
        <v>585</v>
      </c>
      <c r="AW110" s="212" t="s">
        <v>585</v>
      </c>
      <c r="AX110" s="212" t="s">
        <v>585</v>
      </c>
      <c r="AY110" s="438">
        <v>2863</v>
      </c>
      <c r="AZ110" s="439" t="s">
        <v>585</v>
      </c>
      <c r="BA110" s="212" t="s">
        <v>585</v>
      </c>
      <c r="BB110" s="212" t="s">
        <v>585</v>
      </c>
      <c r="BC110" s="212" t="s">
        <v>585</v>
      </c>
      <c r="BD110" s="212" t="s">
        <v>585</v>
      </c>
      <c r="BE110" s="212" t="s">
        <v>585</v>
      </c>
      <c r="BF110" s="440" t="s">
        <v>585</v>
      </c>
      <c r="BG110" s="209" t="s">
        <v>585</v>
      </c>
      <c r="BH110" s="209">
        <v>212</v>
      </c>
      <c r="BI110" s="209" t="s">
        <v>585</v>
      </c>
      <c r="BJ110" s="439">
        <v>919</v>
      </c>
      <c r="BK110" s="212" t="s">
        <v>585</v>
      </c>
      <c r="BL110" s="212">
        <v>7</v>
      </c>
      <c r="BM110" s="212">
        <v>12</v>
      </c>
      <c r="BN110" s="212" t="s">
        <v>585</v>
      </c>
      <c r="BO110" s="212" t="s">
        <v>585</v>
      </c>
      <c r="BP110" s="212" t="s">
        <v>585</v>
      </c>
      <c r="BQ110" s="440">
        <v>938</v>
      </c>
      <c r="BR110" s="437">
        <v>988</v>
      </c>
      <c r="BS110" s="212" t="s">
        <v>585</v>
      </c>
      <c r="BT110" s="212">
        <v>64</v>
      </c>
      <c r="BU110" s="212">
        <v>3591</v>
      </c>
      <c r="BV110" s="212">
        <v>202</v>
      </c>
      <c r="BW110" s="212" t="s">
        <v>585</v>
      </c>
      <c r="BX110" s="212">
        <v>900</v>
      </c>
      <c r="BY110" s="212" t="s">
        <v>585</v>
      </c>
      <c r="BZ110" s="212" t="s">
        <v>585</v>
      </c>
      <c r="CA110" s="212" t="s">
        <v>585</v>
      </c>
      <c r="CB110" s="212" t="s">
        <v>585</v>
      </c>
      <c r="CC110" s="438">
        <v>5745</v>
      </c>
      <c r="CD110" s="439" t="s">
        <v>585</v>
      </c>
      <c r="CE110" s="212" t="s">
        <v>585</v>
      </c>
      <c r="CF110" s="440" t="s">
        <v>585</v>
      </c>
      <c r="CG110" s="209" t="s">
        <v>585</v>
      </c>
      <c r="CH110" s="209">
        <v>3</v>
      </c>
      <c r="CI110" s="439">
        <v>6</v>
      </c>
      <c r="CJ110" s="212" t="s">
        <v>585</v>
      </c>
      <c r="CK110" s="212">
        <v>1</v>
      </c>
      <c r="CL110" s="440">
        <v>7</v>
      </c>
      <c r="CM110" s="209" t="s">
        <v>585</v>
      </c>
      <c r="CN110" s="439">
        <v>5</v>
      </c>
      <c r="CO110" s="212" t="s">
        <v>585</v>
      </c>
      <c r="CP110" s="440">
        <v>5</v>
      </c>
      <c r="CQ110" s="209">
        <v>3</v>
      </c>
      <c r="CR110" s="209">
        <v>7</v>
      </c>
      <c r="CS110" s="439">
        <v>8</v>
      </c>
      <c r="CT110" s="212">
        <v>7</v>
      </c>
      <c r="CU110" s="212" t="s">
        <v>585</v>
      </c>
      <c r="CV110" s="440">
        <v>15</v>
      </c>
      <c r="CW110" s="210">
        <v>91409</v>
      </c>
      <c r="CX110" s="270">
        <f>91409/538718</f>
        <v>0.16967875586113701</v>
      </c>
      <c r="CY110" s="277"/>
      <c r="CZ110" s="277"/>
      <c r="DA110" s="277"/>
    </row>
    <row r="111" spans="1:105" s="101" customFormat="1" ht="13.5" thickBot="1" x14ac:dyDescent="0.25">
      <c r="A111" s="208"/>
      <c r="B111" s="113" t="s">
        <v>699</v>
      </c>
      <c r="C111" s="437" t="s">
        <v>585</v>
      </c>
      <c r="D111" s="212" t="s">
        <v>585</v>
      </c>
      <c r="E111" s="212" t="s">
        <v>585</v>
      </c>
      <c r="F111" s="438" t="s">
        <v>585</v>
      </c>
      <c r="G111" s="439" t="s">
        <v>585</v>
      </c>
      <c r="H111" s="212" t="s">
        <v>585</v>
      </c>
      <c r="I111" s="212" t="s">
        <v>585</v>
      </c>
      <c r="J111" s="212" t="s">
        <v>585</v>
      </c>
      <c r="K111" s="212" t="s">
        <v>585</v>
      </c>
      <c r="L111" s="440" t="s">
        <v>585</v>
      </c>
      <c r="M111" s="209" t="s">
        <v>585</v>
      </c>
      <c r="N111" s="439">
        <v>0</v>
      </c>
      <c r="O111" s="212" t="s">
        <v>585</v>
      </c>
      <c r="P111" s="212" t="s">
        <v>585</v>
      </c>
      <c r="Q111" s="440" t="s">
        <v>585</v>
      </c>
      <c r="R111" s="437" t="s">
        <v>585</v>
      </c>
      <c r="S111" s="212" t="s">
        <v>585</v>
      </c>
      <c r="T111" s="212" t="s">
        <v>585</v>
      </c>
      <c r="U111" s="438" t="s">
        <v>585</v>
      </c>
      <c r="V111" s="213" t="s">
        <v>585</v>
      </c>
      <c r="W111" s="209" t="s">
        <v>585</v>
      </c>
      <c r="X111" s="439" t="s">
        <v>585</v>
      </c>
      <c r="Y111" s="212" t="s">
        <v>585</v>
      </c>
      <c r="Z111" s="212" t="s">
        <v>585</v>
      </c>
      <c r="AA111" s="212" t="s">
        <v>585</v>
      </c>
      <c r="AB111" s="212" t="s">
        <v>585</v>
      </c>
      <c r="AC111" s="212" t="s">
        <v>585</v>
      </c>
      <c r="AD111" s="440" t="s">
        <v>585</v>
      </c>
      <c r="AE111" s="209" t="s">
        <v>585</v>
      </c>
      <c r="AF111" s="439">
        <v>3</v>
      </c>
      <c r="AG111" s="212" t="s">
        <v>585</v>
      </c>
      <c r="AH111" s="212" t="s">
        <v>585</v>
      </c>
      <c r="AI111" s="212" t="s">
        <v>585</v>
      </c>
      <c r="AJ111" s="212" t="s">
        <v>585</v>
      </c>
      <c r="AK111" s="212" t="s">
        <v>585</v>
      </c>
      <c r="AL111" s="212" t="s">
        <v>585</v>
      </c>
      <c r="AM111" s="212" t="s">
        <v>585</v>
      </c>
      <c r="AN111" s="212" t="s">
        <v>585</v>
      </c>
      <c r="AO111" s="212" t="s">
        <v>585</v>
      </c>
      <c r="AP111" s="440">
        <v>3</v>
      </c>
      <c r="AQ111" s="437" t="s">
        <v>585</v>
      </c>
      <c r="AR111" s="212" t="s">
        <v>585</v>
      </c>
      <c r="AS111" s="212" t="s">
        <v>585</v>
      </c>
      <c r="AT111" s="212" t="s">
        <v>585</v>
      </c>
      <c r="AU111" s="212" t="s">
        <v>585</v>
      </c>
      <c r="AV111" s="212" t="s">
        <v>585</v>
      </c>
      <c r="AW111" s="212" t="s">
        <v>585</v>
      </c>
      <c r="AX111" s="212" t="s">
        <v>585</v>
      </c>
      <c r="AY111" s="438" t="s">
        <v>585</v>
      </c>
      <c r="AZ111" s="439" t="s">
        <v>585</v>
      </c>
      <c r="BA111" s="212" t="s">
        <v>585</v>
      </c>
      <c r="BB111" s="212" t="s">
        <v>585</v>
      </c>
      <c r="BC111" s="212" t="s">
        <v>585</v>
      </c>
      <c r="BD111" s="212" t="s">
        <v>585</v>
      </c>
      <c r="BE111" s="212" t="s">
        <v>585</v>
      </c>
      <c r="BF111" s="440" t="s">
        <v>585</v>
      </c>
      <c r="BG111" s="209" t="s">
        <v>585</v>
      </c>
      <c r="BH111" s="209">
        <v>20</v>
      </c>
      <c r="BI111" s="209" t="s">
        <v>585</v>
      </c>
      <c r="BJ111" s="439">
        <v>3</v>
      </c>
      <c r="BK111" s="212" t="s">
        <v>585</v>
      </c>
      <c r="BL111" s="212" t="s">
        <v>585</v>
      </c>
      <c r="BM111" s="212" t="s">
        <v>585</v>
      </c>
      <c r="BN111" s="212" t="s">
        <v>585</v>
      </c>
      <c r="BO111" s="212" t="s">
        <v>585</v>
      </c>
      <c r="BP111" s="212" t="s">
        <v>585</v>
      </c>
      <c r="BQ111" s="440">
        <v>3</v>
      </c>
      <c r="BR111" s="437" t="s">
        <v>585</v>
      </c>
      <c r="BS111" s="212" t="s">
        <v>585</v>
      </c>
      <c r="BT111" s="212" t="s">
        <v>585</v>
      </c>
      <c r="BU111" s="212" t="s">
        <v>585</v>
      </c>
      <c r="BV111" s="212" t="s">
        <v>585</v>
      </c>
      <c r="BW111" s="212" t="s">
        <v>585</v>
      </c>
      <c r="BX111" s="212" t="s">
        <v>585</v>
      </c>
      <c r="BY111" s="212" t="s">
        <v>585</v>
      </c>
      <c r="BZ111" s="212" t="s">
        <v>585</v>
      </c>
      <c r="CA111" s="212" t="s">
        <v>585</v>
      </c>
      <c r="CB111" s="212" t="s">
        <v>585</v>
      </c>
      <c r="CC111" s="438" t="s">
        <v>585</v>
      </c>
      <c r="CD111" s="439" t="s">
        <v>585</v>
      </c>
      <c r="CE111" s="212" t="s">
        <v>585</v>
      </c>
      <c r="CF111" s="440" t="s">
        <v>585</v>
      </c>
      <c r="CG111" s="209" t="s">
        <v>585</v>
      </c>
      <c r="CH111" s="209">
        <v>43</v>
      </c>
      <c r="CI111" s="439" t="s">
        <v>585</v>
      </c>
      <c r="CJ111" s="212" t="s">
        <v>585</v>
      </c>
      <c r="CK111" s="212" t="s">
        <v>585</v>
      </c>
      <c r="CL111" s="440" t="s">
        <v>585</v>
      </c>
      <c r="CM111" s="209" t="s">
        <v>585</v>
      </c>
      <c r="CN111" s="439" t="s">
        <v>585</v>
      </c>
      <c r="CO111" s="212" t="s">
        <v>585</v>
      </c>
      <c r="CP111" s="440" t="s">
        <v>585</v>
      </c>
      <c r="CQ111" s="209" t="s">
        <v>585</v>
      </c>
      <c r="CR111" s="209" t="s">
        <v>585</v>
      </c>
      <c r="CS111" s="439" t="s">
        <v>585</v>
      </c>
      <c r="CT111" s="212" t="s">
        <v>585</v>
      </c>
      <c r="CU111" s="212" t="s">
        <v>585</v>
      </c>
      <c r="CV111" s="440" t="s">
        <v>585</v>
      </c>
      <c r="CW111" s="210">
        <v>69</v>
      </c>
      <c r="CX111" s="270">
        <f>69/538718</f>
        <v>1.2808185358573502E-4</v>
      </c>
      <c r="CY111" s="277"/>
      <c r="CZ111" s="277"/>
      <c r="DA111" s="277"/>
    </row>
    <row r="112" spans="1:105" s="101" customFormat="1" ht="13.5" thickBot="1" x14ac:dyDescent="0.25">
      <c r="A112" s="208"/>
      <c r="B112" s="113" t="s">
        <v>700</v>
      </c>
      <c r="C112" s="437" t="s">
        <v>585</v>
      </c>
      <c r="D112" s="212" t="s">
        <v>585</v>
      </c>
      <c r="E112" s="212" t="s">
        <v>585</v>
      </c>
      <c r="F112" s="438" t="s">
        <v>585</v>
      </c>
      <c r="G112" s="439" t="s">
        <v>585</v>
      </c>
      <c r="H112" s="212">
        <v>5</v>
      </c>
      <c r="I112" s="212" t="s">
        <v>585</v>
      </c>
      <c r="J112" s="212" t="s">
        <v>585</v>
      </c>
      <c r="K112" s="212" t="s">
        <v>585</v>
      </c>
      <c r="L112" s="440">
        <v>5</v>
      </c>
      <c r="M112" s="209" t="s">
        <v>585</v>
      </c>
      <c r="N112" s="439">
        <v>2</v>
      </c>
      <c r="O112" s="212" t="s">
        <v>585</v>
      </c>
      <c r="P112" s="212" t="s">
        <v>585</v>
      </c>
      <c r="Q112" s="440">
        <v>2</v>
      </c>
      <c r="R112" s="437" t="s">
        <v>585</v>
      </c>
      <c r="S112" s="212" t="s">
        <v>585</v>
      </c>
      <c r="T112" s="212" t="s">
        <v>585</v>
      </c>
      <c r="U112" s="438" t="s">
        <v>585</v>
      </c>
      <c r="V112" s="213" t="s">
        <v>585</v>
      </c>
      <c r="W112" s="209">
        <v>2</v>
      </c>
      <c r="X112" s="439" t="s">
        <v>585</v>
      </c>
      <c r="Y112" s="212" t="s">
        <v>585</v>
      </c>
      <c r="Z112" s="212" t="s">
        <v>585</v>
      </c>
      <c r="AA112" s="212" t="s">
        <v>585</v>
      </c>
      <c r="AB112" s="212" t="s">
        <v>585</v>
      </c>
      <c r="AC112" s="212" t="s">
        <v>585</v>
      </c>
      <c r="AD112" s="440" t="s">
        <v>585</v>
      </c>
      <c r="AE112" s="209">
        <v>16</v>
      </c>
      <c r="AF112" s="439">
        <v>7</v>
      </c>
      <c r="AG112" s="212" t="s">
        <v>585</v>
      </c>
      <c r="AH112" s="212" t="s">
        <v>585</v>
      </c>
      <c r="AI112" s="212" t="s">
        <v>585</v>
      </c>
      <c r="AJ112" s="212" t="s">
        <v>585</v>
      </c>
      <c r="AK112" s="212" t="s">
        <v>585</v>
      </c>
      <c r="AL112" s="212" t="s">
        <v>585</v>
      </c>
      <c r="AM112" s="212">
        <v>14</v>
      </c>
      <c r="AN112" s="212" t="s">
        <v>585</v>
      </c>
      <c r="AO112" s="212" t="s">
        <v>585</v>
      </c>
      <c r="AP112" s="440">
        <v>21</v>
      </c>
      <c r="AQ112" s="437" t="s">
        <v>585</v>
      </c>
      <c r="AR112" s="212" t="s">
        <v>585</v>
      </c>
      <c r="AS112" s="212" t="s">
        <v>585</v>
      </c>
      <c r="AT112" s="212" t="s">
        <v>585</v>
      </c>
      <c r="AU112" s="212" t="s">
        <v>585</v>
      </c>
      <c r="AV112" s="212" t="s">
        <v>585</v>
      </c>
      <c r="AW112" s="212" t="s">
        <v>585</v>
      </c>
      <c r="AX112" s="212" t="s">
        <v>585</v>
      </c>
      <c r="AY112" s="438" t="s">
        <v>585</v>
      </c>
      <c r="AZ112" s="439" t="s">
        <v>585</v>
      </c>
      <c r="BA112" s="212" t="s">
        <v>585</v>
      </c>
      <c r="BB112" s="212" t="s">
        <v>585</v>
      </c>
      <c r="BC112" s="212" t="s">
        <v>585</v>
      </c>
      <c r="BD112" s="212" t="s">
        <v>585</v>
      </c>
      <c r="BE112" s="212" t="s">
        <v>585</v>
      </c>
      <c r="BF112" s="440" t="s">
        <v>585</v>
      </c>
      <c r="BG112" s="209" t="s">
        <v>585</v>
      </c>
      <c r="BH112" s="209">
        <v>12</v>
      </c>
      <c r="BI112" s="209" t="s">
        <v>585</v>
      </c>
      <c r="BJ112" s="439">
        <v>224</v>
      </c>
      <c r="BK112" s="212" t="s">
        <v>585</v>
      </c>
      <c r="BL112" s="212" t="s">
        <v>585</v>
      </c>
      <c r="BM112" s="212" t="s">
        <v>585</v>
      </c>
      <c r="BN112" s="212" t="s">
        <v>585</v>
      </c>
      <c r="BO112" s="212" t="s">
        <v>585</v>
      </c>
      <c r="BP112" s="212" t="s">
        <v>585</v>
      </c>
      <c r="BQ112" s="440">
        <v>224</v>
      </c>
      <c r="BR112" s="437">
        <v>1</v>
      </c>
      <c r="BS112" s="212" t="s">
        <v>585</v>
      </c>
      <c r="BT112" s="212" t="s">
        <v>585</v>
      </c>
      <c r="BU112" s="212" t="s">
        <v>585</v>
      </c>
      <c r="BV112" s="212" t="s">
        <v>585</v>
      </c>
      <c r="BW112" s="212" t="s">
        <v>585</v>
      </c>
      <c r="BX112" s="212">
        <v>186</v>
      </c>
      <c r="BY112" s="212" t="s">
        <v>585</v>
      </c>
      <c r="BZ112" s="212" t="s">
        <v>585</v>
      </c>
      <c r="CA112" s="212" t="s">
        <v>585</v>
      </c>
      <c r="CB112" s="212" t="s">
        <v>585</v>
      </c>
      <c r="CC112" s="438">
        <v>187</v>
      </c>
      <c r="CD112" s="439" t="s">
        <v>585</v>
      </c>
      <c r="CE112" s="212" t="s">
        <v>585</v>
      </c>
      <c r="CF112" s="440" t="s">
        <v>585</v>
      </c>
      <c r="CG112" s="209" t="s">
        <v>585</v>
      </c>
      <c r="CH112" s="209" t="s">
        <v>585</v>
      </c>
      <c r="CI112" s="439">
        <v>8</v>
      </c>
      <c r="CJ112" s="212" t="s">
        <v>585</v>
      </c>
      <c r="CK112" s="212" t="s">
        <v>585</v>
      </c>
      <c r="CL112" s="440">
        <v>8</v>
      </c>
      <c r="CM112" s="209" t="s">
        <v>585</v>
      </c>
      <c r="CN112" s="439">
        <v>11</v>
      </c>
      <c r="CO112" s="212" t="s">
        <v>585</v>
      </c>
      <c r="CP112" s="440">
        <v>11</v>
      </c>
      <c r="CQ112" s="209">
        <v>1</v>
      </c>
      <c r="CR112" s="209" t="s">
        <v>585</v>
      </c>
      <c r="CS112" s="439" t="s">
        <v>585</v>
      </c>
      <c r="CT112" s="212" t="s">
        <v>585</v>
      </c>
      <c r="CU112" s="212" t="s">
        <v>585</v>
      </c>
      <c r="CV112" s="440" t="s">
        <v>585</v>
      </c>
      <c r="CW112" s="210">
        <v>489</v>
      </c>
      <c r="CX112" s="270">
        <f>489/538718</f>
        <v>9.0771052758586122E-4</v>
      </c>
      <c r="CY112" s="277"/>
      <c r="CZ112" s="277"/>
      <c r="DA112" s="277"/>
    </row>
    <row r="113" spans="1:105" s="101" customFormat="1" ht="13.5" thickBot="1" x14ac:dyDescent="0.25">
      <c r="A113" s="208"/>
      <c r="B113" s="412" t="s">
        <v>616</v>
      </c>
      <c r="C113" s="441">
        <v>94</v>
      </c>
      <c r="D113" s="442">
        <v>340</v>
      </c>
      <c r="E113" s="442">
        <v>245</v>
      </c>
      <c r="F113" s="443">
        <v>679</v>
      </c>
      <c r="G113" s="444">
        <v>14134</v>
      </c>
      <c r="H113" s="442">
        <v>4017</v>
      </c>
      <c r="I113" s="442">
        <v>3159</v>
      </c>
      <c r="J113" s="442" t="s">
        <v>585</v>
      </c>
      <c r="K113" s="442" t="s">
        <v>585</v>
      </c>
      <c r="L113" s="445">
        <v>21310</v>
      </c>
      <c r="M113" s="446" t="s">
        <v>585</v>
      </c>
      <c r="N113" s="444">
        <v>150829</v>
      </c>
      <c r="O113" s="442" t="s">
        <v>585</v>
      </c>
      <c r="P113" s="442">
        <v>641</v>
      </c>
      <c r="Q113" s="445">
        <v>151470</v>
      </c>
      <c r="R113" s="441" t="s">
        <v>585</v>
      </c>
      <c r="S113" s="442" t="s">
        <v>585</v>
      </c>
      <c r="T113" s="442" t="s">
        <v>585</v>
      </c>
      <c r="U113" s="443" t="s">
        <v>585</v>
      </c>
      <c r="V113" s="447">
        <v>84</v>
      </c>
      <c r="W113" s="446">
        <v>7631</v>
      </c>
      <c r="X113" s="444">
        <v>2764</v>
      </c>
      <c r="Y113" s="442" t="s">
        <v>585</v>
      </c>
      <c r="Z113" s="442">
        <v>338</v>
      </c>
      <c r="AA113" s="442" t="s">
        <v>585</v>
      </c>
      <c r="AB113" s="442" t="s">
        <v>585</v>
      </c>
      <c r="AC113" s="442" t="s">
        <v>585</v>
      </c>
      <c r="AD113" s="445">
        <v>3102</v>
      </c>
      <c r="AE113" s="446">
        <v>4699</v>
      </c>
      <c r="AF113" s="444">
        <v>12925</v>
      </c>
      <c r="AG113" s="442" t="s">
        <v>585</v>
      </c>
      <c r="AH113" s="442" t="s">
        <v>585</v>
      </c>
      <c r="AI113" s="442" t="s">
        <v>585</v>
      </c>
      <c r="AJ113" s="442">
        <v>409</v>
      </c>
      <c r="AK113" s="442" t="s">
        <v>585</v>
      </c>
      <c r="AL113" s="442" t="s">
        <v>585</v>
      </c>
      <c r="AM113" s="442">
        <v>3606</v>
      </c>
      <c r="AN113" s="442">
        <v>99</v>
      </c>
      <c r="AO113" s="442" t="s">
        <v>585</v>
      </c>
      <c r="AP113" s="445">
        <v>17039</v>
      </c>
      <c r="AQ113" s="441" t="s">
        <v>585</v>
      </c>
      <c r="AR113" s="442">
        <v>8242</v>
      </c>
      <c r="AS113" s="442" t="s">
        <v>585</v>
      </c>
      <c r="AT113" s="442" t="s">
        <v>585</v>
      </c>
      <c r="AU113" s="442" t="s">
        <v>585</v>
      </c>
      <c r="AV113" s="442" t="s">
        <v>585</v>
      </c>
      <c r="AW113" s="442" t="s">
        <v>585</v>
      </c>
      <c r="AX113" s="442" t="s">
        <v>585</v>
      </c>
      <c r="AY113" s="443">
        <v>8242</v>
      </c>
      <c r="AZ113" s="444" t="s">
        <v>585</v>
      </c>
      <c r="BA113" s="442" t="s">
        <v>585</v>
      </c>
      <c r="BB113" s="442" t="s">
        <v>585</v>
      </c>
      <c r="BC113" s="442" t="s">
        <v>585</v>
      </c>
      <c r="BD113" s="442" t="s">
        <v>585</v>
      </c>
      <c r="BE113" s="442" t="s">
        <v>585</v>
      </c>
      <c r="BF113" s="445" t="s">
        <v>585</v>
      </c>
      <c r="BG113" s="446">
        <v>307</v>
      </c>
      <c r="BH113" s="446">
        <v>24119</v>
      </c>
      <c r="BI113" s="446" t="s">
        <v>585</v>
      </c>
      <c r="BJ113" s="444">
        <v>27680</v>
      </c>
      <c r="BK113" s="442" t="s">
        <v>585</v>
      </c>
      <c r="BL113" s="442">
        <v>3198</v>
      </c>
      <c r="BM113" s="442">
        <v>2698</v>
      </c>
      <c r="BN113" s="442">
        <v>96</v>
      </c>
      <c r="BO113" s="442" t="s">
        <v>585</v>
      </c>
      <c r="BP113" s="442" t="s">
        <v>585</v>
      </c>
      <c r="BQ113" s="445">
        <v>33672</v>
      </c>
      <c r="BR113" s="441">
        <v>88468</v>
      </c>
      <c r="BS113" s="442" t="s">
        <v>585</v>
      </c>
      <c r="BT113" s="442">
        <v>1737</v>
      </c>
      <c r="BU113" s="442">
        <v>89856</v>
      </c>
      <c r="BV113" s="442">
        <v>1642</v>
      </c>
      <c r="BW113" s="442" t="s">
        <v>585</v>
      </c>
      <c r="BX113" s="442">
        <v>32824</v>
      </c>
      <c r="BY113" s="442" t="s">
        <v>585</v>
      </c>
      <c r="BZ113" s="442" t="s">
        <v>585</v>
      </c>
      <c r="CA113" s="442" t="s">
        <v>585</v>
      </c>
      <c r="CB113" s="442" t="s">
        <v>585</v>
      </c>
      <c r="CC113" s="443">
        <v>214527</v>
      </c>
      <c r="CD113" s="444">
        <v>1062</v>
      </c>
      <c r="CE113" s="442">
        <v>61</v>
      </c>
      <c r="CF113" s="445">
        <v>1123</v>
      </c>
      <c r="CG113" s="446" t="s">
        <v>585</v>
      </c>
      <c r="CH113" s="446">
        <v>5339</v>
      </c>
      <c r="CI113" s="444">
        <v>20197</v>
      </c>
      <c r="CJ113" s="442">
        <v>712</v>
      </c>
      <c r="CK113" s="442">
        <v>157</v>
      </c>
      <c r="CL113" s="445">
        <v>21066</v>
      </c>
      <c r="CM113" s="446" t="s">
        <v>585</v>
      </c>
      <c r="CN113" s="444">
        <v>10797</v>
      </c>
      <c r="CO113" s="442" t="s">
        <v>585</v>
      </c>
      <c r="CP113" s="445">
        <v>10797</v>
      </c>
      <c r="CQ113" s="446">
        <v>4585</v>
      </c>
      <c r="CR113" s="446">
        <v>2957</v>
      </c>
      <c r="CS113" s="444">
        <v>2078</v>
      </c>
      <c r="CT113" s="442">
        <v>2178</v>
      </c>
      <c r="CU113" s="442">
        <v>1714</v>
      </c>
      <c r="CV113" s="445">
        <v>5970</v>
      </c>
      <c r="CW113" s="446">
        <v>538718</v>
      </c>
      <c r="CX113" s="448">
        <f>538718/538718</f>
        <v>1</v>
      </c>
      <c r="CY113" s="277"/>
      <c r="CZ113" s="277"/>
      <c r="DA113" s="277"/>
    </row>
  </sheetData>
  <mergeCells count="22">
    <mergeCell ref="B2:B3"/>
    <mergeCell ref="CN2:CP2"/>
    <mergeCell ref="CS2:CV2"/>
    <mergeCell ref="CW2:CW3"/>
    <mergeCell ref="CX2:CX3"/>
    <mergeCell ref="C2:F2"/>
    <mergeCell ref="G2:L2"/>
    <mergeCell ref="AZ2:BF2"/>
    <mergeCell ref="BJ2:BQ2"/>
    <mergeCell ref="BR2:CC2"/>
    <mergeCell ref="CD1:CX1"/>
    <mergeCell ref="B1:W1"/>
    <mergeCell ref="X1:AP1"/>
    <mergeCell ref="AQ1:BI1"/>
    <mergeCell ref="BJ1:CC1"/>
    <mergeCell ref="CD2:CF2"/>
    <mergeCell ref="CI2:CL2"/>
    <mergeCell ref="N2:Q2"/>
    <mergeCell ref="R2:U2"/>
    <mergeCell ref="X2:AD2"/>
    <mergeCell ref="AF2:AP2"/>
    <mergeCell ref="AQ2:AY2"/>
  </mergeCells>
  <printOptions horizontalCentered="1" verticalCentered="1"/>
  <pageMargins left="7.874015748031496E-2" right="7.874015748031496E-2" top="7.874015748031496E-2" bottom="7.874015748031496E-2" header="3.937007874015748E-2" footer="3.937007874015748E-2"/>
  <pageSetup scale="67" orientation="landscape" r:id="rId1"/>
  <headerFooter alignWithMargins="0"/>
  <rowBreaks count="1" manualBreakCount="1">
    <brk id="57" min="1" max="101" man="1"/>
  </rowBreaks>
  <colBreaks count="4" manualBreakCount="4">
    <brk id="23" max="112" man="1"/>
    <brk id="42" max="112" man="1"/>
    <brk id="61" max="112" man="1"/>
    <brk id="81" max="112"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M74"/>
  <sheetViews>
    <sheetView zoomScaleNormal="100" zoomScaleSheetLayoutView="100" workbookViewId="0">
      <selection activeCell="A4" sqref="A4"/>
    </sheetView>
  </sheetViews>
  <sheetFormatPr defaultColWidth="9.140625" defaultRowHeight="12" x14ac:dyDescent="0.2"/>
  <cols>
    <col min="1" max="1" width="9.140625" style="117"/>
    <col min="2" max="2" width="11.5703125" style="117" customWidth="1"/>
    <col min="3" max="3" width="19.5703125" style="117" customWidth="1"/>
    <col min="4" max="4" width="7.42578125" style="117" customWidth="1"/>
    <col min="5" max="6" width="9.140625" style="117" customWidth="1"/>
    <col min="7" max="10" width="8.28515625" style="117" customWidth="1"/>
    <col min="11" max="12" width="9.42578125" style="117" customWidth="1"/>
    <col min="13" max="16384" width="9.140625" style="117"/>
  </cols>
  <sheetData>
    <row r="1" spans="2:12" ht="22.5" customHeight="1" x14ac:dyDescent="0.2">
      <c r="B1" s="650" t="s">
        <v>704</v>
      </c>
      <c r="C1" s="651"/>
      <c r="D1" s="651"/>
      <c r="E1" s="651"/>
      <c r="F1" s="651"/>
      <c r="G1" s="651"/>
      <c r="H1" s="651"/>
      <c r="I1" s="651"/>
      <c r="J1" s="651"/>
      <c r="K1" s="651"/>
      <c r="L1" s="651"/>
    </row>
    <row r="2" spans="2:12" ht="15.75" customHeight="1" thickBot="1" x14ac:dyDescent="0.25">
      <c r="B2" s="272"/>
      <c r="C2" s="273"/>
      <c r="D2" s="273"/>
      <c r="E2" s="273"/>
      <c r="F2" s="273"/>
      <c r="G2" s="273"/>
      <c r="H2" s="273"/>
      <c r="I2" s="273"/>
      <c r="J2" s="273"/>
      <c r="K2" s="273"/>
      <c r="L2" s="273"/>
    </row>
    <row r="3" spans="2:12" ht="19.5" customHeight="1" x14ac:dyDescent="0.2">
      <c r="B3" s="457"/>
      <c r="C3" s="579" t="s">
        <v>358</v>
      </c>
      <c r="D3" s="584" t="s">
        <v>359</v>
      </c>
      <c r="E3" s="652" t="s">
        <v>1</v>
      </c>
      <c r="F3" s="652"/>
      <c r="G3" s="652"/>
      <c r="H3" s="652" t="s">
        <v>622</v>
      </c>
      <c r="I3" s="652"/>
      <c r="J3" s="652"/>
      <c r="K3" s="652" t="s">
        <v>264</v>
      </c>
      <c r="L3" s="652"/>
    </row>
    <row r="4" spans="2:12" ht="19.5" customHeight="1" thickBot="1" x14ac:dyDescent="0.25">
      <c r="B4" s="458"/>
      <c r="C4" s="580"/>
      <c r="D4" s="585"/>
      <c r="E4" s="462">
        <v>2017</v>
      </c>
      <c r="F4" s="462">
        <v>2018</v>
      </c>
      <c r="G4" s="462">
        <v>2019</v>
      </c>
      <c r="H4" s="462">
        <v>2017</v>
      </c>
      <c r="I4" s="462">
        <v>2018</v>
      </c>
      <c r="J4" s="462">
        <v>2019</v>
      </c>
      <c r="K4" s="462" t="s">
        <v>591</v>
      </c>
      <c r="L4" s="462" t="s">
        <v>629</v>
      </c>
    </row>
    <row r="5" spans="2:12" ht="17.25" customHeight="1" x14ac:dyDescent="0.2">
      <c r="B5" s="648" t="s">
        <v>475</v>
      </c>
      <c r="C5" s="299" t="s">
        <v>361</v>
      </c>
      <c r="D5" s="649" t="s">
        <v>267</v>
      </c>
      <c r="E5" s="197">
        <v>130</v>
      </c>
      <c r="F5" s="197">
        <v>310</v>
      </c>
      <c r="G5" s="197">
        <v>245</v>
      </c>
      <c r="H5" s="285">
        <v>3.543576449936079E-2</v>
      </c>
      <c r="I5" s="285">
        <v>9.0582356894486168E-2</v>
      </c>
      <c r="J5" s="285">
        <v>4.5478339316674027E-2</v>
      </c>
      <c r="K5" s="285">
        <v>138.46153846153845</v>
      </c>
      <c r="L5" s="285">
        <v>-20.967741935483872</v>
      </c>
    </row>
    <row r="6" spans="2:12" ht="17.25" customHeight="1" x14ac:dyDescent="0.2">
      <c r="B6" s="648"/>
      <c r="C6" s="299" t="s">
        <v>594</v>
      </c>
      <c r="D6" s="649"/>
      <c r="E6" s="465" t="s">
        <v>585</v>
      </c>
      <c r="F6" s="197">
        <v>31</v>
      </c>
      <c r="G6" s="197">
        <v>94</v>
      </c>
      <c r="H6" s="285" t="s">
        <v>585</v>
      </c>
      <c r="I6" s="285">
        <v>9.0582356894486158E-3</v>
      </c>
      <c r="J6" s="285">
        <v>1.7448832227621874E-2</v>
      </c>
      <c r="K6" s="285" t="s">
        <v>585</v>
      </c>
      <c r="L6" s="285">
        <v>203.2258064516129</v>
      </c>
    </row>
    <row r="7" spans="2:12" ht="17.25" customHeight="1" x14ac:dyDescent="0.2">
      <c r="B7" s="648"/>
      <c r="C7" s="299" t="s">
        <v>362</v>
      </c>
      <c r="D7" s="649"/>
      <c r="E7" s="197">
        <v>144</v>
      </c>
      <c r="F7" s="197">
        <v>233</v>
      </c>
      <c r="G7" s="197">
        <v>340</v>
      </c>
      <c r="H7" s="285">
        <v>3.9251923753138108E-2</v>
      </c>
      <c r="I7" s="285">
        <v>6.8082868246500894E-2</v>
      </c>
      <c r="J7" s="285">
        <v>6.3112797419057842E-2</v>
      </c>
      <c r="K7" s="285">
        <v>61.805555555555557</v>
      </c>
      <c r="L7" s="285">
        <v>45.922746781115883</v>
      </c>
    </row>
    <row r="8" spans="2:12" ht="17.25" customHeight="1" thickBot="1" x14ac:dyDescent="0.25">
      <c r="B8" s="648"/>
      <c r="C8" s="460" t="s">
        <v>17</v>
      </c>
      <c r="D8" s="282" t="s">
        <v>262</v>
      </c>
      <c r="E8" s="466">
        <v>274</v>
      </c>
      <c r="F8" s="466">
        <v>574</v>
      </c>
      <c r="G8" s="466">
        <v>679</v>
      </c>
      <c r="H8" s="467">
        <v>7.4687688252498899E-2</v>
      </c>
      <c r="I8" s="467">
        <v>0.16772346083043568</v>
      </c>
      <c r="J8" s="467">
        <v>0.12603996896335373</v>
      </c>
      <c r="K8" s="467">
        <v>109.48905109489051</v>
      </c>
      <c r="L8" s="467">
        <v>18.292682926829269</v>
      </c>
    </row>
    <row r="9" spans="2:12" ht="17.25" customHeight="1" x14ac:dyDescent="0.2">
      <c r="B9" s="579" t="s">
        <v>480</v>
      </c>
      <c r="C9" s="297" t="s">
        <v>365</v>
      </c>
      <c r="D9" s="646" t="s">
        <v>267</v>
      </c>
      <c r="E9" s="468">
        <v>12205</v>
      </c>
      <c r="F9" s="468">
        <v>3005</v>
      </c>
      <c r="G9" s="468">
        <v>14134</v>
      </c>
      <c r="H9" s="469">
        <v>3.3268731208822961</v>
      </c>
      <c r="I9" s="469">
        <v>0.87806445957397072</v>
      </c>
      <c r="J9" s="469">
        <v>2.6236361138851865</v>
      </c>
      <c r="K9" s="469">
        <v>-75.378943056124541</v>
      </c>
      <c r="L9" s="469">
        <v>370.34941763727119</v>
      </c>
    </row>
    <row r="10" spans="2:12" ht="17.25" customHeight="1" x14ac:dyDescent="0.2">
      <c r="B10" s="645"/>
      <c r="C10" s="298" t="s">
        <v>635</v>
      </c>
      <c r="D10" s="647"/>
      <c r="E10" s="470">
        <v>17946</v>
      </c>
      <c r="F10" s="470">
        <v>7381</v>
      </c>
      <c r="G10" s="470">
        <v>4017</v>
      </c>
      <c r="H10" s="471">
        <v>4.8917709977348371</v>
      </c>
      <c r="I10" s="471">
        <v>2.1567366975425881</v>
      </c>
      <c r="J10" s="471">
        <v>0.74565913891869218</v>
      </c>
      <c r="K10" s="471">
        <v>-58.87105761729633</v>
      </c>
      <c r="L10" s="471">
        <v>-45.576480151740959</v>
      </c>
    </row>
    <row r="11" spans="2:12" ht="17.25" customHeight="1" x14ac:dyDescent="0.2">
      <c r="B11" s="645"/>
      <c r="C11" s="298" t="s">
        <v>366</v>
      </c>
      <c r="D11" s="647"/>
      <c r="E11" s="470">
        <v>2820</v>
      </c>
      <c r="F11" s="470">
        <v>2717</v>
      </c>
      <c r="G11" s="470">
        <v>3159</v>
      </c>
      <c r="H11" s="471">
        <v>0.76868350683228803</v>
      </c>
      <c r="I11" s="471">
        <v>0.7939105280074803</v>
      </c>
      <c r="J11" s="471">
        <v>0.58639213837295212</v>
      </c>
      <c r="K11" s="471">
        <v>-3.6524822695035462</v>
      </c>
      <c r="L11" s="471">
        <v>16.267942583732058</v>
      </c>
    </row>
    <row r="12" spans="2:12" ht="17.25" customHeight="1" thickBot="1" x14ac:dyDescent="0.25">
      <c r="B12" s="580"/>
      <c r="C12" s="454" t="s">
        <v>17</v>
      </c>
      <c r="D12" s="455" t="s">
        <v>262</v>
      </c>
      <c r="E12" s="472">
        <v>32971</v>
      </c>
      <c r="F12" s="472">
        <v>13103</v>
      </c>
      <c r="G12" s="472">
        <v>21310</v>
      </c>
      <c r="H12" s="473">
        <v>8.9873276254494208</v>
      </c>
      <c r="I12" s="473">
        <v>3.8287116851240395</v>
      </c>
      <c r="J12" s="473">
        <v>3.9556873911768311</v>
      </c>
      <c r="K12" s="473">
        <v>-60.259015498468351</v>
      </c>
      <c r="L12" s="473">
        <v>62.634511180645653</v>
      </c>
    </row>
    <row r="13" spans="2:12" ht="17.25" customHeight="1" x14ac:dyDescent="0.2">
      <c r="B13" s="648" t="s">
        <v>483</v>
      </c>
      <c r="C13" s="299" t="s">
        <v>373</v>
      </c>
      <c r="D13" s="649" t="s">
        <v>267</v>
      </c>
      <c r="E13" s="197">
        <v>145</v>
      </c>
      <c r="F13" s="465" t="s">
        <v>585</v>
      </c>
      <c r="G13" s="465" t="s">
        <v>585</v>
      </c>
      <c r="H13" s="285">
        <v>3.9524506556979346E-2</v>
      </c>
      <c r="I13" s="285" t="s">
        <v>585</v>
      </c>
      <c r="J13" s="285" t="s">
        <v>585</v>
      </c>
      <c r="K13" s="285">
        <v>-100</v>
      </c>
      <c r="L13" s="285" t="s">
        <v>585</v>
      </c>
    </row>
    <row r="14" spans="2:12" ht="17.25" customHeight="1" x14ac:dyDescent="0.2">
      <c r="B14" s="648"/>
      <c r="C14" s="299" t="s">
        <v>637</v>
      </c>
      <c r="D14" s="649"/>
      <c r="E14" s="465" t="s">
        <v>585</v>
      </c>
      <c r="F14" s="465" t="s">
        <v>585</v>
      </c>
      <c r="G14" s="197">
        <v>641</v>
      </c>
      <c r="H14" s="285" t="s">
        <v>585</v>
      </c>
      <c r="I14" s="285" t="s">
        <v>585</v>
      </c>
      <c r="J14" s="285">
        <v>0.11898618572240022</v>
      </c>
      <c r="K14" s="285" t="s">
        <v>585</v>
      </c>
      <c r="L14" s="285" t="s">
        <v>585</v>
      </c>
    </row>
    <row r="15" spans="2:12" ht="17.25" customHeight="1" x14ac:dyDescent="0.2">
      <c r="B15" s="648"/>
      <c r="C15" s="299" t="s">
        <v>372</v>
      </c>
      <c r="D15" s="649"/>
      <c r="E15" s="197">
        <v>102815</v>
      </c>
      <c r="F15" s="197">
        <v>103276</v>
      </c>
      <c r="G15" s="197">
        <v>150829</v>
      </c>
      <c r="H15" s="285">
        <v>28.025600976936769</v>
      </c>
      <c r="I15" s="285">
        <v>30.177366098822429</v>
      </c>
      <c r="J15" s="285">
        <v>27.997765064467867</v>
      </c>
      <c r="K15" s="285">
        <v>0.44837815493848177</v>
      </c>
      <c r="L15" s="285">
        <v>46.044579573182538</v>
      </c>
    </row>
    <row r="16" spans="2:12" ht="17.25" customHeight="1" thickBot="1" x14ac:dyDescent="0.25">
      <c r="B16" s="648"/>
      <c r="C16" s="460" t="s">
        <v>17</v>
      </c>
      <c r="D16" s="282" t="s">
        <v>262</v>
      </c>
      <c r="E16" s="466">
        <v>102960</v>
      </c>
      <c r="F16" s="466">
        <v>103276</v>
      </c>
      <c r="G16" s="466">
        <v>151470</v>
      </c>
      <c r="H16" s="467">
        <v>28.065125483493748</v>
      </c>
      <c r="I16" s="467">
        <v>30.177366098822429</v>
      </c>
      <c r="J16" s="467">
        <v>28.116751250190266</v>
      </c>
      <c r="K16" s="467">
        <v>0.30691530691530694</v>
      </c>
      <c r="L16" s="467">
        <v>46.665246523877762</v>
      </c>
    </row>
    <row r="17" spans="2:13" ht="17.25" customHeight="1" thickBot="1" x14ac:dyDescent="0.25">
      <c r="B17" s="111" t="s">
        <v>485</v>
      </c>
      <c r="C17" s="281" t="s">
        <v>677</v>
      </c>
      <c r="D17" s="456" t="s">
        <v>267</v>
      </c>
      <c r="E17" s="474" t="s">
        <v>585</v>
      </c>
      <c r="F17" s="474" t="s">
        <v>585</v>
      </c>
      <c r="G17" s="475">
        <v>84</v>
      </c>
      <c r="H17" s="476" t="s">
        <v>585</v>
      </c>
      <c r="I17" s="476" t="s">
        <v>585</v>
      </c>
      <c r="J17" s="476">
        <v>1.5592573480002524E-2</v>
      </c>
      <c r="K17" s="476" t="s">
        <v>585</v>
      </c>
      <c r="L17" s="476" t="s">
        <v>585</v>
      </c>
    </row>
    <row r="18" spans="2:13" ht="17.25" customHeight="1" thickBot="1" x14ac:dyDescent="0.25">
      <c r="B18" s="111" t="s">
        <v>487</v>
      </c>
      <c r="C18" s="281" t="s">
        <v>378</v>
      </c>
      <c r="D18" s="456" t="s">
        <v>267</v>
      </c>
      <c r="E18" s="474" t="s">
        <v>585</v>
      </c>
      <c r="F18" s="474" t="s">
        <v>585</v>
      </c>
      <c r="G18" s="475">
        <v>7631</v>
      </c>
      <c r="H18" s="476" t="s">
        <v>585</v>
      </c>
      <c r="I18" s="476" t="s">
        <v>585</v>
      </c>
      <c r="J18" s="476">
        <v>1.4165110503083245</v>
      </c>
      <c r="K18" s="476" t="s">
        <v>585</v>
      </c>
      <c r="L18" s="476" t="s">
        <v>585</v>
      </c>
    </row>
    <row r="19" spans="2:13" ht="17.25" customHeight="1" x14ac:dyDescent="0.2">
      <c r="B19" s="648" t="s">
        <v>488</v>
      </c>
      <c r="C19" s="299" t="s">
        <v>379</v>
      </c>
      <c r="D19" s="649" t="s">
        <v>267</v>
      </c>
      <c r="E19" s="197">
        <v>847</v>
      </c>
      <c r="F19" s="197">
        <v>22</v>
      </c>
      <c r="G19" s="197">
        <v>2764</v>
      </c>
      <c r="H19" s="285">
        <v>0.23087763485352764</v>
      </c>
      <c r="I19" s="285">
        <v>6.4284253279957926E-3</v>
      </c>
      <c r="J19" s="285">
        <v>0.51306991784198785</v>
      </c>
      <c r="K19" s="285">
        <v>-97.402597402597408</v>
      </c>
      <c r="L19" s="285">
        <v>12463.636363636364</v>
      </c>
    </row>
    <row r="20" spans="2:13" s="91" customFormat="1" ht="17.25" customHeight="1" x14ac:dyDescent="0.2">
      <c r="B20" s="648"/>
      <c r="C20" s="299" t="s">
        <v>598</v>
      </c>
      <c r="D20" s="649"/>
      <c r="E20" s="465" t="s">
        <v>585</v>
      </c>
      <c r="F20" s="197">
        <v>258</v>
      </c>
      <c r="G20" s="197">
        <v>338</v>
      </c>
      <c r="H20" s="285" t="s">
        <v>585</v>
      </c>
      <c r="I20" s="285">
        <v>7.5387897028314291E-2</v>
      </c>
      <c r="J20" s="285">
        <v>6.2741545669533966E-2</v>
      </c>
      <c r="K20" s="285" t="s">
        <v>585</v>
      </c>
      <c r="L20" s="285">
        <v>31.007751937984494</v>
      </c>
    </row>
    <row r="21" spans="2:13" s="91" customFormat="1" ht="17.25" customHeight="1" thickBot="1" x14ac:dyDescent="0.25">
      <c r="B21" s="648"/>
      <c r="C21" s="460" t="s">
        <v>17</v>
      </c>
      <c r="D21" s="282" t="s">
        <v>262</v>
      </c>
      <c r="E21" s="466">
        <v>847</v>
      </c>
      <c r="F21" s="466">
        <v>280</v>
      </c>
      <c r="G21" s="466">
        <v>3102</v>
      </c>
      <c r="H21" s="467">
        <v>0.23087763485352764</v>
      </c>
      <c r="I21" s="467">
        <v>8.1816322356310089E-2</v>
      </c>
      <c r="J21" s="467">
        <v>0.57581146351152179</v>
      </c>
      <c r="K21" s="467">
        <v>-66.942148760330582</v>
      </c>
      <c r="L21" s="467">
        <v>1007.8571428571429</v>
      </c>
    </row>
    <row r="22" spans="2:13" ht="17.25" customHeight="1" thickBot="1" x14ac:dyDescent="0.25">
      <c r="B22" s="111" t="s">
        <v>497</v>
      </c>
      <c r="C22" s="281" t="s">
        <v>646</v>
      </c>
      <c r="D22" s="456" t="s">
        <v>267</v>
      </c>
      <c r="E22" s="475">
        <v>276</v>
      </c>
      <c r="F22" s="475">
        <v>357</v>
      </c>
      <c r="G22" s="475">
        <v>4699</v>
      </c>
      <c r="H22" s="476">
        <v>7.5232853860181373E-2</v>
      </c>
      <c r="I22" s="476">
        <v>0.10431581100429535</v>
      </c>
      <c r="J22" s="476">
        <v>0.87225598550633165</v>
      </c>
      <c r="K22" s="476">
        <v>29.347826086956523</v>
      </c>
      <c r="L22" s="476">
        <v>1216.2464985994397</v>
      </c>
    </row>
    <row r="23" spans="2:13" ht="17.25" customHeight="1" x14ac:dyDescent="0.2">
      <c r="B23" s="648" t="s">
        <v>499</v>
      </c>
      <c r="C23" s="299" t="s">
        <v>606</v>
      </c>
      <c r="D23" s="649" t="s">
        <v>267</v>
      </c>
      <c r="E23" s="465" t="s">
        <v>585</v>
      </c>
      <c r="F23" s="197">
        <v>22</v>
      </c>
      <c r="G23" s="197">
        <v>99</v>
      </c>
      <c r="H23" s="285" t="s">
        <v>585</v>
      </c>
      <c r="I23" s="285">
        <v>6.4284253279957926E-3</v>
      </c>
      <c r="J23" s="285">
        <v>1.8376961601431548E-2</v>
      </c>
      <c r="K23" s="285" t="s">
        <v>585</v>
      </c>
      <c r="L23" s="285">
        <v>350</v>
      </c>
    </row>
    <row r="24" spans="2:13" ht="17.25" customHeight="1" x14ac:dyDescent="0.2">
      <c r="B24" s="648"/>
      <c r="C24" s="299" t="s">
        <v>599</v>
      </c>
      <c r="D24" s="649"/>
      <c r="E24" s="465" t="s">
        <v>585</v>
      </c>
      <c r="F24" s="197">
        <v>187</v>
      </c>
      <c r="G24" s="197">
        <v>409</v>
      </c>
      <c r="H24" s="285" t="s">
        <v>585</v>
      </c>
      <c r="I24" s="285">
        <v>5.4641615287964233E-2</v>
      </c>
      <c r="J24" s="285">
        <v>7.5920982777631346E-2</v>
      </c>
      <c r="K24" s="285" t="s">
        <v>585</v>
      </c>
      <c r="L24" s="285">
        <v>118.71657754010695</v>
      </c>
    </row>
    <row r="25" spans="2:13" ht="17.25" customHeight="1" x14ac:dyDescent="0.2">
      <c r="B25" s="648"/>
      <c r="C25" s="299" t="s">
        <v>394</v>
      </c>
      <c r="D25" s="649"/>
      <c r="E25" s="197">
        <v>4377</v>
      </c>
      <c r="F25" s="197">
        <v>14358</v>
      </c>
      <c r="G25" s="197">
        <v>12925</v>
      </c>
      <c r="H25" s="285">
        <v>1.1930949324130937</v>
      </c>
      <c r="I25" s="285">
        <v>4.1954241299710722</v>
      </c>
      <c r="J25" s="285">
        <v>2.3992144312980077</v>
      </c>
      <c r="K25" s="285">
        <v>228.03289924605895</v>
      </c>
      <c r="L25" s="285">
        <v>-9.9804986766959178</v>
      </c>
    </row>
    <row r="26" spans="2:13" ht="17.25" customHeight="1" x14ac:dyDescent="0.2">
      <c r="B26" s="648"/>
      <c r="C26" s="299" t="s">
        <v>603</v>
      </c>
      <c r="D26" s="649"/>
      <c r="E26" s="465" t="s">
        <v>585</v>
      </c>
      <c r="F26" s="197">
        <v>2573</v>
      </c>
      <c r="G26" s="197">
        <v>3606</v>
      </c>
      <c r="H26" s="285" t="s">
        <v>585</v>
      </c>
      <c r="I26" s="285">
        <v>0.75183356222423514</v>
      </c>
      <c r="J26" s="285">
        <v>0.6693669043915369</v>
      </c>
      <c r="K26" s="285" t="s">
        <v>585</v>
      </c>
      <c r="L26" s="285">
        <v>40.14768752429071</v>
      </c>
    </row>
    <row r="27" spans="2:13" ht="17.25" customHeight="1" thickBot="1" x14ac:dyDescent="0.25">
      <c r="B27" s="648"/>
      <c r="C27" s="460" t="s">
        <v>17</v>
      </c>
      <c r="D27" s="282" t="s">
        <v>262</v>
      </c>
      <c r="E27" s="466">
        <v>4377</v>
      </c>
      <c r="F27" s="466">
        <v>17140</v>
      </c>
      <c r="G27" s="466">
        <v>17039</v>
      </c>
      <c r="H27" s="467">
        <v>1.1930949324130937</v>
      </c>
      <c r="I27" s="467">
        <v>5.0083277328112672</v>
      </c>
      <c r="J27" s="467">
        <v>3.1628792800686072</v>
      </c>
      <c r="K27" s="467">
        <v>291.5924148960475</v>
      </c>
      <c r="L27" s="467">
        <v>-0.5892648774795799</v>
      </c>
    </row>
    <row r="28" spans="2:13" ht="17.25" customHeight="1" x14ac:dyDescent="0.2">
      <c r="B28" s="579" t="s">
        <v>502</v>
      </c>
      <c r="C28" s="297" t="s">
        <v>620</v>
      </c>
      <c r="D28" s="646" t="s">
        <v>267</v>
      </c>
      <c r="E28" s="468">
        <v>652</v>
      </c>
      <c r="F28" s="477" t="s">
        <v>585</v>
      </c>
      <c r="G28" s="477" t="s">
        <v>585</v>
      </c>
      <c r="H28" s="469">
        <v>0.17772398810448645</v>
      </c>
      <c r="I28" s="469" t="s">
        <v>585</v>
      </c>
      <c r="J28" s="469" t="s">
        <v>585</v>
      </c>
      <c r="K28" s="469">
        <v>-100</v>
      </c>
      <c r="L28" s="469" t="s">
        <v>585</v>
      </c>
      <c r="M28" s="464"/>
    </row>
    <row r="29" spans="2:13" ht="17.25" customHeight="1" x14ac:dyDescent="0.2">
      <c r="B29" s="645"/>
      <c r="C29" s="298" t="s">
        <v>619</v>
      </c>
      <c r="D29" s="647"/>
      <c r="E29" s="478" t="s">
        <v>585</v>
      </c>
      <c r="F29" s="478" t="s">
        <v>585</v>
      </c>
      <c r="G29" s="470">
        <v>8242</v>
      </c>
      <c r="H29" s="471" t="s">
        <v>585</v>
      </c>
      <c r="I29" s="471" t="s">
        <v>585</v>
      </c>
      <c r="J29" s="471">
        <v>1.5299284597878668</v>
      </c>
      <c r="K29" s="471" t="s">
        <v>585</v>
      </c>
      <c r="L29" s="471" t="s">
        <v>585</v>
      </c>
      <c r="M29" s="464"/>
    </row>
    <row r="30" spans="2:13" ht="17.25" customHeight="1" thickBot="1" x14ac:dyDescent="0.25">
      <c r="B30" s="645"/>
      <c r="C30" s="461" t="s">
        <v>17</v>
      </c>
      <c r="D30" s="463" t="s">
        <v>262</v>
      </c>
      <c r="E30" s="479">
        <v>652</v>
      </c>
      <c r="F30" s="480" t="s">
        <v>585</v>
      </c>
      <c r="G30" s="479">
        <v>8242</v>
      </c>
      <c r="H30" s="481">
        <v>0.17772398810448645</v>
      </c>
      <c r="I30" s="481" t="s">
        <v>585</v>
      </c>
      <c r="J30" s="481">
        <v>1.5299284597878668</v>
      </c>
      <c r="K30" s="481">
        <v>-100</v>
      </c>
      <c r="L30" s="481" t="s">
        <v>585</v>
      </c>
      <c r="M30" s="464"/>
    </row>
    <row r="31" spans="2:13" ht="17.25" customHeight="1" x14ac:dyDescent="0.2">
      <c r="B31" s="579" t="s">
        <v>503</v>
      </c>
      <c r="C31" s="297" t="s">
        <v>406</v>
      </c>
      <c r="D31" s="646" t="s">
        <v>267</v>
      </c>
      <c r="E31" s="468">
        <v>7292</v>
      </c>
      <c r="F31" s="477" t="s">
        <v>585</v>
      </c>
      <c r="G31" s="477" t="s">
        <v>585</v>
      </c>
      <c r="H31" s="469">
        <v>1.9876738056102992</v>
      </c>
      <c r="I31" s="469" t="s">
        <v>585</v>
      </c>
      <c r="J31" s="469" t="s">
        <v>585</v>
      </c>
      <c r="K31" s="469">
        <v>-100</v>
      </c>
      <c r="L31" s="469" t="s">
        <v>585</v>
      </c>
    </row>
    <row r="32" spans="2:13" ht="17.25" customHeight="1" x14ac:dyDescent="0.2">
      <c r="B32" s="645"/>
      <c r="C32" s="298" t="s">
        <v>653</v>
      </c>
      <c r="D32" s="647"/>
      <c r="E32" s="470">
        <v>5858</v>
      </c>
      <c r="F32" s="478" t="s">
        <v>585</v>
      </c>
      <c r="G32" s="478" t="s">
        <v>585</v>
      </c>
      <c r="H32" s="471">
        <v>1.5967900649019655</v>
      </c>
      <c r="I32" s="471" t="s">
        <v>585</v>
      </c>
      <c r="J32" s="471" t="s">
        <v>585</v>
      </c>
      <c r="K32" s="471">
        <v>-100</v>
      </c>
      <c r="L32" s="471" t="s">
        <v>585</v>
      </c>
    </row>
    <row r="33" spans="2:12" ht="17.25" customHeight="1" thickBot="1" x14ac:dyDescent="0.25">
      <c r="B33" s="580"/>
      <c r="C33" s="454" t="s">
        <v>17</v>
      </c>
      <c r="D33" s="455" t="s">
        <v>262</v>
      </c>
      <c r="E33" s="472">
        <v>13150</v>
      </c>
      <c r="F33" s="482" t="s">
        <v>585</v>
      </c>
      <c r="G33" s="482" t="s">
        <v>585</v>
      </c>
      <c r="H33" s="473">
        <v>3.5844638705122649</v>
      </c>
      <c r="I33" s="473" t="s">
        <v>585</v>
      </c>
      <c r="J33" s="473" t="s">
        <v>585</v>
      </c>
      <c r="K33" s="473">
        <v>-100</v>
      </c>
      <c r="L33" s="473" t="s">
        <v>585</v>
      </c>
    </row>
    <row r="34" spans="2:12" ht="17.25" customHeight="1" thickBot="1" x14ac:dyDescent="0.25">
      <c r="B34" s="111" t="s">
        <v>506</v>
      </c>
      <c r="C34" s="281" t="s">
        <v>413</v>
      </c>
      <c r="D34" s="456" t="s">
        <v>267</v>
      </c>
      <c r="E34" s="474" t="s">
        <v>585</v>
      </c>
      <c r="F34" s="475">
        <v>66</v>
      </c>
      <c r="G34" s="475">
        <v>307</v>
      </c>
      <c r="H34" s="476" t="s">
        <v>585</v>
      </c>
      <c r="I34" s="476">
        <v>1.9285275983987375E-2</v>
      </c>
      <c r="J34" s="476">
        <v>5.6987143551913991E-2</v>
      </c>
      <c r="K34" s="476" t="s">
        <v>585</v>
      </c>
      <c r="L34" s="476">
        <v>365.15151515151513</v>
      </c>
    </row>
    <row r="35" spans="2:12" ht="17.25" customHeight="1" thickBot="1" x14ac:dyDescent="0.25">
      <c r="B35" s="111" t="s">
        <v>510</v>
      </c>
      <c r="C35" s="281" t="s">
        <v>417</v>
      </c>
      <c r="D35" s="456" t="s">
        <v>267</v>
      </c>
      <c r="E35" s="474" t="s">
        <v>585</v>
      </c>
      <c r="F35" s="474" t="s">
        <v>585</v>
      </c>
      <c r="G35" s="475">
        <v>24119</v>
      </c>
      <c r="H35" s="476" t="s">
        <v>585</v>
      </c>
      <c r="I35" s="476" t="s">
        <v>585</v>
      </c>
      <c r="J35" s="476">
        <v>4.4771104733831057</v>
      </c>
      <c r="K35" s="476" t="s">
        <v>585</v>
      </c>
      <c r="L35" s="476" t="s">
        <v>585</v>
      </c>
    </row>
    <row r="36" spans="2:12" ht="17.25" customHeight="1" x14ac:dyDescent="0.2">
      <c r="B36" s="648" t="s">
        <v>515</v>
      </c>
      <c r="C36" s="299" t="s">
        <v>649</v>
      </c>
      <c r="D36" s="649" t="s">
        <v>267</v>
      </c>
      <c r="E36" s="465" t="s">
        <v>585</v>
      </c>
      <c r="F36" s="465" t="s">
        <v>585</v>
      </c>
      <c r="G36" s="197">
        <v>27680</v>
      </c>
      <c r="H36" s="285" t="s">
        <v>585</v>
      </c>
      <c r="I36" s="285" t="s">
        <v>585</v>
      </c>
      <c r="J36" s="285">
        <v>5.1381242134103555</v>
      </c>
      <c r="K36" s="285" t="s">
        <v>585</v>
      </c>
      <c r="L36" s="285" t="s">
        <v>585</v>
      </c>
    </row>
    <row r="37" spans="2:12" ht="17.25" customHeight="1" x14ac:dyDescent="0.2">
      <c r="B37" s="648"/>
      <c r="C37" s="299" t="s">
        <v>650</v>
      </c>
      <c r="D37" s="649"/>
      <c r="E37" s="465" t="s">
        <v>585</v>
      </c>
      <c r="F37" s="465" t="s">
        <v>585</v>
      </c>
      <c r="G37" s="197">
        <v>96</v>
      </c>
      <c r="H37" s="285" t="s">
        <v>585</v>
      </c>
      <c r="I37" s="285" t="s">
        <v>585</v>
      </c>
      <c r="J37" s="285">
        <v>1.7820083977145743E-2</v>
      </c>
      <c r="K37" s="285" t="s">
        <v>585</v>
      </c>
      <c r="L37" s="285" t="s">
        <v>585</v>
      </c>
    </row>
    <row r="38" spans="2:12" ht="17.25" customHeight="1" x14ac:dyDescent="0.2">
      <c r="B38" s="648"/>
      <c r="C38" s="299" t="s">
        <v>397</v>
      </c>
      <c r="D38" s="649"/>
      <c r="E38" s="465" t="s">
        <v>585</v>
      </c>
      <c r="F38" s="465" t="s">
        <v>585</v>
      </c>
      <c r="G38" s="197">
        <v>3198</v>
      </c>
      <c r="H38" s="285" t="s">
        <v>585</v>
      </c>
      <c r="I38" s="285" t="s">
        <v>585</v>
      </c>
      <c r="J38" s="285">
        <v>0.59363154748866753</v>
      </c>
      <c r="K38" s="285" t="s">
        <v>585</v>
      </c>
      <c r="L38" s="285" t="s">
        <v>585</v>
      </c>
    </row>
    <row r="39" spans="2:12" ht="17.25" customHeight="1" x14ac:dyDescent="0.2">
      <c r="B39" s="648"/>
      <c r="C39" s="299" t="s">
        <v>398</v>
      </c>
      <c r="D39" s="649"/>
      <c r="E39" s="465" t="s">
        <v>585</v>
      </c>
      <c r="F39" s="465" t="s">
        <v>585</v>
      </c>
      <c r="G39" s="197">
        <v>2698</v>
      </c>
      <c r="H39" s="285" t="s">
        <v>585</v>
      </c>
      <c r="I39" s="285" t="s">
        <v>585</v>
      </c>
      <c r="J39" s="285">
        <v>0.50081861010770012</v>
      </c>
      <c r="K39" s="285" t="s">
        <v>585</v>
      </c>
      <c r="L39" s="285" t="s">
        <v>585</v>
      </c>
    </row>
    <row r="40" spans="2:12" ht="17.25" customHeight="1" thickBot="1" x14ac:dyDescent="0.25">
      <c r="B40" s="648"/>
      <c r="C40" s="460" t="s">
        <v>17</v>
      </c>
      <c r="D40" s="282" t="s">
        <v>262</v>
      </c>
      <c r="E40" s="483" t="s">
        <v>585</v>
      </c>
      <c r="F40" s="483" t="s">
        <v>585</v>
      </c>
      <c r="G40" s="466">
        <v>33672</v>
      </c>
      <c r="H40" s="467" t="s">
        <v>585</v>
      </c>
      <c r="I40" s="467" t="s">
        <v>585</v>
      </c>
      <c r="J40" s="467">
        <v>6.2503944549838693</v>
      </c>
      <c r="K40" s="467" t="s">
        <v>585</v>
      </c>
      <c r="L40" s="467" t="s">
        <v>585</v>
      </c>
    </row>
    <row r="41" spans="2:12" ht="17.25" customHeight="1" x14ac:dyDescent="0.2">
      <c r="B41" s="579" t="s">
        <v>516</v>
      </c>
      <c r="C41" s="297" t="s">
        <v>420</v>
      </c>
      <c r="D41" s="646" t="s">
        <v>267</v>
      </c>
      <c r="E41" s="468">
        <v>50388</v>
      </c>
      <c r="F41" s="468">
        <v>71076</v>
      </c>
      <c r="G41" s="468">
        <v>88468</v>
      </c>
      <c r="H41" s="469">
        <v>13.734902319952244</v>
      </c>
      <c r="I41" s="469">
        <v>20.768489027846769</v>
      </c>
      <c r="J41" s="469">
        <v>16.421949888438849</v>
      </c>
      <c r="K41" s="469">
        <v>41.057394617766136</v>
      </c>
      <c r="L41" s="469">
        <v>24.469581856041419</v>
      </c>
    </row>
    <row r="42" spans="2:12" ht="17.25" customHeight="1" x14ac:dyDescent="0.2">
      <c r="B42" s="645"/>
      <c r="C42" s="298" t="s">
        <v>424</v>
      </c>
      <c r="D42" s="647"/>
      <c r="E42" s="470">
        <v>148</v>
      </c>
      <c r="F42" s="478" t="s">
        <v>585</v>
      </c>
      <c r="G42" s="478" t="s">
        <v>585</v>
      </c>
      <c r="H42" s="471">
        <v>4.0342254968503057E-2</v>
      </c>
      <c r="I42" s="471" t="s">
        <v>585</v>
      </c>
      <c r="J42" s="471" t="s">
        <v>585</v>
      </c>
      <c r="K42" s="471">
        <v>-100</v>
      </c>
      <c r="L42" s="471" t="s">
        <v>585</v>
      </c>
    </row>
    <row r="43" spans="2:12" ht="17.25" customHeight="1" x14ac:dyDescent="0.2">
      <c r="B43" s="645"/>
      <c r="C43" s="298" t="s">
        <v>427</v>
      </c>
      <c r="D43" s="647"/>
      <c r="E43" s="470">
        <v>424</v>
      </c>
      <c r="F43" s="470">
        <v>367</v>
      </c>
      <c r="G43" s="470">
        <v>1737</v>
      </c>
      <c r="H43" s="471">
        <v>0.11557510882868444</v>
      </c>
      <c r="I43" s="471">
        <v>0.10723782251702071</v>
      </c>
      <c r="J43" s="471">
        <v>0.32243214446148077</v>
      </c>
      <c r="K43" s="471">
        <v>-13.443396226415095</v>
      </c>
      <c r="L43" s="471">
        <v>373.29700272479562</v>
      </c>
    </row>
    <row r="44" spans="2:12" ht="17.25" customHeight="1" x14ac:dyDescent="0.2">
      <c r="B44" s="645"/>
      <c r="C44" s="298" t="s">
        <v>426</v>
      </c>
      <c r="D44" s="647"/>
      <c r="E44" s="470">
        <v>44049</v>
      </c>
      <c r="F44" s="470">
        <v>34243</v>
      </c>
      <c r="G44" s="470">
        <v>89856</v>
      </c>
      <c r="H44" s="471">
        <v>12.006999926402642</v>
      </c>
      <c r="I44" s="471">
        <v>10.005844023025452</v>
      </c>
      <c r="J44" s="471">
        <v>16.679598602608415</v>
      </c>
      <c r="K44" s="471">
        <v>-22.261572339894208</v>
      </c>
      <c r="L44" s="471">
        <v>162.40691528195543</v>
      </c>
    </row>
    <row r="45" spans="2:12" ht="17.25" customHeight="1" x14ac:dyDescent="0.2">
      <c r="B45" s="645"/>
      <c r="C45" s="298" t="s">
        <v>421</v>
      </c>
      <c r="D45" s="647"/>
      <c r="E45" s="470">
        <v>1112</v>
      </c>
      <c r="F45" s="470">
        <v>1399</v>
      </c>
      <c r="G45" s="470">
        <v>1642</v>
      </c>
      <c r="H45" s="471">
        <v>0.30311207787145539</v>
      </c>
      <c r="I45" s="471">
        <v>0.40878941063027791</v>
      </c>
      <c r="J45" s="471">
        <v>0.30479768635909699</v>
      </c>
      <c r="K45" s="471">
        <v>25.809352517985612</v>
      </c>
      <c r="L45" s="471">
        <v>17.369549678341674</v>
      </c>
    </row>
    <row r="46" spans="2:12" ht="17.25" customHeight="1" x14ac:dyDescent="0.2">
      <c r="B46" s="645"/>
      <c r="C46" s="298" t="s">
        <v>611</v>
      </c>
      <c r="D46" s="647"/>
      <c r="E46" s="470">
        <v>62192</v>
      </c>
      <c r="F46" s="470">
        <v>70990</v>
      </c>
      <c r="G46" s="470">
        <v>32824</v>
      </c>
      <c r="H46" s="471">
        <v>16.952469736494205</v>
      </c>
      <c r="I46" s="471">
        <v>20.74335972883733</v>
      </c>
      <c r="J46" s="471">
        <v>6.0929837131857481</v>
      </c>
      <c r="K46" s="471">
        <v>14.14651402109596</v>
      </c>
      <c r="L46" s="471">
        <v>-53.762501760811382</v>
      </c>
    </row>
    <row r="47" spans="2:12" ht="17.25" customHeight="1" thickBot="1" x14ac:dyDescent="0.25">
      <c r="B47" s="580"/>
      <c r="C47" s="454" t="s">
        <v>17</v>
      </c>
      <c r="D47" s="455" t="s">
        <v>262</v>
      </c>
      <c r="E47" s="472">
        <v>158313</v>
      </c>
      <c r="F47" s="472">
        <v>178075</v>
      </c>
      <c r="G47" s="472">
        <v>214527</v>
      </c>
      <c r="H47" s="473">
        <v>43.153401424517732</v>
      </c>
      <c r="I47" s="473">
        <v>52.033720012856854</v>
      </c>
      <c r="J47" s="473">
        <v>39.821762035053588</v>
      </c>
      <c r="K47" s="473">
        <v>12.48286622071466</v>
      </c>
      <c r="L47" s="473">
        <v>20.470026674154148</v>
      </c>
    </row>
    <row r="48" spans="2:12" ht="17.25" customHeight="1" x14ac:dyDescent="0.2">
      <c r="B48" s="648" t="s">
        <v>519</v>
      </c>
      <c r="C48" s="299" t="s">
        <v>432</v>
      </c>
      <c r="D48" s="649" t="s">
        <v>267</v>
      </c>
      <c r="E48" s="197">
        <v>469</v>
      </c>
      <c r="F48" s="197">
        <v>338</v>
      </c>
      <c r="G48" s="197">
        <v>61</v>
      </c>
      <c r="H48" s="285">
        <v>0.1278413350015401</v>
      </c>
      <c r="I48" s="285">
        <v>9.8763989130117177E-2</v>
      </c>
      <c r="J48" s="285">
        <v>1.1323178360478024E-2</v>
      </c>
      <c r="K48" s="285">
        <v>-27.931769722814497</v>
      </c>
      <c r="L48" s="285">
        <v>-81.952662721893489</v>
      </c>
    </row>
    <row r="49" spans="2:12" ht="17.25" customHeight="1" x14ac:dyDescent="0.2">
      <c r="B49" s="648"/>
      <c r="C49" s="299" t="s">
        <v>431</v>
      </c>
      <c r="D49" s="649"/>
      <c r="E49" s="197">
        <v>643</v>
      </c>
      <c r="F49" s="197">
        <v>842</v>
      </c>
      <c r="G49" s="197">
        <v>1062</v>
      </c>
      <c r="H49" s="285">
        <v>0.17527074286991531</v>
      </c>
      <c r="I49" s="285">
        <v>0.24603336937147532</v>
      </c>
      <c r="J49" s="285">
        <v>0.19713467899717477</v>
      </c>
      <c r="K49" s="285">
        <v>30.948678071539657</v>
      </c>
      <c r="L49" s="285">
        <v>26.128266033254157</v>
      </c>
    </row>
    <row r="50" spans="2:12" ht="17.25" customHeight="1" thickBot="1" x14ac:dyDescent="0.25">
      <c r="B50" s="648"/>
      <c r="C50" s="460" t="s">
        <v>17</v>
      </c>
      <c r="D50" s="282" t="s">
        <v>262</v>
      </c>
      <c r="E50" s="466">
        <v>1112</v>
      </c>
      <c r="F50" s="466">
        <v>1180</v>
      </c>
      <c r="G50" s="466">
        <v>1123</v>
      </c>
      <c r="H50" s="467">
        <v>0.30311207787145539</v>
      </c>
      <c r="I50" s="467">
        <v>0.34479735850159249</v>
      </c>
      <c r="J50" s="467">
        <v>0.20845785735765279</v>
      </c>
      <c r="K50" s="467">
        <v>6.1151079136690649</v>
      </c>
      <c r="L50" s="467">
        <v>-4.8305084745762707</v>
      </c>
    </row>
    <row r="51" spans="2:12" ht="12.75" customHeight="1" thickBot="1" x14ac:dyDescent="0.25">
      <c r="B51" s="111" t="s">
        <v>521</v>
      </c>
      <c r="C51" s="281" t="s">
        <v>433</v>
      </c>
      <c r="D51" s="456" t="s">
        <v>267</v>
      </c>
      <c r="E51" s="474" t="s">
        <v>585</v>
      </c>
      <c r="F51" s="475">
        <v>1309</v>
      </c>
      <c r="G51" s="475">
        <v>5339</v>
      </c>
      <c r="H51" s="476" t="s">
        <v>585</v>
      </c>
      <c r="I51" s="476">
        <v>0.38249130701574963</v>
      </c>
      <c r="J51" s="476">
        <v>0.99105654535397003</v>
      </c>
      <c r="K51" s="476" t="s">
        <v>585</v>
      </c>
      <c r="L51" s="476">
        <v>307.86860198624902</v>
      </c>
    </row>
    <row r="52" spans="2:12" ht="12.75" customHeight="1" x14ac:dyDescent="0.2">
      <c r="B52" s="648" t="s">
        <v>522</v>
      </c>
      <c r="C52" s="299" t="s">
        <v>664</v>
      </c>
      <c r="D52" s="649" t="s">
        <v>267</v>
      </c>
      <c r="E52" s="197">
        <v>23254</v>
      </c>
      <c r="F52" s="197">
        <v>19696</v>
      </c>
      <c r="G52" s="197">
        <v>20197</v>
      </c>
      <c r="H52" s="285">
        <v>6.3386405205241223</v>
      </c>
      <c r="I52" s="285">
        <v>5.7551938754638696</v>
      </c>
      <c r="J52" s="285">
        <v>3.7490857925667975</v>
      </c>
      <c r="K52" s="285">
        <v>-15.300593446288811</v>
      </c>
      <c r="L52" s="285">
        <v>2.5436636880584889</v>
      </c>
    </row>
    <row r="53" spans="2:12" ht="12.75" customHeight="1" x14ac:dyDescent="0.2">
      <c r="B53" s="648"/>
      <c r="C53" s="299" t="s">
        <v>362</v>
      </c>
      <c r="D53" s="649"/>
      <c r="E53" s="465" t="s">
        <v>585</v>
      </c>
      <c r="F53" s="197">
        <v>95</v>
      </c>
      <c r="G53" s="197">
        <v>157</v>
      </c>
      <c r="H53" s="285" t="s">
        <v>585</v>
      </c>
      <c r="I53" s="285">
        <v>2.7759109370890923E-2</v>
      </c>
      <c r="J53" s="285">
        <v>2.9143262337623765E-2</v>
      </c>
      <c r="K53" s="285" t="s">
        <v>585</v>
      </c>
      <c r="L53" s="285">
        <v>65.263157894736835</v>
      </c>
    </row>
    <row r="54" spans="2:12" ht="12.75" customHeight="1" x14ac:dyDescent="0.2">
      <c r="B54" s="648"/>
      <c r="C54" s="299" t="s">
        <v>434</v>
      </c>
      <c r="D54" s="649"/>
      <c r="E54" s="197">
        <v>690</v>
      </c>
      <c r="F54" s="197">
        <v>657</v>
      </c>
      <c r="G54" s="197">
        <v>712</v>
      </c>
      <c r="H54" s="285">
        <v>0.18808213465045345</v>
      </c>
      <c r="I54" s="285">
        <v>0.19197615638605617</v>
      </c>
      <c r="J54" s="285">
        <v>0.1321656228304976</v>
      </c>
      <c r="K54" s="285">
        <v>-4.7826086956521738</v>
      </c>
      <c r="L54" s="285">
        <v>8.3713850837138502</v>
      </c>
    </row>
    <row r="55" spans="2:12" ht="12.75" customHeight="1" thickBot="1" x14ac:dyDescent="0.25">
      <c r="B55" s="648"/>
      <c r="C55" s="460" t="s">
        <v>17</v>
      </c>
      <c r="D55" s="282" t="s">
        <v>262</v>
      </c>
      <c r="E55" s="466">
        <v>23944</v>
      </c>
      <c r="F55" s="466">
        <v>20448</v>
      </c>
      <c r="G55" s="466">
        <v>21066</v>
      </c>
      <c r="H55" s="467">
        <v>6.5267226551745754</v>
      </c>
      <c r="I55" s="467">
        <v>5.9749291412208168</v>
      </c>
      <c r="J55" s="467">
        <v>3.910394677734919</v>
      </c>
      <c r="K55" s="467">
        <v>-14.600735048446374</v>
      </c>
      <c r="L55" s="467">
        <v>3.022300469483568</v>
      </c>
    </row>
    <row r="56" spans="2:12" ht="12.75" customHeight="1" thickBot="1" x14ac:dyDescent="0.25">
      <c r="B56" s="111" t="s">
        <v>523</v>
      </c>
      <c r="C56" s="281" t="s">
        <v>666</v>
      </c>
      <c r="D56" s="456" t="s">
        <v>267</v>
      </c>
      <c r="E56" s="475">
        <v>198</v>
      </c>
      <c r="F56" s="474" t="s">
        <v>585</v>
      </c>
      <c r="G56" s="484" t="s">
        <v>585</v>
      </c>
      <c r="H56" s="295">
        <v>5.39713951605649E-2</v>
      </c>
      <c r="I56" s="295" t="s">
        <v>585</v>
      </c>
      <c r="J56" s="295" t="s">
        <v>585</v>
      </c>
      <c r="K56" s="295">
        <v>-100</v>
      </c>
      <c r="L56" s="295" t="s">
        <v>585</v>
      </c>
    </row>
    <row r="57" spans="2:12" ht="12.75" customHeight="1" thickBot="1" x14ac:dyDescent="0.25">
      <c r="B57" s="111" t="s">
        <v>527</v>
      </c>
      <c r="C57" s="281" t="s">
        <v>670</v>
      </c>
      <c r="D57" s="456" t="s">
        <v>267</v>
      </c>
      <c r="E57" s="475">
        <v>21851</v>
      </c>
      <c r="F57" s="475">
        <v>946</v>
      </c>
      <c r="G57" s="475">
        <v>10797</v>
      </c>
      <c r="H57" s="476">
        <v>5.956206846734867</v>
      </c>
      <c r="I57" s="476">
        <v>0.27642228910381905</v>
      </c>
      <c r="J57" s="476">
        <v>2.0042025698046104</v>
      </c>
      <c r="K57" s="476">
        <v>-95.670678687474251</v>
      </c>
      <c r="L57" s="476">
        <v>1041.3319238900635</v>
      </c>
    </row>
    <row r="58" spans="2:12" ht="12.75" customHeight="1" thickBot="1" x14ac:dyDescent="0.25">
      <c r="B58" s="111" t="s">
        <v>528</v>
      </c>
      <c r="C58" s="281" t="s">
        <v>671</v>
      </c>
      <c r="D58" s="456" t="s">
        <v>267</v>
      </c>
      <c r="E58" s="475">
        <v>5936</v>
      </c>
      <c r="F58" s="475">
        <v>5476</v>
      </c>
      <c r="G58" s="475">
        <v>4585</v>
      </c>
      <c r="H58" s="476">
        <v>1.618051523601582</v>
      </c>
      <c r="I58" s="476">
        <v>1.6000935043684072</v>
      </c>
      <c r="J58" s="476">
        <v>0.85109463578347111</v>
      </c>
      <c r="K58" s="476">
        <v>-7.7493261455525611</v>
      </c>
      <c r="L58" s="476">
        <v>-16.271000730460191</v>
      </c>
    </row>
    <row r="59" spans="2:12" ht="12.75" customHeight="1" x14ac:dyDescent="0.2">
      <c r="B59" s="648" t="s">
        <v>531</v>
      </c>
      <c r="C59" s="460" t="s">
        <v>444</v>
      </c>
      <c r="D59" s="282" t="s">
        <v>267</v>
      </c>
      <c r="E59" s="483" t="s">
        <v>585</v>
      </c>
      <c r="F59" s="483" t="s">
        <v>585</v>
      </c>
      <c r="G59" s="466">
        <v>2957</v>
      </c>
      <c r="H59" s="467" t="s">
        <v>585</v>
      </c>
      <c r="I59" s="467" t="s">
        <v>585</v>
      </c>
      <c r="J59" s="467">
        <v>0.54889571167104123</v>
      </c>
      <c r="K59" s="467" t="s">
        <v>585</v>
      </c>
      <c r="L59" s="467" t="s">
        <v>585</v>
      </c>
    </row>
    <row r="60" spans="2:12" ht="12.75" customHeight="1" thickBot="1" x14ac:dyDescent="0.25">
      <c r="B60" s="648"/>
      <c r="C60" s="460" t="s">
        <v>17</v>
      </c>
      <c r="D60" s="282" t="s">
        <v>262</v>
      </c>
      <c r="E60" s="483" t="s">
        <v>585</v>
      </c>
      <c r="F60" s="483" t="s">
        <v>585</v>
      </c>
      <c r="G60" s="466">
        <v>2957</v>
      </c>
      <c r="H60" s="467" t="s">
        <v>585</v>
      </c>
      <c r="I60" s="467" t="s">
        <v>585</v>
      </c>
      <c r="J60" s="467">
        <v>0.54889571167104123</v>
      </c>
      <c r="K60" s="467" t="s">
        <v>585</v>
      </c>
      <c r="L60" s="467" t="s">
        <v>585</v>
      </c>
    </row>
    <row r="61" spans="2:12" ht="12.75" customHeight="1" x14ac:dyDescent="0.2">
      <c r="B61" s="579" t="s">
        <v>532</v>
      </c>
      <c r="C61" s="297" t="s">
        <v>536</v>
      </c>
      <c r="D61" s="646" t="s">
        <v>267</v>
      </c>
      <c r="E61" s="477" t="s">
        <v>585</v>
      </c>
      <c r="F61" s="477" t="s">
        <v>585</v>
      </c>
      <c r="G61" s="468">
        <v>2078</v>
      </c>
      <c r="H61" s="469" t="s">
        <v>585</v>
      </c>
      <c r="I61" s="469" t="s">
        <v>585</v>
      </c>
      <c r="J61" s="469">
        <v>0.38573056775530057</v>
      </c>
      <c r="K61" s="469" t="s">
        <v>585</v>
      </c>
      <c r="L61" s="469" t="s">
        <v>585</v>
      </c>
    </row>
    <row r="62" spans="2:12" ht="12.75" customHeight="1" x14ac:dyDescent="0.2">
      <c r="B62" s="645"/>
      <c r="C62" s="298" t="s">
        <v>612</v>
      </c>
      <c r="D62" s="647"/>
      <c r="E62" s="478" t="s">
        <v>585</v>
      </c>
      <c r="F62" s="478" t="s">
        <v>585</v>
      </c>
      <c r="G62" s="470">
        <v>2178</v>
      </c>
      <c r="H62" s="471" t="s">
        <v>585</v>
      </c>
      <c r="I62" s="471" t="s">
        <v>585</v>
      </c>
      <c r="J62" s="471">
        <v>0.40429315523149401</v>
      </c>
      <c r="K62" s="471" t="s">
        <v>585</v>
      </c>
      <c r="L62" s="471" t="s">
        <v>585</v>
      </c>
    </row>
    <row r="63" spans="2:12" ht="12.75" customHeight="1" x14ac:dyDescent="0.2">
      <c r="B63" s="645"/>
      <c r="C63" s="298" t="s">
        <v>676</v>
      </c>
      <c r="D63" s="647"/>
      <c r="E63" s="478" t="s">
        <v>585</v>
      </c>
      <c r="F63" s="478" t="s">
        <v>585</v>
      </c>
      <c r="G63" s="470">
        <v>1714</v>
      </c>
      <c r="H63" s="471" t="s">
        <v>585</v>
      </c>
      <c r="I63" s="471" t="s">
        <v>585</v>
      </c>
      <c r="J63" s="471">
        <v>0.31816274934195626</v>
      </c>
      <c r="K63" s="471" t="s">
        <v>585</v>
      </c>
      <c r="L63" s="471" t="s">
        <v>585</v>
      </c>
    </row>
    <row r="64" spans="2:12" ht="12.75" customHeight="1" thickBot="1" x14ac:dyDescent="0.25">
      <c r="B64" s="580"/>
      <c r="C64" s="454" t="s">
        <v>17</v>
      </c>
      <c r="D64" s="283" t="s">
        <v>262</v>
      </c>
      <c r="E64" s="482" t="s">
        <v>585</v>
      </c>
      <c r="F64" s="482" t="s">
        <v>585</v>
      </c>
      <c r="G64" s="472">
        <v>5970</v>
      </c>
      <c r="H64" s="473" t="s">
        <v>585</v>
      </c>
      <c r="I64" s="473" t="s">
        <v>585</v>
      </c>
      <c r="J64" s="473">
        <v>1.1081864723287509</v>
      </c>
      <c r="K64" s="473" t="s">
        <v>585</v>
      </c>
      <c r="L64" s="473" t="s">
        <v>585</v>
      </c>
    </row>
    <row r="65" spans="2:12" ht="12.75" customHeight="1" thickBot="1" x14ac:dyDescent="0.25">
      <c r="B65" s="281" t="s">
        <v>17</v>
      </c>
      <c r="C65" s="281" t="s">
        <v>262</v>
      </c>
      <c r="D65" s="111"/>
      <c r="E65" s="475">
        <v>366861</v>
      </c>
      <c r="F65" s="475">
        <v>342230</v>
      </c>
      <c r="G65" s="475">
        <v>538718</v>
      </c>
      <c r="H65" s="476">
        <v>100</v>
      </c>
      <c r="I65" s="476">
        <v>100</v>
      </c>
      <c r="J65" s="476">
        <v>100</v>
      </c>
      <c r="K65" s="476">
        <v>-6.713987041413505</v>
      </c>
      <c r="L65" s="476">
        <v>57.414019811238056</v>
      </c>
    </row>
    <row r="66" spans="2:12" ht="12.75" customHeight="1" x14ac:dyDescent="0.2"/>
    <row r="67" spans="2:12" ht="12.75" customHeight="1" x14ac:dyDescent="0.2"/>
    <row r="68" spans="2:12" ht="12.75" customHeight="1" x14ac:dyDescent="0.2"/>
    <row r="69" spans="2:12" ht="12.75" customHeight="1" x14ac:dyDescent="0.2"/>
    <row r="70" spans="2:12" ht="12.75" customHeight="1" x14ac:dyDescent="0.2"/>
    <row r="71" spans="2:12" ht="12.75" customHeight="1" x14ac:dyDescent="0.2"/>
    <row r="72" spans="2:12" ht="12.75" customHeight="1" x14ac:dyDescent="0.2"/>
    <row r="73" spans="2:12" ht="12.75" customHeight="1" x14ac:dyDescent="0.2"/>
    <row r="74" spans="2:12" ht="12.75" customHeight="1" x14ac:dyDescent="0.2"/>
  </sheetData>
  <mergeCells count="31">
    <mergeCell ref="B41:B47"/>
    <mergeCell ref="D41:D46"/>
    <mergeCell ref="B13:B16"/>
    <mergeCell ref="D13:D15"/>
    <mergeCell ref="B28:B30"/>
    <mergeCell ref="D28:D29"/>
    <mergeCell ref="B36:B40"/>
    <mergeCell ref="D36:D39"/>
    <mergeCell ref="B19:B21"/>
    <mergeCell ref="D19:D20"/>
    <mergeCell ref="B23:B27"/>
    <mergeCell ref="D23:D26"/>
    <mergeCell ref="B31:B33"/>
    <mergeCell ref="D31:D32"/>
    <mergeCell ref="B5:B8"/>
    <mergeCell ref="B9:B12"/>
    <mergeCell ref="B1:L1"/>
    <mergeCell ref="E3:G3"/>
    <mergeCell ref="H3:J3"/>
    <mergeCell ref="K3:L3"/>
    <mergeCell ref="D3:D4"/>
    <mergeCell ref="C3:C4"/>
    <mergeCell ref="D5:D7"/>
    <mergeCell ref="D9:D11"/>
    <mergeCell ref="B61:B64"/>
    <mergeCell ref="D61:D63"/>
    <mergeCell ref="B48:B50"/>
    <mergeCell ref="D48:D49"/>
    <mergeCell ref="B52:B55"/>
    <mergeCell ref="D52:D54"/>
    <mergeCell ref="B59:B60"/>
  </mergeCells>
  <printOptions horizontalCentered="1"/>
  <pageMargins left="0.19685039370078741" right="0.19685039370078741" top="0.15748031496062992" bottom="0.15748031496062992" header="0.15748031496062992" footer="0.15748031496062992"/>
  <pageSetup scale="74"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G17"/>
  <sheetViews>
    <sheetView view="pageBreakPreview" zoomScale="90" zoomScaleNormal="100" zoomScaleSheetLayoutView="90" workbookViewId="0">
      <selection activeCell="A4" sqref="A4"/>
    </sheetView>
  </sheetViews>
  <sheetFormatPr defaultColWidth="9.140625" defaultRowHeight="12" x14ac:dyDescent="0.2"/>
  <cols>
    <col min="1" max="1" width="9.140625" style="120"/>
    <col min="2" max="2" width="13.7109375" style="78" customWidth="1"/>
    <col min="3" max="5" width="13.7109375" style="120" customWidth="1"/>
    <col min="6" max="7" width="15.7109375" style="120" customWidth="1"/>
    <col min="8" max="16384" width="9.140625" style="120"/>
  </cols>
  <sheetData>
    <row r="1" spans="2:7" ht="18" customHeight="1" x14ac:dyDescent="0.2">
      <c r="B1" s="650" t="s">
        <v>718</v>
      </c>
      <c r="C1" s="651"/>
      <c r="D1" s="651"/>
      <c r="E1" s="651"/>
      <c r="F1" s="651"/>
      <c r="G1" s="651"/>
    </row>
    <row r="2" spans="2:7" ht="18" customHeight="1" thickBot="1" x14ac:dyDescent="0.25">
      <c r="B2" s="126"/>
    </row>
    <row r="3" spans="2:7" ht="18" customHeight="1" thickBot="1" x14ac:dyDescent="0.25">
      <c r="B3" s="118" t="s">
        <v>262</v>
      </c>
      <c r="C3" s="595" t="s">
        <v>1</v>
      </c>
      <c r="D3" s="595"/>
      <c r="E3" s="595"/>
      <c r="F3" s="595" t="s">
        <v>264</v>
      </c>
      <c r="G3" s="595"/>
    </row>
    <row r="4" spans="2:7" ht="18" customHeight="1" thickBot="1" x14ac:dyDescent="0.25">
      <c r="B4" s="119" t="s">
        <v>263</v>
      </c>
      <c r="C4" s="111">
        <v>2017</v>
      </c>
      <c r="D4" s="111">
        <v>2018</v>
      </c>
      <c r="E4" s="111">
        <v>2019</v>
      </c>
      <c r="F4" s="122" t="s">
        <v>591</v>
      </c>
      <c r="G4" s="122" t="s">
        <v>629</v>
      </c>
    </row>
    <row r="5" spans="2:7" ht="18" customHeight="1" x14ac:dyDescent="0.2">
      <c r="B5" s="121" t="s">
        <v>5</v>
      </c>
      <c r="C5" s="65">
        <v>1197760</v>
      </c>
      <c r="D5" s="65">
        <v>1613669</v>
      </c>
      <c r="E5" s="65">
        <v>1822228</v>
      </c>
      <c r="F5" s="66">
        <v>34.723901282393804</v>
      </c>
      <c r="G5" s="66">
        <v>12.924521695589368</v>
      </c>
    </row>
    <row r="6" spans="2:7" ht="18" customHeight="1" x14ac:dyDescent="0.2">
      <c r="B6" s="121" t="s">
        <v>6</v>
      </c>
      <c r="C6" s="65">
        <v>1124035</v>
      </c>
      <c r="D6" s="65">
        <v>1452116</v>
      </c>
      <c r="E6" s="65">
        <v>1589870</v>
      </c>
      <c r="F6" s="66">
        <v>29.187792195082892</v>
      </c>
      <c r="G6" s="66">
        <v>9.4864322134044397</v>
      </c>
    </row>
    <row r="7" spans="2:7" ht="18" customHeight="1" x14ac:dyDescent="0.2">
      <c r="B7" s="121" t="s">
        <v>7</v>
      </c>
      <c r="C7" s="65">
        <v>1490852</v>
      </c>
      <c r="D7" s="65">
        <v>1874500</v>
      </c>
      <c r="E7" s="65">
        <v>2098867</v>
      </c>
      <c r="F7" s="66">
        <v>25.733473208608231</v>
      </c>
      <c r="G7" s="66">
        <v>11.969431848492931</v>
      </c>
    </row>
    <row r="8" spans="2:7" ht="18" customHeight="1" x14ac:dyDescent="0.2">
      <c r="B8" s="121" t="s">
        <v>8</v>
      </c>
      <c r="C8" s="65">
        <v>1900960</v>
      </c>
      <c r="D8" s="65">
        <v>2447166</v>
      </c>
      <c r="E8" s="65">
        <v>2861838</v>
      </c>
      <c r="F8" s="66">
        <v>28.733166400134667</v>
      </c>
      <c r="G8" s="66">
        <v>16.944988611316109</v>
      </c>
    </row>
    <row r="9" spans="2:7" ht="18" customHeight="1" x14ac:dyDescent="0.2">
      <c r="B9" s="121" t="s">
        <v>9</v>
      </c>
      <c r="C9" s="65">
        <v>2682348</v>
      </c>
      <c r="D9" s="65">
        <v>3459455</v>
      </c>
      <c r="E9" s="65">
        <v>3906044</v>
      </c>
      <c r="F9" s="66">
        <v>28.971147666149211</v>
      </c>
      <c r="G9" s="66">
        <v>12.909229922054196</v>
      </c>
    </row>
    <row r="10" spans="2:7" ht="18" customHeight="1" x14ac:dyDescent="0.2">
      <c r="B10" s="121" t="s">
        <v>10</v>
      </c>
      <c r="C10" s="65">
        <v>3201603</v>
      </c>
      <c r="D10" s="65">
        <v>4097232</v>
      </c>
      <c r="E10" s="65">
        <v>4834292</v>
      </c>
      <c r="F10" s="66">
        <v>27.974392827592929</v>
      </c>
      <c r="G10" s="66">
        <v>17.989218086747346</v>
      </c>
    </row>
    <row r="11" spans="2:7" ht="18" customHeight="1" x14ac:dyDescent="0.2">
      <c r="B11" s="121" t="s">
        <v>11</v>
      </c>
      <c r="C11" s="65">
        <v>4198484</v>
      </c>
      <c r="D11" s="65">
        <v>4869065</v>
      </c>
      <c r="E11" s="65">
        <v>5780093</v>
      </c>
      <c r="F11" s="66">
        <v>15.971979409710743</v>
      </c>
      <c r="G11" s="66">
        <v>18.710532720347747</v>
      </c>
    </row>
    <row r="12" spans="2:7" ht="18" customHeight="1" x14ac:dyDescent="0.2">
      <c r="B12" s="121" t="s">
        <v>12</v>
      </c>
      <c r="C12" s="65">
        <v>5323576</v>
      </c>
      <c r="D12" s="65">
        <v>6088081</v>
      </c>
      <c r="E12" s="65">
        <v>7113424</v>
      </c>
      <c r="F12" s="66">
        <v>14.360741726989527</v>
      </c>
      <c r="G12" s="66">
        <v>16.84180943059069</v>
      </c>
    </row>
    <row r="13" spans="2:7" ht="18" customHeight="1" x14ac:dyDescent="0.2">
      <c r="B13" s="121" t="s">
        <v>13</v>
      </c>
      <c r="C13" s="65">
        <v>4353586</v>
      </c>
      <c r="D13" s="65">
        <v>5064765</v>
      </c>
      <c r="E13" s="65">
        <v>5726755</v>
      </c>
      <c r="F13" s="66">
        <v>16.335476087988155</v>
      </c>
      <c r="G13" s="66">
        <v>13.070497841459574</v>
      </c>
    </row>
    <row r="14" spans="2:7" ht="18" customHeight="1" x14ac:dyDescent="0.2">
      <c r="B14" s="121" t="s">
        <v>14</v>
      </c>
      <c r="C14" s="65">
        <v>3434713</v>
      </c>
      <c r="D14" s="65">
        <v>4310815</v>
      </c>
      <c r="E14" s="65">
        <v>4901169</v>
      </c>
      <c r="F14" s="66">
        <v>25.50728401470516</v>
      </c>
      <c r="G14" s="66">
        <v>13.694718980053656</v>
      </c>
    </row>
    <row r="15" spans="2:7" ht="18" customHeight="1" x14ac:dyDescent="0.2">
      <c r="B15" s="121" t="s">
        <v>15</v>
      </c>
      <c r="C15" s="65">
        <v>1852615</v>
      </c>
      <c r="D15" s="65">
        <v>2253156</v>
      </c>
      <c r="E15" s="65">
        <v>2519944</v>
      </c>
      <c r="F15" s="66">
        <v>21.620304272609257</v>
      </c>
      <c r="G15" s="66">
        <v>11.840635979044505</v>
      </c>
    </row>
    <row r="16" spans="2:7" ht="18" customHeight="1" thickBot="1" x14ac:dyDescent="0.25">
      <c r="B16" s="121" t="s">
        <v>16</v>
      </c>
      <c r="C16" s="65">
        <v>1621916</v>
      </c>
      <c r="D16" s="65">
        <v>1774158</v>
      </c>
      <c r="E16" s="65">
        <v>1950592</v>
      </c>
      <c r="F16" s="66">
        <v>9.3865526944675306</v>
      </c>
      <c r="G16" s="66">
        <v>9.9446610730273175</v>
      </c>
    </row>
    <row r="17" spans="2:7" ht="18" customHeight="1" thickBot="1" x14ac:dyDescent="0.25">
      <c r="B17" s="52" t="s">
        <v>17</v>
      </c>
      <c r="C17" s="67">
        <v>32382448</v>
      </c>
      <c r="D17" s="67">
        <v>39304178</v>
      </c>
      <c r="E17" s="67">
        <v>45105116</v>
      </c>
      <c r="F17" s="127">
        <v>21.374943611428019</v>
      </c>
      <c r="G17" s="127">
        <v>14.759087443579153</v>
      </c>
    </row>
  </sheetData>
  <mergeCells count="3">
    <mergeCell ref="B1:G1"/>
    <mergeCell ref="C3:E3"/>
    <mergeCell ref="F3:G3"/>
  </mergeCells>
  <printOptions horizontalCentered="1"/>
  <pageMargins left="0.74803149606299213" right="0.74803149606299213" top="0.98425196850393704" bottom="0.98425196850393704" header="0.51181102362204722" footer="0.51181102362204722"/>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I120"/>
  <sheetViews>
    <sheetView view="pageBreakPreview" zoomScaleNormal="100" zoomScaleSheetLayoutView="100" workbookViewId="0">
      <selection activeCell="A4" sqref="A4"/>
    </sheetView>
  </sheetViews>
  <sheetFormatPr defaultColWidth="9.140625" defaultRowHeight="12" x14ac:dyDescent="0.2"/>
  <cols>
    <col min="1" max="1" width="9.140625" style="120"/>
    <col min="2" max="2" width="30.42578125" style="78" customWidth="1"/>
    <col min="3" max="7" width="13" style="120" customWidth="1"/>
    <col min="8" max="8" width="11.140625" style="120" customWidth="1"/>
    <col min="9" max="16384" width="9.140625" style="120"/>
  </cols>
  <sheetData>
    <row r="1" spans="2:8" ht="30" customHeight="1" x14ac:dyDescent="0.2">
      <c r="B1" s="650" t="s">
        <v>705</v>
      </c>
      <c r="C1" s="651"/>
      <c r="D1" s="651"/>
      <c r="E1" s="651"/>
      <c r="F1" s="651"/>
      <c r="G1" s="651"/>
      <c r="H1" s="651"/>
    </row>
    <row r="2" spans="2:8" ht="12.75" customHeight="1" thickBot="1" x14ac:dyDescent="0.25">
      <c r="B2" s="272"/>
      <c r="C2" s="273"/>
      <c r="D2" s="273"/>
      <c r="E2" s="273"/>
      <c r="F2" s="273"/>
      <c r="G2" s="273"/>
      <c r="H2" s="273"/>
    </row>
    <row r="3" spans="2:8" ht="12.75" customHeight="1" thickBot="1" x14ac:dyDescent="0.25">
      <c r="B3" s="584" t="s">
        <v>265</v>
      </c>
      <c r="C3" s="653" t="s">
        <v>266</v>
      </c>
      <c r="D3" s="653"/>
      <c r="E3" s="653"/>
      <c r="F3" s="653"/>
      <c r="G3" s="654" t="s">
        <v>17</v>
      </c>
      <c r="H3" s="584" t="s">
        <v>271</v>
      </c>
    </row>
    <row r="4" spans="2:8" ht="12.75" customHeight="1" thickBot="1" x14ac:dyDescent="0.25">
      <c r="B4" s="585"/>
      <c r="C4" s="131" t="s">
        <v>295</v>
      </c>
      <c r="D4" s="131" t="s">
        <v>296</v>
      </c>
      <c r="E4" s="131" t="s">
        <v>297</v>
      </c>
      <c r="F4" s="131" t="s">
        <v>298</v>
      </c>
      <c r="G4" s="655"/>
      <c r="H4" s="585"/>
    </row>
    <row r="5" spans="2:8" ht="12.75" customHeight="1" x14ac:dyDescent="0.2">
      <c r="B5" s="271" t="s">
        <v>60</v>
      </c>
      <c r="C5" s="129">
        <v>2120</v>
      </c>
      <c r="D5" s="129">
        <v>288737</v>
      </c>
      <c r="E5" s="129">
        <v>177</v>
      </c>
      <c r="F5" s="129">
        <v>8</v>
      </c>
      <c r="G5" s="130">
        <v>291042</v>
      </c>
      <c r="H5" s="74">
        <v>0.64525274693895029</v>
      </c>
    </row>
    <row r="6" spans="2:8" ht="12.75" customHeight="1" x14ac:dyDescent="0.2">
      <c r="B6" s="271" t="s">
        <v>80</v>
      </c>
      <c r="C6" s="129">
        <v>1127</v>
      </c>
      <c r="D6" s="129">
        <v>218831</v>
      </c>
      <c r="E6" s="129">
        <v>836</v>
      </c>
      <c r="F6" s="129">
        <v>28</v>
      </c>
      <c r="G6" s="130">
        <v>220822</v>
      </c>
      <c r="H6" s="74">
        <v>0.48957195897689298</v>
      </c>
    </row>
    <row r="7" spans="2:8" ht="12.75" customHeight="1" x14ac:dyDescent="0.2">
      <c r="B7" s="271" t="s">
        <v>100</v>
      </c>
      <c r="C7" s="129">
        <v>1968</v>
      </c>
      <c r="D7" s="129">
        <v>71732</v>
      </c>
      <c r="E7" s="129">
        <v>226</v>
      </c>
      <c r="F7" s="129">
        <v>18</v>
      </c>
      <c r="G7" s="130">
        <v>73944</v>
      </c>
      <c r="H7" s="74">
        <v>0.16393705760561617</v>
      </c>
    </row>
    <row r="8" spans="2:8" ht="12.75" customHeight="1" x14ac:dyDescent="0.2">
      <c r="B8" s="271" t="s">
        <v>149</v>
      </c>
      <c r="C8" s="129">
        <v>158</v>
      </c>
      <c r="D8" s="129">
        <v>251434</v>
      </c>
      <c r="E8" s="129">
        <v>204</v>
      </c>
      <c r="F8" s="129">
        <v>22</v>
      </c>
      <c r="G8" s="130">
        <v>251818</v>
      </c>
      <c r="H8" s="74">
        <v>0.55829143638606316</v>
      </c>
    </row>
    <row r="9" spans="2:8" ht="12.75" customHeight="1" x14ac:dyDescent="0.2">
      <c r="B9" s="271" t="s">
        <v>168</v>
      </c>
      <c r="C9" s="129">
        <v>8727</v>
      </c>
      <c r="D9" s="129">
        <v>159891</v>
      </c>
      <c r="E9" s="129">
        <v>390</v>
      </c>
      <c r="F9" s="129">
        <v>11</v>
      </c>
      <c r="G9" s="130">
        <v>169019</v>
      </c>
      <c r="H9" s="74">
        <v>0.37472245942123283</v>
      </c>
    </row>
    <row r="10" spans="2:8" ht="12.75" customHeight="1" x14ac:dyDescent="0.2">
      <c r="B10" s="271" t="s">
        <v>222</v>
      </c>
      <c r="C10" s="129">
        <v>28</v>
      </c>
      <c r="D10" s="129">
        <v>16428</v>
      </c>
      <c r="E10" s="129">
        <v>44</v>
      </c>
      <c r="F10" s="129" t="s">
        <v>585</v>
      </c>
      <c r="G10" s="130">
        <v>16500</v>
      </c>
      <c r="H10" s="74">
        <v>3.6581216197293452E-2</v>
      </c>
    </row>
    <row r="11" spans="2:8" ht="12.75" customHeight="1" x14ac:dyDescent="0.2">
      <c r="B11" s="271" t="s">
        <v>238</v>
      </c>
      <c r="C11" s="129">
        <v>622</v>
      </c>
      <c r="D11" s="129">
        <v>169645</v>
      </c>
      <c r="E11" s="129">
        <v>375</v>
      </c>
      <c r="F11" s="129">
        <v>12</v>
      </c>
      <c r="G11" s="130">
        <v>170654</v>
      </c>
      <c r="H11" s="74">
        <v>0.37834732538987376</v>
      </c>
    </row>
    <row r="12" spans="2:8" ht="12.75" customHeight="1" thickBot="1" x14ac:dyDescent="0.25">
      <c r="B12" s="271" t="s">
        <v>272</v>
      </c>
      <c r="C12" s="129">
        <v>4075</v>
      </c>
      <c r="D12" s="129">
        <v>169210</v>
      </c>
      <c r="E12" s="129">
        <v>353</v>
      </c>
      <c r="F12" s="129">
        <v>13</v>
      </c>
      <c r="G12" s="130">
        <v>173651</v>
      </c>
      <c r="H12" s="74">
        <v>0.38499180447734577</v>
      </c>
    </row>
    <row r="13" spans="2:8" ht="12.75" customHeight="1" thickBot="1" x14ac:dyDescent="0.25">
      <c r="B13" s="80" t="s">
        <v>273</v>
      </c>
      <c r="C13" s="133">
        <v>18825</v>
      </c>
      <c r="D13" s="133">
        <v>1345908</v>
      </c>
      <c r="E13" s="133">
        <v>2605</v>
      </c>
      <c r="F13" s="133">
        <v>112</v>
      </c>
      <c r="G13" s="132">
        <v>1367450</v>
      </c>
      <c r="H13" s="286">
        <v>3.0316960053932687</v>
      </c>
    </row>
    <row r="14" spans="2:8" ht="12.75" customHeight="1" x14ac:dyDescent="0.2">
      <c r="B14" s="271" t="s">
        <v>28</v>
      </c>
      <c r="C14" s="129">
        <v>6504</v>
      </c>
      <c r="D14" s="129">
        <v>57548</v>
      </c>
      <c r="E14" s="129">
        <v>370</v>
      </c>
      <c r="F14" s="129">
        <v>87</v>
      </c>
      <c r="G14" s="130">
        <v>64509</v>
      </c>
      <c r="H14" s="74">
        <v>0.14301925307098201</v>
      </c>
    </row>
    <row r="15" spans="2:8" ht="12.75" customHeight="1" x14ac:dyDescent="0.2">
      <c r="B15" s="271" t="s">
        <v>54</v>
      </c>
      <c r="C15" s="129">
        <v>13049</v>
      </c>
      <c r="D15" s="129">
        <v>86646</v>
      </c>
      <c r="E15" s="129">
        <v>890</v>
      </c>
      <c r="F15" s="129">
        <v>99</v>
      </c>
      <c r="G15" s="130">
        <v>100684</v>
      </c>
      <c r="H15" s="74">
        <v>0.22322079827929053</v>
      </c>
    </row>
    <row r="16" spans="2:8" ht="12.75" customHeight="1" x14ac:dyDescent="0.2">
      <c r="B16" s="271" t="s">
        <v>135</v>
      </c>
      <c r="C16" s="129">
        <v>10179</v>
      </c>
      <c r="D16" s="129">
        <v>60252</v>
      </c>
      <c r="E16" s="129">
        <v>403</v>
      </c>
      <c r="F16" s="129">
        <v>66</v>
      </c>
      <c r="G16" s="130">
        <v>70900</v>
      </c>
      <c r="H16" s="74">
        <v>0.15718837747806702</v>
      </c>
    </row>
    <row r="17" spans="2:8" ht="12.75" customHeight="1" x14ac:dyDescent="0.2">
      <c r="B17" s="271" t="s">
        <v>228</v>
      </c>
      <c r="C17" s="129">
        <v>2031</v>
      </c>
      <c r="D17" s="129">
        <v>16196</v>
      </c>
      <c r="E17" s="129">
        <v>203</v>
      </c>
      <c r="F17" s="129">
        <v>63</v>
      </c>
      <c r="G17" s="130">
        <v>18493</v>
      </c>
      <c r="H17" s="74">
        <v>4.0999783705245318E-2</v>
      </c>
    </row>
    <row r="18" spans="2:8" ht="12.75" customHeight="1" x14ac:dyDescent="0.2">
      <c r="B18" s="271" t="s">
        <v>249</v>
      </c>
      <c r="C18" s="129">
        <v>382</v>
      </c>
      <c r="D18" s="129">
        <v>11170</v>
      </c>
      <c r="E18" s="129">
        <v>105</v>
      </c>
      <c r="F18" s="129">
        <v>9</v>
      </c>
      <c r="G18" s="130">
        <v>11666</v>
      </c>
      <c r="H18" s="74">
        <v>2.5864028373189418E-2</v>
      </c>
    </row>
    <row r="19" spans="2:8" ht="12.75" customHeight="1" thickBot="1" x14ac:dyDescent="0.25">
      <c r="B19" s="271" t="s">
        <v>274</v>
      </c>
      <c r="C19" s="129">
        <v>5045</v>
      </c>
      <c r="D19" s="129">
        <v>25912</v>
      </c>
      <c r="E19" s="129">
        <v>482</v>
      </c>
      <c r="F19" s="129">
        <v>49</v>
      </c>
      <c r="G19" s="130">
        <v>31488</v>
      </c>
      <c r="H19" s="74">
        <v>6.9810262764871289E-2</v>
      </c>
    </row>
    <row r="20" spans="2:8" ht="12.75" customHeight="1" thickBot="1" x14ac:dyDescent="0.25">
      <c r="B20" s="80" t="s">
        <v>275</v>
      </c>
      <c r="C20" s="133">
        <v>37190</v>
      </c>
      <c r="D20" s="133">
        <v>257724</v>
      </c>
      <c r="E20" s="133">
        <v>2453</v>
      </c>
      <c r="F20" s="133">
        <v>373</v>
      </c>
      <c r="G20" s="132">
        <v>297740</v>
      </c>
      <c r="H20" s="286">
        <v>0.66010250367164558</v>
      </c>
    </row>
    <row r="21" spans="2:8" ht="12.75" customHeight="1" thickBot="1" x14ac:dyDescent="0.25">
      <c r="B21" s="80" t="s">
        <v>276</v>
      </c>
      <c r="C21" s="133">
        <v>1044</v>
      </c>
      <c r="D21" s="133">
        <v>24676</v>
      </c>
      <c r="E21" s="133">
        <v>352</v>
      </c>
      <c r="F21" s="133">
        <v>6</v>
      </c>
      <c r="G21" s="132">
        <v>26078</v>
      </c>
      <c r="H21" s="286">
        <v>5.7816057938970829E-2</v>
      </c>
    </row>
    <row r="22" spans="2:8" ht="12.75" customHeight="1" thickBot="1" x14ac:dyDescent="0.25">
      <c r="B22" s="80" t="s">
        <v>277</v>
      </c>
      <c r="C22" s="133">
        <v>3681</v>
      </c>
      <c r="D22" s="133">
        <v>13478</v>
      </c>
      <c r="E22" s="133">
        <v>112</v>
      </c>
      <c r="F22" s="133">
        <v>12</v>
      </c>
      <c r="G22" s="132">
        <v>17283</v>
      </c>
      <c r="H22" s="286">
        <v>3.8317161184110465E-2</v>
      </c>
    </row>
    <row r="23" spans="2:8" ht="12.75" customHeight="1" thickBot="1" x14ac:dyDescent="0.25">
      <c r="B23" s="80" t="s">
        <v>278</v>
      </c>
      <c r="C23" s="133">
        <v>41915</v>
      </c>
      <c r="D23" s="133">
        <v>295878</v>
      </c>
      <c r="E23" s="133">
        <v>2917</v>
      </c>
      <c r="F23" s="133">
        <v>391</v>
      </c>
      <c r="G23" s="132">
        <v>341101</v>
      </c>
      <c r="H23" s="286">
        <v>0.75623572279472684</v>
      </c>
    </row>
    <row r="24" spans="2:8" ht="12.75" customHeight="1" x14ac:dyDescent="0.2">
      <c r="B24" s="271" t="s">
        <v>35</v>
      </c>
      <c r="C24" s="129">
        <v>54</v>
      </c>
      <c r="D24" s="129">
        <v>88228</v>
      </c>
      <c r="E24" s="129">
        <v>1682</v>
      </c>
      <c r="F24" s="284">
        <v>2</v>
      </c>
      <c r="G24" s="130">
        <v>89966</v>
      </c>
      <c r="H24" s="74">
        <v>0.19945852705489106</v>
      </c>
    </row>
    <row r="25" spans="2:8" ht="12.75" customHeight="1" x14ac:dyDescent="0.2">
      <c r="B25" s="271" t="s">
        <v>48</v>
      </c>
      <c r="C25" s="129">
        <v>80</v>
      </c>
      <c r="D25" s="129">
        <v>37397</v>
      </c>
      <c r="E25" s="129">
        <v>157</v>
      </c>
      <c r="F25" s="129">
        <v>7</v>
      </c>
      <c r="G25" s="130">
        <v>37641</v>
      </c>
      <c r="H25" s="74">
        <v>8.3451730841352892E-2</v>
      </c>
    </row>
    <row r="26" spans="2:8" ht="12.75" customHeight="1" x14ac:dyDescent="0.2">
      <c r="B26" s="271" t="s">
        <v>111</v>
      </c>
      <c r="C26" s="129">
        <v>1353</v>
      </c>
      <c r="D26" s="129">
        <v>820010</v>
      </c>
      <c r="E26" s="129">
        <v>548836</v>
      </c>
      <c r="F26" s="129">
        <v>50</v>
      </c>
      <c r="G26" s="130">
        <v>1370249</v>
      </c>
      <c r="H26" s="74">
        <v>3.0379015098863729</v>
      </c>
    </row>
    <row r="27" spans="2:8" ht="12.75" customHeight="1" x14ac:dyDescent="0.2">
      <c r="B27" s="271" t="s">
        <v>117</v>
      </c>
      <c r="C27" s="129">
        <v>16237</v>
      </c>
      <c r="D27" s="129">
        <v>548919</v>
      </c>
      <c r="E27" s="129">
        <v>2973</v>
      </c>
      <c r="F27" s="129">
        <v>22</v>
      </c>
      <c r="G27" s="130">
        <v>568151</v>
      </c>
      <c r="H27" s="74">
        <v>1.2596154281035437</v>
      </c>
    </row>
    <row r="28" spans="2:8" ht="12.75" customHeight="1" x14ac:dyDescent="0.2">
      <c r="B28" s="271" t="s">
        <v>129</v>
      </c>
      <c r="C28" s="129">
        <v>68</v>
      </c>
      <c r="D28" s="129">
        <v>107993</v>
      </c>
      <c r="E28" s="129">
        <v>428</v>
      </c>
      <c r="F28" s="284">
        <v>7</v>
      </c>
      <c r="G28" s="130">
        <v>108496</v>
      </c>
      <c r="H28" s="74">
        <v>0.24054034136615457</v>
      </c>
    </row>
    <row r="29" spans="2:8" ht="12.75" customHeight="1" x14ac:dyDescent="0.2">
      <c r="B29" s="271" t="s">
        <v>140</v>
      </c>
      <c r="C29" s="129">
        <v>489</v>
      </c>
      <c r="D29" s="129">
        <v>367774</v>
      </c>
      <c r="E29" s="129">
        <v>1908</v>
      </c>
      <c r="F29" s="129">
        <v>2</v>
      </c>
      <c r="G29" s="130">
        <v>370173</v>
      </c>
      <c r="H29" s="74">
        <v>0.82068960869095209</v>
      </c>
    </row>
    <row r="30" spans="2:8" ht="12.75" customHeight="1" x14ac:dyDescent="0.2">
      <c r="B30" s="271" t="s">
        <v>141</v>
      </c>
      <c r="C30" s="129">
        <v>11680</v>
      </c>
      <c r="D30" s="129">
        <v>239348</v>
      </c>
      <c r="E30" s="129">
        <v>1643</v>
      </c>
      <c r="F30" s="129">
        <v>2</v>
      </c>
      <c r="G30" s="130">
        <v>252673</v>
      </c>
      <c r="H30" s="74">
        <v>0.56018700849810477</v>
      </c>
    </row>
    <row r="31" spans="2:8" ht="12.75" customHeight="1" x14ac:dyDescent="0.2">
      <c r="B31" s="271" t="s">
        <v>152</v>
      </c>
      <c r="C31" s="129">
        <v>8055</v>
      </c>
      <c r="D31" s="129">
        <v>366011</v>
      </c>
      <c r="E31" s="129">
        <v>2300</v>
      </c>
      <c r="F31" s="129">
        <v>9</v>
      </c>
      <c r="G31" s="130">
        <v>376375</v>
      </c>
      <c r="H31" s="74">
        <v>0.83443971189432253</v>
      </c>
    </row>
    <row r="32" spans="2:8" ht="12.75" customHeight="1" x14ac:dyDescent="0.2">
      <c r="B32" s="271" t="s">
        <v>225</v>
      </c>
      <c r="C32" s="129">
        <v>327</v>
      </c>
      <c r="D32" s="129">
        <v>568747</v>
      </c>
      <c r="E32" s="129">
        <v>10534</v>
      </c>
      <c r="F32" s="129">
        <v>2</v>
      </c>
      <c r="G32" s="130">
        <v>579610</v>
      </c>
      <c r="H32" s="74">
        <v>1.2850205284917127</v>
      </c>
    </row>
    <row r="33" spans="2:9" ht="12.75" customHeight="1" x14ac:dyDescent="0.2">
      <c r="B33" s="271" t="s">
        <v>246</v>
      </c>
      <c r="C33" s="129">
        <v>534</v>
      </c>
      <c r="D33" s="129">
        <v>459650</v>
      </c>
      <c r="E33" s="129">
        <v>7154</v>
      </c>
      <c r="F33" s="129">
        <v>8</v>
      </c>
      <c r="G33" s="130">
        <v>467346</v>
      </c>
      <c r="H33" s="74">
        <v>1.0361263675721397</v>
      </c>
    </row>
    <row r="34" spans="2:9" ht="12.75" customHeight="1" x14ac:dyDescent="0.2">
      <c r="B34" s="271" t="s">
        <v>253</v>
      </c>
      <c r="C34" s="129">
        <v>21</v>
      </c>
      <c r="D34" s="129">
        <v>37863</v>
      </c>
      <c r="E34" s="129">
        <v>104</v>
      </c>
      <c r="F34" s="129">
        <v>1</v>
      </c>
      <c r="G34" s="130">
        <v>37989</v>
      </c>
      <c r="H34" s="74">
        <v>8.4223261946604899E-2</v>
      </c>
    </row>
    <row r="35" spans="2:9" ht="12.75" customHeight="1" thickBot="1" x14ac:dyDescent="0.25">
      <c r="B35" s="271" t="s">
        <v>279</v>
      </c>
      <c r="C35" s="129">
        <v>10199</v>
      </c>
      <c r="D35" s="129">
        <v>381253</v>
      </c>
      <c r="E35" s="129">
        <v>441543</v>
      </c>
      <c r="F35" s="129">
        <v>18</v>
      </c>
      <c r="G35" s="130">
        <v>833013</v>
      </c>
      <c r="H35" s="74">
        <v>1.8468259786761219</v>
      </c>
    </row>
    <row r="36" spans="2:9" ht="12.75" customHeight="1" thickBot="1" x14ac:dyDescent="0.25">
      <c r="B36" s="80" t="s">
        <v>280</v>
      </c>
      <c r="C36" s="133">
        <v>49097</v>
      </c>
      <c r="D36" s="133">
        <v>4023193</v>
      </c>
      <c r="E36" s="133">
        <v>1019262</v>
      </c>
      <c r="F36" s="133">
        <v>130</v>
      </c>
      <c r="G36" s="132">
        <v>5091682</v>
      </c>
      <c r="H36" s="286">
        <v>11.288480003022274</v>
      </c>
      <c r="I36" s="91"/>
    </row>
    <row r="37" spans="2:9" ht="12.75" customHeight="1" x14ac:dyDescent="0.2">
      <c r="B37" s="271" t="s">
        <v>37</v>
      </c>
      <c r="C37" s="129">
        <v>812</v>
      </c>
      <c r="D37" s="129">
        <v>17299</v>
      </c>
      <c r="E37" s="129">
        <v>86</v>
      </c>
      <c r="F37" s="284">
        <v>5</v>
      </c>
      <c r="G37" s="130">
        <v>18202</v>
      </c>
      <c r="H37" s="74">
        <v>4.0354624074129417E-2</v>
      </c>
    </row>
    <row r="38" spans="2:9" ht="12.75" customHeight="1" x14ac:dyDescent="0.2">
      <c r="B38" s="271" t="s">
        <v>64</v>
      </c>
      <c r="C38" s="129">
        <v>17910</v>
      </c>
      <c r="D38" s="129">
        <v>420138</v>
      </c>
      <c r="E38" s="129">
        <v>1695</v>
      </c>
      <c r="F38" s="129">
        <v>95</v>
      </c>
      <c r="G38" s="130">
        <v>439838</v>
      </c>
      <c r="H38" s="74">
        <v>0.97513993756273676</v>
      </c>
    </row>
    <row r="39" spans="2:9" ht="12.75" customHeight="1" x14ac:dyDescent="0.2">
      <c r="B39" s="271" t="s">
        <v>73</v>
      </c>
      <c r="C39" s="129">
        <v>6123</v>
      </c>
      <c r="D39" s="129">
        <v>117721</v>
      </c>
      <c r="E39" s="129">
        <v>353</v>
      </c>
      <c r="F39" s="129">
        <v>15</v>
      </c>
      <c r="G39" s="130">
        <v>124212</v>
      </c>
      <c r="H39" s="74">
        <v>0.27538339553322511</v>
      </c>
    </row>
    <row r="40" spans="2:9" ht="12.75" customHeight="1" x14ac:dyDescent="0.2">
      <c r="B40" s="271" t="s">
        <v>83</v>
      </c>
      <c r="C40" s="129">
        <v>88953</v>
      </c>
      <c r="D40" s="129">
        <v>49123</v>
      </c>
      <c r="E40" s="129">
        <v>212</v>
      </c>
      <c r="F40" s="129">
        <v>3</v>
      </c>
      <c r="G40" s="130">
        <v>138291</v>
      </c>
      <c r="H40" s="74">
        <v>0.30659714964484297</v>
      </c>
    </row>
    <row r="41" spans="2:9" ht="12.75" customHeight="1" x14ac:dyDescent="0.2">
      <c r="B41" s="271" t="s">
        <v>107</v>
      </c>
      <c r="C41" s="129">
        <v>42939</v>
      </c>
      <c r="D41" s="129">
        <v>185475</v>
      </c>
      <c r="E41" s="129">
        <v>307</v>
      </c>
      <c r="F41" s="129">
        <v>60</v>
      </c>
      <c r="G41" s="130">
        <v>228781</v>
      </c>
      <c r="H41" s="74">
        <v>0.50721740744442378</v>
      </c>
    </row>
    <row r="42" spans="2:9" ht="12.75" customHeight="1" x14ac:dyDescent="0.2">
      <c r="B42" s="271" t="s">
        <v>114</v>
      </c>
      <c r="C42" s="129">
        <v>3860</v>
      </c>
      <c r="D42" s="129">
        <v>1197180</v>
      </c>
      <c r="E42" s="129">
        <v>866063</v>
      </c>
      <c r="F42" s="129">
        <v>8020</v>
      </c>
      <c r="G42" s="130">
        <v>2075123</v>
      </c>
      <c r="H42" s="74">
        <v>4.6006377635743139</v>
      </c>
    </row>
    <row r="43" spans="2:9" ht="12.75" customHeight="1" x14ac:dyDescent="0.2">
      <c r="B43" s="271" t="s">
        <v>159</v>
      </c>
      <c r="C43" s="129">
        <v>803</v>
      </c>
      <c r="D43" s="129">
        <v>112546</v>
      </c>
      <c r="E43" s="129">
        <v>702</v>
      </c>
      <c r="F43" s="129">
        <v>113</v>
      </c>
      <c r="G43" s="130">
        <v>114164</v>
      </c>
      <c r="H43" s="74">
        <v>0.25310654339077632</v>
      </c>
    </row>
    <row r="44" spans="2:9" ht="12.75" customHeight="1" x14ac:dyDescent="0.2">
      <c r="B44" s="271" t="s">
        <v>190</v>
      </c>
      <c r="C44" s="129">
        <v>2478</v>
      </c>
      <c r="D44" s="129">
        <v>137505</v>
      </c>
      <c r="E44" s="129">
        <v>432</v>
      </c>
      <c r="F44" s="129">
        <v>10</v>
      </c>
      <c r="G44" s="130">
        <v>140425</v>
      </c>
      <c r="H44" s="74">
        <v>0.31132832027302626</v>
      </c>
    </row>
    <row r="45" spans="2:9" ht="12.75" customHeight="1" x14ac:dyDescent="0.2">
      <c r="B45" s="271" t="s">
        <v>216</v>
      </c>
      <c r="C45" s="129">
        <v>944</v>
      </c>
      <c r="D45" s="129">
        <v>33537</v>
      </c>
      <c r="E45" s="129">
        <v>217</v>
      </c>
      <c r="F45" s="129">
        <v>17</v>
      </c>
      <c r="G45" s="130">
        <v>34715</v>
      </c>
      <c r="H45" s="74">
        <v>7.6964661835699527E-2</v>
      </c>
    </row>
    <row r="46" spans="2:9" ht="12.75" customHeight="1" x14ac:dyDescent="0.2">
      <c r="B46" s="271" t="s">
        <v>232</v>
      </c>
      <c r="C46" s="129">
        <v>1557</v>
      </c>
      <c r="D46" s="129">
        <v>60416</v>
      </c>
      <c r="E46" s="129">
        <v>230</v>
      </c>
      <c r="F46" s="129">
        <v>1</v>
      </c>
      <c r="G46" s="130">
        <v>62204</v>
      </c>
      <c r="H46" s="74">
        <v>0.1379089680203904</v>
      </c>
    </row>
    <row r="47" spans="2:9" ht="12.75" customHeight="1" thickBot="1" x14ac:dyDescent="0.25">
      <c r="B47" s="271" t="s">
        <v>281</v>
      </c>
      <c r="C47" s="129">
        <v>7551</v>
      </c>
      <c r="D47" s="129">
        <v>310143</v>
      </c>
      <c r="E47" s="129">
        <v>3917</v>
      </c>
      <c r="F47" s="129">
        <v>76</v>
      </c>
      <c r="G47" s="130">
        <v>321687</v>
      </c>
      <c r="H47" s="74">
        <v>0.71319404211265081</v>
      </c>
    </row>
    <row r="48" spans="2:9" ht="12.75" customHeight="1" thickBot="1" x14ac:dyDescent="0.25">
      <c r="B48" s="80" t="s">
        <v>282</v>
      </c>
      <c r="C48" s="133">
        <v>173930</v>
      </c>
      <c r="D48" s="133">
        <v>2641083</v>
      </c>
      <c r="E48" s="133">
        <v>874214</v>
      </c>
      <c r="F48" s="133">
        <v>8415</v>
      </c>
      <c r="G48" s="132">
        <v>3697642</v>
      </c>
      <c r="H48" s="286">
        <v>8.1978328134662153</v>
      </c>
    </row>
    <row r="49" spans="2:8" ht="12.75" customHeight="1" thickBot="1" x14ac:dyDescent="0.25">
      <c r="B49" s="80" t="s">
        <v>283</v>
      </c>
      <c r="C49" s="133">
        <v>223027</v>
      </c>
      <c r="D49" s="133">
        <v>6664276</v>
      </c>
      <c r="E49" s="133">
        <v>1893476</v>
      </c>
      <c r="F49" s="133">
        <v>8545</v>
      </c>
      <c r="G49" s="132">
        <v>8789324</v>
      </c>
      <c r="H49" s="286">
        <v>19.486312816488489</v>
      </c>
    </row>
    <row r="50" spans="2:8" ht="12.75" customHeight="1" x14ac:dyDescent="0.2">
      <c r="B50" s="271" t="s">
        <v>21</v>
      </c>
      <c r="C50" s="129">
        <v>102754</v>
      </c>
      <c r="D50" s="129">
        <v>4599671</v>
      </c>
      <c r="E50" s="129">
        <v>319751</v>
      </c>
      <c r="F50" s="129">
        <v>2017</v>
      </c>
      <c r="G50" s="130">
        <v>5024193</v>
      </c>
      <c r="H50" s="74">
        <v>11.13885396060172</v>
      </c>
    </row>
    <row r="51" spans="2:8" ht="12.75" customHeight="1" x14ac:dyDescent="0.2">
      <c r="B51" s="271" t="s">
        <v>32</v>
      </c>
      <c r="C51" s="129">
        <v>6756</v>
      </c>
      <c r="D51" s="129">
        <v>327146</v>
      </c>
      <c r="E51" s="129">
        <v>64950</v>
      </c>
      <c r="F51" s="129">
        <v>563</v>
      </c>
      <c r="G51" s="130">
        <v>399415</v>
      </c>
      <c r="H51" s="74">
        <v>0.8855203919661796</v>
      </c>
    </row>
    <row r="52" spans="2:8" ht="12.75" customHeight="1" x14ac:dyDescent="0.2">
      <c r="B52" s="271" t="s">
        <v>42</v>
      </c>
      <c r="C52" s="129">
        <v>19346</v>
      </c>
      <c r="D52" s="129">
        <v>493276</v>
      </c>
      <c r="E52" s="129">
        <v>49717</v>
      </c>
      <c r="F52" s="129">
        <v>155</v>
      </c>
      <c r="G52" s="130">
        <v>562494</v>
      </c>
      <c r="H52" s="74">
        <v>1.2470736135563869</v>
      </c>
    </row>
    <row r="53" spans="2:8" ht="12.75" customHeight="1" x14ac:dyDescent="0.2">
      <c r="B53" s="271" t="s">
        <v>63</v>
      </c>
      <c r="C53" s="129">
        <v>6302</v>
      </c>
      <c r="D53" s="129">
        <v>300320</v>
      </c>
      <c r="E53" s="129">
        <v>4667</v>
      </c>
      <c r="F53" s="129">
        <v>53</v>
      </c>
      <c r="G53" s="130">
        <v>311342</v>
      </c>
      <c r="H53" s="74">
        <v>0.69025872807865074</v>
      </c>
    </row>
    <row r="54" spans="2:8" ht="12.75" customHeight="1" x14ac:dyDescent="0.2">
      <c r="B54" s="271" t="s">
        <v>65</v>
      </c>
      <c r="C54" s="129">
        <v>7470</v>
      </c>
      <c r="D54" s="129">
        <v>321926</v>
      </c>
      <c r="E54" s="129">
        <v>6437</v>
      </c>
      <c r="F54" s="129">
        <v>111</v>
      </c>
      <c r="G54" s="130">
        <v>335944</v>
      </c>
      <c r="H54" s="74">
        <v>0.74480242995051826</v>
      </c>
    </row>
    <row r="55" spans="2:8" ht="12.75" customHeight="1" x14ac:dyDescent="0.2">
      <c r="B55" s="271" t="s">
        <v>85</v>
      </c>
      <c r="C55" s="129">
        <v>7655</v>
      </c>
      <c r="D55" s="129">
        <v>125948</v>
      </c>
      <c r="E55" s="129">
        <v>1896</v>
      </c>
      <c r="F55" s="129">
        <v>64</v>
      </c>
      <c r="G55" s="130">
        <v>135563</v>
      </c>
      <c r="H55" s="74">
        <v>0.30054905523355707</v>
      </c>
    </row>
    <row r="56" spans="2:8" ht="12.75" customHeight="1" x14ac:dyDescent="0.2">
      <c r="B56" s="271" t="s">
        <v>86</v>
      </c>
      <c r="C56" s="129">
        <v>37396</v>
      </c>
      <c r="D56" s="129">
        <v>742890</v>
      </c>
      <c r="E56" s="129">
        <v>98207</v>
      </c>
      <c r="F56" s="129">
        <v>592</v>
      </c>
      <c r="G56" s="130">
        <v>879085</v>
      </c>
      <c r="H56" s="74">
        <v>1.9489696024725887</v>
      </c>
    </row>
    <row r="57" spans="2:8" ht="12.75" customHeight="1" x14ac:dyDescent="0.2">
      <c r="B57" s="271" t="s">
        <v>108</v>
      </c>
      <c r="C57" s="129">
        <v>46043</v>
      </c>
      <c r="D57" s="129">
        <v>1001416</v>
      </c>
      <c r="E57" s="129">
        <v>78305</v>
      </c>
      <c r="F57" s="129">
        <v>428</v>
      </c>
      <c r="G57" s="130">
        <v>1126192</v>
      </c>
      <c r="H57" s="74">
        <v>2.4968165473734731</v>
      </c>
    </row>
    <row r="58" spans="2:8" ht="12.75" customHeight="1" x14ac:dyDescent="0.2">
      <c r="B58" s="271" t="s">
        <v>113</v>
      </c>
      <c r="C58" s="129">
        <v>123894</v>
      </c>
      <c r="D58" s="129">
        <v>2413266</v>
      </c>
      <c r="E58" s="129">
        <v>31464</v>
      </c>
      <c r="F58" s="129">
        <v>862</v>
      </c>
      <c r="G58" s="130">
        <v>2569486</v>
      </c>
      <c r="H58" s="74">
        <v>5.6966619928435609</v>
      </c>
    </row>
    <row r="59" spans="2:8" ht="12.75" customHeight="1" x14ac:dyDescent="0.2">
      <c r="B59" s="271" t="s">
        <v>115</v>
      </c>
      <c r="C59" s="129">
        <v>5588</v>
      </c>
      <c r="D59" s="129">
        <v>90662</v>
      </c>
      <c r="E59" s="129">
        <v>713</v>
      </c>
      <c r="F59" s="129">
        <v>91</v>
      </c>
      <c r="G59" s="130">
        <v>97054</v>
      </c>
      <c r="H59" s="74">
        <v>0.21517293071588597</v>
      </c>
    </row>
    <row r="60" spans="2:8" ht="12.75" customHeight="1" x14ac:dyDescent="0.2">
      <c r="B60" s="97" t="s">
        <v>116</v>
      </c>
      <c r="C60" s="309">
        <v>31546</v>
      </c>
      <c r="D60" s="309">
        <v>223046</v>
      </c>
      <c r="E60" s="309">
        <v>2942</v>
      </c>
      <c r="F60" s="309">
        <v>684</v>
      </c>
      <c r="G60" s="310">
        <v>258218</v>
      </c>
      <c r="H60" s="311">
        <v>0.57248051418380119</v>
      </c>
    </row>
    <row r="61" spans="2:8" s="123" customFormat="1" ht="30" customHeight="1" x14ac:dyDescent="0.2">
      <c r="B61" s="650" t="s">
        <v>705</v>
      </c>
      <c r="C61" s="651"/>
      <c r="D61" s="651"/>
      <c r="E61" s="651"/>
      <c r="F61" s="651"/>
      <c r="G61" s="651"/>
      <c r="H61" s="651"/>
    </row>
    <row r="62" spans="2:8" s="123" customFormat="1" ht="12.75" customHeight="1" thickBot="1" x14ac:dyDescent="0.25">
      <c r="B62" s="271"/>
      <c r="C62" s="129"/>
      <c r="D62" s="129"/>
      <c r="E62" s="129"/>
      <c r="F62" s="129"/>
      <c r="G62" s="130"/>
      <c r="H62" s="74"/>
    </row>
    <row r="63" spans="2:8" s="123" customFormat="1" ht="12.75" customHeight="1" thickBot="1" x14ac:dyDescent="0.25">
      <c r="B63" s="584" t="s">
        <v>265</v>
      </c>
      <c r="C63" s="653" t="s">
        <v>266</v>
      </c>
      <c r="D63" s="653"/>
      <c r="E63" s="653"/>
      <c r="F63" s="653"/>
      <c r="G63" s="654" t="s">
        <v>17</v>
      </c>
      <c r="H63" s="584" t="s">
        <v>271</v>
      </c>
    </row>
    <row r="64" spans="2:8" s="123" customFormat="1" ht="12.75" customHeight="1" thickBot="1" x14ac:dyDescent="0.25">
      <c r="B64" s="585"/>
      <c r="C64" s="131" t="s">
        <v>295</v>
      </c>
      <c r="D64" s="131" t="s">
        <v>296</v>
      </c>
      <c r="E64" s="131" t="s">
        <v>297</v>
      </c>
      <c r="F64" s="131" t="s">
        <v>298</v>
      </c>
      <c r="G64" s="655"/>
      <c r="H64" s="585"/>
    </row>
    <row r="65" spans="2:8" ht="12.75" customHeight="1" x14ac:dyDescent="0.2">
      <c r="B65" s="271" t="s">
        <v>118</v>
      </c>
      <c r="C65" s="129">
        <v>10661</v>
      </c>
      <c r="D65" s="129">
        <v>418804</v>
      </c>
      <c r="E65" s="129">
        <v>14717</v>
      </c>
      <c r="F65" s="129">
        <v>129</v>
      </c>
      <c r="G65" s="130">
        <v>444311</v>
      </c>
      <c r="H65" s="74">
        <v>0.98505677271731218</v>
      </c>
    </row>
    <row r="66" spans="2:8" ht="12.75" customHeight="1" x14ac:dyDescent="0.2">
      <c r="B66" s="271" t="s">
        <v>119</v>
      </c>
      <c r="C66" s="129">
        <v>7084</v>
      </c>
      <c r="D66" s="129">
        <v>297736</v>
      </c>
      <c r="E66" s="129">
        <v>9505</v>
      </c>
      <c r="F66" s="129">
        <v>247</v>
      </c>
      <c r="G66" s="130">
        <v>314572</v>
      </c>
      <c r="H66" s="74">
        <v>0.6974197782796967</v>
      </c>
    </row>
    <row r="67" spans="2:8" ht="12.75" customHeight="1" x14ac:dyDescent="0.2">
      <c r="B67" s="271" t="s">
        <v>120</v>
      </c>
      <c r="C67" s="129">
        <v>39971</v>
      </c>
      <c r="D67" s="129">
        <v>327228</v>
      </c>
      <c r="E67" s="129">
        <v>10029</v>
      </c>
      <c r="F67" s="129">
        <v>328</v>
      </c>
      <c r="G67" s="130">
        <v>377556</v>
      </c>
      <c r="H67" s="74">
        <v>0.83705804015668639</v>
      </c>
    </row>
    <row r="68" spans="2:8" ht="12.75" customHeight="1" x14ac:dyDescent="0.2">
      <c r="B68" s="271" t="s">
        <v>121</v>
      </c>
      <c r="C68" s="129">
        <v>209</v>
      </c>
      <c r="D68" s="129">
        <v>3714</v>
      </c>
      <c r="E68" s="129">
        <v>29</v>
      </c>
      <c r="F68" s="129">
        <v>3</v>
      </c>
      <c r="G68" s="130">
        <v>3955</v>
      </c>
      <c r="H68" s="74">
        <v>8.7684066703209457E-3</v>
      </c>
    </row>
    <row r="69" spans="2:8" ht="12.75" customHeight="1" x14ac:dyDescent="0.2">
      <c r="B69" s="271" t="s">
        <v>153</v>
      </c>
      <c r="C69" s="129">
        <v>596</v>
      </c>
      <c r="D69" s="129">
        <v>10220</v>
      </c>
      <c r="E69" s="129">
        <v>155</v>
      </c>
      <c r="F69" s="129">
        <v>6</v>
      </c>
      <c r="G69" s="130">
        <v>10977</v>
      </c>
      <c r="H69" s="74">
        <v>2.433648546652668E-2</v>
      </c>
    </row>
    <row r="70" spans="2:8" ht="12.75" customHeight="1" x14ac:dyDescent="0.2">
      <c r="B70" s="271" t="s">
        <v>154</v>
      </c>
      <c r="C70" s="129">
        <v>2882</v>
      </c>
      <c r="D70" s="129">
        <v>133435</v>
      </c>
      <c r="E70" s="129">
        <v>13091</v>
      </c>
      <c r="F70" s="129">
        <v>113</v>
      </c>
      <c r="G70" s="130">
        <v>149521</v>
      </c>
      <c r="H70" s="74">
        <v>0.33149454709306148</v>
      </c>
    </row>
    <row r="71" spans="2:8" ht="12.75" customHeight="1" x14ac:dyDescent="0.2">
      <c r="B71" s="271" t="s">
        <v>187</v>
      </c>
      <c r="C71" s="129">
        <v>4104</v>
      </c>
      <c r="D71" s="129">
        <v>200471</v>
      </c>
      <c r="E71" s="129">
        <v>3902</v>
      </c>
      <c r="F71" s="129">
        <v>47</v>
      </c>
      <c r="G71" s="130">
        <v>208524</v>
      </c>
      <c r="H71" s="74">
        <v>0.46230675917117697</v>
      </c>
    </row>
    <row r="72" spans="2:8" ht="12.75" customHeight="1" x14ac:dyDescent="0.2">
      <c r="B72" s="271" t="s">
        <v>197</v>
      </c>
      <c r="C72" s="129">
        <v>55359</v>
      </c>
      <c r="D72" s="129">
        <v>803971</v>
      </c>
      <c r="E72" s="129">
        <v>21163</v>
      </c>
      <c r="F72" s="129">
        <v>98</v>
      </c>
      <c r="G72" s="130">
        <v>880591</v>
      </c>
      <c r="H72" s="74">
        <v>1.9523084698418689</v>
      </c>
    </row>
    <row r="73" spans="2:8" ht="12.75" customHeight="1" x14ac:dyDescent="0.2">
      <c r="B73" s="271" t="s">
        <v>198</v>
      </c>
      <c r="C73" s="129">
        <v>4030</v>
      </c>
      <c r="D73" s="129">
        <v>49701</v>
      </c>
      <c r="E73" s="129">
        <v>939</v>
      </c>
      <c r="F73" s="129">
        <v>128</v>
      </c>
      <c r="G73" s="130">
        <v>54798</v>
      </c>
      <c r="H73" s="74">
        <v>0.1214895445563204</v>
      </c>
    </row>
    <row r="74" spans="2:8" ht="12.75" customHeight="1" x14ac:dyDescent="0.2">
      <c r="B74" s="271" t="s">
        <v>217</v>
      </c>
      <c r="C74" s="129">
        <v>1578</v>
      </c>
      <c r="D74" s="129">
        <v>202135</v>
      </c>
      <c r="E74" s="129">
        <v>3286</v>
      </c>
      <c r="F74" s="129">
        <v>20</v>
      </c>
      <c r="G74" s="130">
        <v>207019</v>
      </c>
      <c r="H74" s="74">
        <v>0.45897010884530259</v>
      </c>
    </row>
    <row r="75" spans="2:8" ht="12.75" customHeight="1" x14ac:dyDescent="0.2">
      <c r="B75" s="271" t="s">
        <v>257</v>
      </c>
      <c r="C75" s="129">
        <v>133509</v>
      </c>
      <c r="D75" s="129">
        <v>123728</v>
      </c>
      <c r="E75" s="129">
        <v>579678</v>
      </c>
      <c r="F75" s="129">
        <v>54</v>
      </c>
      <c r="G75" s="130">
        <v>836969</v>
      </c>
      <c r="H75" s="74">
        <v>1.8555966023898487</v>
      </c>
    </row>
    <row r="76" spans="2:8" ht="12.75" customHeight="1" thickBot="1" x14ac:dyDescent="0.25">
      <c r="B76" s="271" t="s">
        <v>621</v>
      </c>
      <c r="C76" s="129" t="s">
        <v>585</v>
      </c>
      <c r="D76" s="129" t="s">
        <v>585</v>
      </c>
      <c r="E76" s="129" t="s">
        <v>585</v>
      </c>
      <c r="F76" s="129" t="s">
        <v>585</v>
      </c>
      <c r="G76" s="130" t="s">
        <v>585</v>
      </c>
      <c r="H76" s="285" t="s">
        <v>585</v>
      </c>
    </row>
    <row r="77" spans="2:8" ht="12.75" customHeight="1" thickBot="1" x14ac:dyDescent="0.25">
      <c r="B77" s="80" t="s">
        <v>285</v>
      </c>
      <c r="C77" s="133">
        <v>654733</v>
      </c>
      <c r="D77" s="133">
        <v>13210710</v>
      </c>
      <c r="E77" s="133">
        <v>1315543</v>
      </c>
      <c r="F77" s="133">
        <v>6793</v>
      </c>
      <c r="G77" s="132">
        <v>15187779</v>
      </c>
      <c r="H77" s="286">
        <v>33.671965282164443</v>
      </c>
    </row>
    <row r="78" spans="2:8" ht="12.75" customHeight="1" x14ac:dyDescent="0.2">
      <c r="B78" s="271" t="s">
        <v>29</v>
      </c>
      <c r="C78" s="129">
        <v>6393</v>
      </c>
      <c r="D78" s="129">
        <v>80406</v>
      </c>
      <c r="E78" s="129">
        <v>48895</v>
      </c>
      <c r="F78" s="129">
        <v>3</v>
      </c>
      <c r="G78" s="130">
        <v>135697</v>
      </c>
      <c r="H78" s="74">
        <v>0.30084613904994723</v>
      </c>
    </row>
    <row r="79" spans="2:8" ht="12.75" customHeight="1" x14ac:dyDescent="0.2">
      <c r="B79" s="271" t="s">
        <v>51</v>
      </c>
      <c r="C79" s="129">
        <v>888</v>
      </c>
      <c r="D79" s="129">
        <v>102355</v>
      </c>
      <c r="E79" s="129">
        <v>40946</v>
      </c>
      <c r="F79" s="129">
        <v>8</v>
      </c>
      <c r="G79" s="130">
        <v>144197</v>
      </c>
      <c r="H79" s="74">
        <v>0.31969100800006811</v>
      </c>
    </row>
    <row r="80" spans="2:8" ht="12.75" customHeight="1" x14ac:dyDescent="0.2">
      <c r="B80" s="271" t="s">
        <v>56</v>
      </c>
      <c r="C80" s="129">
        <v>16124</v>
      </c>
      <c r="D80" s="129">
        <v>165491</v>
      </c>
      <c r="E80" s="129">
        <v>2530120</v>
      </c>
      <c r="F80" s="129">
        <v>6410</v>
      </c>
      <c r="G80" s="130">
        <v>2718145</v>
      </c>
      <c r="H80" s="74">
        <v>6.02624544852074</v>
      </c>
    </row>
    <row r="81" spans="2:8" ht="12.75" customHeight="1" x14ac:dyDescent="0.2">
      <c r="B81" s="271" t="s">
        <v>76</v>
      </c>
      <c r="C81" s="129">
        <v>1979</v>
      </c>
      <c r="D81" s="129">
        <v>74007</v>
      </c>
      <c r="E81" s="129">
        <v>1029</v>
      </c>
      <c r="F81" s="129">
        <v>6</v>
      </c>
      <c r="G81" s="130">
        <v>77021</v>
      </c>
      <c r="H81" s="74">
        <v>0.17075890016555995</v>
      </c>
    </row>
    <row r="82" spans="2:8" ht="12.75" customHeight="1" x14ac:dyDescent="0.2">
      <c r="B82" s="271" t="s">
        <v>101</v>
      </c>
      <c r="C82" s="129">
        <v>2133</v>
      </c>
      <c r="D82" s="129">
        <v>9820</v>
      </c>
      <c r="E82" s="129">
        <v>989</v>
      </c>
      <c r="F82" s="129">
        <v>5</v>
      </c>
      <c r="G82" s="130">
        <v>12947</v>
      </c>
      <c r="H82" s="74">
        <v>2.8704060976142927E-2</v>
      </c>
    </row>
    <row r="83" spans="2:8" ht="12.75" customHeight="1" x14ac:dyDescent="0.2">
      <c r="B83" s="271" t="s">
        <v>106</v>
      </c>
      <c r="C83" s="129">
        <v>3956</v>
      </c>
      <c r="D83" s="129">
        <v>46627</v>
      </c>
      <c r="E83" s="129">
        <v>5812</v>
      </c>
      <c r="F83" s="129">
        <v>22</v>
      </c>
      <c r="G83" s="130">
        <v>56417</v>
      </c>
      <c r="H83" s="74">
        <v>0.12507893783046695</v>
      </c>
    </row>
    <row r="84" spans="2:8" ht="12.75" customHeight="1" x14ac:dyDescent="0.2">
      <c r="B84" s="271" t="s">
        <v>128</v>
      </c>
      <c r="C84" s="129">
        <v>3174</v>
      </c>
      <c r="D84" s="129">
        <v>15084</v>
      </c>
      <c r="E84" s="129">
        <v>9327</v>
      </c>
      <c r="F84" s="129" t="s">
        <v>585</v>
      </c>
      <c r="G84" s="130">
        <v>27585</v>
      </c>
      <c r="H84" s="74">
        <v>6.1157142351656958E-2</v>
      </c>
    </row>
    <row r="85" spans="2:8" ht="12.75" customHeight="1" x14ac:dyDescent="0.2">
      <c r="B85" s="271" t="s">
        <v>138</v>
      </c>
      <c r="C85" s="129">
        <v>186</v>
      </c>
      <c r="D85" s="129">
        <v>137146</v>
      </c>
      <c r="E85" s="129">
        <v>14823</v>
      </c>
      <c r="F85" s="129">
        <v>11</v>
      </c>
      <c r="G85" s="130">
        <v>152166</v>
      </c>
      <c r="H85" s="74">
        <v>0.33735862690165791</v>
      </c>
    </row>
    <row r="86" spans="2:8" ht="12.75" customHeight="1" x14ac:dyDescent="0.2">
      <c r="B86" s="271" t="s">
        <v>627</v>
      </c>
      <c r="C86" s="129">
        <v>608</v>
      </c>
      <c r="D86" s="129">
        <v>67459</v>
      </c>
      <c r="E86" s="129">
        <v>154275</v>
      </c>
      <c r="F86" s="129">
        <v>16</v>
      </c>
      <c r="G86" s="130">
        <v>222358</v>
      </c>
      <c r="H86" s="74">
        <v>0.49297733764835011</v>
      </c>
    </row>
    <row r="87" spans="2:8" ht="12.75" customHeight="1" x14ac:dyDescent="0.2">
      <c r="B87" s="271" t="s">
        <v>147</v>
      </c>
      <c r="C87" s="129">
        <v>2523</v>
      </c>
      <c r="D87" s="129">
        <v>81043</v>
      </c>
      <c r="E87" s="129">
        <v>2382</v>
      </c>
      <c r="F87" s="129">
        <v>10</v>
      </c>
      <c r="G87" s="130">
        <v>85958</v>
      </c>
      <c r="H87" s="74">
        <v>0.19057261708405759</v>
      </c>
    </row>
    <row r="88" spans="2:8" ht="12.75" customHeight="1" x14ac:dyDescent="0.2">
      <c r="B88" s="271" t="s">
        <v>151</v>
      </c>
      <c r="C88" s="129">
        <v>4758</v>
      </c>
      <c r="D88" s="129">
        <v>222153</v>
      </c>
      <c r="E88" s="129">
        <v>2721</v>
      </c>
      <c r="F88" s="129">
        <v>12</v>
      </c>
      <c r="G88" s="130">
        <v>229644</v>
      </c>
      <c r="H88" s="74">
        <v>0.50913071590371262</v>
      </c>
    </row>
    <row r="89" spans="2:8" ht="12.75" customHeight="1" x14ac:dyDescent="0.2">
      <c r="B89" s="271" t="s">
        <v>161</v>
      </c>
      <c r="C89" s="129">
        <v>209</v>
      </c>
      <c r="D89" s="129">
        <v>8549</v>
      </c>
      <c r="E89" s="129">
        <v>50</v>
      </c>
      <c r="F89" s="284">
        <v>8</v>
      </c>
      <c r="G89" s="130">
        <v>8816</v>
      </c>
      <c r="H89" s="74">
        <v>1.9545454666384184E-2</v>
      </c>
    </row>
    <row r="90" spans="2:8" ht="12.75" customHeight="1" x14ac:dyDescent="0.2">
      <c r="B90" s="271" t="s">
        <v>201</v>
      </c>
      <c r="C90" s="129">
        <v>17091</v>
      </c>
      <c r="D90" s="129">
        <v>409964</v>
      </c>
      <c r="E90" s="129">
        <v>334449</v>
      </c>
      <c r="F90" s="129">
        <v>361</v>
      </c>
      <c r="G90" s="130">
        <v>761865</v>
      </c>
      <c r="H90" s="74">
        <v>1.6890877744333925</v>
      </c>
    </row>
    <row r="91" spans="2:8" ht="12.75" customHeight="1" x14ac:dyDescent="0.2">
      <c r="B91" s="271" t="s">
        <v>214</v>
      </c>
      <c r="C91" s="129">
        <v>5190</v>
      </c>
      <c r="D91" s="129">
        <v>136404</v>
      </c>
      <c r="E91" s="129">
        <v>141254</v>
      </c>
      <c r="F91" s="129">
        <v>363</v>
      </c>
      <c r="G91" s="130">
        <v>283211</v>
      </c>
      <c r="H91" s="74">
        <v>0.62789108002737426</v>
      </c>
    </row>
    <row r="92" spans="2:8" ht="12.75" customHeight="1" x14ac:dyDescent="0.2">
      <c r="B92" s="271" t="s">
        <v>218</v>
      </c>
      <c r="C92" s="129">
        <v>1226</v>
      </c>
      <c r="D92" s="129">
        <v>47420</v>
      </c>
      <c r="E92" s="129">
        <v>1663</v>
      </c>
      <c r="F92" s="129">
        <v>15</v>
      </c>
      <c r="G92" s="130">
        <v>50324</v>
      </c>
      <c r="H92" s="74">
        <v>0.11157049235833913</v>
      </c>
    </row>
    <row r="93" spans="2:8" ht="12.75" customHeight="1" thickBot="1" x14ac:dyDescent="0.25">
      <c r="B93" s="271" t="s">
        <v>286</v>
      </c>
      <c r="C93" s="129">
        <v>499</v>
      </c>
      <c r="D93" s="129">
        <v>2609</v>
      </c>
      <c r="E93" s="129">
        <v>104</v>
      </c>
      <c r="F93" s="129" t="s">
        <v>585</v>
      </c>
      <c r="G93" s="130">
        <v>3212</v>
      </c>
      <c r="H93" s="74">
        <v>7.1211434197397915E-3</v>
      </c>
    </row>
    <row r="94" spans="2:8" ht="12.75" customHeight="1" thickBot="1" x14ac:dyDescent="0.25">
      <c r="B94" s="80" t="s">
        <v>287</v>
      </c>
      <c r="C94" s="133">
        <v>66937</v>
      </c>
      <c r="D94" s="133">
        <v>1606537</v>
      </c>
      <c r="E94" s="133">
        <v>3288839</v>
      </c>
      <c r="F94" s="133">
        <v>7250</v>
      </c>
      <c r="G94" s="132">
        <v>4969563</v>
      </c>
      <c r="H94" s="286">
        <v>11.01773687933759</v>
      </c>
    </row>
    <row r="95" spans="2:8" ht="12.75" customHeight="1" thickBot="1" x14ac:dyDescent="0.25">
      <c r="B95" s="80" t="s">
        <v>288</v>
      </c>
      <c r="C95" s="133">
        <v>721670</v>
      </c>
      <c r="D95" s="133">
        <v>14817247</v>
      </c>
      <c r="E95" s="133">
        <v>4604382</v>
      </c>
      <c r="F95" s="133">
        <v>14043</v>
      </c>
      <c r="G95" s="132">
        <v>20157342</v>
      </c>
      <c r="H95" s="286">
        <v>44.689702161502034</v>
      </c>
    </row>
    <row r="96" spans="2:8" ht="12.75" customHeight="1" x14ac:dyDescent="0.2">
      <c r="B96" s="271" t="s">
        <v>33</v>
      </c>
      <c r="C96" s="129">
        <v>20336</v>
      </c>
      <c r="D96" s="129">
        <v>371837</v>
      </c>
      <c r="E96" s="129">
        <v>509355</v>
      </c>
      <c r="F96" s="129">
        <v>14</v>
      </c>
      <c r="G96" s="130">
        <v>901542</v>
      </c>
      <c r="H96" s="74">
        <v>1.998757746238808</v>
      </c>
    </row>
    <row r="97" spans="2:8" ht="12.75" customHeight="1" x14ac:dyDescent="0.2">
      <c r="B97" s="271" t="s">
        <v>46</v>
      </c>
      <c r="C97" s="129">
        <v>1270</v>
      </c>
      <c r="D97" s="129">
        <v>243490</v>
      </c>
      <c r="E97" s="129">
        <v>13248</v>
      </c>
      <c r="F97" s="129">
        <v>10</v>
      </c>
      <c r="G97" s="130">
        <v>258018</v>
      </c>
      <c r="H97" s="74">
        <v>0.57203710550262188</v>
      </c>
    </row>
    <row r="98" spans="2:8" ht="12.75" customHeight="1" x14ac:dyDescent="0.2">
      <c r="B98" s="271" t="s">
        <v>75</v>
      </c>
      <c r="C98" s="129">
        <v>259</v>
      </c>
      <c r="D98" s="129">
        <v>21236</v>
      </c>
      <c r="E98" s="129">
        <v>45725</v>
      </c>
      <c r="F98" s="129" t="s">
        <v>585</v>
      </c>
      <c r="G98" s="130">
        <v>67220</v>
      </c>
      <c r="H98" s="74">
        <v>0.14902965774436763</v>
      </c>
    </row>
    <row r="99" spans="2:8" ht="12.75" customHeight="1" x14ac:dyDescent="0.2">
      <c r="B99" s="271" t="s">
        <v>104</v>
      </c>
      <c r="C99" s="129">
        <v>17110</v>
      </c>
      <c r="D99" s="129">
        <v>82126</v>
      </c>
      <c r="E99" s="129">
        <v>1902200</v>
      </c>
      <c r="F99" s="129">
        <v>19</v>
      </c>
      <c r="G99" s="130">
        <v>2001455</v>
      </c>
      <c r="H99" s="74">
        <v>4.4373126099487248</v>
      </c>
    </row>
    <row r="100" spans="2:8" ht="12.75" customHeight="1" x14ac:dyDescent="0.2">
      <c r="B100" s="271" t="s">
        <v>131</v>
      </c>
      <c r="C100" s="129">
        <v>569</v>
      </c>
      <c r="D100" s="129">
        <v>436822</v>
      </c>
      <c r="E100" s="129">
        <v>12097</v>
      </c>
      <c r="F100" s="129">
        <v>48</v>
      </c>
      <c r="G100" s="130">
        <v>449536</v>
      </c>
      <c r="H100" s="74">
        <v>0.99664082451312175</v>
      </c>
    </row>
    <row r="101" spans="2:8" ht="12.75" customHeight="1" x14ac:dyDescent="0.2">
      <c r="B101" s="271" t="s">
        <v>133</v>
      </c>
      <c r="C101" s="129">
        <v>259</v>
      </c>
      <c r="D101" s="129">
        <v>117726</v>
      </c>
      <c r="E101" s="129">
        <v>2546</v>
      </c>
      <c r="F101" s="129">
        <v>4</v>
      </c>
      <c r="G101" s="130">
        <v>120535</v>
      </c>
      <c r="H101" s="74">
        <v>0.26723132692974338</v>
      </c>
    </row>
    <row r="102" spans="2:8" ht="12.75" customHeight="1" x14ac:dyDescent="0.2">
      <c r="B102" s="271" t="s">
        <v>173</v>
      </c>
      <c r="C102" s="129">
        <v>1506</v>
      </c>
      <c r="D102" s="129">
        <v>127127</v>
      </c>
      <c r="E102" s="129">
        <v>70823</v>
      </c>
      <c r="F102" s="129">
        <v>16</v>
      </c>
      <c r="G102" s="130">
        <v>199472</v>
      </c>
      <c r="H102" s="74">
        <v>0.44223808226100114</v>
      </c>
    </row>
    <row r="103" spans="2:8" ht="12.75" customHeight="1" x14ac:dyDescent="0.2">
      <c r="B103" s="271" t="s">
        <v>189</v>
      </c>
      <c r="C103" s="129">
        <v>348</v>
      </c>
      <c r="D103" s="129">
        <v>261274</v>
      </c>
      <c r="E103" s="129">
        <v>2367</v>
      </c>
      <c r="F103" s="129">
        <v>4</v>
      </c>
      <c r="G103" s="130">
        <v>263993</v>
      </c>
      <c r="H103" s="74">
        <v>0.58528393985285398</v>
      </c>
    </row>
    <row r="104" spans="2:8" ht="12.75" customHeight="1" x14ac:dyDescent="0.2">
      <c r="B104" s="271" t="s">
        <v>203</v>
      </c>
      <c r="C104" s="129">
        <v>64646</v>
      </c>
      <c r="D104" s="129">
        <v>6825027</v>
      </c>
      <c r="E104" s="129">
        <v>110541</v>
      </c>
      <c r="F104" s="129">
        <v>193</v>
      </c>
      <c r="G104" s="130">
        <v>7000407</v>
      </c>
      <c r="H104" s="74">
        <v>15.52020617794221</v>
      </c>
    </row>
    <row r="105" spans="2:8" ht="12.75" customHeight="1" x14ac:dyDescent="0.2">
      <c r="B105" s="271" t="s">
        <v>229</v>
      </c>
      <c r="C105" s="129">
        <v>18</v>
      </c>
      <c r="D105" s="129">
        <v>42430</v>
      </c>
      <c r="E105" s="129">
        <v>1044</v>
      </c>
      <c r="F105" s="284">
        <v>1</v>
      </c>
      <c r="G105" s="130">
        <v>43493</v>
      </c>
      <c r="H105" s="74">
        <v>9.6425868852659635E-2</v>
      </c>
    </row>
    <row r="106" spans="2:8" ht="12.75" customHeight="1" x14ac:dyDescent="0.2">
      <c r="B106" s="271" t="s">
        <v>241</v>
      </c>
      <c r="C106" s="129">
        <v>485</v>
      </c>
      <c r="D106" s="129">
        <v>248453</v>
      </c>
      <c r="E106" s="129">
        <v>6407</v>
      </c>
      <c r="F106" s="129">
        <v>8</v>
      </c>
      <c r="G106" s="130">
        <v>255353</v>
      </c>
      <c r="H106" s="74">
        <v>0.5661286848259075</v>
      </c>
    </row>
    <row r="107" spans="2:8" ht="12.75" customHeight="1" thickBot="1" x14ac:dyDescent="0.25">
      <c r="B107" s="271" t="s">
        <v>243</v>
      </c>
      <c r="C107" s="129">
        <v>112414</v>
      </c>
      <c r="D107" s="129">
        <v>1353989</v>
      </c>
      <c r="E107" s="129">
        <v>79090</v>
      </c>
      <c r="F107" s="129">
        <v>94</v>
      </c>
      <c r="G107" s="130">
        <v>1545587</v>
      </c>
      <c r="H107" s="74">
        <v>3.4266334665894664</v>
      </c>
    </row>
    <row r="108" spans="2:8" ht="12.75" customHeight="1" thickBot="1" x14ac:dyDescent="0.25">
      <c r="B108" s="80" t="s">
        <v>289</v>
      </c>
      <c r="C108" s="133">
        <v>219220</v>
      </c>
      <c r="D108" s="133">
        <v>10131537</v>
      </c>
      <c r="E108" s="133">
        <v>2755443</v>
      </c>
      <c r="F108" s="133">
        <v>411</v>
      </c>
      <c r="G108" s="132">
        <v>13106611</v>
      </c>
      <c r="H108" s="286">
        <v>29.057925491201487</v>
      </c>
    </row>
    <row r="109" spans="2:8" ht="12.75" customHeight="1" x14ac:dyDescent="0.2">
      <c r="B109" s="271" t="s">
        <v>22</v>
      </c>
      <c r="C109" s="129">
        <v>78126</v>
      </c>
      <c r="D109" s="129">
        <v>496972</v>
      </c>
      <c r="E109" s="129">
        <v>9634</v>
      </c>
      <c r="F109" s="129">
        <v>571</v>
      </c>
      <c r="G109" s="130">
        <v>585303</v>
      </c>
      <c r="H109" s="74">
        <v>1.2976421566014817</v>
      </c>
    </row>
    <row r="110" spans="2:8" ht="12.75" customHeight="1" x14ac:dyDescent="0.2">
      <c r="B110" s="271" t="s">
        <v>31</v>
      </c>
      <c r="C110" s="129">
        <v>17168</v>
      </c>
      <c r="D110" s="129">
        <v>101018</v>
      </c>
      <c r="E110" s="129">
        <v>3307</v>
      </c>
      <c r="F110" s="129">
        <v>299</v>
      </c>
      <c r="G110" s="130">
        <v>121792</v>
      </c>
      <c r="H110" s="74">
        <v>0.2700181504909554</v>
      </c>
    </row>
    <row r="111" spans="2:8" ht="12.75" customHeight="1" x14ac:dyDescent="0.2">
      <c r="B111" s="271" t="s">
        <v>102</v>
      </c>
      <c r="C111" s="129">
        <v>5624</v>
      </c>
      <c r="D111" s="129">
        <v>199732</v>
      </c>
      <c r="E111" s="129">
        <v>6510</v>
      </c>
      <c r="F111" s="129">
        <v>120</v>
      </c>
      <c r="G111" s="130">
        <v>211986</v>
      </c>
      <c r="H111" s="74">
        <v>0.46998216344239085</v>
      </c>
    </row>
    <row r="112" spans="2:8" ht="12.75" customHeight="1" x14ac:dyDescent="0.2">
      <c r="B112" s="271" t="s">
        <v>124</v>
      </c>
      <c r="C112" s="129">
        <v>6840</v>
      </c>
      <c r="D112" s="129">
        <v>94459</v>
      </c>
      <c r="E112" s="129">
        <v>1237</v>
      </c>
      <c r="F112" s="129">
        <v>199</v>
      </c>
      <c r="G112" s="130">
        <v>102735</v>
      </c>
      <c r="H112" s="74">
        <v>0.22776795430478441</v>
      </c>
    </row>
    <row r="113" spans="2:8" ht="12.75" customHeight="1" x14ac:dyDescent="0.2">
      <c r="B113" s="271" t="s">
        <v>127</v>
      </c>
      <c r="C113" s="129">
        <v>13991</v>
      </c>
      <c r="D113" s="129">
        <v>125326</v>
      </c>
      <c r="E113" s="129">
        <v>2489</v>
      </c>
      <c r="F113" s="129">
        <v>164</v>
      </c>
      <c r="G113" s="130">
        <v>141970</v>
      </c>
      <c r="H113" s="74">
        <v>0.31475365233513641</v>
      </c>
    </row>
    <row r="114" spans="2:8" ht="12.75" customHeight="1" x14ac:dyDescent="0.2">
      <c r="B114" s="271" t="s">
        <v>167</v>
      </c>
      <c r="C114" s="129">
        <v>14604</v>
      </c>
      <c r="D114" s="129">
        <v>51180</v>
      </c>
      <c r="E114" s="129">
        <v>512</v>
      </c>
      <c r="F114" s="129">
        <v>104</v>
      </c>
      <c r="G114" s="130">
        <v>66400</v>
      </c>
      <c r="H114" s="74">
        <v>0.14721168215153244</v>
      </c>
    </row>
    <row r="115" spans="2:8" ht="12.75" customHeight="1" thickBot="1" x14ac:dyDescent="0.25">
      <c r="B115" s="271" t="s">
        <v>255</v>
      </c>
      <c r="C115" s="129">
        <v>3048</v>
      </c>
      <c r="D115" s="129">
        <v>17186</v>
      </c>
      <c r="E115" s="129">
        <v>579</v>
      </c>
      <c r="F115" s="129">
        <v>77</v>
      </c>
      <c r="G115" s="130">
        <v>20890</v>
      </c>
      <c r="H115" s="74">
        <v>4.6314036749179409E-2</v>
      </c>
    </row>
    <row r="116" spans="2:8" ht="12.75" customHeight="1" thickBot="1" x14ac:dyDescent="0.25">
      <c r="B116" s="80" t="s">
        <v>290</v>
      </c>
      <c r="C116" s="133">
        <v>139401</v>
      </c>
      <c r="D116" s="133">
        <v>1085873</v>
      </c>
      <c r="E116" s="133">
        <v>24268</v>
      </c>
      <c r="F116" s="133">
        <v>1534</v>
      </c>
      <c r="G116" s="132">
        <v>1251076</v>
      </c>
      <c r="H116" s="286">
        <v>2.7736897960754607</v>
      </c>
    </row>
    <row r="117" spans="2:8" ht="12.75" customHeight="1" thickBot="1" x14ac:dyDescent="0.25">
      <c r="B117" s="80" t="s">
        <v>291</v>
      </c>
      <c r="C117" s="133">
        <v>310</v>
      </c>
      <c r="D117" s="133">
        <v>89175</v>
      </c>
      <c r="E117" s="133">
        <v>1571</v>
      </c>
      <c r="F117" s="287">
        <v>3</v>
      </c>
      <c r="G117" s="132">
        <v>91059</v>
      </c>
      <c r="H117" s="286">
        <v>0.20188175549753601</v>
      </c>
    </row>
    <row r="118" spans="2:8" ht="12.75" customHeight="1" thickBot="1" x14ac:dyDescent="0.25">
      <c r="B118" s="80" t="s">
        <v>292</v>
      </c>
      <c r="C118" s="133">
        <v>824</v>
      </c>
      <c r="D118" s="133">
        <v>321</v>
      </c>
      <c r="E118" s="133">
        <v>8</v>
      </c>
      <c r="F118" s="287" t="s">
        <v>585</v>
      </c>
      <c r="G118" s="132">
        <v>1153</v>
      </c>
      <c r="H118" s="286">
        <v>2.5562510469987485E-3</v>
      </c>
    </row>
    <row r="119" spans="2:8" ht="12.75" customHeight="1" thickBot="1" x14ac:dyDescent="0.25">
      <c r="B119" s="52" t="s">
        <v>293</v>
      </c>
      <c r="C119" s="132">
        <v>1365192</v>
      </c>
      <c r="D119" s="132">
        <v>34430215</v>
      </c>
      <c r="E119" s="132">
        <v>9284670</v>
      </c>
      <c r="F119" s="132">
        <v>25039</v>
      </c>
      <c r="G119" s="132">
        <v>45105116</v>
      </c>
      <c r="H119" s="286">
        <v>100</v>
      </c>
    </row>
    <row r="120" spans="2:8" x14ac:dyDescent="0.2">
      <c r="B120" s="128"/>
      <c r="C120" s="124"/>
      <c r="D120" s="124"/>
      <c r="E120" s="124"/>
      <c r="F120" s="124"/>
      <c r="G120" s="124"/>
    </row>
  </sheetData>
  <mergeCells count="10">
    <mergeCell ref="B1:H1"/>
    <mergeCell ref="C3:F3"/>
    <mergeCell ref="B3:B4"/>
    <mergeCell ref="G3:G4"/>
    <mergeCell ref="H3:H4"/>
    <mergeCell ref="B61:H61"/>
    <mergeCell ref="B63:B64"/>
    <mergeCell ref="C63:F63"/>
    <mergeCell ref="G63:G64"/>
    <mergeCell ref="H63:H64"/>
  </mergeCells>
  <printOptions horizontalCentered="1"/>
  <pageMargins left="0.74803149606299213" right="0.74803149606299213" top="0.98425196850393704" bottom="0.98425196850393704" header="0.51181102362204722" footer="0.51181102362204722"/>
  <pageSetup scale="85"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18"/>
  <sheetViews>
    <sheetView view="pageBreakPreview" zoomScale="96" zoomScaleNormal="100" zoomScaleSheetLayoutView="96" workbookViewId="0">
      <selection activeCell="A4" sqref="A4"/>
    </sheetView>
  </sheetViews>
  <sheetFormatPr defaultColWidth="9.140625" defaultRowHeight="12.75" x14ac:dyDescent="0.2"/>
  <cols>
    <col min="1" max="1" width="9.140625" style="134"/>
    <col min="2" max="2" width="14.140625" style="35" customWidth="1"/>
    <col min="3" max="5" width="13.85546875" customWidth="1"/>
    <col min="6" max="6" width="13.7109375" customWidth="1"/>
    <col min="7" max="8" width="15.85546875" customWidth="1"/>
  </cols>
  <sheetData>
    <row r="1" spans="2:8" ht="30" customHeight="1" x14ac:dyDescent="0.2">
      <c r="B1" s="568" t="s">
        <v>706</v>
      </c>
      <c r="C1" s="569"/>
      <c r="D1" s="569"/>
      <c r="E1" s="569"/>
      <c r="F1" s="569"/>
      <c r="G1" s="569"/>
      <c r="H1" s="569"/>
    </row>
    <row r="2" spans="2:8" s="134" customFormat="1" ht="9" customHeight="1" thickBot="1" x14ac:dyDescent="0.25">
      <c r="B2" s="135"/>
    </row>
    <row r="3" spans="2:8" ht="17.25" customHeight="1" x14ac:dyDescent="0.2">
      <c r="B3" s="56" t="s">
        <v>262</v>
      </c>
      <c r="C3" s="590" t="s">
        <v>266</v>
      </c>
      <c r="D3" s="590"/>
      <c r="E3" s="590"/>
      <c r="F3" s="590"/>
      <c r="G3" s="656" t="s">
        <v>17</v>
      </c>
      <c r="H3" s="593" t="s">
        <v>294</v>
      </c>
    </row>
    <row r="4" spans="2:8" ht="18" customHeight="1" thickBot="1" x14ac:dyDescent="0.25">
      <c r="B4" s="137" t="s">
        <v>263</v>
      </c>
      <c r="C4" s="138" t="s">
        <v>295</v>
      </c>
      <c r="D4" s="138" t="s">
        <v>296</v>
      </c>
      <c r="E4" s="138" t="s">
        <v>297</v>
      </c>
      <c r="F4" s="138" t="s">
        <v>298</v>
      </c>
      <c r="G4" s="657"/>
      <c r="H4" s="594"/>
    </row>
    <row r="5" spans="2:8" ht="16.5" customHeight="1" x14ac:dyDescent="0.2">
      <c r="B5" s="29" t="s">
        <v>5</v>
      </c>
      <c r="C5" s="139">
        <v>28324</v>
      </c>
      <c r="D5" s="139">
        <v>1326391</v>
      </c>
      <c r="E5" s="139">
        <v>466820</v>
      </c>
      <c r="F5" s="139">
        <v>693</v>
      </c>
      <c r="G5" s="140">
        <v>1822228</v>
      </c>
      <c r="H5" s="144">
        <v>4.0399585714401001</v>
      </c>
    </row>
    <row r="6" spans="2:8" ht="16.5" customHeight="1" x14ac:dyDescent="0.2">
      <c r="B6" s="29" t="s">
        <v>6</v>
      </c>
      <c r="C6" s="139">
        <v>29232</v>
      </c>
      <c r="D6" s="139">
        <v>1117958</v>
      </c>
      <c r="E6" s="139">
        <v>442091</v>
      </c>
      <c r="F6" s="139">
        <v>589</v>
      </c>
      <c r="G6" s="140">
        <v>1589870</v>
      </c>
      <c r="H6" s="144">
        <v>3.524810799732784</v>
      </c>
    </row>
    <row r="7" spans="2:8" ht="16.5" customHeight="1" x14ac:dyDescent="0.2">
      <c r="B7" s="29" t="s">
        <v>7</v>
      </c>
      <c r="C7" s="139">
        <v>43655</v>
      </c>
      <c r="D7" s="139">
        <v>1415261</v>
      </c>
      <c r="E7" s="139">
        <v>639083</v>
      </c>
      <c r="F7" s="139">
        <v>868</v>
      </c>
      <c r="G7" s="140">
        <v>2098867</v>
      </c>
      <c r="H7" s="144">
        <v>4.6532792422039222</v>
      </c>
    </row>
    <row r="8" spans="2:8" ht="16.5" customHeight="1" x14ac:dyDescent="0.2">
      <c r="B8" s="29" t="s">
        <v>8</v>
      </c>
      <c r="C8" s="139">
        <v>76518</v>
      </c>
      <c r="D8" s="139">
        <v>2095131</v>
      </c>
      <c r="E8" s="139">
        <v>688790</v>
      </c>
      <c r="F8" s="139">
        <v>1399</v>
      </c>
      <c r="G8" s="140">
        <v>2861838</v>
      </c>
      <c r="H8" s="144">
        <v>6.3448190666442361</v>
      </c>
    </row>
    <row r="9" spans="2:8" ht="16.5" customHeight="1" x14ac:dyDescent="0.2">
      <c r="B9" s="29" t="s">
        <v>9</v>
      </c>
      <c r="C9" s="139">
        <v>135405</v>
      </c>
      <c r="D9" s="139">
        <v>3018726</v>
      </c>
      <c r="E9" s="139">
        <v>750653</v>
      </c>
      <c r="F9" s="139">
        <v>1260</v>
      </c>
      <c r="G9" s="140">
        <v>3906044</v>
      </c>
      <c r="H9" s="144">
        <v>8.6598690933418734</v>
      </c>
    </row>
    <row r="10" spans="2:8" ht="16.5" customHeight="1" x14ac:dyDescent="0.2">
      <c r="B10" s="29" t="s">
        <v>10</v>
      </c>
      <c r="C10" s="139">
        <v>155804</v>
      </c>
      <c r="D10" s="139">
        <v>3895750</v>
      </c>
      <c r="E10" s="139">
        <v>781249</v>
      </c>
      <c r="F10" s="139">
        <v>1489</v>
      </c>
      <c r="G10" s="140">
        <v>4834292</v>
      </c>
      <c r="H10" s="144">
        <v>10.717835200778556</v>
      </c>
    </row>
    <row r="11" spans="2:8" ht="16.5" customHeight="1" x14ac:dyDescent="0.2">
      <c r="B11" s="29" t="s">
        <v>11</v>
      </c>
      <c r="C11" s="139">
        <v>200282</v>
      </c>
      <c r="D11" s="139">
        <v>4632857</v>
      </c>
      <c r="E11" s="139">
        <v>944555</v>
      </c>
      <c r="F11" s="139">
        <v>2399</v>
      </c>
      <c r="G11" s="140">
        <v>5780093</v>
      </c>
      <c r="H11" s="144">
        <v>12.81471707111894</v>
      </c>
    </row>
    <row r="12" spans="2:8" ht="16.5" customHeight="1" x14ac:dyDescent="0.2">
      <c r="B12" s="29" t="s">
        <v>12</v>
      </c>
      <c r="C12" s="139">
        <v>232450</v>
      </c>
      <c r="D12" s="139">
        <v>5418009</v>
      </c>
      <c r="E12" s="139">
        <v>1457954</v>
      </c>
      <c r="F12" s="139">
        <v>5011</v>
      </c>
      <c r="G12" s="140">
        <v>7113424</v>
      </c>
      <c r="H12" s="144">
        <v>15.770769772546423</v>
      </c>
    </row>
    <row r="13" spans="2:8" ht="16.5" customHeight="1" x14ac:dyDescent="0.2">
      <c r="B13" s="29" t="s">
        <v>13</v>
      </c>
      <c r="C13" s="139">
        <v>198666</v>
      </c>
      <c r="D13" s="139">
        <v>4472025</v>
      </c>
      <c r="E13" s="139">
        <v>1052026</v>
      </c>
      <c r="F13" s="139">
        <v>4038</v>
      </c>
      <c r="G13" s="140">
        <v>5726755</v>
      </c>
      <c r="H13" s="144">
        <v>12.696464409935228</v>
      </c>
    </row>
    <row r="14" spans="2:8" ht="16.5" customHeight="1" x14ac:dyDescent="0.2">
      <c r="B14" s="29" t="s">
        <v>14</v>
      </c>
      <c r="C14" s="139">
        <v>138992</v>
      </c>
      <c r="D14" s="139">
        <v>3970669</v>
      </c>
      <c r="E14" s="139">
        <v>788454</v>
      </c>
      <c r="F14" s="139">
        <v>3054</v>
      </c>
      <c r="G14" s="140">
        <v>4901169</v>
      </c>
      <c r="H14" s="144">
        <v>10.8661044126347</v>
      </c>
    </row>
    <row r="15" spans="2:8" ht="16.5" customHeight="1" x14ac:dyDescent="0.2">
      <c r="B15" s="29" t="s">
        <v>15</v>
      </c>
      <c r="C15" s="139">
        <v>66547</v>
      </c>
      <c r="D15" s="139">
        <v>1789890</v>
      </c>
      <c r="E15" s="139">
        <v>661305</v>
      </c>
      <c r="F15" s="139">
        <v>2202</v>
      </c>
      <c r="G15" s="140">
        <v>2519944</v>
      </c>
      <c r="H15" s="144">
        <v>5.5868252284286335</v>
      </c>
    </row>
    <row r="16" spans="2:8" ht="16.5" customHeight="1" thickBot="1" x14ac:dyDescent="0.25">
      <c r="B16" s="29" t="s">
        <v>16</v>
      </c>
      <c r="C16" s="139">
        <v>59317</v>
      </c>
      <c r="D16" s="139">
        <v>1277548</v>
      </c>
      <c r="E16" s="139">
        <v>611690</v>
      </c>
      <c r="F16" s="139">
        <v>2037</v>
      </c>
      <c r="G16" s="140">
        <v>1950592</v>
      </c>
      <c r="H16" s="144">
        <v>4.324547131194608</v>
      </c>
    </row>
    <row r="17" spans="2:8" ht="16.5" customHeight="1" thickBot="1" x14ac:dyDescent="0.25">
      <c r="B17" s="40" t="s">
        <v>17</v>
      </c>
      <c r="C17" s="141">
        <v>1365192</v>
      </c>
      <c r="D17" s="141">
        <v>34430215</v>
      </c>
      <c r="E17" s="141">
        <v>9284670</v>
      </c>
      <c r="F17" s="141">
        <v>25039</v>
      </c>
      <c r="G17" s="141">
        <v>45105116</v>
      </c>
      <c r="H17" s="145">
        <v>100</v>
      </c>
    </row>
    <row r="18" spans="2:8" ht="16.5" customHeight="1" thickBot="1" x14ac:dyDescent="0.25">
      <c r="B18" s="58" t="s">
        <v>294</v>
      </c>
      <c r="C18" s="143">
        <v>3.0266899213827538</v>
      </c>
      <c r="D18" s="143">
        <v>76.333281129351263</v>
      </c>
      <c r="E18" s="143">
        <v>20.584516399425734</v>
      </c>
      <c r="F18" s="143">
        <v>5.5512549840244285E-2</v>
      </c>
      <c r="G18" s="143">
        <v>100</v>
      </c>
      <c r="H18" s="142"/>
    </row>
  </sheetData>
  <mergeCells count="4">
    <mergeCell ref="B1:H1"/>
    <mergeCell ref="C3:F3"/>
    <mergeCell ref="G3:G4"/>
    <mergeCell ref="H3:H4"/>
  </mergeCells>
  <printOptions horizontalCentered="1"/>
  <pageMargins left="0.51181102362204722" right="0.51181102362204722" top="0.98425196850393704" bottom="0.98425196850393704" header="0.51181102362204722" footer="0.51181102362204722"/>
  <pageSetup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view="pageBreakPreview" zoomScaleNormal="100" zoomScaleSheetLayoutView="100" workbookViewId="0">
      <selection activeCell="E8" sqref="E8"/>
    </sheetView>
  </sheetViews>
  <sheetFormatPr defaultRowHeight="12.75" x14ac:dyDescent="0.2"/>
  <cols>
    <col min="1" max="1" width="102" style="147" customWidth="1"/>
    <col min="2" max="16384" width="9.140625" style="147"/>
  </cols>
  <sheetData>
    <row r="1" spans="1:1" ht="18.75" x14ac:dyDescent="0.2">
      <c r="A1" s="181" t="s">
        <v>559</v>
      </c>
    </row>
    <row r="2" spans="1:1" ht="15" x14ac:dyDescent="0.2">
      <c r="A2" s="182"/>
    </row>
    <row r="3" spans="1:1" ht="105.75" customHeight="1" x14ac:dyDescent="0.2">
      <c r="A3" s="183" t="s">
        <v>560</v>
      </c>
    </row>
    <row r="4" spans="1:1" ht="15" x14ac:dyDescent="0.2">
      <c r="A4" s="182"/>
    </row>
    <row r="5" spans="1:1" ht="14.25" x14ac:dyDescent="0.2">
      <c r="A5" s="184"/>
    </row>
    <row r="6" spans="1:1" ht="18.75" x14ac:dyDescent="0.2">
      <c r="A6" s="181" t="s">
        <v>561</v>
      </c>
    </row>
    <row r="7" spans="1:1" ht="15" x14ac:dyDescent="0.2">
      <c r="A7" s="182"/>
    </row>
    <row r="8" spans="1:1" x14ac:dyDescent="0.2">
      <c r="A8" s="549" t="s">
        <v>562</v>
      </c>
    </row>
    <row r="9" spans="1:1" ht="12.75" customHeight="1" x14ac:dyDescent="0.2">
      <c r="A9" s="549"/>
    </row>
    <row r="10" spans="1:1" ht="12.75" customHeight="1" x14ac:dyDescent="0.2">
      <c r="A10" s="549"/>
    </row>
    <row r="11" spans="1:1" ht="12.75" customHeight="1" x14ac:dyDescent="0.2">
      <c r="A11" s="549"/>
    </row>
    <row r="12" spans="1:1" ht="12.75" customHeight="1" x14ac:dyDescent="0.2">
      <c r="A12" s="549"/>
    </row>
    <row r="13" spans="1:1" ht="12.75" customHeight="1" x14ac:dyDescent="0.2">
      <c r="A13" s="549"/>
    </row>
    <row r="14" spans="1:1" ht="12.75" customHeight="1" x14ac:dyDescent="0.2">
      <c r="A14" s="549"/>
    </row>
    <row r="15" spans="1:1" ht="12.75" customHeight="1" x14ac:dyDescent="0.2">
      <c r="A15" s="549"/>
    </row>
    <row r="16" spans="1:1" ht="12.75" customHeight="1" x14ac:dyDescent="0.2">
      <c r="A16" s="549"/>
    </row>
    <row r="17" spans="1:1" ht="12.75" customHeight="1" x14ac:dyDescent="0.2">
      <c r="A17" s="549"/>
    </row>
    <row r="18" spans="1:1" ht="12.75" customHeight="1" x14ac:dyDescent="0.2">
      <c r="A18" s="549"/>
    </row>
    <row r="19" spans="1:1" ht="21.75" customHeight="1" x14ac:dyDescent="0.2">
      <c r="A19" s="549"/>
    </row>
  </sheetData>
  <mergeCells count="1">
    <mergeCell ref="A8:A19"/>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66"/>
  <sheetViews>
    <sheetView view="pageBreakPreview" zoomScale="93" zoomScaleNormal="100" zoomScaleSheetLayoutView="93" workbookViewId="0">
      <selection activeCell="A4" sqref="A4"/>
    </sheetView>
  </sheetViews>
  <sheetFormatPr defaultColWidth="9.140625" defaultRowHeight="12.75" x14ac:dyDescent="0.2"/>
  <cols>
    <col min="1" max="1" width="9.140625" style="134"/>
    <col min="2" max="2" width="16.28515625" style="35" customWidth="1"/>
    <col min="3" max="8" width="13" customWidth="1"/>
  </cols>
  <sheetData>
    <row r="1" spans="2:8" ht="30" customHeight="1" x14ac:dyDescent="0.2">
      <c r="B1" s="568" t="s">
        <v>707</v>
      </c>
      <c r="C1" s="569"/>
      <c r="D1" s="569"/>
      <c r="E1" s="569"/>
      <c r="F1" s="569"/>
      <c r="G1" s="569"/>
      <c r="H1" s="569"/>
    </row>
    <row r="2" spans="2:8" s="134" customFormat="1" ht="12" customHeight="1" x14ac:dyDescent="0.2">
      <c r="B2" s="292"/>
      <c r="C2" s="290"/>
      <c r="D2" s="290"/>
      <c r="E2" s="290"/>
      <c r="F2" s="290"/>
      <c r="G2" s="290"/>
      <c r="H2" s="290"/>
    </row>
    <row r="3" spans="2:8" ht="15" customHeight="1" x14ac:dyDescent="0.2">
      <c r="B3" s="280" t="s">
        <v>262</v>
      </c>
      <c r="C3" s="658" t="s">
        <v>266</v>
      </c>
      <c r="D3" s="658"/>
      <c r="E3" s="658"/>
      <c r="F3" s="658"/>
      <c r="G3" s="280"/>
      <c r="H3" s="280"/>
    </row>
    <row r="4" spans="2:8" ht="15" customHeight="1" x14ac:dyDescent="0.2">
      <c r="B4" s="289" t="s">
        <v>299</v>
      </c>
      <c r="C4" s="146" t="s">
        <v>295</v>
      </c>
      <c r="D4" s="146" t="s">
        <v>296</v>
      </c>
      <c r="E4" s="146" t="s">
        <v>297</v>
      </c>
      <c r="F4" s="146" t="s">
        <v>298</v>
      </c>
      <c r="G4" s="303" t="s">
        <v>17</v>
      </c>
      <c r="H4" s="288" t="s">
        <v>294</v>
      </c>
    </row>
    <row r="5" spans="2:8" ht="15" customHeight="1" x14ac:dyDescent="0.2">
      <c r="B5" s="29" t="s">
        <v>300</v>
      </c>
      <c r="C5" s="55">
        <v>2564</v>
      </c>
      <c r="D5" s="55">
        <v>130463</v>
      </c>
      <c r="E5" s="55"/>
      <c r="F5" s="55"/>
      <c r="G5" s="302">
        <v>133027</v>
      </c>
      <c r="H5" s="291">
        <v>0.29492663315620338</v>
      </c>
    </row>
    <row r="6" spans="2:8" ht="15" customHeight="1" x14ac:dyDescent="0.2">
      <c r="B6" s="29" t="s">
        <v>301</v>
      </c>
      <c r="C6" s="55"/>
      <c r="D6" s="55">
        <v>2</v>
      </c>
      <c r="E6" s="55"/>
      <c r="F6" s="55"/>
      <c r="G6" s="302">
        <v>2</v>
      </c>
      <c r="H6" s="291">
        <v>4.4340868117931457E-6</v>
      </c>
    </row>
    <row r="7" spans="2:8" ht="15" customHeight="1" x14ac:dyDescent="0.2">
      <c r="B7" s="29" t="s">
        <v>302</v>
      </c>
      <c r="C7" s="55"/>
      <c r="D7" s="55">
        <v>0</v>
      </c>
      <c r="E7" s="55">
        <v>392679</v>
      </c>
      <c r="F7" s="55"/>
      <c r="G7" s="302">
        <v>392679</v>
      </c>
      <c r="H7" s="291">
        <v>0.87058638758406026</v>
      </c>
    </row>
    <row r="8" spans="2:8" ht="15" customHeight="1" x14ac:dyDescent="0.2">
      <c r="B8" s="29" t="s">
        <v>303</v>
      </c>
      <c r="C8" s="55"/>
      <c r="D8" s="55">
        <v>27</v>
      </c>
      <c r="E8" s="55"/>
      <c r="F8" s="55"/>
      <c r="G8" s="302">
        <v>27</v>
      </c>
      <c r="H8" s="291">
        <v>5.9860171959207466E-5</v>
      </c>
    </row>
    <row r="9" spans="2:8" ht="15" customHeight="1" x14ac:dyDescent="0.2">
      <c r="B9" s="29" t="s">
        <v>304</v>
      </c>
      <c r="C9" s="55"/>
      <c r="D9" s="55">
        <v>553404</v>
      </c>
      <c r="E9" s="55"/>
      <c r="F9" s="55"/>
      <c r="G9" s="302">
        <v>553404</v>
      </c>
      <c r="H9" s="291">
        <v>1.226920688996787</v>
      </c>
    </row>
    <row r="10" spans="2:8" ht="15" customHeight="1" x14ac:dyDescent="0.2">
      <c r="B10" s="29" t="s">
        <v>305</v>
      </c>
      <c r="C10" s="55">
        <v>45092</v>
      </c>
      <c r="D10" s="55">
        <v>14581796</v>
      </c>
      <c r="E10" s="55"/>
      <c r="F10" s="55"/>
      <c r="G10" s="302">
        <v>14626888</v>
      </c>
      <c r="H10" s="291">
        <v>32.42844558918771</v>
      </c>
    </row>
    <row r="11" spans="2:8" ht="15" customHeight="1" x14ac:dyDescent="0.2">
      <c r="B11" s="29" t="s">
        <v>306</v>
      </c>
      <c r="C11" s="55"/>
      <c r="D11" s="55"/>
      <c r="E11" s="55">
        <v>77230</v>
      </c>
      <c r="F11" s="55"/>
      <c r="G11" s="302">
        <v>77230</v>
      </c>
      <c r="H11" s="291">
        <v>0.17122226223739231</v>
      </c>
    </row>
    <row r="12" spans="2:8" ht="15" customHeight="1" x14ac:dyDescent="0.2">
      <c r="B12" s="29" t="s">
        <v>307</v>
      </c>
      <c r="C12" s="55">
        <v>954</v>
      </c>
      <c r="D12" s="55">
        <v>1117</v>
      </c>
      <c r="E12" s="55">
        <v>2327927</v>
      </c>
      <c r="F12" s="55"/>
      <c r="G12" s="302">
        <v>2329998</v>
      </c>
      <c r="H12" s="291">
        <v>5.1657067016522031</v>
      </c>
    </row>
    <row r="13" spans="2:8" ht="15" customHeight="1" x14ac:dyDescent="0.2">
      <c r="B13" s="29" t="s">
        <v>308</v>
      </c>
      <c r="C13" s="55">
        <v>195932</v>
      </c>
      <c r="D13" s="55"/>
      <c r="E13" s="55"/>
      <c r="F13" s="55"/>
      <c r="G13" s="302">
        <v>195932</v>
      </c>
      <c r="H13" s="291">
        <v>0.43438974860412732</v>
      </c>
    </row>
    <row r="14" spans="2:8" ht="15" customHeight="1" x14ac:dyDescent="0.2">
      <c r="B14" s="29" t="s">
        <v>309</v>
      </c>
      <c r="C14" s="55">
        <v>48001</v>
      </c>
      <c r="D14" s="55">
        <v>51</v>
      </c>
      <c r="E14" s="55"/>
      <c r="F14" s="55"/>
      <c r="G14" s="302">
        <v>48052</v>
      </c>
      <c r="H14" s="291">
        <v>0.10653336974014212</v>
      </c>
    </row>
    <row r="15" spans="2:8" ht="15" customHeight="1" x14ac:dyDescent="0.2">
      <c r="B15" s="29" t="s">
        <v>310</v>
      </c>
      <c r="C15" s="55">
        <v>897</v>
      </c>
      <c r="D15" s="55"/>
      <c r="E15" s="55"/>
      <c r="F15" s="55"/>
      <c r="G15" s="302">
        <v>897</v>
      </c>
      <c r="H15" s="291">
        <v>1.9886879350892259E-3</v>
      </c>
    </row>
    <row r="16" spans="2:8" ht="15" customHeight="1" x14ac:dyDescent="0.2">
      <c r="B16" s="29" t="s">
        <v>311</v>
      </c>
      <c r="C16" s="55"/>
      <c r="D16" s="55">
        <v>2</v>
      </c>
      <c r="E16" s="55"/>
      <c r="F16" s="55"/>
      <c r="G16" s="302">
        <v>2</v>
      </c>
      <c r="H16" s="291">
        <v>4.4340868117931457E-6</v>
      </c>
    </row>
    <row r="17" spans="2:8" ht="15" customHeight="1" x14ac:dyDescent="0.2">
      <c r="B17" s="29" t="s">
        <v>312</v>
      </c>
      <c r="C17" s="55">
        <v>8409</v>
      </c>
      <c r="D17" s="55">
        <v>1121</v>
      </c>
      <c r="E17" s="55"/>
      <c r="F17" s="55"/>
      <c r="G17" s="302">
        <v>9530</v>
      </c>
      <c r="H17" s="291">
        <v>2.112842365819434E-2</v>
      </c>
    </row>
    <row r="18" spans="2:8" ht="15" customHeight="1" x14ac:dyDescent="0.2">
      <c r="B18" s="29" t="s">
        <v>313</v>
      </c>
      <c r="C18" s="55">
        <v>6931</v>
      </c>
      <c r="D18" s="55">
        <v>965</v>
      </c>
      <c r="E18" s="55"/>
      <c r="F18" s="55"/>
      <c r="G18" s="302">
        <v>7896</v>
      </c>
      <c r="H18" s="291">
        <v>1.7505774732959337E-2</v>
      </c>
    </row>
    <row r="19" spans="2:8" ht="15" customHeight="1" x14ac:dyDescent="0.2">
      <c r="B19" s="29" t="s">
        <v>314</v>
      </c>
      <c r="C19" s="55"/>
      <c r="D19" s="55">
        <v>58582</v>
      </c>
      <c r="E19" s="55"/>
      <c r="F19" s="55"/>
      <c r="G19" s="302">
        <v>58582</v>
      </c>
      <c r="H19" s="291">
        <v>0.12987883680423304</v>
      </c>
    </row>
    <row r="20" spans="2:8" ht="15" customHeight="1" x14ac:dyDescent="0.2">
      <c r="B20" s="29" t="s">
        <v>315</v>
      </c>
      <c r="C20" s="55"/>
      <c r="D20" s="55">
        <v>20424</v>
      </c>
      <c r="E20" s="55"/>
      <c r="F20" s="55"/>
      <c r="G20" s="302">
        <v>20424</v>
      </c>
      <c r="H20" s="291">
        <v>4.5280894522031601E-2</v>
      </c>
    </row>
    <row r="21" spans="2:8" ht="15" customHeight="1" x14ac:dyDescent="0.2">
      <c r="B21" s="29" t="s">
        <v>316</v>
      </c>
      <c r="C21" s="55"/>
      <c r="D21" s="55"/>
      <c r="E21" s="55">
        <v>4273557</v>
      </c>
      <c r="F21" s="55">
        <v>16921</v>
      </c>
      <c r="G21" s="302">
        <v>4290478</v>
      </c>
      <c r="H21" s="291">
        <v>9.512175958044315</v>
      </c>
    </row>
    <row r="22" spans="2:8" ht="15" customHeight="1" x14ac:dyDescent="0.2">
      <c r="B22" s="29" t="s">
        <v>317</v>
      </c>
      <c r="C22" s="55"/>
      <c r="D22" s="55">
        <v>8973</v>
      </c>
      <c r="E22" s="55"/>
      <c r="F22" s="55"/>
      <c r="G22" s="302">
        <v>8973</v>
      </c>
      <c r="H22" s="291">
        <v>1.9893530481109947E-2</v>
      </c>
    </row>
    <row r="23" spans="2:8" ht="15" customHeight="1" x14ac:dyDescent="0.2">
      <c r="B23" s="29" t="s">
        <v>318</v>
      </c>
      <c r="C23" s="55"/>
      <c r="D23" s="55">
        <v>15</v>
      </c>
      <c r="E23" s="55"/>
      <c r="F23" s="55"/>
      <c r="G23" s="302">
        <v>15</v>
      </c>
      <c r="H23" s="291">
        <v>3.325565108844859E-5</v>
      </c>
    </row>
    <row r="24" spans="2:8" ht="15" customHeight="1" x14ac:dyDescent="0.2">
      <c r="B24" s="29" t="s">
        <v>319</v>
      </c>
      <c r="C24" s="55"/>
      <c r="D24" s="55">
        <v>2205</v>
      </c>
      <c r="E24" s="55"/>
      <c r="F24" s="55"/>
      <c r="G24" s="302">
        <v>2205</v>
      </c>
      <c r="H24" s="291">
        <v>4.8885807100019427E-3</v>
      </c>
    </row>
    <row r="25" spans="2:8" ht="15" customHeight="1" x14ac:dyDescent="0.2">
      <c r="B25" s="29" t="s">
        <v>320</v>
      </c>
      <c r="C25" s="55"/>
      <c r="D25" s="55">
        <v>28521</v>
      </c>
      <c r="E25" s="55"/>
      <c r="F25" s="55"/>
      <c r="G25" s="302">
        <v>28521</v>
      </c>
      <c r="H25" s="291">
        <v>6.3232294979576151E-2</v>
      </c>
    </row>
    <row r="26" spans="2:8" ht="15" customHeight="1" x14ac:dyDescent="0.2">
      <c r="B26" s="29" t="s">
        <v>321</v>
      </c>
      <c r="C26" s="55"/>
      <c r="D26" s="55">
        <v>58953</v>
      </c>
      <c r="E26" s="55">
        <v>72868</v>
      </c>
      <c r="F26" s="55"/>
      <c r="G26" s="302">
        <v>131821</v>
      </c>
      <c r="H26" s="291">
        <v>0.29225287880869211</v>
      </c>
    </row>
    <row r="27" spans="2:8" ht="15" customHeight="1" x14ac:dyDescent="0.2">
      <c r="B27" s="29" t="s">
        <v>322</v>
      </c>
      <c r="C27" s="55">
        <v>6738</v>
      </c>
      <c r="D27" s="55"/>
      <c r="E27" s="55"/>
      <c r="F27" s="55"/>
      <c r="G27" s="302">
        <v>6738</v>
      </c>
      <c r="H27" s="291">
        <v>1.4938438468931108E-2</v>
      </c>
    </row>
    <row r="28" spans="2:8" ht="15" customHeight="1" x14ac:dyDescent="0.2">
      <c r="B28" s="29" t="s">
        <v>323</v>
      </c>
      <c r="C28" s="55"/>
      <c r="D28" s="55"/>
      <c r="E28" s="55">
        <v>114562</v>
      </c>
      <c r="F28" s="55"/>
      <c r="G28" s="302">
        <v>114562</v>
      </c>
      <c r="H28" s="291">
        <v>0.25398892666632317</v>
      </c>
    </row>
    <row r="29" spans="2:8" ht="15" customHeight="1" x14ac:dyDescent="0.2">
      <c r="B29" s="29" t="s">
        <v>324</v>
      </c>
      <c r="C29" s="55">
        <v>33005</v>
      </c>
      <c r="D29" s="55">
        <v>26945</v>
      </c>
      <c r="E29" s="55">
        <v>202927</v>
      </c>
      <c r="F29" s="55"/>
      <c r="G29" s="302">
        <v>262877</v>
      </c>
      <c r="H29" s="291">
        <v>0.58280971941187332</v>
      </c>
    </row>
    <row r="30" spans="2:8" ht="15" customHeight="1" x14ac:dyDescent="0.2">
      <c r="B30" s="29" t="s">
        <v>325</v>
      </c>
      <c r="C30" s="55"/>
      <c r="D30" s="55">
        <v>1054</v>
      </c>
      <c r="E30" s="55">
        <v>255723</v>
      </c>
      <c r="F30" s="55"/>
      <c r="G30" s="302">
        <v>256777</v>
      </c>
      <c r="H30" s="291">
        <v>0.56928575463590425</v>
      </c>
    </row>
    <row r="31" spans="2:8" ht="15" customHeight="1" x14ac:dyDescent="0.2">
      <c r="B31" s="29" t="s">
        <v>326</v>
      </c>
      <c r="C31" s="55"/>
      <c r="D31" s="55">
        <v>35208</v>
      </c>
      <c r="E31" s="55"/>
      <c r="F31" s="55"/>
      <c r="G31" s="302">
        <v>35208</v>
      </c>
      <c r="H31" s="291">
        <v>7.8057664234806534E-2</v>
      </c>
    </row>
    <row r="32" spans="2:8" ht="15" customHeight="1" x14ac:dyDescent="0.2">
      <c r="B32" s="29" t="s">
        <v>327</v>
      </c>
      <c r="C32" s="55">
        <v>48614</v>
      </c>
      <c r="D32" s="55">
        <v>14852813</v>
      </c>
      <c r="E32" s="55"/>
      <c r="F32" s="55"/>
      <c r="G32" s="302">
        <v>14901427</v>
      </c>
      <c r="H32" s="291">
        <v>33.037110468799149</v>
      </c>
    </row>
    <row r="33" spans="2:8" ht="15" customHeight="1" x14ac:dyDescent="0.2">
      <c r="B33" s="29" t="s">
        <v>328</v>
      </c>
      <c r="C33" s="55">
        <v>112377</v>
      </c>
      <c r="D33" s="55">
        <v>1113819</v>
      </c>
      <c r="E33" s="55"/>
      <c r="F33" s="55"/>
      <c r="G33" s="302">
        <v>1226196</v>
      </c>
      <c r="H33" s="291">
        <v>2.7185297561367538</v>
      </c>
    </row>
    <row r="34" spans="2:8" ht="15" customHeight="1" x14ac:dyDescent="0.2">
      <c r="B34" s="29" t="s">
        <v>329</v>
      </c>
      <c r="C34" s="55"/>
      <c r="D34" s="55">
        <v>7</v>
      </c>
      <c r="E34" s="55"/>
      <c r="F34" s="55"/>
      <c r="G34" s="302">
        <v>7</v>
      </c>
      <c r="H34" s="291">
        <v>1.551930384127601E-5</v>
      </c>
    </row>
    <row r="35" spans="2:8" ht="15" customHeight="1" x14ac:dyDescent="0.2">
      <c r="B35" s="29" t="s">
        <v>330</v>
      </c>
      <c r="C35" s="55"/>
      <c r="D35" s="55">
        <v>65</v>
      </c>
      <c r="E35" s="55"/>
      <c r="F35" s="55">
        <v>2</v>
      </c>
      <c r="G35" s="302">
        <v>67</v>
      </c>
      <c r="H35" s="291">
        <v>1.4854190819507039E-4</v>
      </c>
    </row>
    <row r="36" spans="2:8" ht="15" customHeight="1" x14ac:dyDescent="0.2">
      <c r="B36" s="29" t="s">
        <v>331</v>
      </c>
      <c r="C36" s="55">
        <v>805</v>
      </c>
      <c r="D36" s="55">
        <v>41</v>
      </c>
      <c r="E36" s="55"/>
      <c r="F36" s="55"/>
      <c r="G36" s="302">
        <v>846</v>
      </c>
      <c r="H36" s="291">
        <v>1.8756187213885005E-3</v>
      </c>
    </row>
    <row r="37" spans="2:8" ht="15" customHeight="1" x14ac:dyDescent="0.2">
      <c r="B37" s="29" t="s">
        <v>332</v>
      </c>
      <c r="C37" s="55"/>
      <c r="D37" s="55">
        <v>91784</v>
      </c>
      <c r="E37" s="55"/>
      <c r="F37" s="55"/>
      <c r="G37" s="302">
        <v>91784</v>
      </c>
      <c r="H37" s="291">
        <v>0.20348911196681105</v>
      </c>
    </row>
    <row r="38" spans="2:8" ht="15" customHeight="1" x14ac:dyDescent="0.2">
      <c r="B38" s="29" t="s">
        <v>333</v>
      </c>
      <c r="C38" s="55">
        <v>1</v>
      </c>
      <c r="D38" s="55"/>
      <c r="E38" s="55">
        <v>518738</v>
      </c>
      <c r="F38" s="55"/>
      <c r="G38" s="302">
        <v>518739</v>
      </c>
      <c r="H38" s="291">
        <v>1.1500668793313822</v>
      </c>
    </row>
    <row r="39" spans="2:8" ht="15" customHeight="1" x14ac:dyDescent="0.2">
      <c r="B39" s="29" t="s">
        <v>334</v>
      </c>
      <c r="C39" s="55"/>
      <c r="D39" s="55"/>
      <c r="E39" s="55">
        <v>159402</v>
      </c>
      <c r="F39" s="55">
        <v>1</v>
      </c>
      <c r="G39" s="302">
        <v>159403</v>
      </c>
      <c r="H39" s="291">
        <v>0.35340337003013139</v>
      </c>
    </row>
    <row r="40" spans="2:8" ht="15" customHeight="1" x14ac:dyDescent="0.2">
      <c r="B40" s="29" t="s">
        <v>335</v>
      </c>
      <c r="C40" s="55">
        <v>68083</v>
      </c>
      <c r="D40" s="55">
        <v>124</v>
      </c>
      <c r="E40" s="55"/>
      <c r="F40" s="55"/>
      <c r="G40" s="302">
        <v>68207</v>
      </c>
      <c r="H40" s="291">
        <v>0.15121787958598754</v>
      </c>
    </row>
    <row r="41" spans="2:8" ht="15" customHeight="1" x14ac:dyDescent="0.2">
      <c r="B41" s="29" t="s">
        <v>336</v>
      </c>
      <c r="C41" s="55"/>
      <c r="D41" s="55">
        <v>27923</v>
      </c>
      <c r="E41" s="55"/>
      <c r="F41" s="55"/>
      <c r="G41" s="302">
        <v>27923</v>
      </c>
      <c r="H41" s="291">
        <v>6.1906503022850001E-2</v>
      </c>
    </row>
    <row r="42" spans="2:8" ht="15" customHeight="1" x14ac:dyDescent="0.2">
      <c r="B42" s="29" t="s">
        <v>337</v>
      </c>
      <c r="C42" s="55"/>
      <c r="D42" s="55">
        <v>2844</v>
      </c>
      <c r="E42" s="55"/>
      <c r="F42" s="55"/>
      <c r="G42" s="302">
        <v>2844</v>
      </c>
      <c r="H42" s="291">
        <v>6.3052714463698529E-3</v>
      </c>
    </row>
    <row r="43" spans="2:8" ht="15" customHeight="1" x14ac:dyDescent="0.2">
      <c r="B43" s="29" t="s">
        <v>338</v>
      </c>
      <c r="C43" s="55"/>
      <c r="D43" s="55">
        <v>2115</v>
      </c>
      <c r="E43" s="55"/>
      <c r="F43" s="55"/>
      <c r="G43" s="302">
        <v>2115</v>
      </c>
      <c r="H43" s="291">
        <v>4.6890468034712519E-3</v>
      </c>
    </row>
    <row r="44" spans="2:8" ht="15" customHeight="1" x14ac:dyDescent="0.2">
      <c r="B44" s="29" t="s">
        <v>339</v>
      </c>
      <c r="C44" s="55"/>
      <c r="D44" s="55">
        <v>4</v>
      </c>
      <c r="E44" s="55"/>
      <c r="F44" s="55"/>
      <c r="G44" s="302">
        <v>4</v>
      </c>
      <c r="H44" s="291">
        <v>8.8681736235862914E-6</v>
      </c>
    </row>
    <row r="45" spans="2:8" ht="15" customHeight="1" x14ac:dyDescent="0.2">
      <c r="B45" s="29" t="s">
        <v>340</v>
      </c>
      <c r="C45" s="55">
        <v>88180</v>
      </c>
      <c r="D45" s="55"/>
      <c r="E45" s="55"/>
      <c r="F45" s="55"/>
      <c r="G45" s="302">
        <v>88180</v>
      </c>
      <c r="H45" s="291">
        <v>0.19549888753195979</v>
      </c>
    </row>
    <row r="46" spans="2:8" ht="15" customHeight="1" x14ac:dyDescent="0.2">
      <c r="B46" s="29" t="s">
        <v>341</v>
      </c>
      <c r="C46" s="55">
        <v>601934</v>
      </c>
      <c r="D46" s="55">
        <v>2603886</v>
      </c>
      <c r="E46" s="55"/>
      <c r="F46" s="55"/>
      <c r="G46" s="302">
        <v>3205820</v>
      </c>
      <c r="H46" s="291">
        <v>7.1074420914913512</v>
      </c>
    </row>
    <row r="47" spans="2:8" ht="15" customHeight="1" x14ac:dyDescent="0.2">
      <c r="B47" s="29" t="s">
        <v>342</v>
      </c>
      <c r="C47" s="55"/>
      <c r="D47" s="55">
        <v>167</v>
      </c>
      <c r="E47" s="55"/>
      <c r="F47" s="55"/>
      <c r="G47" s="302">
        <v>167</v>
      </c>
      <c r="H47" s="291">
        <v>3.7024624878472765E-4</v>
      </c>
    </row>
    <row r="48" spans="2:8" ht="15" customHeight="1" x14ac:dyDescent="0.2">
      <c r="B48" s="29" t="s">
        <v>343</v>
      </c>
      <c r="C48" s="55"/>
      <c r="D48" s="55">
        <v>870</v>
      </c>
      <c r="E48" s="55"/>
      <c r="F48" s="55"/>
      <c r="G48" s="302">
        <v>870</v>
      </c>
      <c r="H48" s="291">
        <v>1.9288277631300183E-3</v>
      </c>
    </row>
    <row r="49" spans="2:8" ht="15" customHeight="1" x14ac:dyDescent="0.2">
      <c r="B49" s="29" t="s">
        <v>344</v>
      </c>
      <c r="C49" s="55">
        <v>2084</v>
      </c>
      <c r="D49" s="55">
        <v>6574</v>
      </c>
      <c r="E49" s="55"/>
      <c r="F49" s="55"/>
      <c r="G49" s="302">
        <v>8658</v>
      </c>
      <c r="H49" s="291">
        <v>1.9195161808252526E-2</v>
      </c>
    </row>
    <row r="50" spans="2:8" ht="15" customHeight="1" x14ac:dyDescent="0.2">
      <c r="B50" s="29" t="s">
        <v>345</v>
      </c>
      <c r="C50" s="55">
        <v>8</v>
      </c>
      <c r="D50" s="55"/>
      <c r="E50" s="55"/>
      <c r="F50" s="55"/>
      <c r="G50" s="302">
        <v>8</v>
      </c>
      <c r="H50" s="291">
        <v>1.7736347247172583E-5</v>
      </c>
    </row>
    <row r="51" spans="2:8" ht="15" customHeight="1" x14ac:dyDescent="0.2">
      <c r="B51" s="29" t="s">
        <v>346</v>
      </c>
      <c r="C51" s="55">
        <v>9080</v>
      </c>
      <c r="D51" s="55"/>
      <c r="E51" s="55"/>
      <c r="F51" s="55"/>
      <c r="G51" s="302">
        <v>9080</v>
      </c>
      <c r="H51" s="291">
        <v>2.013075412554088E-2</v>
      </c>
    </row>
    <row r="52" spans="2:8" ht="15" customHeight="1" x14ac:dyDescent="0.2">
      <c r="B52" s="29" t="s">
        <v>347</v>
      </c>
      <c r="C52" s="55">
        <v>31570</v>
      </c>
      <c r="D52" s="55">
        <v>41829</v>
      </c>
      <c r="E52" s="55"/>
      <c r="F52" s="55"/>
      <c r="G52" s="302">
        <v>73399</v>
      </c>
      <c r="H52" s="291">
        <v>0.16272876894940255</v>
      </c>
    </row>
    <row r="53" spans="2:8" ht="15" customHeight="1" x14ac:dyDescent="0.2">
      <c r="B53" s="29" t="s">
        <v>348</v>
      </c>
      <c r="C53" s="55">
        <v>66</v>
      </c>
      <c r="D53" s="55">
        <v>36</v>
      </c>
      <c r="E53" s="55"/>
      <c r="F53" s="55"/>
      <c r="G53" s="302">
        <v>102</v>
      </c>
      <c r="H53" s="291">
        <v>2.2613842740145044E-4</v>
      </c>
    </row>
    <row r="54" spans="2:8" ht="15" customHeight="1" x14ac:dyDescent="0.2">
      <c r="B54" s="29" t="s">
        <v>349</v>
      </c>
      <c r="C54" s="55"/>
      <c r="D54" s="55">
        <v>429</v>
      </c>
      <c r="E54" s="55"/>
      <c r="F54" s="55"/>
      <c r="G54" s="302">
        <v>429</v>
      </c>
      <c r="H54" s="291">
        <v>9.5111162112962975E-4</v>
      </c>
    </row>
    <row r="55" spans="2:8" ht="15" customHeight="1" x14ac:dyDescent="0.2">
      <c r="B55" s="29" t="s">
        <v>350</v>
      </c>
      <c r="C55" s="55"/>
      <c r="D55" s="55">
        <v>17</v>
      </c>
      <c r="E55" s="55">
        <v>577</v>
      </c>
      <c r="F55" s="55"/>
      <c r="G55" s="302">
        <v>594</v>
      </c>
      <c r="H55" s="291">
        <v>1.3169237831025641E-3</v>
      </c>
    </row>
    <row r="56" spans="2:8" ht="15" customHeight="1" x14ac:dyDescent="0.2">
      <c r="B56" s="29" t="s">
        <v>351</v>
      </c>
      <c r="C56" s="55"/>
      <c r="D56" s="55"/>
      <c r="E56" s="55">
        <v>571551</v>
      </c>
      <c r="F56" s="55"/>
      <c r="G56" s="302">
        <v>571551</v>
      </c>
      <c r="H56" s="291">
        <v>1.267153375683592</v>
      </c>
    </row>
    <row r="57" spans="2:8" ht="15" customHeight="1" x14ac:dyDescent="0.2">
      <c r="B57" s="29" t="s">
        <v>352</v>
      </c>
      <c r="C57" s="55">
        <v>22961</v>
      </c>
      <c r="D57" s="55">
        <v>1170</v>
      </c>
      <c r="E57" s="55"/>
      <c r="F57" s="55"/>
      <c r="G57" s="302">
        <v>24131</v>
      </c>
      <c r="H57" s="291">
        <v>5.3499474427690201E-2</v>
      </c>
    </row>
    <row r="58" spans="2:8" ht="15" customHeight="1" x14ac:dyDescent="0.2">
      <c r="B58" s="29" t="s">
        <v>353</v>
      </c>
      <c r="C58" s="55">
        <v>8798</v>
      </c>
      <c r="D58" s="55">
        <v>170701</v>
      </c>
      <c r="E58" s="55"/>
      <c r="F58" s="55"/>
      <c r="G58" s="302">
        <v>179499</v>
      </c>
      <c r="H58" s="291">
        <v>0.39795707431502891</v>
      </c>
    </row>
    <row r="59" spans="2:8" ht="15" customHeight="1" x14ac:dyDescent="0.2">
      <c r="B59" s="29" t="s">
        <v>354</v>
      </c>
      <c r="C59" s="55"/>
      <c r="D59" s="55">
        <v>4</v>
      </c>
      <c r="E59" s="55"/>
      <c r="F59" s="55"/>
      <c r="G59" s="302">
        <v>4</v>
      </c>
      <c r="H59" s="291">
        <v>8.8681736235862914E-6</v>
      </c>
    </row>
    <row r="60" spans="2:8" ht="15" customHeight="1" x14ac:dyDescent="0.2">
      <c r="B60" s="29" t="s">
        <v>355</v>
      </c>
      <c r="C60" s="55"/>
      <c r="D60" s="55">
        <v>1597</v>
      </c>
      <c r="E60" s="55">
        <v>316929</v>
      </c>
      <c r="F60" s="55">
        <v>8115</v>
      </c>
      <c r="G60" s="302">
        <v>326641</v>
      </c>
      <c r="H60" s="291">
        <v>0.72417727514546248</v>
      </c>
    </row>
    <row r="61" spans="2:8" ht="15" customHeight="1" x14ac:dyDescent="0.2">
      <c r="B61" s="29" t="s">
        <v>356</v>
      </c>
      <c r="C61" s="55">
        <v>7958</v>
      </c>
      <c r="D61" s="55"/>
      <c r="E61" s="55"/>
      <c r="F61" s="55"/>
      <c r="G61" s="302">
        <v>7958</v>
      </c>
      <c r="H61" s="291">
        <v>1.7643231424124925E-2</v>
      </c>
    </row>
    <row r="62" spans="2:8" ht="15" customHeight="1" x14ac:dyDescent="0.2">
      <c r="B62" s="29" t="s">
        <v>357</v>
      </c>
      <c r="C62" s="55">
        <v>14150</v>
      </c>
      <c r="D62" s="55">
        <v>1568</v>
      </c>
      <c r="E62" s="55"/>
      <c r="F62" s="55"/>
      <c r="G62" s="302">
        <v>15718</v>
      </c>
      <c r="H62" s="291">
        <v>3.4847488253882335E-2</v>
      </c>
    </row>
    <row r="63" spans="2:8" ht="15" customHeight="1" x14ac:dyDescent="0.2">
      <c r="B63" s="29" t="s">
        <v>17</v>
      </c>
      <c r="C63" s="55">
        <v>1365192</v>
      </c>
      <c r="D63" s="55">
        <v>34430215</v>
      </c>
      <c r="E63" s="55">
        <v>9284670</v>
      </c>
      <c r="F63" s="55">
        <v>25039</v>
      </c>
      <c r="G63" s="302">
        <v>45105116</v>
      </c>
      <c r="H63" s="291">
        <v>100</v>
      </c>
    </row>
    <row r="64" spans="2:8" ht="15" customHeight="1" x14ac:dyDescent="0.2">
      <c r="B64" s="300" t="s">
        <v>294</v>
      </c>
      <c r="C64" s="486">
        <v>3.0266899213827538</v>
      </c>
      <c r="D64" s="486">
        <v>76.333281129351263</v>
      </c>
      <c r="E64" s="486">
        <v>20.584516399425734</v>
      </c>
      <c r="F64" s="486">
        <v>5.5512549840244285E-2</v>
      </c>
      <c r="G64" s="301">
        <v>100</v>
      </c>
      <c r="H64" s="301"/>
    </row>
    <row r="65" spans="2:8" ht="15" customHeight="1" x14ac:dyDescent="0.2">
      <c r="B65" s="487"/>
      <c r="C65" s="488"/>
      <c r="D65" s="488"/>
      <c r="E65" s="488"/>
      <c r="F65" s="488"/>
      <c r="G65" s="489"/>
      <c r="H65" s="490"/>
    </row>
    <row r="66" spans="2:8" x14ac:dyDescent="0.2">
      <c r="B66" s="491"/>
      <c r="C66" s="492"/>
      <c r="D66" s="492"/>
      <c r="E66" s="492"/>
      <c r="F66" s="492"/>
      <c r="G66" s="492"/>
      <c r="H66" s="492"/>
    </row>
  </sheetData>
  <mergeCells count="2">
    <mergeCell ref="B1:H1"/>
    <mergeCell ref="C3:F3"/>
  </mergeCells>
  <printOptions horizontalCentered="1" verticalCentered="1"/>
  <pageMargins left="0.74803149606299213" right="0.74803149606299213" top="0.39370078740157483" bottom="0.39370078740157483" header="0.39370078740157483" footer="0.39370078740157483"/>
  <pageSetup scale="75"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T192"/>
  <sheetViews>
    <sheetView view="pageBreakPreview" topLeftCell="B1" zoomScaleNormal="100" zoomScaleSheetLayoutView="100" workbookViewId="0">
      <selection activeCell="A4" sqref="A4"/>
    </sheetView>
  </sheetViews>
  <sheetFormatPr defaultColWidth="9.140625" defaultRowHeight="12" x14ac:dyDescent="0.2"/>
  <cols>
    <col min="1" max="1" width="9.140625" style="136"/>
    <col min="2" max="2" width="17.28515625" style="78" bestFit="1" customWidth="1"/>
    <col min="3" max="3" width="27.5703125" style="78" customWidth="1"/>
    <col min="4" max="4" width="7.140625" style="136" customWidth="1"/>
    <col min="5" max="6" width="10" style="136" customWidth="1"/>
    <col min="7" max="7" width="10.140625" style="136" customWidth="1"/>
    <col min="8" max="10" width="10.42578125" style="136" customWidth="1"/>
    <col min="11" max="11" width="17.28515625" style="78" bestFit="1" customWidth="1"/>
    <col min="12" max="12" width="26.85546875" style="78" customWidth="1"/>
    <col min="13" max="13" width="7.140625" style="136" customWidth="1"/>
    <col min="14" max="14" width="8.85546875" style="136" customWidth="1"/>
    <col min="15" max="15" width="9.28515625" style="136" bestFit="1" customWidth="1"/>
    <col min="16" max="19" width="8.85546875" style="136" customWidth="1"/>
    <col min="20" max="20" width="10.28515625" style="136" bestFit="1" customWidth="1"/>
    <col min="21" max="16384" width="9.140625" style="136"/>
  </cols>
  <sheetData>
    <row r="1" spans="2:20" ht="21.75" customHeight="1" x14ac:dyDescent="0.2">
      <c r="B1" s="650" t="s">
        <v>708</v>
      </c>
      <c r="C1" s="650"/>
      <c r="D1" s="650"/>
      <c r="E1" s="650"/>
      <c r="F1" s="650"/>
      <c r="G1" s="650"/>
      <c r="H1" s="650"/>
      <c r="I1" s="650"/>
      <c r="J1" s="650"/>
      <c r="K1" s="650" t="s">
        <v>708</v>
      </c>
      <c r="L1" s="650"/>
      <c r="M1" s="650"/>
      <c r="N1" s="650"/>
      <c r="O1" s="650"/>
      <c r="P1" s="650"/>
      <c r="Q1" s="650"/>
      <c r="R1" s="650"/>
      <c r="S1" s="650"/>
      <c r="T1" s="650"/>
    </row>
    <row r="2" spans="2:20" ht="6.75" customHeight="1" thickBot="1" x14ac:dyDescent="0.25">
      <c r="B2" s="126"/>
      <c r="D2" s="279"/>
      <c r="E2" s="279"/>
      <c r="F2" s="279"/>
      <c r="G2" s="279"/>
      <c r="H2" s="279"/>
      <c r="I2" s="279"/>
      <c r="J2" s="279"/>
      <c r="K2" s="279"/>
      <c r="L2" s="279"/>
      <c r="M2" s="279"/>
      <c r="N2" s="279"/>
      <c r="O2" s="279"/>
      <c r="P2" s="279"/>
      <c r="Q2" s="279"/>
      <c r="R2" s="279"/>
      <c r="S2" s="279"/>
      <c r="T2" s="279"/>
    </row>
    <row r="3" spans="2:20" ht="12.75" customHeight="1" thickBot="1" x14ac:dyDescent="0.25">
      <c r="B3" s="278" t="s">
        <v>0</v>
      </c>
      <c r="C3" s="278" t="s">
        <v>0</v>
      </c>
      <c r="D3" s="69" t="s">
        <v>0</v>
      </c>
      <c r="E3" s="653" t="s">
        <v>263</v>
      </c>
      <c r="F3" s="653"/>
      <c r="G3" s="653"/>
      <c r="H3" s="653"/>
      <c r="I3" s="653"/>
      <c r="J3" s="653"/>
      <c r="K3" s="69"/>
      <c r="L3" s="69"/>
      <c r="M3" s="69"/>
      <c r="N3" s="653" t="s">
        <v>263</v>
      </c>
      <c r="O3" s="653"/>
      <c r="P3" s="653"/>
      <c r="Q3" s="653"/>
      <c r="R3" s="653"/>
      <c r="S3" s="653"/>
      <c r="T3" s="293"/>
    </row>
    <row r="4" spans="2:20" ht="26.25" customHeight="1" thickBot="1" x14ac:dyDescent="0.25">
      <c r="B4" s="580" t="s">
        <v>618</v>
      </c>
      <c r="C4" s="580"/>
      <c r="D4" s="580"/>
      <c r="E4" s="63" t="s">
        <v>5</v>
      </c>
      <c r="F4" s="63" t="s">
        <v>6</v>
      </c>
      <c r="G4" s="63" t="s">
        <v>7</v>
      </c>
      <c r="H4" s="63" t="s">
        <v>8</v>
      </c>
      <c r="I4" s="63" t="s">
        <v>9</v>
      </c>
      <c r="J4" s="63" t="s">
        <v>10</v>
      </c>
      <c r="K4" s="580" t="s">
        <v>618</v>
      </c>
      <c r="L4" s="580"/>
      <c r="M4" s="580"/>
      <c r="N4" s="63" t="s">
        <v>11</v>
      </c>
      <c r="O4" s="63" t="s">
        <v>12</v>
      </c>
      <c r="P4" s="63" t="s">
        <v>13</v>
      </c>
      <c r="Q4" s="63" t="s">
        <v>14</v>
      </c>
      <c r="R4" s="63" t="s">
        <v>15</v>
      </c>
      <c r="S4" s="63" t="s">
        <v>16</v>
      </c>
      <c r="T4" s="313" t="s">
        <v>17</v>
      </c>
    </row>
    <row r="5" spans="2:20" ht="12.75" customHeight="1" x14ac:dyDescent="0.2">
      <c r="B5" s="621" t="s">
        <v>300</v>
      </c>
      <c r="C5" s="493" t="s">
        <v>362</v>
      </c>
      <c r="D5" s="495" t="s">
        <v>267</v>
      </c>
      <c r="E5" s="485">
        <v>68</v>
      </c>
      <c r="F5" s="485">
        <v>29</v>
      </c>
      <c r="G5" s="485">
        <v>59</v>
      </c>
      <c r="H5" s="485">
        <v>114</v>
      </c>
      <c r="I5" s="485">
        <v>80</v>
      </c>
      <c r="J5" s="485">
        <v>75</v>
      </c>
      <c r="K5" s="621" t="s">
        <v>300</v>
      </c>
      <c r="L5" s="493" t="s">
        <v>362</v>
      </c>
      <c r="M5" s="495" t="s">
        <v>267</v>
      </c>
      <c r="N5" s="485">
        <v>58</v>
      </c>
      <c r="O5" s="485">
        <v>99</v>
      </c>
      <c r="P5" s="485">
        <v>55</v>
      </c>
      <c r="Q5" s="485">
        <v>165</v>
      </c>
      <c r="R5" s="485">
        <v>119</v>
      </c>
      <c r="S5" s="485">
        <v>85</v>
      </c>
      <c r="T5" s="500">
        <v>1006</v>
      </c>
    </row>
    <row r="6" spans="2:20" ht="12.75" customHeight="1" x14ac:dyDescent="0.2">
      <c r="B6" s="661"/>
      <c r="C6" s="493" t="s">
        <v>360</v>
      </c>
      <c r="D6" s="495" t="s">
        <v>268</v>
      </c>
      <c r="E6" s="485">
        <v>7966</v>
      </c>
      <c r="F6" s="485">
        <v>6385</v>
      </c>
      <c r="G6" s="485">
        <v>7799</v>
      </c>
      <c r="H6" s="485">
        <v>9833</v>
      </c>
      <c r="I6" s="485">
        <v>11052</v>
      </c>
      <c r="J6" s="485">
        <v>9719</v>
      </c>
      <c r="K6" s="661"/>
      <c r="L6" s="493" t="s">
        <v>360</v>
      </c>
      <c r="M6" s="495" t="s">
        <v>268</v>
      </c>
      <c r="N6" s="485">
        <v>14630</v>
      </c>
      <c r="O6" s="485">
        <v>21546</v>
      </c>
      <c r="P6" s="485">
        <v>14564</v>
      </c>
      <c r="Q6" s="485">
        <v>12241</v>
      </c>
      <c r="R6" s="485">
        <v>7678</v>
      </c>
      <c r="S6" s="485">
        <v>7050</v>
      </c>
      <c r="T6" s="500">
        <v>130463</v>
      </c>
    </row>
    <row r="7" spans="2:20" ht="12.75" customHeight="1" x14ac:dyDescent="0.2">
      <c r="B7" s="661"/>
      <c r="C7" s="493" t="s">
        <v>361</v>
      </c>
      <c r="D7" s="660" t="s">
        <v>267</v>
      </c>
      <c r="E7" s="485">
        <v>93</v>
      </c>
      <c r="F7" s="485">
        <v>59</v>
      </c>
      <c r="G7" s="485">
        <v>100</v>
      </c>
      <c r="H7" s="485">
        <v>124</v>
      </c>
      <c r="I7" s="485">
        <v>122</v>
      </c>
      <c r="J7" s="485">
        <v>149</v>
      </c>
      <c r="K7" s="661"/>
      <c r="L7" s="493" t="s">
        <v>361</v>
      </c>
      <c r="M7" s="660" t="s">
        <v>267</v>
      </c>
      <c r="N7" s="485">
        <v>116</v>
      </c>
      <c r="O7" s="485">
        <v>98</v>
      </c>
      <c r="P7" s="485">
        <v>80</v>
      </c>
      <c r="Q7" s="485">
        <v>106</v>
      </c>
      <c r="R7" s="485">
        <v>120</v>
      </c>
      <c r="S7" s="485">
        <v>85</v>
      </c>
      <c r="T7" s="500">
        <v>1252</v>
      </c>
    </row>
    <row r="8" spans="2:20" s="91" customFormat="1" ht="12.75" customHeight="1" x14ac:dyDescent="0.2">
      <c r="B8" s="661"/>
      <c r="C8" s="493" t="s">
        <v>594</v>
      </c>
      <c r="D8" s="660"/>
      <c r="E8" s="485">
        <v>9</v>
      </c>
      <c r="F8" s="485">
        <v>64</v>
      </c>
      <c r="G8" s="485">
        <v>28</v>
      </c>
      <c r="H8" s="485">
        <v>23</v>
      </c>
      <c r="I8" s="485">
        <v>13</v>
      </c>
      <c r="J8" s="485">
        <v>9</v>
      </c>
      <c r="K8" s="661"/>
      <c r="L8" s="493" t="s">
        <v>594</v>
      </c>
      <c r="M8" s="660"/>
      <c r="N8" s="485">
        <v>25</v>
      </c>
      <c r="O8" s="485">
        <v>20</v>
      </c>
      <c r="P8" s="485">
        <v>13</v>
      </c>
      <c r="Q8" s="485">
        <v>7</v>
      </c>
      <c r="R8" s="485">
        <v>48</v>
      </c>
      <c r="S8" s="485">
        <v>47</v>
      </c>
      <c r="T8" s="500">
        <v>306</v>
      </c>
    </row>
    <row r="9" spans="2:20" s="91" customFormat="1" ht="12.75" customHeight="1" thickBot="1" x14ac:dyDescent="0.25">
      <c r="B9" s="622"/>
      <c r="C9" s="496" t="s">
        <v>17</v>
      </c>
      <c r="D9" s="497" t="s">
        <v>262</v>
      </c>
      <c r="E9" s="501">
        <v>8136</v>
      </c>
      <c r="F9" s="501">
        <v>6537</v>
      </c>
      <c r="G9" s="501">
        <v>7986</v>
      </c>
      <c r="H9" s="501">
        <v>10094</v>
      </c>
      <c r="I9" s="501">
        <v>11267</v>
      </c>
      <c r="J9" s="501">
        <v>9952</v>
      </c>
      <c r="K9" s="622"/>
      <c r="L9" s="496" t="s">
        <v>17</v>
      </c>
      <c r="M9" s="497" t="s">
        <v>262</v>
      </c>
      <c r="N9" s="501">
        <v>14829</v>
      </c>
      <c r="O9" s="501">
        <v>21763</v>
      </c>
      <c r="P9" s="501">
        <v>14712</v>
      </c>
      <c r="Q9" s="501">
        <v>12519</v>
      </c>
      <c r="R9" s="501">
        <v>7965</v>
      </c>
      <c r="S9" s="501">
        <v>7267</v>
      </c>
      <c r="T9" s="502">
        <v>133027</v>
      </c>
    </row>
    <row r="10" spans="2:20" ht="12.75" customHeight="1" thickBot="1" x14ac:dyDescent="0.25">
      <c r="B10" s="506" t="s">
        <v>301</v>
      </c>
      <c r="C10" s="507" t="s">
        <v>683</v>
      </c>
      <c r="D10" s="508" t="s">
        <v>268</v>
      </c>
      <c r="E10" s="509">
        <v>2</v>
      </c>
      <c r="F10" s="510" t="s">
        <v>585</v>
      </c>
      <c r="G10" s="510" t="s">
        <v>585</v>
      </c>
      <c r="H10" s="510" t="s">
        <v>585</v>
      </c>
      <c r="I10" s="510" t="s">
        <v>585</v>
      </c>
      <c r="J10" s="510" t="s">
        <v>585</v>
      </c>
      <c r="K10" s="58" t="s">
        <v>301</v>
      </c>
      <c r="L10" s="507" t="s">
        <v>683</v>
      </c>
      <c r="M10" s="508" t="s">
        <v>268</v>
      </c>
      <c r="N10" s="510" t="s">
        <v>585</v>
      </c>
      <c r="O10" s="510" t="s">
        <v>585</v>
      </c>
      <c r="P10" s="510" t="s">
        <v>585</v>
      </c>
      <c r="Q10" s="510" t="s">
        <v>585</v>
      </c>
      <c r="R10" s="510" t="s">
        <v>585</v>
      </c>
      <c r="S10" s="510" t="s">
        <v>585</v>
      </c>
      <c r="T10" s="511">
        <v>2</v>
      </c>
    </row>
    <row r="11" spans="2:20" ht="12.75" customHeight="1" thickBot="1" x14ac:dyDescent="0.25">
      <c r="B11" s="506" t="s">
        <v>302</v>
      </c>
      <c r="C11" s="507" t="s">
        <v>595</v>
      </c>
      <c r="D11" s="508" t="s">
        <v>269</v>
      </c>
      <c r="E11" s="509">
        <v>17399</v>
      </c>
      <c r="F11" s="509">
        <v>17708</v>
      </c>
      <c r="G11" s="509">
        <v>42150</v>
      </c>
      <c r="H11" s="509">
        <v>33679</v>
      </c>
      <c r="I11" s="509">
        <v>22529</v>
      </c>
      <c r="J11" s="509">
        <v>33499</v>
      </c>
      <c r="K11" s="58" t="s">
        <v>302</v>
      </c>
      <c r="L11" s="507" t="s">
        <v>595</v>
      </c>
      <c r="M11" s="508" t="s">
        <v>269</v>
      </c>
      <c r="N11" s="509">
        <v>43737</v>
      </c>
      <c r="O11" s="509">
        <v>51860</v>
      </c>
      <c r="P11" s="509">
        <v>50928</v>
      </c>
      <c r="Q11" s="509">
        <v>30991</v>
      </c>
      <c r="R11" s="509">
        <v>25505</v>
      </c>
      <c r="S11" s="509">
        <v>22694</v>
      </c>
      <c r="T11" s="511">
        <v>392679</v>
      </c>
    </row>
    <row r="12" spans="2:20" s="91" customFormat="1" ht="12.75" customHeight="1" thickBot="1" x14ac:dyDescent="0.25">
      <c r="B12" s="506" t="s">
        <v>303</v>
      </c>
      <c r="C12" s="507" t="s">
        <v>363</v>
      </c>
      <c r="D12" s="508" t="s">
        <v>268</v>
      </c>
      <c r="E12" s="509">
        <v>1</v>
      </c>
      <c r="F12" s="509">
        <v>4</v>
      </c>
      <c r="G12" s="509">
        <v>7</v>
      </c>
      <c r="H12" s="510" t="s">
        <v>585</v>
      </c>
      <c r="I12" s="510" t="s">
        <v>585</v>
      </c>
      <c r="J12" s="510" t="s">
        <v>585</v>
      </c>
      <c r="K12" s="58" t="s">
        <v>303</v>
      </c>
      <c r="L12" s="507" t="s">
        <v>363</v>
      </c>
      <c r="M12" s="508" t="s">
        <v>268</v>
      </c>
      <c r="N12" s="509">
        <v>7</v>
      </c>
      <c r="O12" s="510" t="s">
        <v>585</v>
      </c>
      <c r="P12" s="509">
        <v>1</v>
      </c>
      <c r="Q12" s="509">
        <v>7</v>
      </c>
      <c r="R12" s="510" t="s">
        <v>585</v>
      </c>
      <c r="S12" s="510" t="s">
        <v>585</v>
      </c>
      <c r="T12" s="511">
        <v>27</v>
      </c>
    </row>
    <row r="13" spans="2:20" s="91" customFormat="1" ht="12.75" customHeight="1" thickBot="1" x14ac:dyDescent="0.25">
      <c r="B13" s="506" t="s">
        <v>304</v>
      </c>
      <c r="C13" s="507" t="s">
        <v>364</v>
      </c>
      <c r="D13" s="508" t="s">
        <v>268</v>
      </c>
      <c r="E13" s="509">
        <v>35174</v>
      </c>
      <c r="F13" s="509">
        <v>31868</v>
      </c>
      <c r="G13" s="509">
        <v>33420</v>
      </c>
      <c r="H13" s="509">
        <v>39666</v>
      </c>
      <c r="I13" s="509">
        <v>36187</v>
      </c>
      <c r="J13" s="509">
        <v>42429</v>
      </c>
      <c r="K13" s="58" t="s">
        <v>304</v>
      </c>
      <c r="L13" s="507" t="s">
        <v>364</v>
      </c>
      <c r="M13" s="508" t="s">
        <v>268</v>
      </c>
      <c r="N13" s="509">
        <v>59546</v>
      </c>
      <c r="O13" s="509">
        <v>92432</v>
      </c>
      <c r="P13" s="509">
        <v>59966</v>
      </c>
      <c r="Q13" s="509">
        <v>50542</v>
      </c>
      <c r="R13" s="509">
        <v>38349</v>
      </c>
      <c r="S13" s="509">
        <v>33825</v>
      </c>
      <c r="T13" s="511">
        <v>553404</v>
      </c>
    </row>
    <row r="14" spans="2:20" s="91" customFormat="1" ht="12.75" customHeight="1" x14ac:dyDescent="0.2">
      <c r="B14" s="621" t="s">
        <v>305</v>
      </c>
      <c r="C14" s="493" t="s">
        <v>366</v>
      </c>
      <c r="D14" s="659" t="s">
        <v>267</v>
      </c>
      <c r="E14" s="485">
        <v>39</v>
      </c>
      <c r="F14" s="485">
        <v>99</v>
      </c>
      <c r="G14" s="485">
        <v>249</v>
      </c>
      <c r="H14" s="485">
        <v>900</v>
      </c>
      <c r="I14" s="485">
        <v>1654</v>
      </c>
      <c r="J14" s="485">
        <v>2735</v>
      </c>
      <c r="K14" s="621" t="s">
        <v>305</v>
      </c>
      <c r="L14" s="493" t="s">
        <v>366</v>
      </c>
      <c r="M14" s="659" t="s">
        <v>267</v>
      </c>
      <c r="N14" s="485">
        <v>4153</v>
      </c>
      <c r="O14" s="485">
        <v>5504</v>
      </c>
      <c r="P14" s="485">
        <v>4475</v>
      </c>
      <c r="Q14" s="485">
        <v>2802</v>
      </c>
      <c r="R14" s="485">
        <v>270</v>
      </c>
      <c r="S14" s="485">
        <v>91</v>
      </c>
      <c r="T14" s="500">
        <v>22971</v>
      </c>
    </row>
    <row r="15" spans="2:20" ht="12.75" customHeight="1" x14ac:dyDescent="0.2">
      <c r="B15" s="661"/>
      <c r="C15" s="493" t="s">
        <v>635</v>
      </c>
      <c r="D15" s="660"/>
      <c r="E15" s="485">
        <v>1247</v>
      </c>
      <c r="F15" s="485">
        <v>1091</v>
      </c>
      <c r="G15" s="485">
        <v>444</v>
      </c>
      <c r="H15" s="485">
        <v>716</v>
      </c>
      <c r="I15" s="485">
        <v>569</v>
      </c>
      <c r="J15" s="485">
        <v>436</v>
      </c>
      <c r="K15" s="661"/>
      <c r="L15" s="493" t="s">
        <v>635</v>
      </c>
      <c r="M15" s="660"/>
      <c r="N15" s="485">
        <v>409</v>
      </c>
      <c r="O15" s="485">
        <v>412</v>
      </c>
      <c r="P15" s="485">
        <v>258</v>
      </c>
      <c r="Q15" s="485">
        <v>372</v>
      </c>
      <c r="R15" s="485">
        <v>414</v>
      </c>
      <c r="S15" s="485">
        <v>322</v>
      </c>
      <c r="T15" s="500">
        <v>6690</v>
      </c>
    </row>
    <row r="16" spans="2:20" ht="12.75" customHeight="1" x14ac:dyDescent="0.2">
      <c r="B16" s="661"/>
      <c r="C16" s="493" t="s">
        <v>596</v>
      </c>
      <c r="D16" s="660" t="s">
        <v>268</v>
      </c>
      <c r="E16" s="485">
        <v>2110</v>
      </c>
      <c r="F16" s="485">
        <v>1909</v>
      </c>
      <c r="G16" s="485">
        <v>3075</v>
      </c>
      <c r="H16" s="485">
        <v>12111</v>
      </c>
      <c r="I16" s="485">
        <v>34250</v>
      </c>
      <c r="J16" s="485">
        <v>42622</v>
      </c>
      <c r="K16" s="661"/>
      <c r="L16" s="493" t="s">
        <v>596</v>
      </c>
      <c r="M16" s="660" t="s">
        <v>268</v>
      </c>
      <c r="N16" s="485">
        <v>55735</v>
      </c>
      <c r="O16" s="485">
        <v>57043</v>
      </c>
      <c r="P16" s="485">
        <v>45232</v>
      </c>
      <c r="Q16" s="485">
        <v>35183</v>
      </c>
      <c r="R16" s="485">
        <v>5363</v>
      </c>
      <c r="S16" s="485">
        <v>1577</v>
      </c>
      <c r="T16" s="500">
        <v>296210</v>
      </c>
    </row>
    <row r="17" spans="2:20" ht="12.75" customHeight="1" x14ac:dyDescent="0.2">
      <c r="B17" s="661"/>
      <c r="C17" s="493" t="s">
        <v>636</v>
      </c>
      <c r="D17" s="660"/>
      <c r="E17" s="485">
        <v>164639</v>
      </c>
      <c r="F17" s="485">
        <v>113454</v>
      </c>
      <c r="G17" s="485">
        <v>212079</v>
      </c>
      <c r="H17" s="485">
        <v>623862</v>
      </c>
      <c r="I17" s="485">
        <v>1499947</v>
      </c>
      <c r="J17" s="485">
        <v>2041698</v>
      </c>
      <c r="K17" s="661"/>
      <c r="L17" s="493" t="s">
        <v>636</v>
      </c>
      <c r="M17" s="660"/>
      <c r="N17" s="485">
        <v>2332040</v>
      </c>
      <c r="O17" s="485">
        <v>2521802</v>
      </c>
      <c r="P17" s="485">
        <v>2179005</v>
      </c>
      <c r="Q17" s="485">
        <v>1950852</v>
      </c>
      <c r="R17" s="485">
        <v>484283</v>
      </c>
      <c r="S17" s="485">
        <v>161925</v>
      </c>
      <c r="T17" s="500">
        <v>14285586</v>
      </c>
    </row>
    <row r="18" spans="2:20" ht="12.75" customHeight="1" x14ac:dyDescent="0.2">
      <c r="B18" s="661"/>
      <c r="C18" s="493" t="s">
        <v>365</v>
      </c>
      <c r="D18" s="660" t="s">
        <v>267</v>
      </c>
      <c r="E18" s="504" t="s">
        <v>585</v>
      </c>
      <c r="F18" s="504" t="s">
        <v>585</v>
      </c>
      <c r="G18" s="485">
        <v>1</v>
      </c>
      <c r="H18" s="485">
        <v>2</v>
      </c>
      <c r="I18" s="485">
        <v>161</v>
      </c>
      <c r="J18" s="485">
        <v>555</v>
      </c>
      <c r="K18" s="661"/>
      <c r="L18" s="493" t="s">
        <v>365</v>
      </c>
      <c r="M18" s="660" t="s">
        <v>267</v>
      </c>
      <c r="N18" s="485">
        <v>1285</v>
      </c>
      <c r="O18" s="485">
        <v>1830</v>
      </c>
      <c r="P18" s="485">
        <v>766</v>
      </c>
      <c r="Q18" s="485">
        <v>1</v>
      </c>
      <c r="R18" s="485">
        <v>4304</v>
      </c>
      <c r="S18" s="485">
        <v>6189</v>
      </c>
      <c r="T18" s="500">
        <v>15094</v>
      </c>
    </row>
    <row r="19" spans="2:20" ht="12.75" customHeight="1" x14ac:dyDescent="0.2">
      <c r="B19" s="661"/>
      <c r="C19" s="493" t="s">
        <v>367</v>
      </c>
      <c r="D19" s="660"/>
      <c r="E19" s="504" t="s">
        <v>585</v>
      </c>
      <c r="F19" s="504" t="s">
        <v>585</v>
      </c>
      <c r="G19" s="485">
        <v>11</v>
      </c>
      <c r="H19" s="485">
        <v>19</v>
      </c>
      <c r="I19" s="485">
        <v>33</v>
      </c>
      <c r="J19" s="485">
        <v>23</v>
      </c>
      <c r="K19" s="661"/>
      <c r="L19" s="493" t="s">
        <v>367</v>
      </c>
      <c r="M19" s="660"/>
      <c r="N19" s="485">
        <v>41</v>
      </c>
      <c r="O19" s="485">
        <v>64</v>
      </c>
      <c r="P19" s="485">
        <v>33</v>
      </c>
      <c r="Q19" s="485">
        <v>56</v>
      </c>
      <c r="R19" s="485">
        <v>11</v>
      </c>
      <c r="S19" s="485">
        <v>3</v>
      </c>
      <c r="T19" s="500">
        <v>294</v>
      </c>
    </row>
    <row r="20" spans="2:20" ht="12.75" customHeight="1" x14ac:dyDescent="0.2">
      <c r="B20" s="661"/>
      <c r="C20" s="493" t="s">
        <v>368</v>
      </c>
      <c r="D20" s="660"/>
      <c r="E20" s="504" t="s">
        <v>585</v>
      </c>
      <c r="F20" s="504" t="s">
        <v>585</v>
      </c>
      <c r="G20" s="504" t="s">
        <v>585</v>
      </c>
      <c r="H20" s="485">
        <v>3</v>
      </c>
      <c r="I20" s="485">
        <v>7</v>
      </c>
      <c r="J20" s="485">
        <v>18</v>
      </c>
      <c r="K20" s="661"/>
      <c r="L20" s="493" t="s">
        <v>368</v>
      </c>
      <c r="M20" s="660"/>
      <c r="N20" s="485">
        <v>1</v>
      </c>
      <c r="O20" s="485">
        <v>1</v>
      </c>
      <c r="P20" s="485">
        <v>3</v>
      </c>
      <c r="Q20" s="485">
        <v>4</v>
      </c>
      <c r="R20" s="485">
        <v>6</v>
      </c>
      <c r="S20" s="504" t="s">
        <v>585</v>
      </c>
      <c r="T20" s="500">
        <v>43</v>
      </c>
    </row>
    <row r="21" spans="2:20" ht="12.75" customHeight="1" thickBot="1" x14ac:dyDescent="0.25">
      <c r="B21" s="622"/>
      <c r="C21" s="496" t="s">
        <v>17</v>
      </c>
      <c r="D21" s="497" t="s">
        <v>262</v>
      </c>
      <c r="E21" s="501">
        <v>168035</v>
      </c>
      <c r="F21" s="501">
        <v>116553</v>
      </c>
      <c r="G21" s="501">
        <v>215859</v>
      </c>
      <c r="H21" s="501">
        <v>637613</v>
      </c>
      <c r="I21" s="501">
        <v>1536621</v>
      </c>
      <c r="J21" s="501">
        <v>2088087</v>
      </c>
      <c r="K21" s="622"/>
      <c r="L21" s="496" t="s">
        <v>17</v>
      </c>
      <c r="M21" s="497" t="s">
        <v>262</v>
      </c>
      <c r="N21" s="501">
        <v>2393664</v>
      </c>
      <c r="O21" s="501">
        <v>2586656</v>
      </c>
      <c r="P21" s="501">
        <v>2229772</v>
      </c>
      <c r="Q21" s="501">
        <v>1989270</v>
      </c>
      <c r="R21" s="501">
        <v>494651</v>
      </c>
      <c r="S21" s="501">
        <v>170107</v>
      </c>
      <c r="T21" s="502">
        <v>14626888</v>
      </c>
    </row>
    <row r="22" spans="2:20" s="91" customFormat="1" ht="12.75" customHeight="1" x14ac:dyDescent="0.2">
      <c r="B22" s="621" t="s">
        <v>307</v>
      </c>
      <c r="C22" s="512" t="s">
        <v>369</v>
      </c>
      <c r="D22" s="513" t="s">
        <v>267</v>
      </c>
      <c r="E22" s="514">
        <v>48</v>
      </c>
      <c r="F22" s="514">
        <v>52</v>
      </c>
      <c r="G22" s="514">
        <v>52</v>
      </c>
      <c r="H22" s="514">
        <v>59</v>
      </c>
      <c r="I22" s="514">
        <v>98</v>
      </c>
      <c r="J22" s="514">
        <v>52</v>
      </c>
      <c r="K22" s="621" t="s">
        <v>307</v>
      </c>
      <c r="L22" s="512" t="s">
        <v>369</v>
      </c>
      <c r="M22" s="513" t="s">
        <v>267</v>
      </c>
      <c r="N22" s="514">
        <v>73</v>
      </c>
      <c r="O22" s="514">
        <v>93</v>
      </c>
      <c r="P22" s="514">
        <v>50</v>
      </c>
      <c r="Q22" s="514">
        <v>125</v>
      </c>
      <c r="R22" s="514">
        <v>103</v>
      </c>
      <c r="S22" s="514">
        <v>149</v>
      </c>
      <c r="T22" s="515">
        <v>954</v>
      </c>
    </row>
    <row r="23" spans="2:20" ht="12.75" customHeight="1" x14ac:dyDescent="0.2">
      <c r="B23" s="662"/>
      <c r="C23" s="516" t="s">
        <v>370</v>
      </c>
      <c r="D23" s="517" t="s">
        <v>268</v>
      </c>
      <c r="E23" s="221">
        <v>135</v>
      </c>
      <c r="F23" s="221">
        <v>65</v>
      </c>
      <c r="G23" s="221">
        <v>64</v>
      </c>
      <c r="H23" s="221">
        <v>94</v>
      </c>
      <c r="I23" s="221">
        <v>81</v>
      </c>
      <c r="J23" s="221">
        <v>98</v>
      </c>
      <c r="K23" s="662"/>
      <c r="L23" s="516" t="s">
        <v>370</v>
      </c>
      <c r="M23" s="517" t="s">
        <v>268</v>
      </c>
      <c r="N23" s="221">
        <v>88</v>
      </c>
      <c r="O23" s="221">
        <v>147</v>
      </c>
      <c r="P23" s="221">
        <v>126</v>
      </c>
      <c r="Q23" s="221">
        <v>100</v>
      </c>
      <c r="R23" s="221">
        <v>40</v>
      </c>
      <c r="S23" s="221">
        <v>79</v>
      </c>
      <c r="T23" s="518">
        <v>1117</v>
      </c>
    </row>
    <row r="24" spans="2:20" ht="12.75" customHeight="1" x14ac:dyDescent="0.2">
      <c r="B24" s="662"/>
      <c r="C24" s="516" t="s">
        <v>371</v>
      </c>
      <c r="D24" s="517" t="s">
        <v>269</v>
      </c>
      <c r="E24" s="221">
        <v>119999</v>
      </c>
      <c r="F24" s="221">
        <v>125197</v>
      </c>
      <c r="G24" s="221">
        <v>153143</v>
      </c>
      <c r="H24" s="221">
        <v>154357</v>
      </c>
      <c r="I24" s="221">
        <v>177498</v>
      </c>
      <c r="J24" s="221">
        <v>209062</v>
      </c>
      <c r="K24" s="662"/>
      <c r="L24" s="516" t="s">
        <v>371</v>
      </c>
      <c r="M24" s="517" t="s">
        <v>269</v>
      </c>
      <c r="N24" s="221">
        <v>253605</v>
      </c>
      <c r="O24" s="221">
        <v>297990</v>
      </c>
      <c r="P24" s="221">
        <v>273081</v>
      </c>
      <c r="Q24" s="221">
        <v>198761</v>
      </c>
      <c r="R24" s="221">
        <v>179753</v>
      </c>
      <c r="S24" s="221">
        <v>185481</v>
      </c>
      <c r="T24" s="518">
        <v>2327927</v>
      </c>
    </row>
    <row r="25" spans="2:20" ht="12.75" customHeight="1" thickBot="1" x14ac:dyDescent="0.25">
      <c r="B25" s="622"/>
      <c r="C25" s="519" t="s">
        <v>17</v>
      </c>
      <c r="D25" s="520" t="s">
        <v>262</v>
      </c>
      <c r="E25" s="521">
        <v>120182</v>
      </c>
      <c r="F25" s="521">
        <v>125314</v>
      </c>
      <c r="G25" s="521">
        <v>153259</v>
      </c>
      <c r="H25" s="521">
        <v>154510</v>
      </c>
      <c r="I25" s="521">
        <v>177677</v>
      </c>
      <c r="J25" s="521">
        <v>209212</v>
      </c>
      <c r="K25" s="622"/>
      <c r="L25" s="519" t="s">
        <v>17</v>
      </c>
      <c r="M25" s="520" t="s">
        <v>262</v>
      </c>
      <c r="N25" s="521">
        <v>253766</v>
      </c>
      <c r="O25" s="521">
        <v>298230</v>
      </c>
      <c r="P25" s="521">
        <v>273257</v>
      </c>
      <c r="Q25" s="521">
        <v>198986</v>
      </c>
      <c r="R25" s="521">
        <v>179896</v>
      </c>
      <c r="S25" s="521">
        <v>185709</v>
      </c>
      <c r="T25" s="522">
        <v>2329998</v>
      </c>
    </row>
    <row r="26" spans="2:20" s="91" customFormat="1" ht="12.75" customHeight="1" x14ac:dyDescent="0.2">
      <c r="B26" s="621" t="s">
        <v>308</v>
      </c>
      <c r="C26" s="493" t="s">
        <v>372</v>
      </c>
      <c r="D26" s="659" t="s">
        <v>267</v>
      </c>
      <c r="E26" s="485">
        <v>14</v>
      </c>
      <c r="F26" s="485">
        <v>595</v>
      </c>
      <c r="G26" s="485">
        <v>4254</v>
      </c>
      <c r="H26" s="485">
        <v>12571</v>
      </c>
      <c r="I26" s="485">
        <v>21057</v>
      </c>
      <c r="J26" s="485">
        <v>25283</v>
      </c>
      <c r="K26" s="621" t="s">
        <v>308</v>
      </c>
      <c r="L26" s="493" t="s">
        <v>372</v>
      </c>
      <c r="M26" s="659" t="s">
        <v>267</v>
      </c>
      <c r="N26" s="485">
        <v>30021</v>
      </c>
      <c r="O26" s="485">
        <v>31696</v>
      </c>
      <c r="P26" s="485">
        <v>28572</v>
      </c>
      <c r="Q26" s="485">
        <v>24484</v>
      </c>
      <c r="R26" s="485">
        <v>6272</v>
      </c>
      <c r="S26" s="485">
        <v>9141</v>
      </c>
      <c r="T26" s="500">
        <v>193960</v>
      </c>
    </row>
    <row r="27" spans="2:20" ht="12.75" customHeight="1" x14ac:dyDescent="0.2">
      <c r="B27" s="661"/>
      <c r="C27" s="493" t="s">
        <v>373</v>
      </c>
      <c r="D27" s="660"/>
      <c r="E27" s="504" t="s">
        <v>585</v>
      </c>
      <c r="F27" s="504" t="s">
        <v>585</v>
      </c>
      <c r="G27" s="485">
        <v>3</v>
      </c>
      <c r="H27" s="485">
        <v>37</v>
      </c>
      <c r="I27" s="485">
        <v>64</v>
      </c>
      <c r="J27" s="485">
        <v>79</v>
      </c>
      <c r="K27" s="661"/>
      <c r="L27" s="493" t="s">
        <v>373</v>
      </c>
      <c r="M27" s="660"/>
      <c r="N27" s="485">
        <v>254</v>
      </c>
      <c r="O27" s="485">
        <v>504</v>
      </c>
      <c r="P27" s="485">
        <v>308</v>
      </c>
      <c r="Q27" s="504" t="s">
        <v>585</v>
      </c>
      <c r="R27" s="504" t="s">
        <v>585</v>
      </c>
      <c r="S27" s="504" t="s">
        <v>585</v>
      </c>
      <c r="T27" s="500">
        <v>1249</v>
      </c>
    </row>
    <row r="28" spans="2:20" ht="12.75" customHeight="1" x14ac:dyDescent="0.2">
      <c r="B28" s="661"/>
      <c r="C28" s="493" t="s">
        <v>637</v>
      </c>
      <c r="D28" s="660"/>
      <c r="E28" s="504" t="s">
        <v>585</v>
      </c>
      <c r="F28" s="504" t="s">
        <v>585</v>
      </c>
      <c r="G28" s="504" t="s">
        <v>585</v>
      </c>
      <c r="H28" s="504" t="s">
        <v>585</v>
      </c>
      <c r="I28" s="504" t="s">
        <v>585</v>
      </c>
      <c r="J28" s="504" t="s">
        <v>585</v>
      </c>
      <c r="K28" s="661"/>
      <c r="L28" s="493" t="s">
        <v>637</v>
      </c>
      <c r="M28" s="660"/>
      <c r="N28" s="485">
        <v>302</v>
      </c>
      <c r="O28" s="485">
        <v>339</v>
      </c>
      <c r="P28" s="504" t="s">
        <v>585</v>
      </c>
      <c r="Q28" s="485">
        <v>68</v>
      </c>
      <c r="R28" s="485">
        <v>12</v>
      </c>
      <c r="S28" s="485">
        <v>2</v>
      </c>
      <c r="T28" s="500">
        <v>723</v>
      </c>
    </row>
    <row r="29" spans="2:20" ht="12.75" customHeight="1" thickBot="1" x14ac:dyDescent="0.25">
      <c r="B29" s="622"/>
      <c r="C29" s="496" t="s">
        <v>17</v>
      </c>
      <c r="D29" s="497" t="s">
        <v>262</v>
      </c>
      <c r="E29" s="501">
        <v>14</v>
      </c>
      <c r="F29" s="501">
        <v>595</v>
      </c>
      <c r="G29" s="501">
        <v>4257</v>
      </c>
      <c r="H29" s="501">
        <v>12608</v>
      </c>
      <c r="I29" s="501">
        <v>21121</v>
      </c>
      <c r="J29" s="501">
        <v>25362</v>
      </c>
      <c r="K29" s="622"/>
      <c r="L29" s="496" t="s">
        <v>17</v>
      </c>
      <c r="M29" s="497" t="s">
        <v>262</v>
      </c>
      <c r="N29" s="501">
        <v>30577</v>
      </c>
      <c r="O29" s="501">
        <v>32539</v>
      </c>
      <c r="P29" s="501">
        <v>28880</v>
      </c>
      <c r="Q29" s="501">
        <v>24552</v>
      </c>
      <c r="R29" s="501">
        <v>6284</v>
      </c>
      <c r="S29" s="501">
        <v>9143</v>
      </c>
      <c r="T29" s="502">
        <v>195932</v>
      </c>
    </row>
    <row r="30" spans="2:20" s="91" customFormat="1" ht="12.75" customHeight="1" x14ac:dyDescent="0.2">
      <c r="B30" s="621" t="s">
        <v>309</v>
      </c>
      <c r="C30" s="512" t="s">
        <v>597</v>
      </c>
      <c r="D30" s="659" t="s">
        <v>267</v>
      </c>
      <c r="E30" s="514">
        <v>6</v>
      </c>
      <c r="F30" s="514">
        <v>1</v>
      </c>
      <c r="G30" s="514">
        <v>1</v>
      </c>
      <c r="H30" s="514">
        <v>7</v>
      </c>
      <c r="I30" s="514">
        <v>74</v>
      </c>
      <c r="J30" s="514">
        <v>11</v>
      </c>
      <c r="K30" s="621" t="s">
        <v>309</v>
      </c>
      <c r="L30" s="512" t="s">
        <v>597</v>
      </c>
      <c r="M30" s="659" t="s">
        <v>267</v>
      </c>
      <c r="N30" s="514">
        <v>26</v>
      </c>
      <c r="O30" s="514">
        <v>61</v>
      </c>
      <c r="P30" s="514">
        <v>93</v>
      </c>
      <c r="Q30" s="514">
        <v>58</v>
      </c>
      <c r="R30" s="514">
        <v>39</v>
      </c>
      <c r="S30" s="514">
        <v>38</v>
      </c>
      <c r="T30" s="515">
        <v>415</v>
      </c>
    </row>
    <row r="31" spans="2:20" ht="12.75" customHeight="1" x14ac:dyDescent="0.2">
      <c r="B31" s="662"/>
      <c r="C31" s="516" t="s">
        <v>375</v>
      </c>
      <c r="D31" s="663"/>
      <c r="E31" s="221">
        <v>20</v>
      </c>
      <c r="F31" s="221">
        <v>17</v>
      </c>
      <c r="G31" s="221">
        <v>21</v>
      </c>
      <c r="H31" s="221">
        <v>31</v>
      </c>
      <c r="I31" s="221">
        <v>569</v>
      </c>
      <c r="J31" s="221">
        <v>480</v>
      </c>
      <c r="K31" s="662"/>
      <c r="L31" s="516" t="s">
        <v>375</v>
      </c>
      <c r="M31" s="663"/>
      <c r="N31" s="221">
        <v>442</v>
      </c>
      <c r="O31" s="221">
        <v>313</v>
      </c>
      <c r="P31" s="221">
        <v>510</v>
      </c>
      <c r="Q31" s="221">
        <v>541</v>
      </c>
      <c r="R31" s="221">
        <v>534</v>
      </c>
      <c r="S31" s="221">
        <v>424</v>
      </c>
      <c r="T31" s="518">
        <v>3902</v>
      </c>
    </row>
    <row r="32" spans="2:20" ht="12.75" customHeight="1" x14ac:dyDescent="0.2">
      <c r="B32" s="662"/>
      <c r="C32" s="516" t="s">
        <v>376</v>
      </c>
      <c r="D32" s="663"/>
      <c r="E32" s="221">
        <v>759</v>
      </c>
      <c r="F32" s="221">
        <v>1118</v>
      </c>
      <c r="G32" s="221">
        <v>1742</v>
      </c>
      <c r="H32" s="221">
        <v>2382</v>
      </c>
      <c r="I32" s="221">
        <v>4070</v>
      </c>
      <c r="J32" s="221">
        <v>4602</v>
      </c>
      <c r="K32" s="662"/>
      <c r="L32" s="516" t="s">
        <v>376</v>
      </c>
      <c r="M32" s="663"/>
      <c r="N32" s="221">
        <v>5622</v>
      </c>
      <c r="O32" s="221">
        <v>9509</v>
      </c>
      <c r="P32" s="221">
        <v>6264</v>
      </c>
      <c r="Q32" s="221">
        <v>4163</v>
      </c>
      <c r="R32" s="221">
        <v>2176</v>
      </c>
      <c r="S32" s="221">
        <v>1277</v>
      </c>
      <c r="T32" s="518">
        <v>43684</v>
      </c>
    </row>
    <row r="33" spans="2:20" ht="12.75" customHeight="1" x14ac:dyDescent="0.2">
      <c r="B33" s="662"/>
      <c r="C33" s="516" t="s">
        <v>374</v>
      </c>
      <c r="D33" s="517" t="s">
        <v>268</v>
      </c>
      <c r="E33" s="523" t="s">
        <v>585</v>
      </c>
      <c r="F33" s="221">
        <v>6</v>
      </c>
      <c r="G33" s="523" t="s">
        <v>585</v>
      </c>
      <c r="H33" s="523" t="s">
        <v>585</v>
      </c>
      <c r="I33" s="221">
        <v>12</v>
      </c>
      <c r="J33" s="221">
        <v>14</v>
      </c>
      <c r="K33" s="662"/>
      <c r="L33" s="516" t="s">
        <v>374</v>
      </c>
      <c r="M33" s="517" t="s">
        <v>268</v>
      </c>
      <c r="N33" s="221">
        <v>9</v>
      </c>
      <c r="O33" s="523" t="s">
        <v>585</v>
      </c>
      <c r="P33" s="221">
        <v>4</v>
      </c>
      <c r="Q33" s="221">
        <v>6</v>
      </c>
      <c r="R33" s="523" t="s">
        <v>585</v>
      </c>
      <c r="S33" s="523" t="s">
        <v>585</v>
      </c>
      <c r="T33" s="518">
        <v>51</v>
      </c>
    </row>
    <row r="34" spans="2:20" s="91" customFormat="1" ht="12.75" customHeight="1" thickBot="1" x14ac:dyDescent="0.25">
      <c r="B34" s="622"/>
      <c r="C34" s="519" t="s">
        <v>17</v>
      </c>
      <c r="D34" s="520" t="s">
        <v>262</v>
      </c>
      <c r="E34" s="521">
        <v>785</v>
      </c>
      <c r="F34" s="521">
        <v>1142</v>
      </c>
      <c r="G34" s="521">
        <v>1764</v>
      </c>
      <c r="H34" s="521">
        <v>2420</v>
      </c>
      <c r="I34" s="521">
        <v>4725</v>
      </c>
      <c r="J34" s="521">
        <v>5107</v>
      </c>
      <c r="K34" s="622"/>
      <c r="L34" s="519" t="s">
        <v>17</v>
      </c>
      <c r="M34" s="520" t="s">
        <v>262</v>
      </c>
      <c r="N34" s="521">
        <v>6099</v>
      </c>
      <c r="O34" s="521">
        <v>9883</v>
      </c>
      <c r="P34" s="521">
        <v>6871</v>
      </c>
      <c r="Q34" s="521">
        <v>4768</v>
      </c>
      <c r="R34" s="521">
        <v>2749</v>
      </c>
      <c r="S34" s="521">
        <v>1739</v>
      </c>
      <c r="T34" s="522">
        <v>48052</v>
      </c>
    </row>
    <row r="35" spans="2:20" s="91" customFormat="1" ht="12.75" customHeight="1" thickBot="1" x14ac:dyDescent="0.25">
      <c r="B35" s="494" t="s">
        <v>311</v>
      </c>
      <c r="C35" s="496" t="s">
        <v>638</v>
      </c>
      <c r="D35" s="497" t="s">
        <v>268</v>
      </c>
      <c r="E35" s="503" t="s">
        <v>585</v>
      </c>
      <c r="F35" s="501">
        <v>1</v>
      </c>
      <c r="G35" s="501">
        <v>1</v>
      </c>
      <c r="H35" s="503" t="s">
        <v>585</v>
      </c>
      <c r="I35" s="503" t="s">
        <v>585</v>
      </c>
      <c r="J35" s="503" t="s">
        <v>585</v>
      </c>
      <c r="K35" s="459" t="s">
        <v>311</v>
      </c>
      <c r="L35" s="496" t="s">
        <v>638</v>
      </c>
      <c r="M35" s="497" t="s">
        <v>268</v>
      </c>
      <c r="N35" s="503" t="s">
        <v>585</v>
      </c>
      <c r="O35" s="503" t="s">
        <v>585</v>
      </c>
      <c r="P35" s="503" t="s">
        <v>585</v>
      </c>
      <c r="Q35" s="503" t="s">
        <v>585</v>
      </c>
      <c r="R35" s="503" t="s">
        <v>585</v>
      </c>
      <c r="S35" s="503" t="s">
        <v>585</v>
      </c>
      <c r="T35" s="502">
        <v>2</v>
      </c>
    </row>
    <row r="36" spans="2:20" ht="12.75" customHeight="1" x14ac:dyDescent="0.2">
      <c r="B36" s="621" t="s">
        <v>312</v>
      </c>
      <c r="C36" s="512" t="s">
        <v>377</v>
      </c>
      <c r="D36" s="513" t="s">
        <v>268</v>
      </c>
      <c r="E36" s="514">
        <v>232</v>
      </c>
      <c r="F36" s="514">
        <v>405</v>
      </c>
      <c r="G36" s="514">
        <v>278</v>
      </c>
      <c r="H36" s="514">
        <v>23</v>
      </c>
      <c r="I36" s="514">
        <v>23</v>
      </c>
      <c r="J36" s="514">
        <v>30</v>
      </c>
      <c r="K36" s="621" t="s">
        <v>312</v>
      </c>
      <c r="L36" s="512" t="s">
        <v>377</v>
      </c>
      <c r="M36" s="513" t="s">
        <v>268</v>
      </c>
      <c r="N36" s="514">
        <v>28</v>
      </c>
      <c r="O36" s="514">
        <v>10</v>
      </c>
      <c r="P36" s="514">
        <v>18</v>
      </c>
      <c r="Q36" s="514">
        <v>27</v>
      </c>
      <c r="R36" s="514">
        <v>6</v>
      </c>
      <c r="S36" s="514">
        <v>41</v>
      </c>
      <c r="T36" s="515">
        <v>1121</v>
      </c>
    </row>
    <row r="37" spans="2:20" ht="12.75" customHeight="1" x14ac:dyDescent="0.2">
      <c r="B37" s="662"/>
      <c r="C37" s="516" t="s">
        <v>378</v>
      </c>
      <c r="D37" s="517" t="s">
        <v>267</v>
      </c>
      <c r="E37" s="221">
        <v>33</v>
      </c>
      <c r="F37" s="221">
        <v>46</v>
      </c>
      <c r="G37" s="221">
        <v>60</v>
      </c>
      <c r="H37" s="221">
        <v>1058</v>
      </c>
      <c r="I37" s="221">
        <v>1057</v>
      </c>
      <c r="J37" s="221">
        <v>809</v>
      </c>
      <c r="K37" s="662"/>
      <c r="L37" s="516" t="s">
        <v>378</v>
      </c>
      <c r="M37" s="517" t="s">
        <v>267</v>
      </c>
      <c r="N37" s="221">
        <v>1064</v>
      </c>
      <c r="O37" s="221">
        <v>816</v>
      </c>
      <c r="P37" s="221">
        <v>893</v>
      </c>
      <c r="Q37" s="221">
        <v>863</v>
      </c>
      <c r="R37" s="221">
        <v>776</v>
      </c>
      <c r="S37" s="221">
        <v>934</v>
      </c>
      <c r="T37" s="518">
        <v>8409</v>
      </c>
    </row>
    <row r="38" spans="2:20" s="91" customFormat="1" ht="12.75" customHeight="1" thickBot="1" x14ac:dyDescent="0.25">
      <c r="B38" s="622"/>
      <c r="C38" s="519" t="s">
        <v>17</v>
      </c>
      <c r="D38" s="520" t="s">
        <v>262</v>
      </c>
      <c r="E38" s="521">
        <v>265</v>
      </c>
      <c r="F38" s="521">
        <v>451</v>
      </c>
      <c r="G38" s="521">
        <v>338</v>
      </c>
      <c r="H38" s="521">
        <v>1081</v>
      </c>
      <c r="I38" s="521">
        <v>1080</v>
      </c>
      <c r="J38" s="521">
        <v>839</v>
      </c>
      <c r="K38" s="622"/>
      <c r="L38" s="519" t="s">
        <v>17</v>
      </c>
      <c r="M38" s="520" t="s">
        <v>262</v>
      </c>
      <c r="N38" s="521">
        <v>1092</v>
      </c>
      <c r="O38" s="521">
        <v>826</v>
      </c>
      <c r="P38" s="521">
        <v>911</v>
      </c>
      <c r="Q38" s="521">
        <v>890</v>
      </c>
      <c r="R38" s="521">
        <v>782</v>
      </c>
      <c r="S38" s="521">
        <v>975</v>
      </c>
      <c r="T38" s="522">
        <v>9530</v>
      </c>
    </row>
    <row r="39" spans="2:20" ht="12.75" customHeight="1" x14ac:dyDescent="0.2">
      <c r="B39" s="621" t="s">
        <v>313</v>
      </c>
      <c r="C39" s="493" t="s">
        <v>379</v>
      </c>
      <c r="D39" s="659" t="s">
        <v>267</v>
      </c>
      <c r="E39" s="485">
        <v>81</v>
      </c>
      <c r="F39" s="485">
        <v>73</v>
      </c>
      <c r="G39" s="485">
        <v>117</v>
      </c>
      <c r="H39" s="485">
        <v>76</v>
      </c>
      <c r="I39" s="485">
        <v>96</v>
      </c>
      <c r="J39" s="485">
        <v>98</v>
      </c>
      <c r="K39" s="621" t="s">
        <v>313</v>
      </c>
      <c r="L39" s="493" t="s">
        <v>379</v>
      </c>
      <c r="M39" s="659" t="s">
        <v>267</v>
      </c>
      <c r="N39" s="485">
        <v>135</v>
      </c>
      <c r="O39" s="485">
        <v>85</v>
      </c>
      <c r="P39" s="485">
        <v>133</v>
      </c>
      <c r="Q39" s="485">
        <v>1602</v>
      </c>
      <c r="R39" s="485">
        <v>1308</v>
      </c>
      <c r="S39" s="485">
        <v>87</v>
      </c>
      <c r="T39" s="500">
        <v>3891</v>
      </c>
    </row>
    <row r="40" spans="2:20" ht="12.75" customHeight="1" x14ac:dyDescent="0.2">
      <c r="B40" s="661"/>
      <c r="C40" s="493" t="s">
        <v>382</v>
      </c>
      <c r="D40" s="660"/>
      <c r="E40" s="485">
        <v>3</v>
      </c>
      <c r="F40" s="504" t="s">
        <v>585</v>
      </c>
      <c r="G40" s="504" t="s">
        <v>585</v>
      </c>
      <c r="H40" s="485">
        <v>6</v>
      </c>
      <c r="I40" s="485">
        <v>41</v>
      </c>
      <c r="J40" s="485">
        <v>44</v>
      </c>
      <c r="K40" s="661"/>
      <c r="L40" s="493" t="s">
        <v>382</v>
      </c>
      <c r="M40" s="660"/>
      <c r="N40" s="485">
        <v>49</v>
      </c>
      <c r="O40" s="485">
        <v>24</v>
      </c>
      <c r="P40" s="485">
        <v>8</v>
      </c>
      <c r="Q40" s="485">
        <v>24</v>
      </c>
      <c r="R40" s="485">
        <v>31</v>
      </c>
      <c r="S40" s="485">
        <v>8</v>
      </c>
      <c r="T40" s="500">
        <v>238</v>
      </c>
    </row>
    <row r="41" spans="2:20" ht="12.75" customHeight="1" x14ac:dyDescent="0.2">
      <c r="B41" s="661"/>
      <c r="C41" s="493" t="s">
        <v>381</v>
      </c>
      <c r="D41" s="660"/>
      <c r="E41" s="485">
        <v>13</v>
      </c>
      <c r="F41" s="485">
        <v>23</v>
      </c>
      <c r="G41" s="485">
        <v>17</v>
      </c>
      <c r="H41" s="485">
        <v>25</v>
      </c>
      <c r="I41" s="485">
        <v>83</v>
      </c>
      <c r="J41" s="485">
        <v>29</v>
      </c>
      <c r="K41" s="661"/>
      <c r="L41" s="493" t="s">
        <v>381</v>
      </c>
      <c r="M41" s="660"/>
      <c r="N41" s="485">
        <v>28</v>
      </c>
      <c r="O41" s="485">
        <v>34</v>
      </c>
      <c r="P41" s="485">
        <v>12</v>
      </c>
      <c r="Q41" s="485">
        <v>32</v>
      </c>
      <c r="R41" s="485">
        <v>32</v>
      </c>
      <c r="S41" s="485">
        <v>34</v>
      </c>
      <c r="T41" s="500">
        <v>362</v>
      </c>
    </row>
    <row r="42" spans="2:20" ht="12.75" customHeight="1" x14ac:dyDescent="0.2">
      <c r="B42" s="661"/>
      <c r="C42" s="493" t="s">
        <v>639</v>
      </c>
      <c r="D42" s="495" t="s">
        <v>268</v>
      </c>
      <c r="E42" s="485">
        <v>6</v>
      </c>
      <c r="F42" s="485">
        <v>4</v>
      </c>
      <c r="G42" s="504" t="s">
        <v>585</v>
      </c>
      <c r="H42" s="485">
        <v>16</v>
      </c>
      <c r="I42" s="504" t="s">
        <v>585</v>
      </c>
      <c r="J42" s="485">
        <v>3</v>
      </c>
      <c r="K42" s="661"/>
      <c r="L42" s="493" t="s">
        <v>639</v>
      </c>
      <c r="M42" s="495" t="s">
        <v>268</v>
      </c>
      <c r="N42" s="485">
        <v>448</v>
      </c>
      <c r="O42" s="485">
        <v>472</v>
      </c>
      <c r="P42" s="504" t="s">
        <v>585</v>
      </c>
      <c r="Q42" s="485">
        <v>16</v>
      </c>
      <c r="R42" s="504" t="s">
        <v>585</v>
      </c>
      <c r="S42" s="504" t="s">
        <v>585</v>
      </c>
      <c r="T42" s="500">
        <v>965</v>
      </c>
    </row>
    <row r="43" spans="2:20" ht="12.75" customHeight="1" x14ac:dyDescent="0.2">
      <c r="B43" s="661"/>
      <c r="C43" s="493" t="s">
        <v>380</v>
      </c>
      <c r="D43" s="660" t="s">
        <v>267</v>
      </c>
      <c r="E43" s="504" t="s">
        <v>585</v>
      </c>
      <c r="F43" s="485">
        <v>5</v>
      </c>
      <c r="G43" s="485">
        <v>7</v>
      </c>
      <c r="H43" s="504" t="s">
        <v>585</v>
      </c>
      <c r="I43" s="485">
        <v>6</v>
      </c>
      <c r="J43" s="485">
        <v>2</v>
      </c>
      <c r="K43" s="661"/>
      <c r="L43" s="493" t="s">
        <v>380</v>
      </c>
      <c r="M43" s="660" t="s">
        <v>267</v>
      </c>
      <c r="N43" s="485">
        <v>127</v>
      </c>
      <c r="O43" s="504" t="s">
        <v>585</v>
      </c>
      <c r="P43" s="504" t="s">
        <v>585</v>
      </c>
      <c r="Q43" s="485">
        <v>3</v>
      </c>
      <c r="R43" s="504" t="s">
        <v>585</v>
      </c>
      <c r="S43" s="485">
        <v>4</v>
      </c>
      <c r="T43" s="500">
        <v>154</v>
      </c>
    </row>
    <row r="44" spans="2:20" ht="12.75" customHeight="1" x14ac:dyDescent="0.2">
      <c r="B44" s="661"/>
      <c r="C44" s="493" t="s">
        <v>558</v>
      </c>
      <c r="D44" s="660"/>
      <c r="E44" s="504" t="s">
        <v>585</v>
      </c>
      <c r="F44" s="504" t="s">
        <v>585</v>
      </c>
      <c r="G44" s="504" t="s">
        <v>585</v>
      </c>
      <c r="H44" s="485">
        <v>1</v>
      </c>
      <c r="I44" s="504" t="s">
        <v>585</v>
      </c>
      <c r="J44" s="485">
        <v>1</v>
      </c>
      <c r="K44" s="661"/>
      <c r="L44" s="493" t="s">
        <v>558</v>
      </c>
      <c r="M44" s="660"/>
      <c r="N44" s="504" t="s">
        <v>585</v>
      </c>
      <c r="O44" s="485">
        <v>10</v>
      </c>
      <c r="P44" s="485">
        <v>2</v>
      </c>
      <c r="Q44" s="485">
        <v>10</v>
      </c>
      <c r="R44" s="485">
        <v>7</v>
      </c>
      <c r="S44" s="485">
        <v>2</v>
      </c>
      <c r="T44" s="500">
        <v>33</v>
      </c>
    </row>
    <row r="45" spans="2:20" s="91" customFormat="1" ht="12.75" customHeight="1" x14ac:dyDescent="0.2">
      <c r="B45" s="661"/>
      <c r="C45" s="493" t="s">
        <v>598</v>
      </c>
      <c r="D45" s="660"/>
      <c r="E45" s="504" t="s">
        <v>585</v>
      </c>
      <c r="F45" s="504" t="s">
        <v>585</v>
      </c>
      <c r="G45" s="504" t="s">
        <v>585</v>
      </c>
      <c r="H45" s="504" t="s">
        <v>585</v>
      </c>
      <c r="I45" s="485">
        <v>129</v>
      </c>
      <c r="J45" s="485">
        <v>232</v>
      </c>
      <c r="K45" s="661"/>
      <c r="L45" s="493" t="s">
        <v>598</v>
      </c>
      <c r="M45" s="660"/>
      <c r="N45" s="485">
        <v>655</v>
      </c>
      <c r="O45" s="485">
        <v>871</v>
      </c>
      <c r="P45" s="485">
        <v>366</v>
      </c>
      <c r="Q45" s="504" t="s">
        <v>585</v>
      </c>
      <c r="R45" s="504" t="s">
        <v>585</v>
      </c>
      <c r="S45" s="504" t="s">
        <v>585</v>
      </c>
      <c r="T45" s="500">
        <v>2253</v>
      </c>
    </row>
    <row r="46" spans="2:20" s="91" customFormat="1" ht="12.75" customHeight="1" thickBot="1" x14ac:dyDescent="0.25">
      <c r="B46" s="622"/>
      <c r="C46" s="496" t="s">
        <v>17</v>
      </c>
      <c r="D46" s="497" t="s">
        <v>262</v>
      </c>
      <c r="E46" s="501">
        <v>103</v>
      </c>
      <c r="F46" s="501">
        <v>105</v>
      </c>
      <c r="G46" s="501">
        <v>141</v>
      </c>
      <c r="H46" s="501">
        <v>124</v>
      </c>
      <c r="I46" s="501">
        <v>355</v>
      </c>
      <c r="J46" s="501">
        <v>409</v>
      </c>
      <c r="K46" s="622"/>
      <c r="L46" s="496" t="s">
        <v>17</v>
      </c>
      <c r="M46" s="497" t="s">
        <v>262</v>
      </c>
      <c r="N46" s="501">
        <v>1442</v>
      </c>
      <c r="O46" s="501">
        <v>1496</v>
      </c>
      <c r="P46" s="501">
        <v>521</v>
      </c>
      <c r="Q46" s="501">
        <v>1687</v>
      </c>
      <c r="R46" s="501">
        <v>1378</v>
      </c>
      <c r="S46" s="501">
        <v>135</v>
      </c>
      <c r="T46" s="502">
        <v>7896</v>
      </c>
    </row>
    <row r="47" spans="2:20" s="91" customFormat="1" ht="12.75" customHeight="1" thickBot="1" x14ac:dyDescent="0.25">
      <c r="B47" s="506" t="s">
        <v>314</v>
      </c>
      <c r="C47" s="507" t="s">
        <v>383</v>
      </c>
      <c r="D47" s="508" t="s">
        <v>268</v>
      </c>
      <c r="E47" s="509">
        <v>2016</v>
      </c>
      <c r="F47" s="509">
        <v>2404</v>
      </c>
      <c r="G47" s="509">
        <v>7061</v>
      </c>
      <c r="H47" s="509">
        <v>7193</v>
      </c>
      <c r="I47" s="509">
        <v>5416</v>
      </c>
      <c r="J47" s="509">
        <v>5807</v>
      </c>
      <c r="K47" s="58" t="s">
        <v>314</v>
      </c>
      <c r="L47" s="507" t="s">
        <v>383</v>
      </c>
      <c r="M47" s="508" t="s">
        <v>268</v>
      </c>
      <c r="N47" s="509">
        <v>4911</v>
      </c>
      <c r="O47" s="509">
        <v>6781</v>
      </c>
      <c r="P47" s="509">
        <v>6433</v>
      </c>
      <c r="Q47" s="509">
        <v>5639</v>
      </c>
      <c r="R47" s="509">
        <v>3343</v>
      </c>
      <c r="S47" s="509">
        <v>1578</v>
      </c>
      <c r="T47" s="511">
        <v>58582</v>
      </c>
    </row>
    <row r="48" spans="2:20" ht="12.75" customHeight="1" thickBot="1" x14ac:dyDescent="0.25">
      <c r="B48" s="506" t="s">
        <v>315</v>
      </c>
      <c r="C48" s="507" t="s">
        <v>640</v>
      </c>
      <c r="D48" s="508" t="s">
        <v>268</v>
      </c>
      <c r="E48" s="509">
        <v>124</v>
      </c>
      <c r="F48" s="509">
        <v>2</v>
      </c>
      <c r="G48" s="509">
        <v>203</v>
      </c>
      <c r="H48" s="509">
        <v>1115</v>
      </c>
      <c r="I48" s="509">
        <v>1011</v>
      </c>
      <c r="J48" s="509">
        <v>2076</v>
      </c>
      <c r="K48" s="58" t="s">
        <v>315</v>
      </c>
      <c r="L48" s="507" t="s">
        <v>640</v>
      </c>
      <c r="M48" s="508" t="s">
        <v>268</v>
      </c>
      <c r="N48" s="509">
        <v>3082</v>
      </c>
      <c r="O48" s="509">
        <v>4409</v>
      </c>
      <c r="P48" s="509">
        <v>3605</v>
      </c>
      <c r="Q48" s="509">
        <v>3378</v>
      </c>
      <c r="R48" s="509">
        <v>945</v>
      </c>
      <c r="S48" s="509">
        <v>474</v>
      </c>
      <c r="T48" s="511">
        <v>20424</v>
      </c>
    </row>
    <row r="49" spans="2:20" ht="12.75" customHeight="1" x14ac:dyDescent="0.2">
      <c r="B49" s="621" t="s">
        <v>316</v>
      </c>
      <c r="C49" s="493" t="s">
        <v>384</v>
      </c>
      <c r="D49" s="659" t="s">
        <v>269</v>
      </c>
      <c r="E49" s="485">
        <v>33268</v>
      </c>
      <c r="F49" s="485">
        <v>31754</v>
      </c>
      <c r="G49" s="485">
        <v>49396</v>
      </c>
      <c r="H49" s="485">
        <v>62996</v>
      </c>
      <c r="I49" s="485">
        <v>61077</v>
      </c>
      <c r="J49" s="485">
        <v>72770</v>
      </c>
      <c r="K49" s="621" t="s">
        <v>316</v>
      </c>
      <c r="L49" s="493" t="s">
        <v>384</v>
      </c>
      <c r="M49" s="659" t="s">
        <v>269</v>
      </c>
      <c r="N49" s="485">
        <v>69567</v>
      </c>
      <c r="O49" s="485">
        <v>120892</v>
      </c>
      <c r="P49" s="485">
        <v>70890</v>
      </c>
      <c r="Q49" s="485">
        <v>52406</v>
      </c>
      <c r="R49" s="485">
        <v>46270</v>
      </c>
      <c r="S49" s="485">
        <v>43386</v>
      </c>
      <c r="T49" s="500">
        <v>714672</v>
      </c>
    </row>
    <row r="50" spans="2:20" ht="12.75" customHeight="1" x14ac:dyDescent="0.2">
      <c r="B50" s="661"/>
      <c r="C50" s="493" t="s">
        <v>385</v>
      </c>
      <c r="D50" s="660"/>
      <c r="E50" s="485">
        <v>44730</v>
      </c>
      <c r="F50" s="485">
        <v>34895</v>
      </c>
      <c r="G50" s="485">
        <v>63158</v>
      </c>
      <c r="H50" s="485">
        <v>66218</v>
      </c>
      <c r="I50" s="485">
        <v>59890</v>
      </c>
      <c r="J50" s="485">
        <v>64027</v>
      </c>
      <c r="K50" s="661"/>
      <c r="L50" s="493" t="s">
        <v>385</v>
      </c>
      <c r="M50" s="660"/>
      <c r="N50" s="485">
        <v>72507</v>
      </c>
      <c r="O50" s="485">
        <v>155079</v>
      </c>
      <c r="P50" s="485">
        <v>81436</v>
      </c>
      <c r="Q50" s="485">
        <v>69438</v>
      </c>
      <c r="R50" s="485">
        <v>49278</v>
      </c>
      <c r="S50" s="485">
        <v>49094</v>
      </c>
      <c r="T50" s="500">
        <v>809750</v>
      </c>
    </row>
    <row r="51" spans="2:20" ht="12.75" customHeight="1" x14ac:dyDescent="0.2">
      <c r="B51" s="661"/>
      <c r="C51" s="493" t="s">
        <v>386</v>
      </c>
      <c r="D51" s="660"/>
      <c r="E51" s="485">
        <v>126764</v>
      </c>
      <c r="F51" s="485">
        <v>112209</v>
      </c>
      <c r="G51" s="485">
        <v>158637</v>
      </c>
      <c r="H51" s="485">
        <v>196523</v>
      </c>
      <c r="I51" s="485">
        <v>184335</v>
      </c>
      <c r="J51" s="485">
        <v>198635</v>
      </c>
      <c r="K51" s="661"/>
      <c r="L51" s="493" t="s">
        <v>386</v>
      </c>
      <c r="M51" s="660"/>
      <c r="N51" s="485">
        <v>213751</v>
      </c>
      <c r="O51" s="485">
        <v>401295</v>
      </c>
      <c r="P51" s="485">
        <v>276514</v>
      </c>
      <c r="Q51" s="485">
        <v>209184</v>
      </c>
      <c r="R51" s="485">
        <v>174989</v>
      </c>
      <c r="S51" s="485">
        <v>155889</v>
      </c>
      <c r="T51" s="500">
        <v>2408725</v>
      </c>
    </row>
    <row r="52" spans="2:20" ht="12.75" customHeight="1" x14ac:dyDescent="0.2">
      <c r="B52" s="661"/>
      <c r="C52" s="493" t="s">
        <v>387</v>
      </c>
      <c r="D52" s="660"/>
      <c r="E52" s="485">
        <v>18723</v>
      </c>
      <c r="F52" s="485">
        <v>16710</v>
      </c>
      <c r="G52" s="485">
        <v>24634</v>
      </c>
      <c r="H52" s="485">
        <v>27266</v>
      </c>
      <c r="I52" s="485">
        <v>25591</v>
      </c>
      <c r="J52" s="485">
        <v>25718</v>
      </c>
      <c r="K52" s="661"/>
      <c r="L52" s="493" t="s">
        <v>387</v>
      </c>
      <c r="M52" s="660"/>
      <c r="N52" s="485">
        <v>24489</v>
      </c>
      <c r="O52" s="485">
        <v>60437</v>
      </c>
      <c r="P52" s="485">
        <v>33674</v>
      </c>
      <c r="Q52" s="485">
        <v>30177</v>
      </c>
      <c r="R52" s="485">
        <v>26378</v>
      </c>
      <c r="S52" s="485">
        <v>26613</v>
      </c>
      <c r="T52" s="500">
        <v>340410</v>
      </c>
    </row>
    <row r="53" spans="2:20" s="91" customFormat="1" ht="12.75" customHeight="1" x14ac:dyDescent="0.2">
      <c r="B53" s="661"/>
      <c r="C53" s="493" t="s">
        <v>388</v>
      </c>
      <c r="D53" s="495" t="s">
        <v>270</v>
      </c>
      <c r="E53" s="485">
        <v>592</v>
      </c>
      <c r="F53" s="485">
        <v>506</v>
      </c>
      <c r="G53" s="485">
        <v>750</v>
      </c>
      <c r="H53" s="485">
        <v>1231</v>
      </c>
      <c r="I53" s="485">
        <v>1179</v>
      </c>
      <c r="J53" s="485">
        <v>1399</v>
      </c>
      <c r="K53" s="661"/>
      <c r="L53" s="493" t="s">
        <v>388</v>
      </c>
      <c r="M53" s="495" t="s">
        <v>270</v>
      </c>
      <c r="N53" s="485">
        <v>1901</v>
      </c>
      <c r="O53" s="485">
        <v>3558</v>
      </c>
      <c r="P53" s="485">
        <v>2145</v>
      </c>
      <c r="Q53" s="485">
        <v>1458</v>
      </c>
      <c r="R53" s="485">
        <v>1228</v>
      </c>
      <c r="S53" s="485">
        <v>974</v>
      </c>
      <c r="T53" s="500">
        <v>16921</v>
      </c>
    </row>
    <row r="54" spans="2:20" s="91" customFormat="1" ht="12.75" customHeight="1" thickBot="1" x14ac:dyDescent="0.25">
      <c r="B54" s="622"/>
      <c r="C54" s="496" t="s">
        <v>17</v>
      </c>
      <c r="D54" s="497" t="s">
        <v>262</v>
      </c>
      <c r="E54" s="501">
        <v>224077</v>
      </c>
      <c r="F54" s="501">
        <v>196074</v>
      </c>
      <c r="G54" s="501">
        <v>296575</v>
      </c>
      <c r="H54" s="501">
        <v>354234</v>
      </c>
      <c r="I54" s="501">
        <v>332072</v>
      </c>
      <c r="J54" s="501">
        <v>362549</v>
      </c>
      <c r="K54" s="622"/>
      <c r="L54" s="496" t="s">
        <v>17</v>
      </c>
      <c r="M54" s="497" t="s">
        <v>262</v>
      </c>
      <c r="N54" s="501">
        <v>382215</v>
      </c>
      <c r="O54" s="501">
        <v>741261</v>
      </c>
      <c r="P54" s="501">
        <v>464659</v>
      </c>
      <c r="Q54" s="501">
        <v>362663</v>
      </c>
      <c r="R54" s="501">
        <v>298143</v>
      </c>
      <c r="S54" s="501">
        <v>275956</v>
      </c>
      <c r="T54" s="502">
        <v>4290478</v>
      </c>
    </row>
    <row r="55" spans="2:20" s="91" customFormat="1" ht="12.75" customHeight="1" thickBot="1" x14ac:dyDescent="0.25">
      <c r="B55" s="506" t="s">
        <v>317</v>
      </c>
      <c r="C55" s="507" t="s">
        <v>641</v>
      </c>
      <c r="D55" s="508" t="s">
        <v>268</v>
      </c>
      <c r="E55" s="510" t="s">
        <v>585</v>
      </c>
      <c r="F55" s="509">
        <v>10</v>
      </c>
      <c r="G55" s="509">
        <v>2</v>
      </c>
      <c r="H55" s="509">
        <v>239</v>
      </c>
      <c r="I55" s="509">
        <v>303</v>
      </c>
      <c r="J55" s="509">
        <v>638</v>
      </c>
      <c r="K55" s="58" t="s">
        <v>317</v>
      </c>
      <c r="L55" s="507" t="s">
        <v>641</v>
      </c>
      <c r="M55" s="508" t="s">
        <v>268</v>
      </c>
      <c r="N55" s="509">
        <v>1790</v>
      </c>
      <c r="O55" s="509">
        <v>2645</v>
      </c>
      <c r="P55" s="509">
        <v>1622</v>
      </c>
      <c r="Q55" s="509">
        <v>1038</v>
      </c>
      <c r="R55" s="509">
        <v>393</v>
      </c>
      <c r="S55" s="509">
        <v>293</v>
      </c>
      <c r="T55" s="511">
        <v>8973</v>
      </c>
    </row>
    <row r="56" spans="2:20" s="91" customFormat="1" ht="12.75" customHeight="1" thickBot="1" x14ac:dyDescent="0.25">
      <c r="B56" s="506" t="s">
        <v>318</v>
      </c>
      <c r="C56" s="507" t="s">
        <v>642</v>
      </c>
      <c r="D56" s="508" t="s">
        <v>268</v>
      </c>
      <c r="E56" s="510" t="s">
        <v>585</v>
      </c>
      <c r="F56" s="510" t="s">
        <v>585</v>
      </c>
      <c r="G56" s="510" t="s">
        <v>585</v>
      </c>
      <c r="H56" s="510" t="s">
        <v>585</v>
      </c>
      <c r="I56" s="510" t="s">
        <v>585</v>
      </c>
      <c r="J56" s="510" t="s">
        <v>585</v>
      </c>
      <c r="K56" s="58" t="s">
        <v>318</v>
      </c>
      <c r="L56" s="507" t="s">
        <v>642</v>
      </c>
      <c r="M56" s="508" t="s">
        <v>268</v>
      </c>
      <c r="N56" s="510" t="s">
        <v>585</v>
      </c>
      <c r="O56" s="509">
        <v>10</v>
      </c>
      <c r="P56" s="510" t="s">
        <v>585</v>
      </c>
      <c r="Q56" s="510" t="s">
        <v>585</v>
      </c>
      <c r="R56" s="509">
        <v>5</v>
      </c>
      <c r="S56" s="510" t="s">
        <v>585</v>
      </c>
      <c r="T56" s="511">
        <v>15</v>
      </c>
    </row>
    <row r="57" spans="2:20" s="91" customFormat="1" ht="12.75" customHeight="1" thickBot="1" x14ac:dyDescent="0.25">
      <c r="B57" s="506" t="s">
        <v>319</v>
      </c>
      <c r="C57" s="507" t="s">
        <v>643</v>
      </c>
      <c r="D57" s="508" t="s">
        <v>268</v>
      </c>
      <c r="E57" s="509">
        <v>352</v>
      </c>
      <c r="F57" s="510" t="s">
        <v>585</v>
      </c>
      <c r="G57" s="509">
        <v>509</v>
      </c>
      <c r="H57" s="509">
        <v>1051</v>
      </c>
      <c r="I57" s="509">
        <v>232</v>
      </c>
      <c r="J57" s="509">
        <v>8</v>
      </c>
      <c r="K57" s="58" t="s">
        <v>319</v>
      </c>
      <c r="L57" s="507" t="s">
        <v>643</v>
      </c>
      <c r="M57" s="508" t="s">
        <v>268</v>
      </c>
      <c r="N57" s="509">
        <v>43</v>
      </c>
      <c r="O57" s="509">
        <v>5</v>
      </c>
      <c r="P57" s="510" t="s">
        <v>585</v>
      </c>
      <c r="Q57" s="510" t="s">
        <v>585</v>
      </c>
      <c r="R57" s="509">
        <v>5</v>
      </c>
      <c r="S57" s="510" t="s">
        <v>585</v>
      </c>
      <c r="T57" s="511">
        <v>2205</v>
      </c>
    </row>
    <row r="58" spans="2:20" ht="12.75" customHeight="1" thickBot="1" x14ac:dyDescent="0.25">
      <c r="B58" s="506" t="s">
        <v>320</v>
      </c>
      <c r="C58" s="507" t="s">
        <v>644</v>
      </c>
      <c r="D58" s="508" t="s">
        <v>268</v>
      </c>
      <c r="E58" s="509">
        <v>1734</v>
      </c>
      <c r="F58" s="509">
        <v>978</v>
      </c>
      <c r="G58" s="509">
        <v>1261</v>
      </c>
      <c r="H58" s="509">
        <v>1877</v>
      </c>
      <c r="I58" s="509">
        <v>1208</v>
      </c>
      <c r="J58" s="509">
        <v>1254</v>
      </c>
      <c r="K58" s="58" t="s">
        <v>320</v>
      </c>
      <c r="L58" s="507" t="s">
        <v>644</v>
      </c>
      <c r="M58" s="508" t="s">
        <v>268</v>
      </c>
      <c r="N58" s="509">
        <v>3558</v>
      </c>
      <c r="O58" s="509">
        <v>8783</v>
      </c>
      <c r="P58" s="509">
        <v>2968</v>
      </c>
      <c r="Q58" s="509">
        <v>1624</v>
      </c>
      <c r="R58" s="509">
        <v>1668</v>
      </c>
      <c r="S58" s="509">
        <v>1608</v>
      </c>
      <c r="T58" s="511">
        <v>28521</v>
      </c>
    </row>
    <row r="59" spans="2:20" ht="12.75" customHeight="1" x14ac:dyDescent="0.2">
      <c r="B59" s="621" t="s">
        <v>321</v>
      </c>
      <c r="C59" s="493" t="s">
        <v>389</v>
      </c>
      <c r="D59" s="495" t="s">
        <v>269</v>
      </c>
      <c r="E59" s="485">
        <v>1323</v>
      </c>
      <c r="F59" s="485">
        <v>1601</v>
      </c>
      <c r="G59" s="485">
        <v>1964</v>
      </c>
      <c r="H59" s="485">
        <v>2667</v>
      </c>
      <c r="I59" s="485">
        <v>24683</v>
      </c>
      <c r="J59" s="485">
        <v>4478</v>
      </c>
      <c r="K59" s="621" t="s">
        <v>321</v>
      </c>
      <c r="L59" s="493" t="s">
        <v>389</v>
      </c>
      <c r="M59" s="495" t="s">
        <v>269</v>
      </c>
      <c r="N59" s="485">
        <v>13532</v>
      </c>
      <c r="O59" s="485">
        <v>16412</v>
      </c>
      <c r="P59" s="485">
        <v>3708</v>
      </c>
      <c r="Q59" s="485">
        <v>1434</v>
      </c>
      <c r="R59" s="485">
        <v>478</v>
      </c>
      <c r="S59" s="485">
        <v>588</v>
      </c>
      <c r="T59" s="500">
        <v>72868</v>
      </c>
    </row>
    <row r="60" spans="2:20" s="91" customFormat="1" ht="12.75" customHeight="1" x14ac:dyDescent="0.2">
      <c r="B60" s="661"/>
      <c r="C60" s="493" t="s">
        <v>645</v>
      </c>
      <c r="D60" s="495" t="s">
        <v>268</v>
      </c>
      <c r="E60" s="485">
        <v>2103</v>
      </c>
      <c r="F60" s="485">
        <v>1544</v>
      </c>
      <c r="G60" s="485">
        <v>2269</v>
      </c>
      <c r="H60" s="485">
        <v>4068</v>
      </c>
      <c r="I60" s="485">
        <v>3926</v>
      </c>
      <c r="J60" s="485">
        <v>4063</v>
      </c>
      <c r="K60" s="661"/>
      <c r="L60" s="493" t="s">
        <v>645</v>
      </c>
      <c r="M60" s="495" t="s">
        <v>268</v>
      </c>
      <c r="N60" s="485">
        <v>10907</v>
      </c>
      <c r="O60" s="485">
        <v>10924</v>
      </c>
      <c r="P60" s="485">
        <v>6854</v>
      </c>
      <c r="Q60" s="485">
        <v>6508</v>
      </c>
      <c r="R60" s="485">
        <v>2947</v>
      </c>
      <c r="S60" s="485">
        <v>2840</v>
      </c>
      <c r="T60" s="500">
        <v>58953</v>
      </c>
    </row>
    <row r="61" spans="2:20" s="91" customFormat="1" ht="12.75" customHeight="1" thickBot="1" x14ac:dyDescent="0.25">
      <c r="B61" s="622"/>
      <c r="C61" s="496" t="s">
        <v>17</v>
      </c>
      <c r="D61" s="497" t="s">
        <v>262</v>
      </c>
      <c r="E61" s="501">
        <v>3426</v>
      </c>
      <c r="F61" s="501">
        <v>3145</v>
      </c>
      <c r="G61" s="501">
        <v>4233</v>
      </c>
      <c r="H61" s="501">
        <v>6735</v>
      </c>
      <c r="I61" s="501">
        <v>28609</v>
      </c>
      <c r="J61" s="501">
        <v>8541</v>
      </c>
      <c r="K61" s="622"/>
      <c r="L61" s="496" t="s">
        <v>17</v>
      </c>
      <c r="M61" s="497" t="s">
        <v>262</v>
      </c>
      <c r="N61" s="501">
        <v>24439</v>
      </c>
      <c r="O61" s="501">
        <v>27336</v>
      </c>
      <c r="P61" s="501">
        <v>10562</v>
      </c>
      <c r="Q61" s="501">
        <v>7942</v>
      </c>
      <c r="R61" s="501">
        <v>3425</v>
      </c>
      <c r="S61" s="501">
        <v>3428</v>
      </c>
      <c r="T61" s="502">
        <v>131821</v>
      </c>
    </row>
    <row r="62" spans="2:20" ht="12.75" customHeight="1" thickBot="1" x14ac:dyDescent="0.25">
      <c r="B62" s="506" t="s">
        <v>322</v>
      </c>
      <c r="C62" s="507" t="s">
        <v>646</v>
      </c>
      <c r="D62" s="508" t="s">
        <v>267</v>
      </c>
      <c r="E62" s="509">
        <v>268</v>
      </c>
      <c r="F62" s="509">
        <v>617</v>
      </c>
      <c r="G62" s="509">
        <v>850</v>
      </c>
      <c r="H62" s="509">
        <v>324</v>
      </c>
      <c r="I62" s="509">
        <v>2032</v>
      </c>
      <c r="J62" s="509">
        <v>526</v>
      </c>
      <c r="K62" s="58" t="s">
        <v>322</v>
      </c>
      <c r="L62" s="507" t="s">
        <v>646</v>
      </c>
      <c r="M62" s="508" t="s">
        <v>267</v>
      </c>
      <c r="N62" s="509">
        <v>534</v>
      </c>
      <c r="O62" s="509">
        <v>348</v>
      </c>
      <c r="P62" s="509">
        <v>214</v>
      </c>
      <c r="Q62" s="509">
        <v>286</v>
      </c>
      <c r="R62" s="509">
        <v>149</v>
      </c>
      <c r="S62" s="509">
        <v>590</v>
      </c>
      <c r="T62" s="511">
        <v>6738</v>
      </c>
    </row>
    <row r="63" spans="2:20" ht="12.75" customHeight="1" x14ac:dyDescent="0.2">
      <c r="B63" s="621" t="s">
        <v>323</v>
      </c>
      <c r="C63" s="493" t="s">
        <v>390</v>
      </c>
      <c r="D63" s="659" t="s">
        <v>269</v>
      </c>
      <c r="E63" s="485">
        <v>2976</v>
      </c>
      <c r="F63" s="485">
        <v>3237</v>
      </c>
      <c r="G63" s="485">
        <v>7667</v>
      </c>
      <c r="H63" s="485">
        <v>6794</v>
      </c>
      <c r="I63" s="485">
        <v>5058</v>
      </c>
      <c r="J63" s="485">
        <v>6696</v>
      </c>
      <c r="K63" s="621" t="s">
        <v>323</v>
      </c>
      <c r="L63" s="493" t="s">
        <v>390</v>
      </c>
      <c r="M63" s="659" t="s">
        <v>269</v>
      </c>
      <c r="N63" s="485">
        <v>9092</v>
      </c>
      <c r="O63" s="485">
        <v>13608</v>
      </c>
      <c r="P63" s="485">
        <v>14588</v>
      </c>
      <c r="Q63" s="485">
        <v>8064</v>
      </c>
      <c r="R63" s="485">
        <v>6394</v>
      </c>
      <c r="S63" s="485">
        <v>3972</v>
      </c>
      <c r="T63" s="500">
        <v>88146</v>
      </c>
    </row>
    <row r="64" spans="2:20" s="91" customFormat="1" ht="12.75" customHeight="1" x14ac:dyDescent="0.2">
      <c r="B64" s="661"/>
      <c r="C64" s="493" t="s">
        <v>391</v>
      </c>
      <c r="D64" s="660"/>
      <c r="E64" s="485">
        <v>561</v>
      </c>
      <c r="F64" s="485">
        <v>711</v>
      </c>
      <c r="G64" s="485">
        <v>1193</v>
      </c>
      <c r="H64" s="485">
        <v>1736</v>
      </c>
      <c r="I64" s="485">
        <v>946</v>
      </c>
      <c r="J64" s="485">
        <v>2169</v>
      </c>
      <c r="K64" s="661"/>
      <c r="L64" s="493" t="s">
        <v>391</v>
      </c>
      <c r="M64" s="660"/>
      <c r="N64" s="485">
        <v>3230</v>
      </c>
      <c r="O64" s="485">
        <v>4328</v>
      </c>
      <c r="P64" s="485">
        <v>4813</v>
      </c>
      <c r="Q64" s="485">
        <v>2969</v>
      </c>
      <c r="R64" s="485">
        <v>2108</v>
      </c>
      <c r="S64" s="485">
        <v>1652</v>
      </c>
      <c r="T64" s="500">
        <v>26416</v>
      </c>
    </row>
    <row r="65" spans="2:20" ht="12.75" customHeight="1" thickBot="1" x14ac:dyDescent="0.25">
      <c r="B65" s="622"/>
      <c r="C65" s="496" t="s">
        <v>17</v>
      </c>
      <c r="D65" s="497" t="s">
        <v>262</v>
      </c>
      <c r="E65" s="501">
        <v>3537</v>
      </c>
      <c r="F65" s="501">
        <v>3948</v>
      </c>
      <c r="G65" s="501">
        <v>8860</v>
      </c>
      <c r="H65" s="501">
        <v>8530</v>
      </c>
      <c r="I65" s="501">
        <v>6004</v>
      </c>
      <c r="J65" s="501">
        <v>8865</v>
      </c>
      <c r="K65" s="622"/>
      <c r="L65" s="496" t="s">
        <v>17</v>
      </c>
      <c r="M65" s="497" t="s">
        <v>262</v>
      </c>
      <c r="N65" s="501">
        <v>12322</v>
      </c>
      <c r="O65" s="501">
        <v>17936</v>
      </c>
      <c r="P65" s="501">
        <v>19401</v>
      </c>
      <c r="Q65" s="501">
        <v>11033</v>
      </c>
      <c r="R65" s="501">
        <v>8502</v>
      </c>
      <c r="S65" s="501">
        <v>5624</v>
      </c>
      <c r="T65" s="502">
        <v>114562</v>
      </c>
    </row>
    <row r="66" spans="2:20" ht="12.75" customHeight="1" x14ac:dyDescent="0.2">
      <c r="B66" s="621" t="s">
        <v>324</v>
      </c>
      <c r="C66" s="512" t="s">
        <v>599</v>
      </c>
      <c r="D66" s="659" t="s">
        <v>267</v>
      </c>
      <c r="E66" s="514">
        <v>99</v>
      </c>
      <c r="F66" s="514">
        <v>78</v>
      </c>
      <c r="G66" s="514">
        <v>105</v>
      </c>
      <c r="H66" s="514">
        <v>110</v>
      </c>
      <c r="I66" s="514">
        <v>24</v>
      </c>
      <c r="J66" s="514">
        <v>38</v>
      </c>
      <c r="K66" s="621" t="s">
        <v>324</v>
      </c>
      <c r="L66" s="512" t="s">
        <v>599</v>
      </c>
      <c r="M66" s="659" t="s">
        <v>267</v>
      </c>
      <c r="N66" s="514">
        <v>22</v>
      </c>
      <c r="O66" s="514">
        <v>33</v>
      </c>
      <c r="P66" s="514">
        <v>58</v>
      </c>
      <c r="Q66" s="514">
        <v>52</v>
      </c>
      <c r="R66" s="514">
        <v>20</v>
      </c>
      <c r="S66" s="514">
        <v>17</v>
      </c>
      <c r="T66" s="515">
        <v>656</v>
      </c>
    </row>
    <row r="67" spans="2:20" ht="12.75" customHeight="1" x14ac:dyDescent="0.2">
      <c r="B67" s="662"/>
      <c r="C67" s="516" t="s">
        <v>600</v>
      </c>
      <c r="D67" s="663"/>
      <c r="E67" s="221">
        <v>71</v>
      </c>
      <c r="F67" s="221">
        <v>35</v>
      </c>
      <c r="G67" s="221">
        <v>29</v>
      </c>
      <c r="H67" s="221">
        <v>44</v>
      </c>
      <c r="I67" s="221">
        <v>29</v>
      </c>
      <c r="J67" s="221">
        <v>75</v>
      </c>
      <c r="K67" s="662"/>
      <c r="L67" s="516" t="s">
        <v>600</v>
      </c>
      <c r="M67" s="663"/>
      <c r="N67" s="221">
        <v>73</v>
      </c>
      <c r="O67" s="221">
        <v>13</v>
      </c>
      <c r="P67" s="221">
        <v>43</v>
      </c>
      <c r="Q67" s="221">
        <v>28</v>
      </c>
      <c r="R67" s="221">
        <v>27</v>
      </c>
      <c r="S67" s="221">
        <v>33</v>
      </c>
      <c r="T67" s="518">
        <v>500</v>
      </c>
    </row>
    <row r="68" spans="2:20" ht="12.75" customHeight="1" x14ac:dyDescent="0.2">
      <c r="B68" s="662"/>
      <c r="C68" s="516" t="s">
        <v>606</v>
      </c>
      <c r="D68" s="663"/>
      <c r="E68" s="221">
        <v>2</v>
      </c>
      <c r="F68" s="221">
        <v>21</v>
      </c>
      <c r="G68" s="221">
        <v>3</v>
      </c>
      <c r="H68" s="523" t="s">
        <v>585</v>
      </c>
      <c r="I68" s="221">
        <v>2</v>
      </c>
      <c r="J68" s="221">
        <v>25</v>
      </c>
      <c r="K68" s="662"/>
      <c r="L68" s="516" t="s">
        <v>606</v>
      </c>
      <c r="M68" s="663"/>
      <c r="N68" s="221">
        <v>3</v>
      </c>
      <c r="O68" s="221">
        <v>23</v>
      </c>
      <c r="P68" s="221">
        <v>16</v>
      </c>
      <c r="Q68" s="221">
        <v>27</v>
      </c>
      <c r="R68" s="221">
        <v>27</v>
      </c>
      <c r="S68" s="221">
        <v>13</v>
      </c>
      <c r="T68" s="518">
        <v>162</v>
      </c>
    </row>
    <row r="69" spans="2:20" s="91" customFormat="1" ht="12.75" customHeight="1" x14ac:dyDescent="0.2">
      <c r="B69" s="662"/>
      <c r="C69" s="516" t="s">
        <v>392</v>
      </c>
      <c r="D69" s="517" t="s">
        <v>269</v>
      </c>
      <c r="E69" s="221">
        <v>8959</v>
      </c>
      <c r="F69" s="221">
        <v>7033</v>
      </c>
      <c r="G69" s="221">
        <v>7529</v>
      </c>
      <c r="H69" s="221">
        <v>8193</v>
      </c>
      <c r="I69" s="221">
        <v>44566</v>
      </c>
      <c r="J69" s="221">
        <v>6121</v>
      </c>
      <c r="K69" s="662"/>
      <c r="L69" s="516" t="s">
        <v>392</v>
      </c>
      <c r="M69" s="517" t="s">
        <v>269</v>
      </c>
      <c r="N69" s="221">
        <v>24980</v>
      </c>
      <c r="O69" s="221">
        <v>38128</v>
      </c>
      <c r="P69" s="221">
        <v>9604</v>
      </c>
      <c r="Q69" s="221">
        <v>9409</v>
      </c>
      <c r="R69" s="221">
        <v>7693</v>
      </c>
      <c r="S69" s="221">
        <v>7269</v>
      </c>
      <c r="T69" s="518">
        <v>179484</v>
      </c>
    </row>
    <row r="70" spans="2:20" s="91" customFormat="1" ht="12.75" customHeight="1" x14ac:dyDescent="0.2">
      <c r="B70" s="662"/>
      <c r="C70" s="516" t="s">
        <v>601</v>
      </c>
      <c r="D70" s="663" t="s">
        <v>267</v>
      </c>
      <c r="E70" s="221">
        <v>106</v>
      </c>
      <c r="F70" s="221">
        <v>62</v>
      </c>
      <c r="G70" s="221">
        <v>136</v>
      </c>
      <c r="H70" s="221">
        <v>204</v>
      </c>
      <c r="I70" s="221">
        <v>133</v>
      </c>
      <c r="J70" s="221">
        <v>156</v>
      </c>
      <c r="K70" s="662"/>
      <c r="L70" s="516" t="s">
        <v>601</v>
      </c>
      <c r="M70" s="663" t="s">
        <v>267</v>
      </c>
      <c r="N70" s="221">
        <v>139</v>
      </c>
      <c r="O70" s="221">
        <v>108</v>
      </c>
      <c r="P70" s="221">
        <v>145</v>
      </c>
      <c r="Q70" s="221">
        <v>94</v>
      </c>
      <c r="R70" s="221">
        <v>41</v>
      </c>
      <c r="S70" s="221">
        <v>92</v>
      </c>
      <c r="T70" s="518">
        <v>1416</v>
      </c>
    </row>
    <row r="71" spans="2:20" ht="12.75" customHeight="1" x14ac:dyDescent="0.2">
      <c r="B71" s="662"/>
      <c r="C71" s="516" t="s">
        <v>602</v>
      </c>
      <c r="D71" s="663"/>
      <c r="E71" s="221">
        <v>162</v>
      </c>
      <c r="F71" s="221">
        <v>171</v>
      </c>
      <c r="G71" s="221">
        <v>223</v>
      </c>
      <c r="H71" s="221">
        <v>217</v>
      </c>
      <c r="I71" s="221">
        <v>204</v>
      </c>
      <c r="J71" s="221">
        <v>194</v>
      </c>
      <c r="K71" s="662"/>
      <c r="L71" s="516" t="s">
        <v>602</v>
      </c>
      <c r="M71" s="663"/>
      <c r="N71" s="221">
        <v>217</v>
      </c>
      <c r="O71" s="221">
        <v>100</v>
      </c>
      <c r="P71" s="221">
        <v>100</v>
      </c>
      <c r="Q71" s="221">
        <v>174</v>
      </c>
      <c r="R71" s="221">
        <v>149</v>
      </c>
      <c r="S71" s="221">
        <v>124</v>
      </c>
      <c r="T71" s="518">
        <v>2035</v>
      </c>
    </row>
    <row r="72" spans="2:20" ht="12.75" customHeight="1" x14ac:dyDescent="0.2">
      <c r="B72" s="662"/>
      <c r="C72" s="516" t="s">
        <v>393</v>
      </c>
      <c r="D72" s="517" t="s">
        <v>269</v>
      </c>
      <c r="E72" s="221">
        <v>619</v>
      </c>
      <c r="F72" s="221">
        <v>974</v>
      </c>
      <c r="G72" s="221">
        <v>1688</v>
      </c>
      <c r="H72" s="221">
        <v>1171</v>
      </c>
      <c r="I72" s="221">
        <v>503</v>
      </c>
      <c r="J72" s="221">
        <v>269</v>
      </c>
      <c r="K72" s="662"/>
      <c r="L72" s="516" t="s">
        <v>393</v>
      </c>
      <c r="M72" s="517" t="s">
        <v>269</v>
      </c>
      <c r="N72" s="221">
        <v>726</v>
      </c>
      <c r="O72" s="221">
        <v>2457</v>
      </c>
      <c r="P72" s="221">
        <v>2369</v>
      </c>
      <c r="Q72" s="221">
        <v>2596</v>
      </c>
      <c r="R72" s="221">
        <v>2184</v>
      </c>
      <c r="S72" s="221">
        <v>1262</v>
      </c>
      <c r="T72" s="518">
        <v>16818</v>
      </c>
    </row>
    <row r="73" spans="2:20" ht="12.75" customHeight="1" x14ac:dyDescent="0.2">
      <c r="B73" s="662"/>
      <c r="C73" s="516" t="s">
        <v>607</v>
      </c>
      <c r="D73" s="517" t="s">
        <v>267</v>
      </c>
      <c r="E73" s="221">
        <v>136</v>
      </c>
      <c r="F73" s="221">
        <v>124</v>
      </c>
      <c r="G73" s="221">
        <v>278</v>
      </c>
      <c r="H73" s="221">
        <v>456</v>
      </c>
      <c r="I73" s="221">
        <v>414</v>
      </c>
      <c r="J73" s="221">
        <v>321</v>
      </c>
      <c r="K73" s="662"/>
      <c r="L73" s="516" t="s">
        <v>607</v>
      </c>
      <c r="M73" s="517" t="s">
        <v>267</v>
      </c>
      <c r="N73" s="221">
        <v>334</v>
      </c>
      <c r="O73" s="221">
        <v>276</v>
      </c>
      <c r="P73" s="221">
        <v>241</v>
      </c>
      <c r="Q73" s="221">
        <v>237</v>
      </c>
      <c r="R73" s="221">
        <v>369</v>
      </c>
      <c r="S73" s="221">
        <v>412</v>
      </c>
      <c r="T73" s="518">
        <v>3598</v>
      </c>
    </row>
    <row r="74" spans="2:20" ht="12.75" customHeight="1" x14ac:dyDescent="0.2">
      <c r="B74" s="662"/>
      <c r="C74" s="516" t="s">
        <v>647</v>
      </c>
      <c r="D74" s="517" t="s">
        <v>268</v>
      </c>
      <c r="E74" s="221">
        <v>1359</v>
      </c>
      <c r="F74" s="221">
        <v>1308</v>
      </c>
      <c r="G74" s="221">
        <v>1400</v>
      </c>
      <c r="H74" s="221">
        <v>1566</v>
      </c>
      <c r="I74" s="221">
        <v>1542</v>
      </c>
      <c r="J74" s="221">
        <v>1590</v>
      </c>
      <c r="K74" s="662"/>
      <c r="L74" s="516" t="s">
        <v>647</v>
      </c>
      <c r="M74" s="517" t="s">
        <v>268</v>
      </c>
      <c r="N74" s="221">
        <v>7287</v>
      </c>
      <c r="O74" s="221">
        <v>4780</v>
      </c>
      <c r="P74" s="221">
        <v>2359</v>
      </c>
      <c r="Q74" s="221">
        <v>1372</v>
      </c>
      <c r="R74" s="221">
        <v>1320</v>
      </c>
      <c r="S74" s="221">
        <v>1062</v>
      </c>
      <c r="T74" s="518">
        <v>26945</v>
      </c>
    </row>
    <row r="75" spans="2:20" s="91" customFormat="1" ht="12.75" customHeight="1" x14ac:dyDescent="0.2">
      <c r="B75" s="662"/>
      <c r="C75" s="516" t="s">
        <v>603</v>
      </c>
      <c r="D75" s="663" t="s">
        <v>267</v>
      </c>
      <c r="E75" s="221">
        <v>294</v>
      </c>
      <c r="F75" s="221">
        <v>233</v>
      </c>
      <c r="G75" s="221">
        <v>357</v>
      </c>
      <c r="H75" s="221">
        <v>363</v>
      </c>
      <c r="I75" s="221">
        <v>353</v>
      </c>
      <c r="J75" s="221">
        <v>249</v>
      </c>
      <c r="K75" s="662"/>
      <c r="L75" s="516" t="s">
        <v>603</v>
      </c>
      <c r="M75" s="663" t="s">
        <v>267</v>
      </c>
      <c r="N75" s="221">
        <v>428</v>
      </c>
      <c r="O75" s="221">
        <v>255</v>
      </c>
      <c r="P75" s="221">
        <v>286</v>
      </c>
      <c r="Q75" s="221">
        <v>370</v>
      </c>
      <c r="R75" s="221">
        <v>374</v>
      </c>
      <c r="S75" s="221">
        <v>381</v>
      </c>
      <c r="T75" s="518">
        <v>3943</v>
      </c>
    </row>
    <row r="76" spans="2:20" ht="12.75" customHeight="1" x14ac:dyDescent="0.2">
      <c r="B76" s="662"/>
      <c r="C76" s="516" t="s">
        <v>604</v>
      </c>
      <c r="D76" s="663"/>
      <c r="E76" s="221">
        <v>237</v>
      </c>
      <c r="F76" s="221">
        <v>98</v>
      </c>
      <c r="G76" s="221">
        <v>269</v>
      </c>
      <c r="H76" s="221">
        <v>201</v>
      </c>
      <c r="I76" s="221">
        <v>321</v>
      </c>
      <c r="J76" s="221">
        <v>150</v>
      </c>
      <c r="K76" s="662"/>
      <c r="L76" s="516" t="s">
        <v>604</v>
      </c>
      <c r="M76" s="663"/>
      <c r="N76" s="221">
        <v>419</v>
      </c>
      <c r="O76" s="221">
        <v>335</v>
      </c>
      <c r="P76" s="221">
        <v>283</v>
      </c>
      <c r="Q76" s="221">
        <v>473</v>
      </c>
      <c r="R76" s="221">
        <v>572</v>
      </c>
      <c r="S76" s="221">
        <v>381</v>
      </c>
      <c r="T76" s="518">
        <v>3739</v>
      </c>
    </row>
    <row r="77" spans="2:20" ht="12.75" customHeight="1" x14ac:dyDescent="0.2">
      <c r="B77" s="662"/>
      <c r="C77" s="516" t="s">
        <v>394</v>
      </c>
      <c r="D77" s="663"/>
      <c r="E77" s="221">
        <v>1098</v>
      </c>
      <c r="F77" s="221">
        <v>984</v>
      </c>
      <c r="G77" s="221">
        <v>1642</v>
      </c>
      <c r="H77" s="221">
        <v>1716</v>
      </c>
      <c r="I77" s="221">
        <v>1507</v>
      </c>
      <c r="J77" s="221">
        <v>1206</v>
      </c>
      <c r="K77" s="662"/>
      <c r="L77" s="516" t="s">
        <v>394</v>
      </c>
      <c r="M77" s="663"/>
      <c r="N77" s="221">
        <v>1335</v>
      </c>
      <c r="O77" s="221">
        <v>1278</v>
      </c>
      <c r="P77" s="221">
        <v>1458</v>
      </c>
      <c r="Q77" s="221">
        <v>1396</v>
      </c>
      <c r="R77" s="221">
        <v>1933</v>
      </c>
      <c r="S77" s="221">
        <v>1315</v>
      </c>
      <c r="T77" s="518">
        <v>16868</v>
      </c>
    </row>
    <row r="78" spans="2:20" ht="12.75" customHeight="1" x14ac:dyDescent="0.2">
      <c r="B78" s="662"/>
      <c r="C78" s="516" t="s">
        <v>648</v>
      </c>
      <c r="D78" s="517" t="s">
        <v>269</v>
      </c>
      <c r="E78" s="523" t="s">
        <v>585</v>
      </c>
      <c r="F78" s="523" t="s">
        <v>585</v>
      </c>
      <c r="G78" s="523" t="s">
        <v>585</v>
      </c>
      <c r="H78" s="221">
        <v>486</v>
      </c>
      <c r="I78" s="221">
        <v>734</v>
      </c>
      <c r="J78" s="221">
        <v>649</v>
      </c>
      <c r="K78" s="662"/>
      <c r="L78" s="516" t="s">
        <v>648</v>
      </c>
      <c r="M78" s="517" t="s">
        <v>269</v>
      </c>
      <c r="N78" s="221">
        <v>822</v>
      </c>
      <c r="O78" s="221">
        <v>672</v>
      </c>
      <c r="P78" s="221">
        <v>726</v>
      </c>
      <c r="Q78" s="221">
        <v>831</v>
      </c>
      <c r="R78" s="221">
        <v>807</v>
      </c>
      <c r="S78" s="221">
        <v>898</v>
      </c>
      <c r="T78" s="518">
        <v>6625</v>
      </c>
    </row>
    <row r="79" spans="2:20" ht="12.75" customHeight="1" x14ac:dyDescent="0.2">
      <c r="B79" s="662"/>
      <c r="C79" s="516" t="s">
        <v>605</v>
      </c>
      <c r="D79" s="517" t="s">
        <v>267</v>
      </c>
      <c r="E79" s="523" t="s">
        <v>585</v>
      </c>
      <c r="F79" s="523" t="s">
        <v>585</v>
      </c>
      <c r="G79" s="523" t="s">
        <v>585</v>
      </c>
      <c r="H79" s="523" t="s">
        <v>585</v>
      </c>
      <c r="I79" s="523" t="s">
        <v>585</v>
      </c>
      <c r="J79" s="523" t="s">
        <v>585</v>
      </c>
      <c r="K79" s="662"/>
      <c r="L79" s="516" t="s">
        <v>605</v>
      </c>
      <c r="M79" s="517" t="s">
        <v>267</v>
      </c>
      <c r="N79" s="221">
        <v>2</v>
      </c>
      <c r="O79" s="523" t="s">
        <v>585</v>
      </c>
      <c r="P79" s="221">
        <v>20</v>
      </c>
      <c r="Q79" s="523" t="s">
        <v>585</v>
      </c>
      <c r="R79" s="523" t="s">
        <v>585</v>
      </c>
      <c r="S79" s="221">
        <v>66</v>
      </c>
      <c r="T79" s="518">
        <v>88</v>
      </c>
    </row>
    <row r="80" spans="2:20" ht="12.75" customHeight="1" thickBot="1" x14ac:dyDescent="0.25">
      <c r="B80" s="622"/>
      <c r="C80" s="519" t="s">
        <v>17</v>
      </c>
      <c r="D80" s="520" t="s">
        <v>262</v>
      </c>
      <c r="E80" s="521">
        <v>13142</v>
      </c>
      <c r="F80" s="521">
        <v>11121</v>
      </c>
      <c r="G80" s="521">
        <v>13659</v>
      </c>
      <c r="H80" s="521">
        <v>14727</v>
      </c>
      <c r="I80" s="521">
        <v>50332</v>
      </c>
      <c r="J80" s="521">
        <v>11043</v>
      </c>
      <c r="K80" s="622"/>
      <c r="L80" s="519" t="s">
        <v>17</v>
      </c>
      <c r="M80" s="520" t="s">
        <v>262</v>
      </c>
      <c r="N80" s="521">
        <v>36787</v>
      </c>
      <c r="O80" s="521">
        <v>48458</v>
      </c>
      <c r="P80" s="521">
        <v>17708</v>
      </c>
      <c r="Q80" s="521">
        <v>17059</v>
      </c>
      <c r="R80" s="521">
        <v>15516</v>
      </c>
      <c r="S80" s="521">
        <v>13325</v>
      </c>
      <c r="T80" s="522">
        <v>262877</v>
      </c>
    </row>
    <row r="81" spans="2:20" ht="12.75" customHeight="1" thickBot="1" x14ac:dyDescent="0.25">
      <c r="B81" s="494" t="s">
        <v>326</v>
      </c>
      <c r="C81" s="496" t="s">
        <v>395</v>
      </c>
      <c r="D81" s="497" t="s">
        <v>268</v>
      </c>
      <c r="E81" s="501">
        <v>1952</v>
      </c>
      <c r="F81" s="501">
        <v>1762</v>
      </c>
      <c r="G81" s="501">
        <v>6301</v>
      </c>
      <c r="H81" s="501">
        <v>6582</v>
      </c>
      <c r="I81" s="501">
        <v>2411</v>
      </c>
      <c r="J81" s="501">
        <v>3371</v>
      </c>
      <c r="K81" s="459" t="s">
        <v>326</v>
      </c>
      <c r="L81" s="496" t="s">
        <v>395</v>
      </c>
      <c r="M81" s="497" t="s">
        <v>268</v>
      </c>
      <c r="N81" s="501">
        <v>3271</v>
      </c>
      <c r="O81" s="501">
        <v>3082</v>
      </c>
      <c r="P81" s="501">
        <v>3170</v>
      </c>
      <c r="Q81" s="501">
        <v>1975</v>
      </c>
      <c r="R81" s="501">
        <v>1331</v>
      </c>
      <c r="S81" s="503" t="s">
        <v>585</v>
      </c>
      <c r="T81" s="502">
        <v>35208</v>
      </c>
    </row>
    <row r="82" spans="2:20" ht="12.75" customHeight="1" x14ac:dyDescent="0.2">
      <c r="B82" s="621" t="s">
        <v>340</v>
      </c>
      <c r="C82" s="512" t="s">
        <v>396</v>
      </c>
      <c r="D82" s="659" t="s">
        <v>267</v>
      </c>
      <c r="E82" s="514">
        <v>170</v>
      </c>
      <c r="F82" s="514">
        <v>235</v>
      </c>
      <c r="G82" s="514">
        <v>146</v>
      </c>
      <c r="H82" s="514">
        <v>172</v>
      </c>
      <c r="I82" s="514">
        <v>216</v>
      </c>
      <c r="J82" s="514">
        <v>584</v>
      </c>
      <c r="K82" s="621" t="s">
        <v>340</v>
      </c>
      <c r="L82" s="512" t="s">
        <v>396</v>
      </c>
      <c r="M82" s="659" t="s">
        <v>267</v>
      </c>
      <c r="N82" s="514">
        <v>893</v>
      </c>
      <c r="O82" s="514">
        <v>2221</v>
      </c>
      <c r="P82" s="514">
        <v>1690</v>
      </c>
      <c r="Q82" s="514">
        <v>398</v>
      </c>
      <c r="R82" s="514">
        <v>214</v>
      </c>
      <c r="S82" s="514">
        <v>2</v>
      </c>
      <c r="T82" s="515">
        <v>6941</v>
      </c>
    </row>
    <row r="83" spans="2:20" ht="12.75" customHeight="1" x14ac:dyDescent="0.2">
      <c r="B83" s="662"/>
      <c r="C83" s="516" t="s">
        <v>397</v>
      </c>
      <c r="D83" s="663"/>
      <c r="E83" s="221">
        <v>693</v>
      </c>
      <c r="F83" s="221">
        <v>1159</v>
      </c>
      <c r="G83" s="221">
        <v>992</v>
      </c>
      <c r="H83" s="221">
        <v>914</v>
      </c>
      <c r="I83" s="221">
        <v>1077</v>
      </c>
      <c r="J83" s="221">
        <v>1438</v>
      </c>
      <c r="K83" s="662"/>
      <c r="L83" s="516" t="s">
        <v>397</v>
      </c>
      <c r="M83" s="663"/>
      <c r="N83" s="221">
        <v>2538</v>
      </c>
      <c r="O83" s="221">
        <v>2197</v>
      </c>
      <c r="P83" s="221">
        <v>2073</v>
      </c>
      <c r="Q83" s="221">
        <v>1367</v>
      </c>
      <c r="R83" s="221">
        <v>927</v>
      </c>
      <c r="S83" s="221">
        <v>1062</v>
      </c>
      <c r="T83" s="518">
        <v>16437</v>
      </c>
    </row>
    <row r="84" spans="2:20" ht="12.75" customHeight="1" x14ac:dyDescent="0.2">
      <c r="B84" s="662"/>
      <c r="C84" s="516" t="s">
        <v>649</v>
      </c>
      <c r="D84" s="663"/>
      <c r="E84" s="221">
        <v>4053</v>
      </c>
      <c r="F84" s="221">
        <v>3617</v>
      </c>
      <c r="G84" s="221">
        <v>4612</v>
      </c>
      <c r="H84" s="221">
        <v>5324</v>
      </c>
      <c r="I84" s="221">
        <v>4918</v>
      </c>
      <c r="J84" s="221">
        <v>4605</v>
      </c>
      <c r="K84" s="662"/>
      <c r="L84" s="516" t="s">
        <v>649</v>
      </c>
      <c r="M84" s="663"/>
      <c r="N84" s="221">
        <v>4758</v>
      </c>
      <c r="O84" s="221">
        <v>4633</v>
      </c>
      <c r="P84" s="221">
        <v>5378</v>
      </c>
      <c r="Q84" s="221">
        <v>5995</v>
      </c>
      <c r="R84" s="221">
        <v>5556</v>
      </c>
      <c r="S84" s="221">
        <v>5731</v>
      </c>
      <c r="T84" s="518">
        <v>59180</v>
      </c>
    </row>
    <row r="85" spans="2:20" s="91" customFormat="1" ht="12.75" customHeight="1" x14ac:dyDescent="0.2">
      <c r="B85" s="662"/>
      <c r="C85" s="516" t="s">
        <v>398</v>
      </c>
      <c r="D85" s="663"/>
      <c r="E85" s="221">
        <v>210</v>
      </c>
      <c r="F85" s="221">
        <v>294</v>
      </c>
      <c r="G85" s="221">
        <v>524</v>
      </c>
      <c r="H85" s="221">
        <v>799</v>
      </c>
      <c r="I85" s="221">
        <v>508</v>
      </c>
      <c r="J85" s="221">
        <v>573</v>
      </c>
      <c r="K85" s="662"/>
      <c r="L85" s="516" t="s">
        <v>398</v>
      </c>
      <c r="M85" s="663"/>
      <c r="N85" s="221">
        <v>427</v>
      </c>
      <c r="O85" s="221">
        <v>486</v>
      </c>
      <c r="P85" s="221">
        <v>384</v>
      </c>
      <c r="Q85" s="221">
        <v>481</v>
      </c>
      <c r="R85" s="221">
        <v>530</v>
      </c>
      <c r="S85" s="221">
        <v>275</v>
      </c>
      <c r="T85" s="518">
        <v>5491</v>
      </c>
    </row>
    <row r="86" spans="2:20" ht="12.75" customHeight="1" x14ac:dyDescent="0.2">
      <c r="B86" s="662"/>
      <c r="C86" s="516" t="s">
        <v>650</v>
      </c>
      <c r="D86" s="663"/>
      <c r="E86" s="523" t="s">
        <v>585</v>
      </c>
      <c r="F86" s="221">
        <v>18</v>
      </c>
      <c r="G86" s="523" t="s">
        <v>585</v>
      </c>
      <c r="H86" s="523" t="s">
        <v>585</v>
      </c>
      <c r="I86" s="221">
        <v>6</v>
      </c>
      <c r="J86" s="221">
        <v>37</v>
      </c>
      <c r="K86" s="662"/>
      <c r="L86" s="516" t="s">
        <v>650</v>
      </c>
      <c r="M86" s="663"/>
      <c r="N86" s="523" t="s">
        <v>585</v>
      </c>
      <c r="O86" s="523" t="s">
        <v>585</v>
      </c>
      <c r="P86" s="221">
        <v>21</v>
      </c>
      <c r="Q86" s="221">
        <v>9</v>
      </c>
      <c r="R86" s="221">
        <v>5</v>
      </c>
      <c r="S86" s="523" t="s">
        <v>585</v>
      </c>
      <c r="T86" s="518">
        <v>96</v>
      </c>
    </row>
    <row r="87" spans="2:20" ht="12.75" customHeight="1" x14ac:dyDescent="0.2">
      <c r="B87" s="662"/>
      <c r="C87" s="516" t="s">
        <v>608</v>
      </c>
      <c r="D87" s="663"/>
      <c r="E87" s="523" t="s">
        <v>585</v>
      </c>
      <c r="F87" s="523" t="s">
        <v>585</v>
      </c>
      <c r="G87" s="523" t="s">
        <v>585</v>
      </c>
      <c r="H87" s="523" t="s">
        <v>585</v>
      </c>
      <c r="I87" s="523" t="s">
        <v>585</v>
      </c>
      <c r="J87" s="523" t="s">
        <v>585</v>
      </c>
      <c r="K87" s="662"/>
      <c r="L87" s="516" t="s">
        <v>608</v>
      </c>
      <c r="M87" s="663"/>
      <c r="N87" s="221">
        <v>33</v>
      </c>
      <c r="O87" s="523" t="s">
        <v>585</v>
      </c>
      <c r="P87" s="523" t="s">
        <v>585</v>
      </c>
      <c r="Q87" s="523" t="s">
        <v>585</v>
      </c>
      <c r="R87" s="523" t="s">
        <v>585</v>
      </c>
      <c r="S87" s="523" t="s">
        <v>585</v>
      </c>
      <c r="T87" s="518">
        <v>33</v>
      </c>
    </row>
    <row r="88" spans="2:20" ht="12.75" customHeight="1" x14ac:dyDescent="0.2">
      <c r="B88" s="662"/>
      <c r="C88" s="516" t="s">
        <v>651</v>
      </c>
      <c r="D88" s="663"/>
      <c r="E88" s="523" t="s">
        <v>585</v>
      </c>
      <c r="F88" s="523" t="s">
        <v>585</v>
      </c>
      <c r="G88" s="523" t="s">
        <v>585</v>
      </c>
      <c r="H88" s="523" t="s">
        <v>585</v>
      </c>
      <c r="I88" s="523" t="s">
        <v>585</v>
      </c>
      <c r="J88" s="523" t="s">
        <v>585</v>
      </c>
      <c r="K88" s="662"/>
      <c r="L88" s="516" t="s">
        <v>651</v>
      </c>
      <c r="M88" s="663"/>
      <c r="N88" s="523" t="s">
        <v>585</v>
      </c>
      <c r="O88" s="523" t="s">
        <v>585</v>
      </c>
      <c r="P88" s="523" t="s">
        <v>585</v>
      </c>
      <c r="Q88" s="221">
        <v>1</v>
      </c>
      <c r="R88" s="221">
        <v>1</v>
      </c>
      <c r="S88" s="523" t="s">
        <v>585</v>
      </c>
      <c r="T88" s="518">
        <v>2</v>
      </c>
    </row>
    <row r="89" spans="2:20" ht="12.75" customHeight="1" thickBot="1" x14ac:dyDescent="0.25">
      <c r="B89" s="622"/>
      <c r="C89" s="519" t="s">
        <v>17</v>
      </c>
      <c r="D89" s="520" t="s">
        <v>262</v>
      </c>
      <c r="E89" s="521">
        <v>5126</v>
      </c>
      <c r="F89" s="521">
        <v>5323</v>
      </c>
      <c r="G89" s="521">
        <v>6274</v>
      </c>
      <c r="H89" s="521">
        <v>7209</v>
      </c>
      <c r="I89" s="521">
        <v>6725</v>
      </c>
      <c r="J89" s="521">
        <v>7237</v>
      </c>
      <c r="K89" s="622"/>
      <c r="L89" s="519" t="s">
        <v>17</v>
      </c>
      <c r="M89" s="520" t="s">
        <v>262</v>
      </c>
      <c r="N89" s="521">
        <v>8649</v>
      </c>
      <c r="O89" s="521">
        <v>9537</v>
      </c>
      <c r="P89" s="521">
        <v>9546</v>
      </c>
      <c r="Q89" s="521">
        <v>8251</v>
      </c>
      <c r="R89" s="521">
        <v>7233</v>
      </c>
      <c r="S89" s="521">
        <v>7070</v>
      </c>
      <c r="T89" s="522">
        <v>88180</v>
      </c>
    </row>
    <row r="90" spans="2:20" ht="12.75" customHeight="1" x14ac:dyDescent="0.2">
      <c r="B90" s="621" t="s">
        <v>327</v>
      </c>
      <c r="C90" s="493" t="s">
        <v>399</v>
      </c>
      <c r="D90" s="659" t="s">
        <v>267</v>
      </c>
      <c r="E90" s="485">
        <v>1036</v>
      </c>
      <c r="F90" s="485">
        <v>960</v>
      </c>
      <c r="G90" s="485">
        <v>1081</v>
      </c>
      <c r="H90" s="485">
        <v>831</v>
      </c>
      <c r="I90" s="485">
        <v>840</v>
      </c>
      <c r="J90" s="485">
        <v>789</v>
      </c>
      <c r="K90" s="621" t="s">
        <v>327</v>
      </c>
      <c r="L90" s="493" t="s">
        <v>399</v>
      </c>
      <c r="M90" s="659" t="s">
        <v>267</v>
      </c>
      <c r="N90" s="485">
        <v>1063</v>
      </c>
      <c r="O90" s="485">
        <v>954</v>
      </c>
      <c r="P90" s="485">
        <v>914</v>
      </c>
      <c r="Q90" s="485">
        <v>840</v>
      </c>
      <c r="R90" s="485">
        <v>1046</v>
      </c>
      <c r="S90" s="485">
        <v>1056</v>
      </c>
      <c r="T90" s="500">
        <v>11410</v>
      </c>
    </row>
    <row r="91" spans="2:20" ht="12.75" customHeight="1" x14ac:dyDescent="0.2">
      <c r="B91" s="661"/>
      <c r="C91" s="493" t="s">
        <v>609</v>
      </c>
      <c r="D91" s="660"/>
      <c r="E91" s="485">
        <v>5</v>
      </c>
      <c r="F91" s="504" t="s">
        <v>585</v>
      </c>
      <c r="G91" s="485">
        <v>2</v>
      </c>
      <c r="H91" s="485">
        <v>19</v>
      </c>
      <c r="I91" s="485">
        <v>37</v>
      </c>
      <c r="J91" s="485">
        <v>36</v>
      </c>
      <c r="K91" s="661"/>
      <c r="L91" s="493" t="s">
        <v>609</v>
      </c>
      <c r="M91" s="660"/>
      <c r="N91" s="485">
        <v>39</v>
      </c>
      <c r="O91" s="485">
        <v>73</v>
      </c>
      <c r="P91" s="485">
        <v>57</v>
      </c>
      <c r="Q91" s="485">
        <v>13</v>
      </c>
      <c r="R91" s="485">
        <v>6</v>
      </c>
      <c r="S91" s="485">
        <v>1</v>
      </c>
      <c r="T91" s="500">
        <v>288</v>
      </c>
    </row>
    <row r="92" spans="2:20" ht="12.75" customHeight="1" x14ac:dyDescent="0.2">
      <c r="B92" s="661"/>
      <c r="C92" s="493" t="s">
        <v>400</v>
      </c>
      <c r="D92" s="495" t="s">
        <v>268</v>
      </c>
      <c r="E92" s="485">
        <v>808264</v>
      </c>
      <c r="F92" s="485">
        <v>717549</v>
      </c>
      <c r="G92" s="485">
        <v>846265</v>
      </c>
      <c r="H92" s="485">
        <v>140644</v>
      </c>
      <c r="I92" s="485">
        <v>1328</v>
      </c>
      <c r="J92" s="485">
        <v>1246</v>
      </c>
      <c r="K92" s="661"/>
      <c r="L92" s="493" t="s">
        <v>400</v>
      </c>
      <c r="M92" s="495" t="s">
        <v>268</v>
      </c>
      <c r="N92" s="485">
        <v>1384</v>
      </c>
      <c r="O92" s="485">
        <v>1354</v>
      </c>
      <c r="P92" s="485">
        <v>1357</v>
      </c>
      <c r="Q92" s="485">
        <v>1450</v>
      </c>
      <c r="R92" s="485">
        <v>1298</v>
      </c>
      <c r="S92" s="485">
        <v>1103</v>
      </c>
      <c r="T92" s="500">
        <v>2523242</v>
      </c>
    </row>
    <row r="93" spans="2:20" s="91" customFormat="1" ht="12.75" customHeight="1" x14ac:dyDescent="0.2">
      <c r="B93" s="661"/>
      <c r="C93" s="493" t="s">
        <v>401</v>
      </c>
      <c r="D93" s="660" t="s">
        <v>267</v>
      </c>
      <c r="E93" s="485">
        <v>114</v>
      </c>
      <c r="F93" s="485">
        <v>128</v>
      </c>
      <c r="G93" s="485">
        <v>142</v>
      </c>
      <c r="H93" s="485">
        <v>78</v>
      </c>
      <c r="I93" s="485">
        <v>121</v>
      </c>
      <c r="J93" s="485">
        <v>92</v>
      </c>
      <c r="K93" s="661"/>
      <c r="L93" s="493" t="s">
        <v>401</v>
      </c>
      <c r="M93" s="660" t="s">
        <v>267</v>
      </c>
      <c r="N93" s="485">
        <v>101</v>
      </c>
      <c r="O93" s="485">
        <v>93</v>
      </c>
      <c r="P93" s="485">
        <v>61</v>
      </c>
      <c r="Q93" s="485">
        <v>52</v>
      </c>
      <c r="R93" s="485">
        <v>52</v>
      </c>
      <c r="S93" s="485">
        <v>47</v>
      </c>
      <c r="T93" s="500">
        <v>1081</v>
      </c>
    </row>
    <row r="94" spans="2:20" s="91" customFormat="1" ht="12.75" customHeight="1" x14ac:dyDescent="0.2">
      <c r="B94" s="661"/>
      <c r="C94" s="493" t="s">
        <v>619</v>
      </c>
      <c r="D94" s="660"/>
      <c r="E94" s="485">
        <v>29</v>
      </c>
      <c r="F94" s="485">
        <v>8</v>
      </c>
      <c r="G94" s="504" t="s">
        <v>585</v>
      </c>
      <c r="H94" s="485">
        <v>117</v>
      </c>
      <c r="I94" s="485">
        <v>133</v>
      </c>
      <c r="J94" s="485">
        <v>738</v>
      </c>
      <c r="K94" s="661"/>
      <c r="L94" s="493" t="s">
        <v>619</v>
      </c>
      <c r="M94" s="660"/>
      <c r="N94" s="485">
        <v>486</v>
      </c>
      <c r="O94" s="485">
        <v>980</v>
      </c>
      <c r="P94" s="485">
        <v>7</v>
      </c>
      <c r="Q94" s="485">
        <v>3664</v>
      </c>
      <c r="R94" s="485">
        <v>3348</v>
      </c>
      <c r="S94" s="504" t="s">
        <v>585</v>
      </c>
      <c r="T94" s="500">
        <v>9510</v>
      </c>
    </row>
    <row r="95" spans="2:20" ht="12.75" customHeight="1" x14ac:dyDescent="0.2">
      <c r="B95" s="661"/>
      <c r="C95" s="493" t="s">
        <v>402</v>
      </c>
      <c r="D95" s="660" t="s">
        <v>268</v>
      </c>
      <c r="E95" s="485">
        <v>252303</v>
      </c>
      <c r="F95" s="485">
        <v>197533</v>
      </c>
      <c r="G95" s="485">
        <v>243468</v>
      </c>
      <c r="H95" s="485">
        <v>300591</v>
      </c>
      <c r="I95" s="485">
        <v>241317</v>
      </c>
      <c r="J95" s="485">
        <v>281366</v>
      </c>
      <c r="K95" s="661"/>
      <c r="L95" s="493" t="s">
        <v>402</v>
      </c>
      <c r="M95" s="660" t="s">
        <v>268</v>
      </c>
      <c r="N95" s="485">
        <v>359104</v>
      </c>
      <c r="O95" s="485">
        <v>473434</v>
      </c>
      <c r="P95" s="485">
        <v>362377</v>
      </c>
      <c r="Q95" s="485">
        <v>351890</v>
      </c>
      <c r="R95" s="485">
        <v>290306</v>
      </c>
      <c r="S95" s="485">
        <v>283299</v>
      </c>
      <c r="T95" s="500">
        <v>3636988</v>
      </c>
    </row>
    <row r="96" spans="2:20" ht="12.75" customHeight="1" x14ac:dyDescent="0.2">
      <c r="B96" s="661"/>
      <c r="C96" s="493" t="s">
        <v>652</v>
      </c>
      <c r="D96" s="660"/>
      <c r="E96" s="485">
        <v>8270</v>
      </c>
      <c r="F96" s="485">
        <v>14488</v>
      </c>
      <c r="G96" s="485">
        <v>11288</v>
      </c>
      <c r="H96" s="485">
        <v>799904</v>
      </c>
      <c r="I96" s="485">
        <v>813225</v>
      </c>
      <c r="J96" s="485">
        <v>870521</v>
      </c>
      <c r="K96" s="661"/>
      <c r="L96" s="493" t="s">
        <v>652</v>
      </c>
      <c r="M96" s="660"/>
      <c r="N96" s="485">
        <v>1045554</v>
      </c>
      <c r="O96" s="485">
        <v>1315752</v>
      </c>
      <c r="P96" s="485">
        <v>1095050</v>
      </c>
      <c r="Q96" s="485">
        <v>1086050</v>
      </c>
      <c r="R96" s="485">
        <v>889408</v>
      </c>
      <c r="S96" s="485">
        <v>743073</v>
      </c>
      <c r="T96" s="500">
        <v>8692583</v>
      </c>
    </row>
    <row r="97" spans="2:20" s="91" customFormat="1" ht="12.75" customHeight="1" x14ac:dyDescent="0.2">
      <c r="B97" s="661"/>
      <c r="C97" s="493" t="s">
        <v>403</v>
      </c>
      <c r="D97" s="660" t="s">
        <v>267</v>
      </c>
      <c r="E97" s="485">
        <v>542</v>
      </c>
      <c r="F97" s="485">
        <v>373</v>
      </c>
      <c r="G97" s="485">
        <v>383</v>
      </c>
      <c r="H97" s="485">
        <v>463</v>
      </c>
      <c r="I97" s="485">
        <v>676</v>
      </c>
      <c r="J97" s="485">
        <v>511</v>
      </c>
      <c r="K97" s="661"/>
      <c r="L97" s="493" t="s">
        <v>403</v>
      </c>
      <c r="M97" s="660" t="s">
        <v>267</v>
      </c>
      <c r="N97" s="485">
        <v>571</v>
      </c>
      <c r="O97" s="485">
        <v>486</v>
      </c>
      <c r="P97" s="485">
        <v>477</v>
      </c>
      <c r="Q97" s="485">
        <v>532</v>
      </c>
      <c r="R97" s="485">
        <v>543</v>
      </c>
      <c r="S97" s="485">
        <v>486</v>
      </c>
      <c r="T97" s="500">
        <v>6043</v>
      </c>
    </row>
    <row r="98" spans="2:20" s="91" customFormat="1" ht="12.75" customHeight="1" x14ac:dyDescent="0.2">
      <c r="B98" s="661"/>
      <c r="C98" s="493" t="s">
        <v>535</v>
      </c>
      <c r="D98" s="660"/>
      <c r="E98" s="485">
        <v>1020</v>
      </c>
      <c r="F98" s="485">
        <v>1069</v>
      </c>
      <c r="G98" s="485">
        <v>1153</v>
      </c>
      <c r="H98" s="485">
        <v>1366</v>
      </c>
      <c r="I98" s="485">
        <v>1283</v>
      </c>
      <c r="J98" s="485">
        <v>1186</v>
      </c>
      <c r="K98" s="661"/>
      <c r="L98" s="493" t="s">
        <v>535</v>
      </c>
      <c r="M98" s="660"/>
      <c r="N98" s="485">
        <v>1459</v>
      </c>
      <c r="O98" s="485">
        <v>1456</v>
      </c>
      <c r="P98" s="485">
        <v>1487</v>
      </c>
      <c r="Q98" s="485">
        <v>1606</v>
      </c>
      <c r="R98" s="485">
        <v>1573</v>
      </c>
      <c r="S98" s="485">
        <v>1379</v>
      </c>
      <c r="T98" s="500">
        <v>16037</v>
      </c>
    </row>
    <row r="99" spans="2:20" s="91" customFormat="1" ht="12.75" customHeight="1" x14ac:dyDescent="0.2">
      <c r="B99" s="661"/>
      <c r="C99" s="493" t="s">
        <v>405</v>
      </c>
      <c r="D99" s="660"/>
      <c r="E99" s="485">
        <v>284</v>
      </c>
      <c r="F99" s="485">
        <v>420</v>
      </c>
      <c r="G99" s="485">
        <v>466</v>
      </c>
      <c r="H99" s="485">
        <v>459</v>
      </c>
      <c r="I99" s="485">
        <v>475</v>
      </c>
      <c r="J99" s="485">
        <v>493</v>
      </c>
      <c r="K99" s="661"/>
      <c r="L99" s="493" t="s">
        <v>405</v>
      </c>
      <c r="M99" s="660"/>
      <c r="N99" s="485">
        <v>264</v>
      </c>
      <c r="O99" s="485">
        <v>217</v>
      </c>
      <c r="P99" s="485">
        <v>290</v>
      </c>
      <c r="Q99" s="485">
        <v>274</v>
      </c>
      <c r="R99" s="485">
        <v>229</v>
      </c>
      <c r="S99" s="485">
        <v>356</v>
      </c>
      <c r="T99" s="500">
        <v>4227</v>
      </c>
    </row>
    <row r="100" spans="2:20" ht="12.75" customHeight="1" x14ac:dyDescent="0.2">
      <c r="B100" s="661"/>
      <c r="C100" s="493" t="s">
        <v>404</v>
      </c>
      <c r="D100" s="660"/>
      <c r="E100" s="504" t="s">
        <v>585</v>
      </c>
      <c r="F100" s="504" t="s">
        <v>585</v>
      </c>
      <c r="G100" s="504" t="s">
        <v>585</v>
      </c>
      <c r="H100" s="504" t="s">
        <v>585</v>
      </c>
      <c r="I100" s="504" t="s">
        <v>585</v>
      </c>
      <c r="J100" s="485">
        <v>15</v>
      </c>
      <c r="K100" s="661"/>
      <c r="L100" s="493" t="s">
        <v>404</v>
      </c>
      <c r="M100" s="660"/>
      <c r="N100" s="504" t="s">
        <v>585</v>
      </c>
      <c r="O100" s="485">
        <v>3</v>
      </c>
      <c r="P100" s="504" t="s">
        <v>585</v>
      </c>
      <c r="Q100" s="504" t="s">
        <v>585</v>
      </c>
      <c r="R100" s="504" t="s">
        <v>585</v>
      </c>
      <c r="S100" s="504" t="s">
        <v>585</v>
      </c>
      <c r="T100" s="500">
        <v>18</v>
      </c>
    </row>
    <row r="101" spans="2:20" ht="12.75" customHeight="1" thickBot="1" x14ac:dyDescent="0.25">
      <c r="B101" s="622"/>
      <c r="C101" s="496" t="s">
        <v>17</v>
      </c>
      <c r="D101" s="497" t="s">
        <v>262</v>
      </c>
      <c r="E101" s="501">
        <v>1071867</v>
      </c>
      <c r="F101" s="501">
        <v>932528</v>
      </c>
      <c r="G101" s="501">
        <v>1104248</v>
      </c>
      <c r="H101" s="501">
        <v>1244472</v>
      </c>
      <c r="I101" s="501">
        <v>1059435</v>
      </c>
      <c r="J101" s="501">
        <v>1156993</v>
      </c>
      <c r="K101" s="622"/>
      <c r="L101" s="496" t="s">
        <v>17</v>
      </c>
      <c r="M101" s="497" t="s">
        <v>262</v>
      </c>
      <c r="N101" s="501">
        <v>1410025</v>
      </c>
      <c r="O101" s="501">
        <v>1794802</v>
      </c>
      <c r="P101" s="501">
        <v>1462077</v>
      </c>
      <c r="Q101" s="501">
        <v>1446371</v>
      </c>
      <c r="R101" s="501">
        <v>1187809</v>
      </c>
      <c r="S101" s="501">
        <v>1030800</v>
      </c>
      <c r="T101" s="502">
        <v>14901427</v>
      </c>
    </row>
    <row r="102" spans="2:20" s="91" customFormat="1" ht="12.75" customHeight="1" x14ac:dyDescent="0.2">
      <c r="B102" s="621" t="s">
        <v>328</v>
      </c>
      <c r="C102" s="512" t="s">
        <v>406</v>
      </c>
      <c r="D102" s="659" t="s">
        <v>267</v>
      </c>
      <c r="E102" s="514">
        <v>1798</v>
      </c>
      <c r="F102" s="514">
        <v>1864</v>
      </c>
      <c r="G102" s="514">
        <v>4465</v>
      </c>
      <c r="H102" s="514">
        <v>4397</v>
      </c>
      <c r="I102" s="514">
        <v>6651</v>
      </c>
      <c r="J102" s="514">
        <v>8544</v>
      </c>
      <c r="K102" s="621" t="s">
        <v>328</v>
      </c>
      <c r="L102" s="512" t="s">
        <v>406</v>
      </c>
      <c r="M102" s="659" t="s">
        <v>267</v>
      </c>
      <c r="N102" s="514">
        <v>9296</v>
      </c>
      <c r="O102" s="514">
        <v>13511</v>
      </c>
      <c r="P102" s="514">
        <v>10208</v>
      </c>
      <c r="Q102" s="514">
        <v>7599</v>
      </c>
      <c r="R102" s="514">
        <v>4560</v>
      </c>
      <c r="S102" s="514">
        <v>2570</v>
      </c>
      <c r="T102" s="515">
        <v>75463</v>
      </c>
    </row>
    <row r="103" spans="2:20" s="91" customFormat="1" ht="12.75" customHeight="1" x14ac:dyDescent="0.2">
      <c r="B103" s="662"/>
      <c r="C103" s="516" t="s">
        <v>653</v>
      </c>
      <c r="D103" s="663"/>
      <c r="E103" s="221">
        <v>932</v>
      </c>
      <c r="F103" s="221">
        <v>1031</v>
      </c>
      <c r="G103" s="221">
        <v>1128</v>
      </c>
      <c r="H103" s="221">
        <v>1092</v>
      </c>
      <c r="I103" s="221">
        <v>1070</v>
      </c>
      <c r="J103" s="221">
        <v>1037</v>
      </c>
      <c r="K103" s="662"/>
      <c r="L103" s="516" t="s">
        <v>653</v>
      </c>
      <c r="M103" s="663"/>
      <c r="N103" s="221">
        <v>1028</v>
      </c>
      <c r="O103" s="221">
        <v>899</v>
      </c>
      <c r="P103" s="221">
        <v>1074</v>
      </c>
      <c r="Q103" s="221">
        <v>1223</v>
      </c>
      <c r="R103" s="221">
        <v>1073</v>
      </c>
      <c r="S103" s="221">
        <v>1247</v>
      </c>
      <c r="T103" s="518">
        <v>12834</v>
      </c>
    </row>
    <row r="104" spans="2:20" s="91" customFormat="1" ht="12.75" customHeight="1" x14ac:dyDescent="0.2">
      <c r="B104" s="662"/>
      <c r="C104" s="516" t="s">
        <v>407</v>
      </c>
      <c r="D104" s="663"/>
      <c r="E104" s="221">
        <v>1706</v>
      </c>
      <c r="F104" s="221">
        <v>1607</v>
      </c>
      <c r="G104" s="221">
        <v>1899</v>
      </c>
      <c r="H104" s="221">
        <v>2136</v>
      </c>
      <c r="I104" s="221">
        <v>1625</v>
      </c>
      <c r="J104" s="221">
        <v>1455</v>
      </c>
      <c r="K104" s="662"/>
      <c r="L104" s="516" t="s">
        <v>407</v>
      </c>
      <c r="M104" s="663"/>
      <c r="N104" s="221">
        <v>1601</v>
      </c>
      <c r="O104" s="221">
        <v>1690</v>
      </c>
      <c r="P104" s="221">
        <v>1728</v>
      </c>
      <c r="Q104" s="221">
        <v>1835</v>
      </c>
      <c r="R104" s="221">
        <v>1759</v>
      </c>
      <c r="S104" s="221">
        <v>1777</v>
      </c>
      <c r="T104" s="518">
        <v>20818</v>
      </c>
    </row>
    <row r="105" spans="2:20" s="91" customFormat="1" ht="12.75" customHeight="1" x14ac:dyDescent="0.2">
      <c r="B105" s="662"/>
      <c r="C105" s="516" t="s">
        <v>408</v>
      </c>
      <c r="D105" s="517" t="s">
        <v>268</v>
      </c>
      <c r="E105" s="221">
        <v>24461</v>
      </c>
      <c r="F105" s="221">
        <v>17386</v>
      </c>
      <c r="G105" s="221">
        <v>26752</v>
      </c>
      <c r="H105" s="221">
        <v>51958</v>
      </c>
      <c r="I105" s="221">
        <v>77354</v>
      </c>
      <c r="J105" s="221">
        <v>130613</v>
      </c>
      <c r="K105" s="662"/>
      <c r="L105" s="516" t="s">
        <v>408</v>
      </c>
      <c r="M105" s="517" t="s">
        <v>268</v>
      </c>
      <c r="N105" s="221">
        <v>168401</v>
      </c>
      <c r="O105" s="221">
        <v>236898</v>
      </c>
      <c r="P105" s="221">
        <v>175863</v>
      </c>
      <c r="Q105" s="221">
        <v>138816</v>
      </c>
      <c r="R105" s="221">
        <v>38395</v>
      </c>
      <c r="S105" s="221">
        <v>26922</v>
      </c>
      <c r="T105" s="518">
        <v>1113819</v>
      </c>
    </row>
    <row r="106" spans="2:20" s="91" customFormat="1" ht="12.75" customHeight="1" x14ac:dyDescent="0.2">
      <c r="B106" s="662"/>
      <c r="C106" s="516" t="s">
        <v>410</v>
      </c>
      <c r="D106" s="663" t="s">
        <v>267</v>
      </c>
      <c r="E106" s="221">
        <v>129</v>
      </c>
      <c r="F106" s="221">
        <v>69</v>
      </c>
      <c r="G106" s="221">
        <v>24</v>
      </c>
      <c r="H106" s="221">
        <v>88</v>
      </c>
      <c r="I106" s="221">
        <v>83</v>
      </c>
      <c r="J106" s="221">
        <v>36</v>
      </c>
      <c r="K106" s="662"/>
      <c r="L106" s="516" t="s">
        <v>410</v>
      </c>
      <c r="M106" s="663" t="s">
        <v>267</v>
      </c>
      <c r="N106" s="221">
        <v>699</v>
      </c>
      <c r="O106" s="221">
        <v>207</v>
      </c>
      <c r="P106" s="221">
        <v>83</v>
      </c>
      <c r="Q106" s="221">
        <v>33</v>
      </c>
      <c r="R106" s="221">
        <v>64</v>
      </c>
      <c r="S106" s="221">
        <v>103</v>
      </c>
      <c r="T106" s="518">
        <v>1618</v>
      </c>
    </row>
    <row r="107" spans="2:20" s="91" customFormat="1" ht="12.75" customHeight="1" x14ac:dyDescent="0.2">
      <c r="B107" s="662"/>
      <c r="C107" s="516" t="s">
        <v>411</v>
      </c>
      <c r="D107" s="663"/>
      <c r="E107" s="523" t="s">
        <v>585</v>
      </c>
      <c r="F107" s="221">
        <v>1</v>
      </c>
      <c r="G107" s="523" t="s">
        <v>585</v>
      </c>
      <c r="H107" s="523" t="s">
        <v>585</v>
      </c>
      <c r="I107" s="523" t="s">
        <v>585</v>
      </c>
      <c r="J107" s="523" t="s">
        <v>585</v>
      </c>
      <c r="K107" s="662"/>
      <c r="L107" s="516" t="s">
        <v>411</v>
      </c>
      <c r="M107" s="663"/>
      <c r="N107" s="221">
        <v>1</v>
      </c>
      <c r="O107" s="221">
        <v>10</v>
      </c>
      <c r="P107" s="221">
        <v>1</v>
      </c>
      <c r="Q107" s="523" t="s">
        <v>585</v>
      </c>
      <c r="R107" s="523" t="s">
        <v>585</v>
      </c>
      <c r="S107" s="221">
        <v>3</v>
      </c>
      <c r="T107" s="518">
        <v>16</v>
      </c>
    </row>
    <row r="108" spans="2:20" ht="12.75" customHeight="1" x14ac:dyDescent="0.2">
      <c r="B108" s="662"/>
      <c r="C108" s="516" t="s">
        <v>409</v>
      </c>
      <c r="D108" s="663"/>
      <c r="E108" s="523" t="s">
        <v>585</v>
      </c>
      <c r="F108" s="523" t="s">
        <v>585</v>
      </c>
      <c r="G108" s="523" t="s">
        <v>585</v>
      </c>
      <c r="H108" s="523" t="s">
        <v>585</v>
      </c>
      <c r="I108" s="221">
        <v>37</v>
      </c>
      <c r="J108" s="221">
        <v>317</v>
      </c>
      <c r="K108" s="662"/>
      <c r="L108" s="516" t="s">
        <v>409</v>
      </c>
      <c r="M108" s="663"/>
      <c r="N108" s="221">
        <v>442</v>
      </c>
      <c r="O108" s="221">
        <v>548</v>
      </c>
      <c r="P108" s="221">
        <v>282</v>
      </c>
      <c r="Q108" s="523" t="s">
        <v>585</v>
      </c>
      <c r="R108" s="523" t="s">
        <v>585</v>
      </c>
      <c r="S108" s="221">
        <v>2</v>
      </c>
      <c r="T108" s="518">
        <v>1628</v>
      </c>
    </row>
    <row r="109" spans="2:20" ht="12.75" customHeight="1" thickBot="1" x14ac:dyDescent="0.25">
      <c r="B109" s="622"/>
      <c r="C109" s="519" t="s">
        <v>17</v>
      </c>
      <c r="D109" s="520" t="s">
        <v>262</v>
      </c>
      <c r="E109" s="521">
        <v>29026</v>
      </c>
      <c r="F109" s="521">
        <v>21958</v>
      </c>
      <c r="G109" s="521">
        <v>34268</v>
      </c>
      <c r="H109" s="521">
        <v>59671</v>
      </c>
      <c r="I109" s="521">
        <v>86820</v>
      </c>
      <c r="J109" s="521">
        <v>142002</v>
      </c>
      <c r="K109" s="622"/>
      <c r="L109" s="519" t="s">
        <v>17</v>
      </c>
      <c r="M109" s="520" t="s">
        <v>262</v>
      </c>
      <c r="N109" s="521">
        <v>181468</v>
      </c>
      <c r="O109" s="521">
        <v>253763</v>
      </c>
      <c r="P109" s="521">
        <v>189239</v>
      </c>
      <c r="Q109" s="521">
        <v>149506</v>
      </c>
      <c r="R109" s="521">
        <v>45851</v>
      </c>
      <c r="S109" s="521">
        <v>32624</v>
      </c>
      <c r="T109" s="522">
        <v>1226196</v>
      </c>
    </row>
    <row r="110" spans="2:20" ht="12.75" customHeight="1" x14ac:dyDescent="0.2">
      <c r="B110" s="621" t="s">
        <v>330</v>
      </c>
      <c r="C110" s="493" t="s">
        <v>412</v>
      </c>
      <c r="D110" s="495" t="s">
        <v>268</v>
      </c>
      <c r="E110" s="504" t="s">
        <v>585</v>
      </c>
      <c r="F110" s="485">
        <v>41</v>
      </c>
      <c r="G110" s="485">
        <v>3</v>
      </c>
      <c r="H110" s="504" t="s">
        <v>585</v>
      </c>
      <c r="I110" s="504" t="s">
        <v>585</v>
      </c>
      <c r="J110" s="485">
        <v>12</v>
      </c>
      <c r="K110" s="621" t="s">
        <v>330</v>
      </c>
      <c r="L110" s="493" t="s">
        <v>412</v>
      </c>
      <c r="M110" s="495" t="s">
        <v>268</v>
      </c>
      <c r="N110" s="504" t="s">
        <v>585</v>
      </c>
      <c r="O110" s="504" t="s">
        <v>585</v>
      </c>
      <c r="P110" s="485">
        <v>2</v>
      </c>
      <c r="Q110" s="504" t="s">
        <v>585</v>
      </c>
      <c r="R110" s="504" t="s">
        <v>585</v>
      </c>
      <c r="S110" s="485">
        <v>7</v>
      </c>
      <c r="T110" s="500">
        <v>65</v>
      </c>
    </row>
    <row r="111" spans="2:20" ht="12.75" customHeight="1" x14ac:dyDescent="0.2">
      <c r="B111" s="661"/>
      <c r="C111" s="493" t="s">
        <v>654</v>
      </c>
      <c r="D111" s="495" t="s">
        <v>270</v>
      </c>
      <c r="E111" s="504" t="s">
        <v>585</v>
      </c>
      <c r="F111" s="504" t="s">
        <v>585</v>
      </c>
      <c r="G111" s="504" t="s">
        <v>585</v>
      </c>
      <c r="H111" s="504" t="s">
        <v>585</v>
      </c>
      <c r="I111" s="504" t="s">
        <v>585</v>
      </c>
      <c r="J111" s="504" t="s">
        <v>585</v>
      </c>
      <c r="K111" s="661"/>
      <c r="L111" s="493" t="s">
        <v>654</v>
      </c>
      <c r="M111" s="495" t="s">
        <v>270</v>
      </c>
      <c r="N111" s="485">
        <v>2</v>
      </c>
      <c r="O111" s="504" t="s">
        <v>585</v>
      </c>
      <c r="P111" s="504" t="s">
        <v>585</v>
      </c>
      <c r="Q111" s="504" t="s">
        <v>585</v>
      </c>
      <c r="R111" s="504" t="s">
        <v>585</v>
      </c>
      <c r="S111" s="504" t="s">
        <v>585</v>
      </c>
      <c r="T111" s="500">
        <v>2</v>
      </c>
    </row>
    <row r="112" spans="2:20" ht="12.75" customHeight="1" thickBot="1" x14ac:dyDescent="0.25">
      <c r="B112" s="622"/>
      <c r="C112" s="496" t="s">
        <v>17</v>
      </c>
      <c r="D112" s="497" t="s">
        <v>262</v>
      </c>
      <c r="E112" s="503" t="s">
        <v>585</v>
      </c>
      <c r="F112" s="501">
        <v>41</v>
      </c>
      <c r="G112" s="501">
        <v>3</v>
      </c>
      <c r="H112" s="503" t="s">
        <v>585</v>
      </c>
      <c r="I112" s="503" t="s">
        <v>585</v>
      </c>
      <c r="J112" s="501">
        <v>12</v>
      </c>
      <c r="K112" s="622"/>
      <c r="L112" s="496" t="s">
        <v>17</v>
      </c>
      <c r="M112" s="497" t="s">
        <v>262</v>
      </c>
      <c r="N112" s="501">
        <v>2</v>
      </c>
      <c r="O112" s="503" t="s">
        <v>585</v>
      </c>
      <c r="P112" s="501">
        <v>2</v>
      </c>
      <c r="Q112" s="503" t="s">
        <v>585</v>
      </c>
      <c r="R112" s="503" t="s">
        <v>585</v>
      </c>
      <c r="S112" s="501">
        <v>7</v>
      </c>
      <c r="T112" s="502">
        <v>67</v>
      </c>
    </row>
    <row r="113" spans="2:20" ht="12.75" customHeight="1" x14ac:dyDescent="0.2">
      <c r="B113" s="621" t="s">
        <v>331</v>
      </c>
      <c r="C113" s="512" t="s">
        <v>413</v>
      </c>
      <c r="D113" s="513" t="s">
        <v>267</v>
      </c>
      <c r="E113" s="514">
        <v>28</v>
      </c>
      <c r="F113" s="514">
        <v>24</v>
      </c>
      <c r="G113" s="514">
        <v>77</v>
      </c>
      <c r="H113" s="514">
        <v>71</v>
      </c>
      <c r="I113" s="514">
        <v>74</v>
      </c>
      <c r="J113" s="514">
        <v>126</v>
      </c>
      <c r="K113" s="621" t="s">
        <v>331</v>
      </c>
      <c r="L113" s="512" t="s">
        <v>413</v>
      </c>
      <c r="M113" s="513" t="s">
        <v>267</v>
      </c>
      <c r="N113" s="514">
        <v>109</v>
      </c>
      <c r="O113" s="514">
        <v>57</v>
      </c>
      <c r="P113" s="514">
        <v>42</v>
      </c>
      <c r="Q113" s="514">
        <v>100</v>
      </c>
      <c r="R113" s="514">
        <v>47</v>
      </c>
      <c r="S113" s="514">
        <v>50</v>
      </c>
      <c r="T113" s="515">
        <v>805</v>
      </c>
    </row>
    <row r="114" spans="2:20" ht="12.75" customHeight="1" x14ac:dyDescent="0.2">
      <c r="B114" s="662"/>
      <c r="C114" s="516" t="s">
        <v>655</v>
      </c>
      <c r="D114" s="517" t="s">
        <v>268</v>
      </c>
      <c r="E114" s="523" t="s">
        <v>585</v>
      </c>
      <c r="F114" s="221">
        <v>1</v>
      </c>
      <c r="G114" s="221">
        <v>4</v>
      </c>
      <c r="H114" s="523" t="s">
        <v>585</v>
      </c>
      <c r="I114" s="523" t="s">
        <v>585</v>
      </c>
      <c r="J114" s="221">
        <v>2</v>
      </c>
      <c r="K114" s="662"/>
      <c r="L114" s="516" t="s">
        <v>655</v>
      </c>
      <c r="M114" s="517" t="s">
        <v>268</v>
      </c>
      <c r="N114" s="221">
        <v>24</v>
      </c>
      <c r="O114" s="221">
        <v>6</v>
      </c>
      <c r="P114" s="221">
        <v>4</v>
      </c>
      <c r="Q114" s="523" t="s">
        <v>585</v>
      </c>
      <c r="R114" s="523" t="s">
        <v>585</v>
      </c>
      <c r="S114" s="523" t="s">
        <v>585</v>
      </c>
      <c r="T114" s="518">
        <v>41</v>
      </c>
    </row>
    <row r="115" spans="2:20" ht="12.75" customHeight="1" thickBot="1" x14ac:dyDescent="0.25">
      <c r="B115" s="622"/>
      <c r="C115" s="519" t="s">
        <v>17</v>
      </c>
      <c r="D115" s="520" t="s">
        <v>262</v>
      </c>
      <c r="E115" s="521">
        <v>28</v>
      </c>
      <c r="F115" s="521">
        <v>25</v>
      </c>
      <c r="G115" s="521">
        <v>81</v>
      </c>
      <c r="H115" s="521">
        <v>71</v>
      </c>
      <c r="I115" s="521">
        <v>74</v>
      </c>
      <c r="J115" s="521">
        <v>128</v>
      </c>
      <c r="K115" s="622"/>
      <c r="L115" s="519" t="s">
        <v>17</v>
      </c>
      <c r="M115" s="520" t="s">
        <v>262</v>
      </c>
      <c r="N115" s="521">
        <v>133</v>
      </c>
      <c r="O115" s="521">
        <v>63</v>
      </c>
      <c r="P115" s="521">
        <v>46</v>
      </c>
      <c r="Q115" s="521">
        <v>100</v>
      </c>
      <c r="R115" s="521">
        <v>47</v>
      </c>
      <c r="S115" s="521">
        <v>50</v>
      </c>
      <c r="T115" s="522">
        <v>846</v>
      </c>
    </row>
    <row r="116" spans="2:20" ht="12.75" customHeight="1" thickBot="1" x14ac:dyDescent="0.25">
      <c r="B116" s="494" t="s">
        <v>332</v>
      </c>
      <c r="C116" s="496" t="s">
        <v>414</v>
      </c>
      <c r="D116" s="497" t="s">
        <v>268</v>
      </c>
      <c r="E116" s="501">
        <v>6297</v>
      </c>
      <c r="F116" s="501">
        <v>4308</v>
      </c>
      <c r="G116" s="501">
        <v>5192</v>
      </c>
      <c r="H116" s="501">
        <v>4835</v>
      </c>
      <c r="I116" s="501">
        <v>4116</v>
      </c>
      <c r="J116" s="501">
        <v>6220</v>
      </c>
      <c r="K116" s="459" t="s">
        <v>332</v>
      </c>
      <c r="L116" s="496" t="s">
        <v>414</v>
      </c>
      <c r="M116" s="497" t="s">
        <v>268</v>
      </c>
      <c r="N116" s="501">
        <v>9646</v>
      </c>
      <c r="O116" s="501">
        <v>22283</v>
      </c>
      <c r="P116" s="501">
        <v>11664</v>
      </c>
      <c r="Q116" s="501">
        <v>8509</v>
      </c>
      <c r="R116" s="501">
        <v>4196</v>
      </c>
      <c r="S116" s="501">
        <v>4518</v>
      </c>
      <c r="T116" s="502">
        <v>91784</v>
      </c>
    </row>
    <row r="117" spans="2:20" ht="12.75" customHeight="1" x14ac:dyDescent="0.2">
      <c r="B117" s="621" t="s">
        <v>333</v>
      </c>
      <c r="C117" s="512" t="s">
        <v>415</v>
      </c>
      <c r="D117" s="513" t="s">
        <v>269</v>
      </c>
      <c r="E117" s="514">
        <v>21116</v>
      </c>
      <c r="F117" s="514">
        <v>18672</v>
      </c>
      <c r="G117" s="514">
        <v>30351</v>
      </c>
      <c r="H117" s="514">
        <v>43625</v>
      </c>
      <c r="I117" s="514">
        <v>42390</v>
      </c>
      <c r="J117" s="514">
        <v>51575</v>
      </c>
      <c r="K117" s="621" t="s">
        <v>333</v>
      </c>
      <c r="L117" s="512" t="s">
        <v>415</v>
      </c>
      <c r="M117" s="513" t="s">
        <v>269</v>
      </c>
      <c r="N117" s="514">
        <v>53649</v>
      </c>
      <c r="O117" s="514">
        <v>75053</v>
      </c>
      <c r="P117" s="514">
        <v>56193</v>
      </c>
      <c r="Q117" s="514">
        <v>54650</v>
      </c>
      <c r="R117" s="514">
        <v>39123</v>
      </c>
      <c r="S117" s="514">
        <v>32341</v>
      </c>
      <c r="T117" s="515">
        <v>518738</v>
      </c>
    </row>
    <row r="118" spans="2:20" ht="12.75" customHeight="1" x14ac:dyDescent="0.2">
      <c r="B118" s="662"/>
      <c r="C118" s="516" t="s">
        <v>610</v>
      </c>
      <c r="D118" s="517" t="s">
        <v>267</v>
      </c>
      <c r="E118" s="523" t="s">
        <v>585</v>
      </c>
      <c r="F118" s="523" t="s">
        <v>585</v>
      </c>
      <c r="G118" s="523" t="s">
        <v>585</v>
      </c>
      <c r="H118" s="523" t="s">
        <v>585</v>
      </c>
      <c r="I118" s="523" t="s">
        <v>585</v>
      </c>
      <c r="J118" s="221">
        <v>1</v>
      </c>
      <c r="K118" s="662"/>
      <c r="L118" s="516" t="s">
        <v>610</v>
      </c>
      <c r="M118" s="517" t="s">
        <v>267</v>
      </c>
      <c r="N118" s="523" t="s">
        <v>585</v>
      </c>
      <c r="O118" s="523" t="s">
        <v>585</v>
      </c>
      <c r="P118" s="523" t="s">
        <v>585</v>
      </c>
      <c r="Q118" s="523" t="s">
        <v>585</v>
      </c>
      <c r="R118" s="523" t="s">
        <v>585</v>
      </c>
      <c r="S118" s="523" t="s">
        <v>585</v>
      </c>
      <c r="T118" s="518">
        <v>1</v>
      </c>
    </row>
    <row r="119" spans="2:20" s="91" customFormat="1" ht="12.75" customHeight="1" thickBot="1" x14ac:dyDescent="0.25">
      <c r="B119" s="622"/>
      <c r="C119" s="519" t="s">
        <v>17</v>
      </c>
      <c r="D119" s="520" t="s">
        <v>262</v>
      </c>
      <c r="E119" s="521">
        <v>21116</v>
      </c>
      <c r="F119" s="521">
        <v>18672</v>
      </c>
      <c r="G119" s="521">
        <v>30351</v>
      </c>
      <c r="H119" s="521">
        <v>43625</v>
      </c>
      <c r="I119" s="521">
        <v>42390</v>
      </c>
      <c r="J119" s="521">
        <v>51576</v>
      </c>
      <c r="K119" s="622"/>
      <c r="L119" s="519" t="s">
        <v>17</v>
      </c>
      <c r="M119" s="520" t="s">
        <v>262</v>
      </c>
      <c r="N119" s="521">
        <v>53649</v>
      </c>
      <c r="O119" s="521">
        <v>75053</v>
      </c>
      <c r="P119" s="521">
        <v>56193</v>
      </c>
      <c r="Q119" s="521">
        <v>54650</v>
      </c>
      <c r="R119" s="521">
        <v>39123</v>
      </c>
      <c r="S119" s="521">
        <v>32341</v>
      </c>
      <c r="T119" s="522">
        <v>518739</v>
      </c>
    </row>
    <row r="120" spans="2:20" s="91" customFormat="1" ht="12.75" customHeight="1" x14ac:dyDescent="0.2">
      <c r="B120" s="621" t="s">
        <v>335</v>
      </c>
      <c r="C120" s="493" t="s">
        <v>416</v>
      </c>
      <c r="D120" s="495" t="s">
        <v>268</v>
      </c>
      <c r="E120" s="485">
        <v>12</v>
      </c>
      <c r="F120" s="504" t="s">
        <v>585</v>
      </c>
      <c r="G120" s="485">
        <v>11</v>
      </c>
      <c r="H120" s="504" t="s">
        <v>585</v>
      </c>
      <c r="I120" s="485">
        <v>8</v>
      </c>
      <c r="J120" s="485">
        <v>12</v>
      </c>
      <c r="K120" s="621" t="s">
        <v>335</v>
      </c>
      <c r="L120" s="493" t="s">
        <v>416</v>
      </c>
      <c r="M120" s="495" t="s">
        <v>268</v>
      </c>
      <c r="N120" s="485">
        <v>4</v>
      </c>
      <c r="O120" s="485">
        <v>10</v>
      </c>
      <c r="P120" s="504" t="s">
        <v>585</v>
      </c>
      <c r="Q120" s="485">
        <v>56</v>
      </c>
      <c r="R120" s="485">
        <v>5</v>
      </c>
      <c r="S120" s="485">
        <v>6</v>
      </c>
      <c r="T120" s="500">
        <v>124</v>
      </c>
    </row>
    <row r="121" spans="2:20" s="91" customFormat="1" ht="12.75" customHeight="1" x14ac:dyDescent="0.2">
      <c r="B121" s="661"/>
      <c r="C121" s="493" t="s">
        <v>417</v>
      </c>
      <c r="D121" s="495" t="s">
        <v>267</v>
      </c>
      <c r="E121" s="485">
        <v>2977</v>
      </c>
      <c r="F121" s="485">
        <v>3206</v>
      </c>
      <c r="G121" s="485">
        <v>4095</v>
      </c>
      <c r="H121" s="485">
        <v>7470</v>
      </c>
      <c r="I121" s="485">
        <v>7189</v>
      </c>
      <c r="J121" s="485">
        <v>5971</v>
      </c>
      <c r="K121" s="661"/>
      <c r="L121" s="493" t="s">
        <v>417</v>
      </c>
      <c r="M121" s="495" t="s">
        <v>267</v>
      </c>
      <c r="N121" s="485">
        <v>7182</v>
      </c>
      <c r="O121" s="485">
        <v>3544</v>
      </c>
      <c r="P121" s="485">
        <v>7623</v>
      </c>
      <c r="Q121" s="485">
        <v>7657</v>
      </c>
      <c r="R121" s="485">
        <v>6944</v>
      </c>
      <c r="S121" s="485">
        <v>4225</v>
      </c>
      <c r="T121" s="500">
        <v>68083</v>
      </c>
    </row>
    <row r="122" spans="2:20" ht="12.75" customHeight="1" thickBot="1" x14ac:dyDescent="0.25">
      <c r="B122" s="622"/>
      <c r="C122" s="496" t="s">
        <v>17</v>
      </c>
      <c r="D122" s="497" t="s">
        <v>262</v>
      </c>
      <c r="E122" s="501">
        <v>2989</v>
      </c>
      <c r="F122" s="501">
        <v>3206</v>
      </c>
      <c r="G122" s="501">
        <v>4106</v>
      </c>
      <c r="H122" s="501">
        <v>7470</v>
      </c>
      <c r="I122" s="501">
        <v>7197</v>
      </c>
      <c r="J122" s="501">
        <v>5983</v>
      </c>
      <c r="K122" s="622"/>
      <c r="L122" s="496" t="s">
        <v>17</v>
      </c>
      <c r="M122" s="497" t="s">
        <v>262</v>
      </c>
      <c r="N122" s="501">
        <v>7186</v>
      </c>
      <c r="O122" s="501">
        <v>3554</v>
      </c>
      <c r="P122" s="501">
        <v>7623</v>
      </c>
      <c r="Q122" s="501">
        <v>7713</v>
      </c>
      <c r="R122" s="501">
        <v>6949</v>
      </c>
      <c r="S122" s="501">
        <v>4231</v>
      </c>
      <c r="T122" s="502">
        <v>68207</v>
      </c>
    </row>
    <row r="123" spans="2:20" ht="12.75" customHeight="1" thickBot="1" x14ac:dyDescent="0.25">
      <c r="B123" s="506" t="s">
        <v>336</v>
      </c>
      <c r="C123" s="507" t="s">
        <v>656</v>
      </c>
      <c r="D123" s="508" t="s">
        <v>268</v>
      </c>
      <c r="E123" s="509">
        <v>673</v>
      </c>
      <c r="F123" s="509">
        <v>357</v>
      </c>
      <c r="G123" s="509">
        <v>469</v>
      </c>
      <c r="H123" s="509">
        <v>621</v>
      </c>
      <c r="I123" s="509">
        <v>644</v>
      </c>
      <c r="J123" s="509">
        <v>1485</v>
      </c>
      <c r="K123" s="58" t="s">
        <v>336</v>
      </c>
      <c r="L123" s="507" t="s">
        <v>656</v>
      </c>
      <c r="M123" s="508" t="s">
        <v>268</v>
      </c>
      <c r="N123" s="509">
        <v>6730</v>
      </c>
      <c r="O123" s="509">
        <v>9698</v>
      </c>
      <c r="P123" s="509">
        <v>3294</v>
      </c>
      <c r="Q123" s="509">
        <v>2558</v>
      </c>
      <c r="R123" s="509">
        <v>470</v>
      </c>
      <c r="S123" s="509">
        <v>924</v>
      </c>
      <c r="T123" s="511">
        <v>27923</v>
      </c>
    </row>
    <row r="124" spans="2:20" ht="12.75" customHeight="1" thickBot="1" x14ac:dyDescent="0.25">
      <c r="B124" s="506" t="s">
        <v>337</v>
      </c>
      <c r="C124" s="507" t="s">
        <v>418</v>
      </c>
      <c r="D124" s="508" t="s">
        <v>268</v>
      </c>
      <c r="E124" s="509">
        <v>5</v>
      </c>
      <c r="F124" s="510" t="s">
        <v>585</v>
      </c>
      <c r="G124" s="510" t="s">
        <v>585</v>
      </c>
      <c r="H124" s="509">
        <v>4</v>
      </c>
      <c r="I124" s="509">
        <v>20</v>
      </c>
      <c r="J124" s="509">
        <v>348</v>
      </c>
      <c r="K124" s="58" t="s">
        <v>337</v>
      </c>
      <c r="L124" s="507" t="s">
        <v>418</v>
      </c>
      <c r="M124" s="508" t="s">
        <v>268</v>
      </c>
      <c r="N124" s="509">
        <v>490</v>
      </c>
      <c r="O124" s="509">
        <v>1174</v>
      </c>
      <c r="P124" s="509">
        <v>512</v>
      </c>
      <c r="Q124" s="509">
        <v>290</v>
      </c>
      <c r="R124" s="509">
        <v>1</v>
      </c>
      <c r="S124" s="510" t="s">
        <v>585</v>
      </c>
      <c r="T124" s="511">
        <v>2844</v>
      </c>
    </row>
    <row r="125" spans="2:20" s="91" customFormat="1" ht="12.75" customHeight="1" thickBot="1" x14ac:dyDescent="0.25">
      <c r="B125" s="506" t="s">
        <v>338</v>
      </c>
      <c r="C125" s="507" t="s">
        <v>419</v>
      </c>
      <c r="D125" s="508" t="s">
        <v>268</v>
      </c>
      <c r="E125" s="510" t="s">
        <v>585</v>
      </c>
      <c r="F125" s="510" t="s">
        <v>585</v>
      </c>
      <c r="G125" s="509">
        <v>5</v>
      </c>
      <c r="H125" s="510" t="s">
        <v>585</v>
      </c>
      <c r="I125" s="510" t="s">
        <v>585</v>
      </c>
      <c r="J125" s="509">
        <v>233</v>
      </c>
      <c r="K125" s="58" t="s">
        <v>338</v>
      </c>
      <c r="L125" s="507" t="s">
        <v>419</v>
      </c>
      <c r="M125" s="508" t="s">
        <v>268</v>
      </c>
      <c r="N125" s="509">
        <v>366</v>
      </c>
      <c r="O125" s="509">
        <v>617</v>
      </c>
      <c r="P125" s="509">
        <v>458</v>
      </c>
      <c r="Q125" s="509">
        <v>383</v>
      </c>
      <c r="R125" s="510" t="s">
        <v>585</v>
      </c>
      <c r="S125" s="509">
        <v>53</v>
      </c>
      <c r="T125" s="511">
        <v>2115</v>
      </c>
    </row>
    <row r="126" spans="2:20" s="91" customFormat="1" ht="12.75" customHeight="1" thickBot="1" x14ac:dyDescent="0.25">
      <c r="B126" s="506" t="s">
        <v>329</v>
      </c>
      <c r="C126" s="507" t="s">
        <v>657</v>
      </c>
      <c r="D126" s="508" t="s">
        <v>268</v>
      </c>
      <c r="E126" s="510" t="s">
        <v>585</v>
      </c>
      <c r="F126" s="510" t="s">
        <v>585</v>
      </c>
      <c r="G126" s="509">
        <v>6</v>
      </c>
      <c r="H126" s="510" t="s">
        <v>585</v>
      </c>
      <c r="I126" s="510" t="s">
        <v>585</v>
      </c>
      <c r="J126" s="510" t="s">
        <v>585</v>
      </c>
      <c r="K126" s="58" t="s">
        <v>329</v>
      </c>
      <c r="L126" s="507" t="s">
        <v>657</v>
      </c>
      <c r="M126" s="508" t="s">
        <v>268</v>
      </c>
      <c r="N126" s="510" t="s">
        <v>585</v>
      </c>
      <c r="O126" s="509">
        <v>1</v>
      </c>
      <c r="P126" s="510" t="s">
        <v>585</v>
      </c>
      <c r="Q126" s="510" t="s">
        <v>585</v>
      </c>
      <c r="R126" s="510" t="s">
        <v>585</v>
      </c>
      <c r="S126" s="510" t="s">
        <v>585</v>
      </c>
      <c r="T126" s="511">
        <v>7</v>
      </c>
    </row>
    <row r="127" spans="2:20" s="91" customFormat="1" ht="12.75" customHeight="1" thickBot="1" x14ac:dyDescent="0.25">
      <c r="B127" s="506" t="s">
        <v>339</v>
      </c>
      <c r="C127" s="507" t="s">
        <v>658</v>
      </c>
      <c r="D127" s="508" t="s">
        <v>268</v>
      </c>
      <c r="E127" s="510" t="s">
        <v>585</v>
      </c>
      <c r="F127" s="510" t="s">
        <v>585</v>
      </c>
      <c r="G127" s="510" t="s">
        <v>585</v>
      </c>
      <c r="H127" s="509">
        <v>4</v>
      </c>
      <c r="I127" s="510" t="s">
        <v>585</v>
      </c>
      <c r="J127" s="510" t="s">
        <v>585</v>
      </c>
      <c r="K127" s="58" t="s">
        <v>339</v>
      </c>
      <c r="L127" s="507" t="s">
        <v>658</v>
      </c>
      <c r="M127" s="508" t="s">
        <v>268</v>
      </c>
      <c r="N127" s="510" t="s">
        <v>585</v>
      </c>
      <c r="O127" s="510" t="s">
        <v>585</v>
      </c>
      <c r="P127" s="510" t="s">
        <v>585</v>
      </c>
      <c r="Q127" s="510" t="s">
        <v>585</v>
      </c>
      <c r="R127" s="510" t="s">
        <v>585</v>
      </c>
      <c r="S127" s="510" t="s">
        <v>585</v>
      </c>
      <c r="T127" s="511">
        <v>4</v>
      </c>
    </row>
    <row r="128" spans="2:20" ht="12.75" customHeight="1" x14ac:dyDescent="0.2">
      <c r="B128" s="621" t="s">
        <v>341</v>
      </c>
      <c r="C128" s="493" t="s">
        <v>420</v>
      </c>
      <c r="D128" s="659" t="s">
        <v>267</v>
      </c>
      <c r="E128" s="485">
        <v>616</v>
      </c>
      <c r="F128" s="485">
        <v>708</v>
      </c>
      <c r="G128" s="485">
        <v>1014</v>
      </c>
      <c r="H128" s="485">
        <v>6926</v>
      </c>
      <c r="I128" s="485">
        <v>22456</v>
      </c>
      <c r="J128" s="485">
        <v>31395</v>
      </c>
      <c r="K128" s="621" t="s">
        <v>341</v>
      </c>
      <c r="L128" s="493" t="s">
        <v>420</v>
      </c>
      <c r="M128" s="659" t="s">
        <v>267</v>
      </c>
      <c r="N128" s="485">
        <v>43881</v>
      </c>
      <c r="O128" s="485">
        <v>52194</v>
      </c>
      <c r="P128" s="485">
        <v>43084</v>
      </c>
      <c r="Q128" s="485">
        <v>25139</v>
      </c>
      <c r="R128" s="485">
        <v>872</v>
      </c>
      <c r="S128" s="485">
        <v>840</v>
      </c>
      <c r="T128" s="500">
        <v>229125</v>
      </c>
    </row>
    <row r="129" spans="2:20" ht="12.75" customHeight="1" x14ac:dyDescent="0.2">
      <c r="B129" s="661"/>
      <c r="C129" s="493" t="s">
        <v>421</v>
      </c>
      <c r="D129" s="660"/>
      <c r="E129" s="485">
        <v>2</v>
      </c>
      <c r="F129" s="485">
        <v>3</v>
      </c>
      <c r="G129" s="485">
        <v>10</v>
      </c>
      <c r="H129" s="485">
        <v>77</v>
      </c>
      <c r="I129" s="485">
        <v>1141</v>
      </c>
      <c r="J129" s="485">
        <v>4330</v>
      </c>
      <c r="K129" s="661"/>
      <c r="L129" s="493" t="s">
        <v>421</v>
      </c>
      <c r="M129" s="660"/>
      <c r="N129" s="485">
        <v>6206</v>
      </c>
      <c r="O129" s="485">
        <v>7652</v>
      </c>
      <c r="P129" s="485">
        <v>4598</v>
      </c>
      <c r="Q129" s="485">
        <v>1387</v>
      </c>
      <c r="R129" s="485">
        <v>56</v>
      </c>
      <c r="S129" s="485">
        <v>147</v>
      </c>
      <c r="T129" s="500">
        <v>25609</v>
      </c>
    </row>
    <row r="130" spans="2:20" ht="12.75" customHeight="1" x14ac:dyDescent="0.2">
      <c r="B130" s="661"/>
      <c r="C130" s="493" t="s">
        <v>611</v>
      </c>
      <c r="D130" s="660"/>
      <c r="E130" s="485">
        <v>194</v>
      </c>
      <c r="F130" s="485">
        <v>125</v>
      </c>
      <c r="G130" s="485">
        <v>74</v>
      </c>
      <c r="H130" s="485">
        <v>7788</v>
      </c>
      <c r="I130" s="485">
        <v>15196</v>
      </c>
      <c r="J130" s="485">
        <v>17552</v>
      </c>
      <c r="K130" s="661"/>
      <c r="L130" s="493" t="s">
        <v>611</v>
      </c>
      <c r="M130" s="660"/>
      <c r="N130" s="485">
        <v>21078</v>
      </c>
      <c r="O130" s="485">
        <v>26049</v>
      </c>
      <c r="P130" s="485">
        <v>20298</v>
      </c>
      <c r="Q130" s="485">
        <v>8602</v>
      </c>
      <c r="R130" s="485">
        <v>269</v>
      </c>
      <c r="S130" s="485">
        <v>134</v>
      </c>
      <c r="T130" s="500">
        <v>117359</v>
      </c>
    </row>
    <row r="131" spans="2:20" s="91" customFormat="1" ht="12.75" customHeight="1" x14ac:dyDescent="0.2">
      <c r="B131" s="661"/>
      <c r="C131" s="493" t="s">
        <v>659</v>
      </c>
      <c r="D131" s="660"/>
      <c r="E131" s="485">
        <v>2</v>
      </c>
      <c r="F131" s="485">
        <v>16</v>
      </c>
      <c r="G131" s="485">
        <v>17</v>
      </c>
      <c r="H131" s="485">
        <v>8</v>
      </c>
      <c r="I131" s="485">
        <v>14</v>
      </c>
      <c r="J131" s="485">
        <v>11</v>
      </c>
      <c r="K131" s="661"/>
      <c r="L131" s="493" t="s">
        <v>659</v>
      </c>
      <c r="M131" s="660"/>
      <c r="N131" s="485">
        <v>4</v>
      </c>
      <c r="O131" s="485">
        <v>20</v>
      </c>
      <c r="P131" s="485">
        <v>14</v>
      </c>
      <c r="Q131" s="485">
        <v>9</v>
      </c>
      <c r="R131" s="485">
        <v>10</v>
      </c>
      <c r="S131" s="485">
        <v>5</v>
      </c>
      <c r="T131" s="500">
        <v>130</v>
      </c>
    </row>
    <row r="132" spans="2:20" ht="12.75" customHeight="1" x14ac:dyDescent="0.2">
      <c r="B132" s="661"/>
      <c r="C132" s="493" t="s">
        <v>422</v>
      </c>
      <c r="D132" s="660" t="s">
        <v>268</v>
      </c>
      <c r="E132" s="485">
        <v>1576</v>
      </c>
      <c r="F132" s="485">
        <v>689</v>
      </c>
      <c r="G132" s="485">
        <v>2701</v>
      </c>
      <c r="H132" s="485">
        <v>58759</v>
      </c>
      <c r="I132" s="485">
        <v>189841</v>
      </c>
      <c r="J132" s="485">
        <v>273914</v>
      </c>
      <c r="K132" s="661"/>
      <c r="L132" s="493" t="s">
        <v>422</v>
      </c>
      <c r="M132" s="660" t="s">
        <v>268</v>
      </c>
      <c r="N132" s="485">
        <v>307605</v>
      </c>
      <c r="O132" s="485">
        <v>329584</v>
      </c>
      <c r="P132" s="485">
        <v>295519</v>
      </c>
      <c r="Q132" s="485">
        <v>196706</v>
      </c>
      <c r="R132" s="485">
        <v>11898</v>
      </c>
      <c r="S132" s="485">
        <v>231</v>
      </c>
      <c r="T132" s="500">
        <v>1669023</v>
      </c>
    </row>
    <row r="133" spans="2:20" ht="12.75" customHeight="1" x14ac:dyDescent="0.2">
      <c r="B133" s="661"/>
      <c r="C133" s="493" t="s">
        <v>423</v>
      </c>
      <c r="D133" s="660"/>
      <c r="E133" s="485">
        <v>31</v>
      </c>
      <c r="F133" s="485">
        <v>51</v>
      </c>
      <c r="G133" s="485">
        <v>81</v>
      </c>
      <c r="H133" s="485">
        <v>20367</v>
      </c>
      <c r="I133" s="485">
        <v>87764</v>
      </c>
      <c r="J133" s="485">
        <v>153631</v>
      </c>
      <c r="K133" s="661"/>
      <c r="L133" s="493" t="s">
        <v>423</v>
      </c>
      <c r="M133" s="660"/>
      <c r="N133" s="485">
        <v>178325</v>
      </c>
      <c r="O133" s="485">
        <v>211498</v>
      </c>
      <c r="P133" s="485">
        <v>174481</v>
      </c>
      <c r="Q133" s="485">
        <v>106315</v>
      </c>
      <c r="R133" s="485">
        <v>2309</v>
      </c>
      <c r="S133" s="485">
        <v>10</v>
      </c>
      <c r="T133" s="500">
        <v>934863</v>
      </c>
    </row>
    <row r="134" spans="2:20" s="91" customFormat="1" ht="12.75" customHeight="1" x14ac:dyDescent="0.2">
      <c r="B134" s="661"/>
      <c r="C134" s="493" t="s">
        <v>424</v>
      </c>
      <c r="D134" s="660" t="s">
        <v>267</v>
      </c>
      <c r="E134" s="485">
        <v>15</v>
      </c>
      <c r="F134" s="485">
        <v>24</v>
      </c>
      <c r="G134" s="485">
        <v>43</v>
      </c>
      <c r="H134" s="485">
        <v>70</v>
      </c>
      <c r="I134" s="485">
        <v>298</v>
      </c>
      <c r="J134" s="485">
        <v>547</v>
      </c>
      <c r="K134" s="661"/>
      <c r="L134" s="493" t="s">
        <v>424</v>
      </c>
      <c r="M134" s="660" t="s">
        <v>267</v>
      </c>
      <c r="N134" s="485">
        <v>956</v>
      </c>
      <c r="O134" s="485">
        <v>1187</v>
      </c>
      <c r="P134" s="485">
        <v>634</v>
      </c>
      <c r="Q134" s="485">
        <v>223</v>
      </c>
      <c r="R134" s="485">
        <v>74</v>
      </c>
      <c r="S134" s="485">
        <v>44</v>
      </c>
      <c r="T134" s="500">
        <v>4115</v>
      </c>
    </row>
    <row r="135" spans="2:20" s="91" customFormat="1" ht="12.75" customHeight="1" x14ac:dyDescent="0.2">
      <c r="B135" s="661"/>
      <c r="C135" s="493" t="s">
        <v>426</v>
      </c>
      <c r="D135" s="660"/>
      <c r="E135" s="485">
        <v>224</v>
      </c>
      <c r="F135" s="485">
        <v>214</v>
      </c>
      <c r="G135" s="485">
        <v>1909</v>
      </c>
      <c r="H135" s="485">
        <v>6149</v>
      </c>
      <c r="I135" s="485">
        <v>24021</v>
      </c>
      <c r="J135" s="485">
        <v>23734</v>
      </c>
      <c r="K135" s="661"/>
      <c r="L135" s="493" t="s">
        <v>426</v>
      </c>
      <c r="M135" s="660"/>
      <c r="N135" s="485">
        <v>30855</v>
      </c>
      <c r="O135" s="485">
        <v>38067</v>
      </c>
      <c r="P135" s="485">
        <v>35152</v>
      </c>
      <c r="Q135" s="485">
        <v>18038</v>
      </c>
      <c r="R135" s="485">
        <v>7499</v>
      </c>
      <c r="S135" s="485">
        <v>4581</v>
      </c>
      <c r="T135" s="500">
        <v>190443</v>
      </c>
    </row>
    <row r="136" spans="2:20" ht="12.75" customHeight="1" x14ac:dyDescent="0.2">
      <c r="B136" s="661"/>
      <c r="C136" s="493" t="s">
        <v>427</v>
      </c>
      <c r="D136" s="660"/>
      <c r="E136" s="485">
        <v>12</v>
      </c>
      <c r="F136" s="485">
        <v>12</v>
      </c>
      <c r="G136" s="485">
        <v>238</v>
      </c>
      <c r="H136" s="485">
        <v>900</v>
      </c>
      <c r="I136" s="485">
        <v>2978</v>
      </c>
      <c r="J136" s="485">
        <v>3276</v>
      </c>
      <c r="K136" s="661"/>
      <c r="L136" s="493" t="s">
        <v>427</v>
      </c>
      <c r="M136" s="660"/>
      <c r="N136" s="485">
        <v>4427</v>
      </c>
      <c r="O136" s="485">
        <v>5772</v>
      </c>
      <c r="P136" s="485">
        <v>4786</v>
      </c>
      <c r="Q136" s="485">
        <v>2782</v>
      </c>
      <c r="R136" s="485">
        <v>425</v>
      </c>
      <c r="S136" s="485">
        <v>227</v>
      </c>
      <c r="T136" s="500">
        <v>25835</v>
      </c>
    </row>
    <row r="137" spans="2:20" ht="12.75" customHeight="1" x14ac:dyDescent="0.2">
      <c r="B137" s="661"/>
      <c r="C137" s="493" t="s">
        <v>428</v>
      </c>
      <c r="D137" s="660"/>
      <c r="E137" s="485">
        <v>3</v>
      </c>
      <c r="F137" s="504" t="s">
        <v>585</v>
      </c>
      <c r="G137" s="485">
        <v>5</v>
      </c>
      <c r="H137" s="485">
        <v>44</v>
      </c>
      <c r="I137" s="485">
        <v>173</v>
      </c>
      <c r="J137" s="485">
        <v>591</v>
      </c>
      <c r="K137" s="661"/>
      <c r="L137" s="493" t="s">
        <v>428</v>
      </c>
      <c r="M137" s="660"/>
      <c r="N137" s="485">
        <v>1133</v>
      </c>
      <c r="O137" s="485">
        <v>1226</v>
      </c>
      <c r="P137" s="485">
        <v>279</v>
      </c>
      <c r="Q137" s="485">
        <v>45</v>
      </c>
      <c r="R137" s="485">
        <v>16</v>
      </c>
      <c r="S137" s="504" t="s">
        <v>585</v>
      </c>
      <c r="T137" s="500">
        <v>3515</v>
      </c>
    </row>
    <row r="138" spans="2:20" s="91" customFormat="1" ht="12.75" customHeight="1" x14ac:dyDescent="0.2">
      <c r="B138" s="661"/>
      <c r="C138" s="493" t="s">
        <v>660</v>
      </c>
      <c r="D138" s="660"/>
      <c r="E138" s="504" t="s">
        <v>585</v>
      </c>
      <c r="F138" s="485">
        <v>1</v>
      </c>
      <c r="G138" s="485">
        <v>4</v>
      </c>
      <c r="H138" s="485">
        <v>37</v>
      </c>
      <c r="I138" s="485">
        <v>48</v>
      </c>
      <c r="J138" s="485">
        <v>307</v>
      </c>
      <c r="K138" s="661"/>
      <c r="L138" s="493" t="s">
        <v>660</v>
      </c>
      <c r="M138" s="660"/>
      <c r="N138" s="485">
        <v>406</v>
      </c>
      <c r="O138" s="485">
        <v>453</v>
      </c>
      <c r="P138" s="485">
        <v>309</v>
      </c>
      <c r="Q138" s="485">
        <v>128</v>
      </c>
      <c r="R138" s="485">
        <v>29</v>
      </c>
      <c r="S138" s="485">
        <v>4</v>
      </c>
      <c r="T138" s="500">
        <v>1726</v>
      </c>
    </row>
    <row r="139" spans="2:20" ht="12.75" customHeight="1" x14ac:dyDescent="0.2">
      <c r="B139" s="661"/>
      <c r="C139" s="493" t="s">
        <v>425</v>
      </c>
      <c r="D139" s="660"/>
      <c r="E139" s="504" t="s">
        <v>585</v>
      </c>
      <c r="F139" s="504" t="s">
        <v>585</v>
      </c>
      <c r="G139" s="504" t="s">
        <v>585</v>
      </c>
      <c r="H139" s="485">
        <v>2</v>
      </c>
      <c r="I139" s="485">
        <v>6</v>
      </c>
      <c r="J139" s="485">
        <v>9</v>
      </c>
      <c r="K139" s="661"/>
      <c r="L139" s="493" t="s">
        <v>425</v>
      </c>
      <c r="M139" s="660"/>
      <c r="N139" s="485">
        <v>20</v>
      </c>
      <c r="O139" s="485">
        <v>9</v>
      </c>
      <c r="P139" s="485">
        <v>2</v>
      </c>
      <c r="Q139" s="485">
        <v>2</v>
      </c>
      <c r="R139" s="504" t="s">
        <v>585</v>
      </c>
      <c r="S139" s="504" t="s">
        <v>585</v>
      </c>
      <c r="T139" s="500">
        <v>50</v>
      </c>
    </row>
    <row r="140" spans="2:20" ht="12.75" customHeight="1" x14ac:dyDescent="0.2">
      <c r="B140" s="661"/>
      <c r="C140" s="493" t="s">
        <v>429</v>
      </c>
      <c r="D140" s="660"/>
      <c r="E140" s="504" t="s">
        <v>585</v>
      </c>
      <c r="F140" s="504" t="s">
        <v>585</v>
      </c>
      <c r="G140" s="504" t="s">
        <v>585</v>
      </c>
      <c r="H140" s="504" t="s">
        <v>585</v>
      </c>
      <c r="I140" s="485">
        <v>216</v>
      </c>
      <c r="J140" s="485">
        <v>539</v>
      </c>
      <c r="K140" s="661"/>
      <c r="L140" s="493" t="s">
        <v>429</v>
      </c>
      <c r="M140" s="660"/>
      <c r="N140" s="485">
        <v>1012</v>
      </c>
      <c r="O140" s="485">
        <v>1514</v>
      </c>
      <c r="P140" s="485">
        <v>569</v>
      </c>
      <c r="Q140" s="485">
        <v>168</v>
      </c>
      <c r="R140" s="485">
        <v>9</v>
      </c>
      <c r="S140" s="504" t="s">
        <v>585</v>
      </c>
      <c r="T140" s="500">
        <v>4027</v>
      </c>
    </row>
    <row r="141" spans="2:20" s="91" customFormat="1" ht="12.75" customHeight="1" thickBot="1" x14ac:dyDescent="0.25">
      <c r="B141" s="622"/>
      <c r="C141" s="496" t="s">
        <v>17</v>
      </c>
      <c r="D141" s="497" t="s">
        <v>262</v>
      </c>
      <c r="E141" s="501">
        <v>2675</v>
      </c>
      <c r="F141" s="501">
        <v>1843</v>
      </c>
      <c r="G141" s="501">
        <v>6096</v>
      </c>
      <c r="H141" s="501">
        <v>101127</v>
      </c>
      <c r="I141" s="501">
        <v>344152</v>
      </c>
      <c r="J141" s="501">
        <v>509836</v>
      </c>
      <c r="K141" s="622"/>
      <c r="L141" s="496" t="s">
        <v>17</v>
      </c>
      <c r="M141" s="497" t="s">
        <v>262</v>
      </c>
      <c r="N141" s="501">
        <v>595908</v>
      </c>
      <c r="O141" s="501">
        <v>675225</v>
      </c>
      <c r="P141" s="501">
        <v>579725</v>
      </c>
      <c r="Q141" s="501">
        <v>359544</v>
      </c>
      <c r="R141" s="501">
        <v>23466</v>
      </c>
      <c r="S141" s="501">
        <v>6223</v>
      </c>
      <c r="T141" s="502">
        <v>3205820</v>
      </c>
    </row>
    <row r="142" spans="2:20" s="91" customFormat="1" ht="12.75" customHeight="1" thickBot="1" x14ac:dyDescent="0.25">
      <c r="B142" s="506" t="s">
        <v>342</v>
      </c>
      <c r="C142" s="507" t="s">
        <v>661</v>
      </c>
      <c r="D142" s="508" t="s">
        <v>268</v>
      </c>
      <c r="E142" s="510" t="s">
        <v>585</v>
      </c>
      <c r="F142" s="510" t="s">
        <v>585</v>
      </c>
      <c r="G142" s="510" t="s">
        <v>585</v>
      </c>
      <c r="H142" s="510" t="s">
        <v>585</v>
      </c>
      <c r="I142" s="510" t="s">
        <v>585</v>
      </c>
      <c r="J142" s="509">
        <v>10</v>
      </c>
      <c r="K142" s="58" t="s">
        <v>342</v>
      </c>
      <c r="L142" s="507" t="s">
        <v>661</v>
      </c>
      <c r="M142" s="508" t="s">
        <v>268</v>
      </c>
      <c r="N142" s="510" t="s">
        <v>585</v>
      </c>
      <c r="O142" s="509">
        <v>156</v>
      </c>
      <c r="P142" s="509">
        <v>1</v>
      </c>
      <c r="Q142" s="510" t="s">
        <v>585</v>
      </c>
      <c r="R142" s="510" t="s">
        <v>585</v>
      </c>
      <c r="S142" s="510" t="s">
        <v>585</v>
      </c>
      <c r="T142" s="511">
        <v>167</v>
      </c>
    </row>
    <row r="143" spans="2:20" s="91" customFormat="1" ht="12.75" customHeight="1" thickBot="1" x14ac:dyDescent="0.25">
      <c r="B143" s="506" t="s">
        <v>343</v>
      </c>
      <c r="C143" s="507" t="s">
        <v>430</v>
      </c>
      <c r="D143" s="508" t="s">
        <v>268</v>
      </c>
      <c r="E143" s="510" t="s">
        <v>585</v>
      </c>
      <c r="F143" s="509">
        <v>6</v>
      </c>
      <c r="G143" s="509">
        <v>12</v>
      </c>
      <c r="H143" s="509">
        <v>285</v>
      </c>
      <c r="I143" s="509">
        <v>175</v>
      </c>
      <c r="J143" s="509">
        <v>33</v>
      </c>
      <c r="K143" s="58" t="s">
        <v>343</v>
      </c>
      <c r="L143" s="507" t="s">
        <v>430</v>
      </c>
      <c r="M143" s="508" t="s">
        <v>268</v>
      </c>
      <c r="N143" s="509">
        <v>35</v>
      </c>
      <c r="O143" s="509">
        <v>68</v>
      </c>
      <c r="P143" s="509">
        <v>182</v>
      </c>
      <c r="Q143" s="509">
        <v>70</v>
      </c>
      <c r="R143" s="509">
        <v>4</v>
      </c>
      <c r="S143" s="510" t="s">
        <v>585</v>
      </c>
      <c r="T143" s="511">
        <v>870</v>
      </c>
    </row>
    <row r="144" spans="2:20" ht="12.75" customHeight="1" x14ac:dyDescent="0.2">
      <c r="B144" s="621" t="s">
        <v>344</v>
      </c>
      <c r="C144" s="493" t="s">
        <v>432</v>
      </c>
      <c r="D144" s="495" t="s">
        <v>267</v>
      </c>
      <c r="E144" s="485">
        <v>12</v>
      </c>
      <c r="F144" s="485">
        <v>12</v>
      </c>
      <c r="G144" s="485">
        <v>48</v>
      </c>
      <c r="H144" s="485">
        <v>8</v>
      </c>
      <c r="I144" s="485">
        <v>27</v>
      </c>
      <c r="J144" s="485">
        <v>35</v>
      </c>
      <c r="K144" s="621" t="s">
        <v>344</v>
      </c>
      <c r="L144" s="493" t="s">
        <v>432</v>
      </c>
      <c r="M144" s="495" t="s">
        <v>267</v>
      </c>
      <c r="N144" s="485">
        <v>19</v>
      </c>
      <c r="O144" s="485">
        <v>24</v>
      </c>
      <c r="P144" s="485">
        <v>7</v>
      </c>
      <c r="Q144" s="485">
        <v>40</v>
      </c>
      <c r="R144" s="485">
        <v>23</v>
      </c>
      <c r="S144" s="485">
        <v>35</v>
      </c>
      <c r="T144" s="500">
        <v>290</v>
      </c>
    </row>
    <row r="145" spans="2:20" ht="12.75" customHeight="1" x14ac:dyDescent="0.2">
      <c r="B145" s="661"/>
      <c r="C145" s="493" t="s">
        <v>662</v>
      </c>
      <c r="D145" s="495" t="s">
        <v>268</v>
      </c>
      <c r="E145" s="485">
        <v>2</v>
      </c>
      <c r="F145" s="485">
        <v>6</v>
      </c>
      <c r="G145" s="485">
        <v>6</v>
      </c>
      <c r="H145" s="485">
        <v>191</v>
      </c>
      <c r="I145" s="504" t="s">
        <v>585</v>
      </c>
      <c r="J145" s="485">
        <v>387</v>
      </c>
      <c r="K145" s="661"/>
      <c r="L145" s="493" t="s">
        <v>662</v>
      </c>
      <c r="M145" s="495" t="s">
        <v>268</v>
      </c>
      <c r="N145" s="485">
        <v>1948</v>
      </c>
      <c r="O145" s="485">
        <v>2842</v>
      </c>
      <c r="P145" s="485">
        <v>654</v>
      </c>
      <c r="Q145" s="485">
        <v>522</v>
      </c>
      <c r="R145" s="504" t="s">
        <v>585</v>
      </c>
      <c r="S145" s="485">
        <v>16</v>
      </c>
      <c r="T145" s="500">
        <v>6574</v>
      </c>
    </row>
    <row r="146" spans="2:20" ht="12.75" customHeight="1" x14ac:dyDescent="0.2">
      <c r="B146" s="661"/>
      <c r="C146" s="493" t="s">
        <v>431</v>
      </c>
      <c r="D146" s="495" t="s">
        <v>267</v>
      </c>
      <c r="E146" s="485">
        <v>160</v>
      </c>
      <c r="F146" s="485">
        <v>132</v>
      </c>
      <c r="G146" s="485">
        <v>194</v>
      </c>
      <c r="H146" s="485">
        <v>62</v>
      </c>
      <c r="I146" s="485">
        <v>209</v>
      </c>
      <c r="J146" s="485">
        <v>48</v>
      </c>
      <c r="K146" s="661"/>
      <c r="L146" s="493" t="s">
        <v>431</v>
      </c>
      <c r="M146" s="495" t="s">
        <v>267</v>
      </c>
      <c r="N146" s="485">
        <v>326</v>
      </c>
      <c r="O146" s="485">
        <v>105</v>
      </c>
      <c r="P146" s="485">
        <v>59</v>
      </c>
      <c r="Q146" s="485">
        <v>218</v>
      </c>
      <c r="R146" s="485">
        <v>81</v>
      </c>
      <c r="S146" s="485">
        <v>200</v>
      </c>
      <c r="T146" s="500">
        <v>1794</v>
      </c>
    </row>
    <row r="147" spans="2:20" s="91" customFormat="1" ht="12.75" customHeight="1" thickBot="1" x14ac:dyDescent="0.25">
      <c r="B147" s="622"/>
      <c r="C147" s="496" t="s">
        <v>17</v>
      </c>
      <c r="D147" s="497" t="s">
        <v>262</v>
      </c>
      <c r="E147" s="501">
        <v>174</v>
      </c>
      <c r="F147" s="501">
        <v>150</v>
      </c>
      <c r="G147" s="501">
        <v>248</v>
      </c>
      <c r="H147" s="501">
        <v>261</v>
      </c>
      <c r="I147" s="501">
        <v>236</v>
      </c>
      <c r="J147" s="501">
        <v>470</v>
      </c>
      <c r="K147" s="622"/>
      <c r="L147" s="496" t="s">
        <v>17</v>
      </c>
      <c r="M147" s="497" t="s">
        <v>262</v>
      </c>
      <c r="N147" s="501">
        <v>2293</v>
      </c>
      <c r="O147" s="501">
        <v>2971</v>
      </c>
      <c r="P147" s="501">
        <v>720</v>
      </c>
      <c r="Q147" s="501">
        <v>780</v>
      </c>
      <c r="R147" s="501">
        <v>104</v>
      </c>
      <c r="S147" s="501">
        <v>251</v>
      </c>
      <c r="T147" s="502">
        <v>8658</v>
      </c>
    </row>
    <row r="148" spans="2:20" ht="12.75" customHeight="1" thickBot="1" x14ac:dyDescent="0.25">
      <c r="B148" s="506" t="s">
        <v>345</v>
      </c>
      <c r="C148" s="507" t="s">
        <v>663</v>
      </c>
      <c r="D148" s="508" t="s">
        <v>267</v>
      </c>
      <c r="E148" s="510" t="s">
        <v>585</v>
      </c>
      <c r="F148" s="510" t="s">
        <v>585</v>
      </c>
      <c r="G148" s="510" t="s">
        <v>585</v>
      </c>
      <c r="H148" s="510" t="s">
        <v>585</v>
      </c>
      <c r="I148" s="509">
        <v>3</v>
      </c>
      <c r="J148" s="510" t="s">
        <v>585</v>
      </c>
      <c r="K148" s="58" t="s">
        <v>345</v>
      </c>
      <c r="L148" s="507" t="s">
        <v>663</v>
      </c>
      <c r="M148" s="508" t="s">
        <v>267</v>
      </c>
      <c r="N148" s="510" t="s">
        <v>585</v>
      </c>
      <c r="O148" s="510" t="s">
        <v>585</v>
      </c>
      <c r="P148" s="510" t="s">
        <v>585</v>
      </c>
      <c r="Q148" s="509">
        <v>4</v>
      </c>
      <c r="R148" s="510" t="s">
        <v>585</v>
      </c>
      <c r="S148" s="509">
        <v>1</v>
      </c>
      <c r="T148" s="511">
        <v>8</v>
      </c>
    </row>
    <row r="149" spans="2:20" ht="12.75" customHeight="1" thickBot="1" x14ac:dyDescent="0.25">
      <c r="B149" s="506" t="s">
        <v>346</v>
      </c>
      <c r="C149" s="507" t="s">
        <v>433</v>
      </c>
      <c r="D149" s="508" t="s">
        <v>267</v>
      </c>
      <c r="E149" s="509">
        <v>525</v>
      </c>
      <c r="F149" s="509">
        <v>470</v>
      </c>
      <c r="G149" s="509">
        <v>459</v>
      </c>
      <c r="H149" s="509">
        <v>444</v>
      </c>
      <c r="I149" s="509">
        <v>347</v>
      </c>
      <c r="J149" s="509">
        <v>116</v>
      </c>
      <c r="K149" s="58" t="s">
        <v>346</v>
      </c>
      <c r="L149" s="507" t="s">
        <v>433</v>
      </c>
      <c r="M149" s="508" t="s">
        <v>267</v>
      </c>
      <c r="N149" s="509">
        <v>909</v>
      </c>
      <c r="O149" s="509">
        <v>1822</v>
      </c>
      <c r="P149" s="509">
        <v>1584</v>
      </c>
      <c r="Q149" s="509">
        <v>480</v>
      </c>
      <c r="R149" s="509">
        <v>406</v>
      </c>
      <c r="S149" s="509">
        <v>1518</v>
      </c>
      <c r="T149" s="511">
        <v>9080</v>
      </c>
    </row>
    <row r="150" spans="2:20" ht="12.75" customHeight="1" x14ac:dyDescent="0.2">
      <c r="B150" s="621" t="s">
        <v>347</v>
      </c>
      <c r="C150" s="493" t="s">
        <v>434</v>
      </c>
      <c r="D150" s="659" t="s">
        <v>267</v>
      </c>
      <c r="E150" s="485">
        <v>150</v>
      </c>
      <c r="F150" s="485">
        <v>264</v>
      </c>
      <c r="G150" s="485">
        <v>286</v>
      </c>
      <c r="H150" s="485">
        <v>214</v>
      </c>
      <c r="I150" s="485">
        <v>305</v>
      </c>
      <c r="J150" s="485">
        <v>261</v>
      </c>
      <c r="K150" s="621" t="s">
        <v>347</v>
      </c>
      <c r="L150" s="493" t="s">
        <v>434</v>
      </c>
      <c r="M150" s="659" t="s">
        <v>267</v>
      </c>
      <c r="N150" s="485">
        <v>379</v>
      </c>
      <c r="O150" s="485">
        <v>296</v>
      </c>
      <c r="P150" s="485">
        <v>287</v>
      </c>
      <c r="Q150" s="485">
        <v>301</v>
      </c>
      <c r="R150" s="485">
        <v>405</v>
      </c>
      <c r="S150" s="485">
        <v>404</v>
      </c>
      <c r="T150" s="500">
        <v>3552</v>
      </c>
    </row>
    <row r="151" spans="2:20" ht="12.75" customHeight="1" x14ac:dyDescent="0.2">
      <c r="B151" s="661"/>
      <c r="C151" s="493" t="s">
        <v>664</v>
      </c>
      <c r="D151" s="660"/>
      <c r="E151" s="485">
        <v>1925</v>
      </c>
      <c r="F151" s="485">
        <v>1993</v>
      </c>
      <c r="G151" s="485">
        <v>2062</v>
      </c>
      <c r="H151" s="485">
        <v>1966</v>
      </c>
      <c r="I151" s="485">
        <v>1936</v>
      </c>
      <c r="J151" s="485">
        <v>1932</v>
      </c>
      <c r="K151" s="661"/>
      <c r="L151" s="493" t="s">
        <v>664</v>
      </c>
      <c r="M151" s="660"/>
      <c r="N151" s="485">
        <v>3041</v>
      </c>
      <c r="O151" s="485">
        <v>2355</v>
      </c>
      <c r="P151" s="485">
        <v>2266</v>
      </c>
      <c r="Q151" s="485">
        <v>2789</v>
      </c>
      <c r="R151" s="485">
        <v>2255</v>
      </c>
      <c r="S151" s="485">
        <v>3035</v>
      </c>
      <c r="T151" s="500">
        <v>27555</v>
      </c>
    </row>
    <row r="152" spans="2:20" s="91" customFormat="1" ht="12.75" customHeight="1" x14ac:dyDescent="0.2">
      <c r="B152" s="661"/>
      <c r="C152" s="493" t="s">
        <v>362</v>
      </c>
      <c r="D152" s="660"/>
      <c r="E152" s="485">
        <v>56</v>
      </c>
      <c r="F152" s="485">
        <v>86</v>
      </c>
      <c r="G152" s="485">
        <v>55</v>
      </c>
      <c r="H152" s="485">
        <v>43</v>
      </c>
      <c r="I152" s="485">
        <v>35</v>
      </c>
      <c r="J152" s="485">
        <v>37</v>
      </c>
      <c r="K152" s="661"/>
      <c r="L152" s="493" t="s">
        <v>362</v>
      </c>
      <c r="M152" s="660"/>
      <c r="N152" s="485">
        <v>53</v>
      </c>
      <c r="O152" s="485">
        <v>13</v>
      </c>
      <c r="P152" s="485">
        <v>32</v>
      </c>
      <c r="Q152" s="485">
        <v>18</v>
      </c>
      <c r="R152" s="485">
        <v>10</v>
      </c>
      <c r="S152" s="485">
        <v>25</v>
      </c>
      <c r="T152" s="500">
        <v>463</v>
      </c>
    </row>
    <row r="153" spans="2:20" s="91" customFormat="1" ht="12.75" customHeight="1" x14ac:dyDescent="0.2">
      <c r="B153" s="661"/>
      <c r="C153" s="493" t="s">
        <v>665</v>
      </c>
      <c r="D153" s="495" t="s">
        <v>268</v>
      </c>
      <c r="E153" s="485">
        <v>669</v>
      </c>
      <c r="F153" s="485">
        <v>716</v>
      </c>
      <c r="G153" s="485">
        <v>983</v>
      </c>
      <c r="H153" s="485">
        <v>1630</v>
      </c>
      <c r="I153" s="485">
        <v>1517</v>
      </c>
      <c r="J153" s="485">
        <v>2944</v>
      </c>
      <c r="K153" s="661"/>
      <c r="L153" s="493" t="s">
        <v>665</v>
      </c>
      <c r="M153" s="495" t="s">
        <v>268</v>
      </c>
      <c r="N153" s="485">
        <v>6736</v>
      </c>
      <c r="O153" s="485">
        <v>12160</v>
      </c>
      <c r="P153" s="485">
        <v>6247</v>
      </c>
      <c r="Q153" s="485">
        <v>3622</v>
      </c>
      <c r="R153" s="485">
        <v>2085</v>
      </c>
      <c r="S153" s="485">
        <v>2520</v>
      </c>
      <c r="T153" s="500">
        <v>41829</v>
      </c>
    </row>
    <row r="154" spans="2:20" s="91" customFormat="1" ht="12.75" customHeight="1" thickBot="1" x14ac:dyDescent="0.25">
      <c r="B154" s="622"/>
      <c r="C154" s="496" t="s">
        <v>17</v>
      </c>
      <c r="D154" s="497" t="s">
        <v>262</v>
      </c>
      <c r="E154" s="501">
        <v>2800</v>
      </c>
      <c r="F154" s="501">
        <v>3059</v>
      </c>
      <c r="G154" s="501">
        <v>3386</v>
      </c>
      <c r="H154" s="501">
        <v>3853</v>
      </c>
      <c r="I154" s="501">
        <v>3793</v>
      </c>
      <c r="J154" s="501">
        <v>5174</v>
      </c>
      <c r="K154" s="622"/>
      <c r="L154" s="496" t="s">
        <v>17</v>
      </c>
      <c r="M154" s="497" t="s">
        <v>262</v>
      </c>
      <c r="N154" s="501">
        <v>10209</v>
      </c>
      <c r="O154" s="501">
        <v>14824</v>
      </c>
      <c r="P154" s="501">
        <v>8832</v>
      </c>
      <c r="Q154" s="501">
        <v>6730</v>
      </c>
      <c r="R154" s="501">
        <v>4755</v>
      </c>
      <c r="S154" s="501">
        <v>5984</v>
      </c>
      <c r="T154" s="502">
        <v>73399</v>
      </c>
    </row>
    <row r="155" spans="2:20" s="91" customFormat="1" ht="12.75" customHeight="1" x14ac:dyDescent="0.2">
      <c r="B155" s="621" t="s">
        <v>348</v>
      </c>
      <c r="C155" s="512" t="s">
        <v>666</v>
      </c>
      <c r="D155" s="513" t="s">
        <v>267</v>
      </c>
      <c r="E155" s="514">
        <v>4</v>
      </c>
      <c r="F155" s="524" t="s">
        <v>585</v>
      </c>
      <c r="G155" s="524" t="s">
        <v>585</v>
      </c>
      <c r="H155" s="514">
        <v>17</v>
      </c>
      <c r="I155" s="514">
        <v>7</v>
      </c>
      <c r="J155" s="514">
        <v>16</v>
      </c>
      <c r="K155" s="621" t="s">
        <v>348</v>
      </c>
      <c r="L155" s="512" t="s">
        <v>666</v>
      </c>
      <c r="M155" s="513" t="s">
        <v>267</v>
      </c>
      <c r="N155" s="514">
        <v>5</v>
      </c>
      <c r="O155" s="524" t="s">
        <v>585</v>
      </c>
      <c r="P155" s="524" t="s">
        <v>585</v>
      </c>
      <c r="Q155" s="514">
        <v>9</v>
      </c>
      <c r="R155" s="514">
        <v>2</v>
      </c>
      <c r="S155" s="514">
        <v>6</v>
      </c>
      <c r="T155" s="515">
        <v>66</v>
      </c>
    </row>
    <row r="156" spans="2:20" ht="12.75" customHeight="1" x14ac:dyDescent="0.2">
      <c r="B156" s="662"/>
      <c r="C156" s="516" t="s">
        <v>667</v>
      </c>
      <c r="D156" s="517" t="s">
        <v>268</v>
      </c>
      <c r="E156" s="221">
        <v>2</v>
      </c>
      <c r="F156" s="221">
        <v>4</v>
      </c>
      <c r="G156" s="523" t="s">
        <v>585</v>
      </c>
      <c r="H156" s="523" t="s">
        <v>585</v>
      </c>
      <c r="I156" s="523" t="s">
        <v>585</v>
      </c>
      <c r="J156" s="523" t="s">
        <v>585</v>
      </c>
      <c r="K156" s="662"/>
      <c r="L156" s="516" t="s">
        <v>667</v>
      </c>
      <c r="M156" s="517" t="s">
        <v>268</v>
      </c>
      <c r="N156" s="523" t="s">
        <v>585</v>
      </c>
      <c r="O156" s="221">
        <v>3</v>
      </c>
      <c r="P156" s="523" t="s">
        <v>585</v>
      </c>
      <c r="Q156" s="221">
        <v>8</v>
      </c>
      <c r="R156" s="221">
        <v>10</v>
      </c>
      <c r="S156" s="221">
        <v>9</v>
      </c>
      <c r="T156" s="518">
        <v>36</v>
      </c>
    </row>
    <row r="157" spans="2:20" ht="12.75" customHeight="1" thickBot="1" x14ac:dyDescent="0.25">
      <c r="B157" s="622"/>
      <c r="C157" s="519" t="s">
        <v>17</v>
      </c>
      <c r="D157" s="520" t="s">
        <v>262</v>
      </c>
      <c r="E157" s="521">
        <v>6</v>
      </c>
      <c r="F157" s="521">
        <v>4</v>
      </c>
      <c r="G157" s="525" t="s">
        <v>585</v>
      </c>
      <c r="H157" s="521">
        <v>17</v>
      </c>
      <c r="I157" s="521">
        <v>7</v>
      </c>
      <c r="J157" s="521">
        <v>16</v>
      </c>
      <c r="K157" s="622"/>
      <c r="L157" s="519" t="s">
        <v>17</v>
      </c>
      <c r="M157" s="520" t="s">
        <v>262</v>
      </c>
      <c r="N157" s="521">
        <v>5</v>
      </c>
      <c r="O157" s="521">
        <v>3</v>
      </c>
      <c r="P157" s="525" t="s">
        <v>585</v>
      </c>
      <c r="Q157" s="521">
        <v>17</v>
      </c>
      <c r="R157" s="521">
        <v>12</v>
      </c>
      <c r="S157" s="521">
        <v>15</v>
      </c>
      <c r="T157" s="522">
        <v>102</v>
      </c>
    </row>
    <row r="158" spans="2:20" s="91" customFormat="1" ht="12.75" customHeight="1" thickBot="1" x14ac:dyDescent="0.25">
      <c r="B158" s="494" t="s">
        <v>349</v>
      </c>
      <c r="C158" s="496" t="s">
        <v>668</v>
      </c>
      <c r="D158" s="497" t="s">
        <v>268</v>
      </c>
      <c r="E158" s="501">
        <v>2</v>
      </c>
      <c r="F158" s="503" t="s">
        <v>585</v>
      </c>
      <c r="G158" s="503" t="s">
        <v>585</v>
      </c>
      <c r="H158" s="501">
        <v>173</v>
      </c>
      <c r="I158" s="503" t="s">
        <v>585</v>
      </c>
      <c r="J158" s="501">
        <v>3</v>
      </c>
      <c r="K158" s="459" t="s">
        <v>349</v>
      </c>
      <c r="L158" s="496" t="s">
        <v>668</v>
      </c>
      <c r="M158" s="497" t="s">
        <v>268</v>
      </c>
      <c r="N158" s="503" t="s">
        <v>585</v>
      </c>
      <c r="O158" s="501">
        <v>10</v>
      </c>
      <c r="P158" s="501">
        <v>1</v>
      </c>
      <c r="Q158" s="501">
        <v>240</v>
      </c>
      <c r="R158" s="503" t="s">
        <v>585</v>
      </c>
      <c r="S158" s="503" t="s">
        <v>585</v>
      </c>
      <c r="T158" s="502">
        <v>429</v>
      </c>
    </row>
    <row r="159" spans="2:20" s="91" customFormat="1" ht="12.75" customHeight="1" x14ac:dyDescent="0.2">
      <c r="B159" s="621" t="s">
        <v>352</v>
      </c>
      <c r="C159" s="512" t="s">
        <v>435</v>
      </c>
      <c r="D159" s="513" t="s">
        <v>268</v>
      </c>
      <c r="E159" s="514">
        <v>93</v>
      </c>
      <c r="F159" s="514">
        <v>43</v>
      </c>
      <c r="G159" s="514">
        <v>155</v>
      </c>
      <c r="H159" s="514">
        <v>337</v>
      </c>
      <c r="I159" s="514">
        <v>46</v>
      </c>
      <c r="J159" s="514">
        <v>77</v>
      </c>
      <c r="K159" s="621" t="s">
        <v>352</v>
      </c>
      <c r="L159" s="512" t="s">
        <v>435</v>
      </c>
      <c r="M159" s="513" t="s">
        <v>268</v>
      </c>
      <c r="N159" s="514">
        <v>77</v>
      </c>
      <c r="O159" s="514">
        <v>64</v>
      </c>
      <c r="P159" s="514">
        <v>58</v>
      </c>
      <c r="Q159" s="514">
        <v>48</v>
      </c>
      <c r="R159" s="514">
        <v>55</v>
      </c>
      <c r="S159" s="514">
        <v>117</v>
      </c>
      <c r="T159" s="515">
        <v>1170</v>
      </c>
    </row>
    <row r="160" spans="2:20" s="91" customFormat="1" ht="12.75" customHeight="1" x14ac:dyDescent="0.2">
      <c r="B160" s="662"/>
      <c r="C160" s="516" t="s">
        <v>669</v>
      </c>
      <c r="D160" s="663" t="s">
        <v>267</v>
      </c>
      <c r="E160" s="221">
        <v>274</v>
      </c>
      <c r="F160" s="221">
        <v>247</v>
      </c>
      <c r="G160" s="221">
        <v>263</v>
      </c>
      <c r="H160" s="221">
        <v>266</v>
      </c>
      <c r="I160" s="221">
        <v>245</v>
      </c>
      <c r="J160" s="221">
        <v>248</v>
      </c>
      <c r="K160" s="662"/>
      <c r="L160" s="516" t="s">
        <v>669</v>
      </c>
      <c r="M160" s="663" t="s">
        <v>267</v>
      </c>
      <c r="N160" s="221">
        <v>471</v>
      </c>
      <c r="O160" s="221">
        <v>307</v>
      </c>
      <c r="P160" s="221">
        <v>298</v>
      </c>
      <c r="Q160" s="221">
        <v>223</v>
      </c>
      <c r="R160" s="221">
        <v>217</v>
      </c>
      <c r="S160" s="221">
        <v>191</v>
      </c>
      <c r="T160" s="518">
        <v>3250</v>
      </c>
    </row>
    <row r="161" spans="2:20" s="91" customFormat="1" ht="12.75" customHeight="1" x14ac:dyDescent="0.2">
      <c r="B161" s="662"/>
      <c r="C161" s="516" t="s">
        <v>670</v>
      </c>
      <c r="D161" s="663"/>
      <c r="E161" s="221">
        <v>1586</v>
      </c>
      <c r="F161" s="221">
        <v>1410</v>
      </c>
      <c r="G161" s="221">
        <v>1719</v>
      </c>
      <c r="H161" s="221">
        <v>1544</v>
      </c>
      <c r="I161" s="221">
        <v>2072</v>
      </c>
      <c r="J161" s="221">
        <v>1851</v>
      </c>
      <c r="K161" s="662"/>
      <c r="L161" s="516" t="s">
        <v>670</v>
      </c>
      <c r="M161" s="663"/>
      <c r="N161" s="221">
        <v>1486</v>
      </c>
      <c r="O161" s="221">
        <v>1526</v>
      </c>
      <c r="P161" s="221">
        <v>1811</v>
      </c>
      <c r="Q161" s="221">
        <v>1603</v>
      </c>
      <c r="R161" s="221">
        <v>1317</v>
      </c>
      <c r="S161" s="221">
        <v>1786</v>
      </c>
      <c r="T161" s="518">
        <v>19711</v>
      </c>
    </row>
    <row r="162" spans="2:20" s="91" customFormat="1" ht="15" customHeight="1" thickBot="1" x14ac:dyDescent="0.25">
      <c r="B162" s="622"/>
      <c r="C162" s="519" t="s">
        <v>17</v>
      </c>
      <c r="D162" s="520" t="s">
        <v>262</v>
      </c>
      <c r="E162" s="521">
        <v>1953</v>
      </c>
      <c r="F162" s="521">
        <v>1700</v>
      </c>
      <c r="G162" s="521">
        <v>2137</v>
      </c>
      <c r="H162" s="521">
        <v>2147</v>
      </c>
      <c r="I162" s="521">
        <v>2363</v>
      </c>
      <c r="J162" s="521">
        <v>2176</v>
      </c>
      <c r="K162" s="622"/>
      <c r="L162" s="519" t="s">
        <v>17</v>
      </c>
      <c r="M162" s="520" t="s">
        <v>262</v>
      </c>
      <c r="N162" s="521">
        <v>2034</v>
      </c>
      <c r="O162" s="521">
        <v>1897</v>
      </c>
      <c r="P162" s="521">
        <v>2167</v>
      </c>
      <c r="Q162" s="521">
        <v>1874</v>
      </c>
      <c r="R162" s="521">
        <v>1589</v>
      </c>
      <c r="S162" s="521">
        <v>2094</v>
      </c>
      <c r="T162" s="522">
        <v>24131</v>
      </c>
    </row>
    <row r="163" spans="2:20" ht="15" customHeight="1" x14ac:dyDescent="0.2">
      <c r="B163" s="621" t="s">
        <v>353</v>
      </c>
      <c r="C163" s="493" t="s">
        <v>671</v>
      </c>
      <c r="D163" s="495" t="s">
        <v>267</v>
      </c>
      <c r="E163" s="485">
        <v>898</v>
      </c>
      <c r="F163" s="485">
        <v>503</v>
      </c>
      <c r="G163" s="485">
        <v>507</v>
      </c>
      <c r="H163" s="485">
        <v>434</v>
      </c>
      <c r="I163" s="485">
        <v>578</v>
      </c>
      <c r="J163" s="485">
        <v>485</v>
      </c>
      <c r="K163" s="621" t="s">
        <v>353</v>
      </c>
      <c r="L163" s="493" t="s">
        <v>671</v>
      </c>
      <c r="M163" s="495" t="s">
        <v>267</v>
      </c>
      <c r="N163" s="485">
        <v>672</v>
      </c>
      <c r="O163" s="485">
        <v>578</v>
      </c>
      <c r="P163" s="485">
        <v>789</v>
      </c>
      <c r="Q163" s="485">
        <v>1235</v>
      </c>
      <c r="R163" s="485">
        <v>1007</v>
      </c>
      <c r="S163" s="485">
        <v>1112</v>
      </c>
      <c r="T163" s="500">
        <v>8798</v>
      </c>
    </row>
    <row r="164" spans="2:20" ht="12.75" x14ac:dyDescent="0.2">
      <c r="B164" s="661"/>
      <c r="C164" s="493" t="s">
        <v>672</v>
      </c>
      <c r="D164" s="495" t="s">
        <v>268</v>
      </c>
      <c r="E164" s="485">
        <v>3823</v>
      </c>
      <c r="F164" s="485">
        <v>2664</v>
      </c>
      <c r="G164" s="485">
        <v>2127</v>
      </c>
      <c r="H164" s="485">
        <v>4385</v>
      </c>
      <c r="I164" s="485">
        <v>2316</v>
      </c>
      <c r="J164" s="485">
        <v>17136</v>
      </c>
      <c r="K164" s="661"/>
      <c r="L164" s="493" t="s">
        <v>672</v>
      </c>
      <c r="M164" s="495" t="s">
        <v>268</v>
      </c>
      <c r="N164" s="485">
        <v>48677</v>
      </c>
      <c r="O164" s="485">
        <v>64833</v>
      </c>
      <c r="P164" s="485">
        <v>18121</v>
      </c>
      <c r="Q164" s="485">
        <v>2477</v>
      </c>
      <c r="R164" s="485">
        <v>1771</v>
      </c>
      <c r="S164" s="485">
        <v>2371</v>
      </c>
      <c r="T164" s="500">
        <v>170701</v>
      </c>
    </row>
    <row r="165" spans="2:20" ht="13.5" thickBot="1" x14ac:dyDescent="0.25">
      <c r="B165" s="622"/>
      <c r="C165" s="496" t="s">
        <v>17</v>
      </c>
      <c r="D165" s="497" t="s">
        <v>262</v>
      </c>
      <c r="E165" s="501">
        <v>4721</v>
      </c>
      <c r="F165" s="501">
        <v>3167</v>
      </c>
      <c r="G165" s="501">
        <v>2634</v>
      </c>
      <c r="H165" s="501">
        <v>4819</v>
      </c>
      <c r="I165" s="501">
        <v>2894</v>
      </c>
      <c r="J165" s="501">
        <v>17621</v>
      </c>
      <c r="K165" s="622"/>
      <c r="L165" s="496" t="s">
        <v>17</v>
      </c>
      <c r="M165" s="497" t="s">
        <v>262</v>
      </c>
      <c r="N165" s="501">
        <v>49349</v>
      </c>
      <c r="O165" s="501">
        <v>65411</v>
      </c>
      <c r="P165" s="501">
        <v>18910</v>
      </c>
      <c r="Q165" s="501">
        <v>3712</v>
      </c>
      <c r="R165" s="501">
        <v>2778</v>
      </c>
      <c r="S165" s="501">
        <v>3483</v>
      </c>
      <c r="T165" s="502">
        <v>179499</v>
      </c>
    </row>
    <row r="166" spans="2:20" ht="12.75" x14ac:dyDescent="0.2">
      <c r="B166" s="621" t="s">
        <v>350</v>
      </c>
      <c r="C166" s="512" t="s">
        <v>436</v>
      </c>
      <c r="D166" s="513" t="s">
        <v>268</v>
      </c>
      <c r="E166" s="514">
        <v>3</v>
      </c>
      <c r="F166" s="514">
        <v>2</v>
      </c>
      <c r="G166" s="514">
        <v>2</v>
      </c>
      <c r="H166" s="524" t="s">
        <v>585</v>
      </c>
      <c r="I166" s="514">
        <v>2</v>
      </c>
      <c r="J166" s="524" t="s">
        <v>585</v>
      </c>
      <c r="K166" s="621" t="s">
        <v>350</v>
      </c>
      <c r="L166" s="512" t="s">
        <v>436</v>
      </c>
      <c r="M166" s="513" t="s">
        <v>268</v>
      </c>
      <c r="N166" s="514">
        <v>3</v>
      </c>
      <c r="O166" s="514">
        <v>1</v>
      </c>
      <c r="P166" s="524" t="s">
        <v>585</v>
      </c>
      <c r="Q166" s="524" t="s">
        <v>585</v>
      </c>
      <c r="R166" s="514">
        <v>3</v>
      </c>
      <c r="S166" s="514">
        <v>1</v>
      </c>
      <c r="T166" s="515">
        <v>17</v>
      </c>
    </row>
    <row r="167" spans="2:20" ht="12.75" x14ac:dyDescent="0.2">
      <c r="B167" s="662"/>
      <c r="C167" s="516" t="s">
        <v>673</v>
      </c>
      <c r="D167" s="517" t="s">
        <v>269</v>
      </c>
      <c r="E167" s="523" t="s">
        <v>585</v>
      </c>
      <c r="F167" s="523" t="s">
        <v>585</v>
      </c>
      <c r="G167" s="523" t="s">
        <v>585</v>
      </c>
      <c r="H167" s="523" t="s">
        <v>585</v>
      </c>
      <c r="I167" s="523" t="s">
        <v>585</v>
      </c>
      <c r="J167" s="523" t="s">
        <v>585</v>
      </c>
      <c r="K167" s="662"/>
      <c r="L167" s="516" t="s">
        <v>673</v>
      </c>
      <c r="M167" s="517" t="s">
        <v>269</v>
      </c>
      <c r="N167" s="523" t="s">
        <v>585</v>
      </c>
      <c r="O167" s="523" t="s">
        <v>585</v>
      </c>
      <c r="P167" s="523" t="s">
        <v>585</v>
      </c>
      <c r="Q167" s="523" t="s">
        <v>585</v>
      </c>
      <c r="R167" s="221">
        <v>3</v>
      </c>
      <c r="S167" s="221">
        <v>574</v>
      </c>
      <c r="T167" s="518">
        <v>577</v>
      </c>
    </row>
    <row r="168" spans="2:20" ht="13.5" thickBot="1" x14ac:dyDescent="0.25">
      <c r="B168" s="622"/>
      <c r="C168" s="519" t="s">
        <v>17</v>
      </c>
      <c r="D168" s="520" t="s">
        <v>262</v>
      </c>
      <c r="E168" s="521">
        <v>3</v>
      </c>
      <c r="F168" s="521">
        <v>2</v>
      </c>
      <c r="G168" s="521">
        <v>2</v>
      </c>
      <c r="H168" s="525" t="s">
        <v>585</v>
      </c>
      <c r="I168" s="521">
        <v>2</v>
      </c>
      <c r="J168" s="525" t="s">
        <v>585</v>
      </c>
      <c r="K168" s="622"/>
      <c r="L168" s="519" t="s">
        <v>17</v>
      </c>
      <c r="M168" s="520" t="s">
        <v>262</v>
      </c>
      <c r="N168" s="521">
        <v>3</v>
      </c>
      <c r="O168" s="521">
        <v>1</v>
      </c>
      <c r="P168" s="525" t="s">
        <v>585</v>
      </c>
      <c r="Q168" s="525" t="s">
        <v>585</v>
      </c>
      <c r="R168" s="521">
        <v>6</v>
      </c>
      <c r="S168" s="521">
        <v>575</v>
      </c>
      <c r="T168" s="522">
        <v>594</v>
      </c>
    </row>
    <row r="169" spans="2:20" ht="13.5" thickBot="1" x14ac:dyDescent="0.25">
      <c r="B169" s="494" t="s">
        <v>354</v>
      </c>
      <c r="C169" s="496" t="s">
        <v>674</v>
      </c>
      <c r="D169" s="497" t="s">
        <v>268</v>
      </c>
      <c r="E169" s="503" t="s">
        <v>585</v>
      </c>
      <c r="F169" s="501">
        <v>4</v>
      </c>
      <c r="G169" s="503" t="s">
        <v>585</v>
      </c>
      <c r="H169" s="503" t="s">
        <v>585</v>
      </c>
      <c r="I169" s="503" t="s">
        <v>585</v>
      </c>
      <c r="J169" s="503" t="s">
        <v>585</v>
      </c>
      <c r="K169" s="459" t="s">
        <v>354</v>
      </c>
      <c r="L169" s="496" t="s">
        <v>674</v>
      </c>
      <c r="M169" s="497" t="s">
        <v>268</v>
      </c>
      <c r="N169" s="503" t="s">
        <v>585</v>
      </c>
      <c r="O169" s="503" t="s">
        <v>585</v>
      </c>
      <c r="P169" s="503" t="s">
        <v>585</v>
      </c>
      <c r="Q169" s="503" t="s">
        <v>585</v>
      </c>
      <c r="R169" s="503" t="s">
        <v>585</v>
      </c>
      <c r="S169" s="503" t="s">
        <v>585</v>
      </c>
      <c r="T169" s="502">
        <v>4</v>
      </c>
    </row>
    <row r="170" spans="2:20" ht="12.75" x14ac:dyDescent="0.2">
      <c r="B170" s="621" t="s">
        <v>355</v>
      </c>
      <c r="C170" s="512" t="s">
        <v>437</v>
      </c>
      <c r="D170" s="513" t="s">
        <v>270</v>
      </c>
      <c r="E170" s="514">
        <v>101</v>
      </c>
      <c r="F170" s="514">
        <v>83</v>
      </c>
      <c r="G170" s="514">
        <v>118</v>
      </c>
      <c r="H170" s="514">
        <v>167</v>
      </c>
      <c r="I170" s="514">
        <v>81</v>
      </c>
      <c r="J170" s="514">
        <v>90</v>
      </c>
      <c r="K170" s="621" t="s">
        <v>355</v>
      </c>
      <c r="L170" s="512" t="s">
        <v>437</v>
      </c>
      <c r="M170" s="513" t="s">
        <v>270</v>
      </c>
      <c r="N170" s="514">
        <v>496</v>
      </c>
      <c r="O170" s="514">
        <v>1453</v>
      </c>
      <c r="P170" s="514">
        <v>1893</v>
      </c>
      <c r="Q170" s="514">
        <v>1596</v>
      </c>
      <c r="R170" s="514">
        <v>974</v>
      </c>
      <c r="S170" s="514">
        <v>1063</v>
      </c>
      <c r="T170" s="515">
        <v>8115</v>
      </c>
    </row>
    <row r="171" spans="2:20" ht="12.75" x14ac:dyDescent="0.2">
      <c r="B171" s="662"/>
      <c r="C171" s="516" t="s">
        <v>438</v>
      </c>
      <c r="D171" s="517" t="s">
        <v>269</v>
      </c>
      <c r="E171" s="221">
        <v>7936</v>
      </c>
      <c r="F171" s="221">
        <v>12376</v>
      </c>
      <c r="G171" s="221">
        <v>22596</v>
      </c>
      <c r="H171" s="221">
        <v>16208</v>
      </c>
      <c r="I171" s="221">
        <v>9898</v>
      </c>
      <c r="J171" s="221">
        <v>26022</v>
      </c>
      <c r="K171" s="662"/>
      <c r="L171" s="516" t="s">
        <v>438</v>
      </c>
      <c r="M171" s="517" t="s">
        <v>269</v>
      </c>
      <c r="N171" s="221">
        <v>35713</v>
      </c>
      <c r="O171" s="221">
        <v>59873</v>
      </c>
      <c r="P171" s="221">
        <v>59138</v>
      </c>
      <c r="Q171" s="221">
        <v>31731</v>
      </c>
      <c r="R171" s="221">
        <v>23691</v>
      </c>
      <c r="S171" s="221">
        <v>11747</v>
      </c>
      <c r="T171" s="518">
        <v>316929</v>
      </c>
    </row>
    <row r="172" spans="2:20" ht="12.75" x14ac:dyDescent="0.2">
      <c r="B172" s="662"/>
      <c r="C172" s="516" t="s">
        <v>675</v>
      </c>
      <c r="D172" s="517" t="s">
        <v>268</v>
      </c>
      <c r="E172" s="523" t="s">
        <v>585</v>
      </c>
      <c r="F172" s="221">
        <v>1</v>
      </c>
      <c r="G172" s="221">
        <v>2</v>
      </c>
      <c r="H172" s="221">
        <v>1147</v>
      </c>
      <c r="I172" s="221">
        <v>400</v>
      </c>
      <c r="J172" s="221">
        <v>8</v>
      </c>
      <c r="K172" s="662"/>
      <c r="L172" s="516" t="s">
        <v>675</v>
      </c>
      <c r="M172" s="517" t="s">
        <v>268</v>
      </c>
      <c r="N172" s="221">
        <v>19</v>
      </c>
      <c r="O172" s="523" t="s">
        <v>585</v>
      </c>
      <c r="P172" s="221">
        <v>4</v>
      </c>
      <c r="Q172" s="523" t="s">
        <v>585</v>
      </c>
      <c r="R172" s="523" t="s">
        <v>585</v>
      </c>
      <c r="S172" s="221">
        <v>16</v>
      </c>
      <c r="T172" s="518">
        <v>1597</v>
      </c>
    </row>
    <row r="173" spans="2:20" ht="13.5" thickBot="1" x14ac:dyDescent="0.25">
      <c r="B173" s="622"/>
      <c r="C173" s="519" t="s">
        <v>17</v>
      </c>
      <c r="D173" s="520" t="s">
        <v>262</v>
      </c>
      <c r="E173" s="521">
        <v>8037</v>
      </c>
      <c r="F173" s="521">
        <v>12460</v>
      </c>
      <c r="G173" s="521">
        <v>22716</v>
      </c>
      <c r="H173" s="521">
        <v>17522</v>
      </c>
      <c r="I173" s="521">
        <v>10379</v>
      </c>
      <c r="J173" s="521">
        <v>26120</v>
      </c>
      <c r="K173" s="622"/>
      <c r="L173" s="519" t="s">
        <v>17</v>
      </c>
      <c r="M173" s="520" t="s">
        <v>262</v>
      </c>
      <c r="N173" s="521">
        <v>36228</v>
      </c>
      <c r="O173" s="521">
        <v>61326</v>
      </c>
      <c r="P173" s="521">
        <v>61035</v>
      </c>
      <c r="Q173" s="521">
        <v>33327</v>
      </c>
      <c r="R173" s="521">
        <v>24665</v>
      </c>
      <c r="S173" s="521">
        <v>12826</v>
      </c>
      <c r="T173" s="522">
        <v>326641</v>
      </c>
    </row>
    <row r="174" spans="2:20" ht="12.75" x14ac:dyDescent="0.2">
      <c r="B174" s="621" t="s">
        <v>357</v>
      </c>
      <c r="C174" s="493" t="s">
        <v>676</v>
      </c>
      <c r="D174" s="659" t="s">
        <v>267</v>
      </c>
      <c r="E174" s="485">
        <v>475</v>
      </c>
      <c r="F174" s="485">
        <v>458</v>
      </c>
      <c r="G174" s="485">
        <v>779</v>
      </c>
      <c r="H174" s="485">
        <v>551</v>
      </c>
      <c r="I174" s="485">
        <v>287</v>
      </c>
      <c r="J174" s="485">
        <v>472</v>
      </c>
      <c r="K174" s="621" t="s">
        <v>357</v>
      </c>
      <c r="L174" s="493" t="s">
        <v>676</v>
      </c>
      <c r="M174" s="659" t="s">
        <v>267</v>
      </c>
      <c r="N174" s="485">
        <v>337</v>
      </c>
      <c r="O174" s="485">
        <v>302</v>
      </c>
      <c r="P174" s="485">
        <v>500</v>
      </c>
      <c r="Q174" s="485">
        <v>613</v>
      </c>
      <c r="R174" s="485">
        <v>688</v>
      </c>
      <c r="S174" s="485">
        <v>660</v>
      </c>
      <c r="T174" s="500">
        <v>6122</v>
      </c>
    </row>
    <row r="175" spans="2:20" ht="12.75" x14ac:dyDescent="0.2">
      <c r="B175" s="661"/>
      <c r="C175" s="493" t="s">
        <v>536</v>
      </c>
      <c r="D175" s="660"/>
      <c r="E175" s="485">
        <v>137</v>
      </c>
      <c r="F175" s="485">
        <v>130</v>
      </c>
      <c r="G175" s="485">
        <v>710</v>
      </c>
      <c r="H175" s="485">
        <v>340</v>
      </c>
      <c r="I175" s="485">
        <v>318</v>
      </c>
      <c r="J175" s="485">
        <v>224</v>
      </c>
      <c r="K175" s="661"/>
      <c r="L175" s="493" t="s">
        <v>536</v>
      </c>
      <c r="M175" s="660"/>
      <c r="N175" s="485">
        <v>568</v>
      </c>
      <c r="O175" s="485">
        <v>715</v>
      </c>
      <c r="P175" s="485">
        <v>486</v>
      </c>
      <c r="Q175" s="485">
        <v>805</v>
      </c>
      <c r="R175" s="485">
        <v>559</v>
      </c>
      <c r="S175" s="485">
        <v>437</v>
      </c>
      <c r="T175" s="500">
        <v>5429</v>
      </c>
    </row>
    <row r="176" spans="2:20" ht="12.75" x14ac:dyDescent="0.2">
      <c r="B176" s="661"/>
      <c r="C176" s="493" t="s">
        <v>612</v>
      </c>
      <c r="D176" s="660"/>
      <c r="E176" s="485">
        <v>25</v>
      </c>
      <c r="F176" s="485">
        <v>10</v>
      </c>
      <c r="G176" s="485">
        <v>276</v>
      </c>
      <c r="H176" s="485">
        <v>377</v>
      </c>
      <c r="I176" s="485">
        <v>21</v>
      </c>
      <c r="J176" s="485">
        <v>200</v>
      </c>
      <c r="K176" s="661"/>
      <c r="L176" s="493" t="s">
        <v>612</v>
      </c>
      <c r="M176" s="660"/>
      <c r="N176" s="485">
        <v>277</v>
      </c>
      <c r="O176" s="485">
        <v>353</v>
      </c>
      <c r="P176" s="485">
        <v>216</v>
      </c>
      <c r="Q176" s="485">
        <v>244</v>
      </c>
      <c r="R176" s="485">
        <v>334</v>
      </c>
      <c r="S176" s="485">
        <v>266</v>
      </c>
      <c r="T176" s="500">
        <v>2599</v>
      </c>
    </row>
    <row r="177" spans="2:20" ht="12.75" x14ac:dyDescent="0.2">
      <c r="B177" s="661"/>
      <c r="C177" s="493" t="s">
        <v>439</v>
      </c>
      <c r="D177" s="495" t="s">
        <v>268</v>
      </c>
      <c r="E177" s="504" t="s">
        <v>585</v>
      </c>
      <c r="F177" s="504" t="s">
        <v>585</v>
      </c>
      <c r="G177" s="504" t="s">
        <v>585</v>
      </c>
      <c r="H177" s="504" t="s">
        <v>585</v>
      </c>
      <c r="I177" s="504" t="s">
        <v>585</v>
      </c>
      <c r="J177" s="485">
        <v>129</v>
      </c>
      <c r="K177" s="661"/>
      <c r="L177" s="493" t="s">
        <v>439</v>
      </c>
      <c r="M177" s="495" t="s">
        <v>268</v>
      </c>
      <c r="N177" s="485">
        <v>349</v>
      </c>
      <c r="O177" s="485">
        <v>692</v>
      </c>
      <c r="P177" s="485">
        <v>247</v>
      </c>
      <c r="Q177" s="485">
        <v>151</v>
      </c>
      <c r="R177" s="504" t="s">
        <v>585</v>
      </c>
      <c r="S177" s="504" t="s">
        <v>585</v>
      </c>
      <c r="T177" s="500">
        <v>1568</v>
      </c>
    </row>
    <row r="178" spans="2:20" ht="13.5" thickBot="1" x14ac:dyDescent="0.25">
      <c r="B178" s="622"/>
      <c r="C178" s="496" t="s">
        <v>17</v>
      </c>
      <c r="D178" s="497" t="s">
        <v>262</v>
      </c>
      <c r="E178" s="501">
        <v>637</v>
      </c>
      <c r="F178" s="501">
        <v>598</v>
      </c>
      <c r="G178" s="501">
        <v>1765</v>
      </c>
      <c r="H178" s="501">
        <v>1268</v>
      </c>
      <c r="I178" s="501">
        <v>626</v>
      </c>
      <c r="J178" s="501">
        <v>1025</v>
      </c>
      <c r="K178" s="622"/>
      <c r="L178" s="496" t="s">
        <v>17</v>
      </c>
      <c r="M178" s="497" t="s">
        <v>262</v>
      </c>
      <c r="N178" s="501">
        <v>1531</v>
      </c>
      <c r="O178" s="501">
        <v>2062</v>
      </c>
      <c r="P178" s="501">
        <v>1449</v>
      </c>
      <c r="Q178" s="501">
        <v>1813</v>
      </c>
      <c r="R178" s="501">
        <v>1581</v>
      </c>
      <c r="S178" s="501">
        <v>1363</v>
      </c>
      <c r="T178" s="502">
        <v>15718</v>
      </c>
    </row>
    <row r="179" spans="2:20" ht="13.5" thickBot="1" x14ac:dyDescent="0.25">
      <c r="B179" s="506" t="s">
        <v>351</v>
      </c>
      <c r="C179" s="507" t="s">
        <v>440</v>
      </c>
      <c r="D179" s="508" t="s">
        <v>269</v>
      </c>
      <c r="E179" s="509">
        <v>37485</v>
      </c>
      <c r="F179" s="509">
        <v>34195</v>
      </c>
      <c r="G179" s="509">
        <v>41771</v>
      </c>
      <c r="H179" s="509">
        <v>37300</v>
      </c>
      <c r="I179" s="509">
        <v>35041</v>
      </c>
      <c r="J179" s="509">
        <v>44199</v>
      </c>
      <c r="K179" s="58" t="s">
        <v>351</v>
      </c>
      <c r="L179" s="507" t="s">
        <v>440</v>
      </c>
      <c r="M179" s="508" t="s">
        <v>269</v>
      </c>
      <c r="N179" s="509">
        <v>66970</v>
      </c>
      <c r="O179" s="509">
        <v>79473</v>
      </c>
      <c r="P179" s="509">
        <v>70563</v>
      </c>
      <c r="Q179" s="509">
        <v>46027</v>
      </c>
      <c r="R179" s="509">
        <v>40062</v>
      </c>
      <c r="S179" s="509">
        <v>38465</v>
      </c>
      <c r="T179" s="511">
        <v>571551</v>
      </c>
    </row>
    <row r="180" spans="2:20" ht="13.5" thickBot="1" x14ac:dyDescent="0.25">
      <c r="B180" s="506" t="s">
        <v>310</v>
      </c>
      <c r="C180" s="507" t="s">
        <v>677</v>
      </c>
      <c r="D180" s="508" t="s">
        <v>267</v>
      </c>
      <c r="E180" s="509">
        <v>52</v>
      </c>
      <c r="F180" s="509">
        <v>46</v>
      </c>
      <c r="G180" s="509">
        <v>37</v>
      </c>
      <c r="H180" s="509">
        <v>126</v>
      </c>
      <c r="I180" s="509">
        <v>83</v>
      </c>
      <c r="J180" s="509">
        <v>50</v>
      </c>
      <c r="K180" s="58" t="s">
        <v>310</v>
      </c>
      <c r="L180" s="507" t="s">
        <v>677</v>
      </c>
      <c r="M180" s="508" t="s">
        <v>267</v>
      </c>
      <c r="N180" s="509">
        <v>73</v>
      </c>
      <c r="O180" s="509">
        <v>95</v>
      </c>
      <c r="P180" s="509">
        <v>128</v>
      </c>
      <c r="Q180" s="509">
        <v>94</v>
      </c>
      <c r="R180" s="509">
        <v>45</v>
      </c>
      <c r="S180" s="509">
        <v>68</v>
      </c>
      <c r="T180" s="511">
        <v>897</v>
      </c>
    </row>
    <row r="181" spans="2:20" ht="12.75" x14ac:dyDescent="0.2">
      <c r="B181" s="621" t="s">
        <v>306</v>
      </c>
      <c r="C181" s="493" t="s">
        <v>441</v>
      </c>
      <c r="D181" s="659" t="s">
        <v>269</v>
      </c>
      <c r="E181" s="485">
        <v>1441</v>
      </c>
      <c r="F181" s="485">
        <v>1583</v>
      </c>
      <c r="G181" s="485">
        <v>3043</v>
      </c>
      <c r="H181" s="485">
        <v>2374</v>
      </c>
      <c r="I181" s="485">
        <v>4138</v>
      </c>
      <c r="J181" s="485">
        <v>4251</v>
      </c>
      <c r="K181" s="621" t="s">
        <v>306</v>
      </c>
      <c r="L181" s="493" t="s">
        <v>441</v>
      </c>
      <c r="M181" s="659" t="s">
        <v>269</v>
      </c>
      <c r="N181" s="485">
        <v>5367</v>
      </c>
      <c r="O181" s="485">
        <v>7946</v>
      </c>
      <c r="P181" s="485">
        <v>5065</v>
      </c>
      <c r="Q181" s="485">
        <v>3163</v>
      </c>
      <c r="R181" s="485">
        <v>1722</v>
      </c>
      <c r="S181" s="485">
        <v>1344</v>
      </c>
      <c r="T181" s="500">
        <v>41437</v>
      </c>
    </row>
    <row r="182" spans="2:20" ht="12.75" x14ac:dyDescent="0.2">
      <c r="B182" s="661"/>
      <c r="C182" s="493" t="s">
        <v>442</v>
      </c>
      <c r="D182" s="660"/>
      <c r="E182" s="485">
        <v>786</v>
      </c>
      <c r="F182" s="485">
        <v>1001</v>
      </c>
      <c r="G182" s="485">
        <v>1766</v>
      </c>
      <c r="H182" s="485">
        <v>1860</v>
      </c>
      <c r="I182" s="485">
        <v>3136</v>
      </c>
      <c r="J182" s="485">
        <v>2952</v>
      </c>
      <c r="K182" s="661"/>
      <c r="L182" s="493" t="s">
        <v>442</v>
      </c>
      <c r="M182" s="660"/>
      <c r="N182" s="485">
        <v>4288</v>
      </c>
      <c r="O182" s="485">
        <v>5037</v>
      </c>
      <c r="P182" s="485">
        <v>4697</v>
      </c>
      <c r="Q182" s="485">
        <v>4263</v>
      </c>
      <c r="R182" s="485">
        <v>4023</v>
      </c>
      <c r="S182" s="485">
        <v>1984</v>
      </c>
      <c r="T182" s="500">
        <v>35793</v>
      </c>
    </row>
    <row r="183" spans="2:20" ht="13.5" thickBot="1" x14ac:dyDescent="0.25">
      <c r="B183" s="622"/>
      <c r="C183" s="496" t="s">
        <v>17</v>
      </c>
      <c r="D183" s="497" t="s">
        <v>262</v>
      </c>
      <c r="E183" s="501">
        <v>2227</v>
      </c>
      <c r="F183" s="501">
        <v>2584</v>
      </c>
      <c r="G183" s="501">
        <v>4809</v>
      </c>
      <c r="H183" s="501">
        <v>4234</v>
      </c>
      <c r="I183" s="501">
        <v>7274</v>
      </c>
      <c r="J183" s="501">
        <v>7203</v>
      </c>
      <c r="K183" s="622"/>
      <c r="L183" s="496" t="s">
        <v>17</v>
      </c>
      <c r="M183" s="497" t="s">
        <v>262</v>
      </c>
      <c r="N183" s="501">
        <v>9655</v>
      </c>
      <c r="O183" s="501">
        <v>12983</v>
      </c>
      <c r="P183" s="501">
        <v>9762</v>
      </c>
      <c r="Q183" s="501">
        <v>7426</v>
      </c>
      <c r="R183" s="501">
        <v>5745</v>
      </c>
      <c r="S183" s="501">
        <v>3328</v>
      </c>
      <c r="T183" s="502">
        <v>77230</v>
      </c>
    </row>
    <row r="184" spans="2:20" ht="12.75" x14ac:dyDescent="0.2">
      <c r="B184" s="621" t="s">
        <v>325</v>
      </c>
      <c r="C184" s="512" t="s">
        <v>443</v>
      </c>
      <c r="D184" s="513" t="s">
        <v>269</v>
      </c>
      <c r="E184" s="514">
        <v>14204</v>
      </c>
      <c r="F184" s="514">
        <v>14969</v>
      </c>
      <c r="G184" s="514">
        <v>20364</v>
      </c>
      <c r="H184" s="514">
        <v>17907</v>
      </c>
      <c r="I184" s="514">
        <v>19825</v>
      </c>
      <c r="J184" s="514">
        <v>22139</v>
      </c>
      <c r="K184" s="621" t="s">
        <v>325</v>
      </c>
      <c r="L184" s="512" t="s">
        <v>443</v>
      </c>
      <c r="M184" s="513" t="s">
        <v>269</v>
      </c>
      <c r="N184" s="514">
        <v>25436</v>
      </c>
      <c r="O184" s="514">
        <v>29194</v>
      </c>
      <c r="P184" s="514">
        <v>25035</v>
      </c>
      <c r="Q184" s="514">
        <v>22881</v>
      </c>
      <c r="R184" s="514">
        <v>22946</v>
      </c>
      <c r="S184" s="514">
        <v>20823</v>
      </c>
      <c r="T184" s="515">
        <v>255723</v>
      </c>
    </row>
    <row r="185" spans="2:20" ht="12.75" x14ac:dyDescent="0.2">
      <c r="B185" s="662"/>
      <c r="C185" s="516" t="s">
        <v>684</v>
      </c>
      <c r="D185" s="517" t="s">
        <v>268</v>
      </c>
      <c r="E185" s="523" t="s">
        <v>585</v>
      </c>
      <c r="F185" s="523" t="s">
        <v>585</v>
      </c>
      <c r="G185" s="523" t="s">
        <v>585</v>
      </c>
      <c r="H185" s="523" t="s">
        <v>585</v>
      </c>
      <c r="I185" s="221">
        <v>1052</v>
      </c>
      <c r="J185" s="523" t="s">
        <v>585</v>
      </c>
      <c r="K185" s="662"/>
      <c r="L185" s="516" t="s">
        <v>684</v>
      </c>
      <c r="M185" s="517" t="s">
        <v>268</v>
      </c>
      <c r="N185" s="523" t="s">
        <v>585</v>
      </c>
      <c r="O185" s="523" t="s">
        <v>585</v>
      </c>
      <c r="P185" s="221">
        <v>2</v>
      </c>
      <c r="Q185" s="523" t="s">
        <v>585</v>
      </c>
      <c r="R185" s="523" t="s">
        <v>585</v>
      </c>
      <c r="S185" s="523" t="s">
        <v>585</v>
      </c>
      <c r="T185" s="518">
        <v>1054</v>
      </c>
    </row>
    <row r="186" spans="2:20" ht="13.5" thickBot="1" x14ac:dyDescent="0.25">
      <c r="B186" s="622"/>
      <c r="C186" s="519" t="s">
        <v>17</v>
      </c>
      <c r="D186" s="520" t="s">
        <v>262</v>
      </c>
      <c r="E186" s="521">
        <v>14204</v>
      </c>
      <c r="F186" s="521">
        <v>14969</v>
      </c>
      <c r="G186" s="521">
        <v>20364</v>
      </c>
      <c r="H186" s="521">
        <v>17907</v>
      </c>
      <c r="I186" s="521">
        <v>20877</v>
      </c>
      <c r="J186" s="521">
        <v>22139</v>
      </c>
      <c r="K186" s="622"/>
      <c r="L186" s="519" t="s">
        <v>17</v>
      </c>
      <c r="M186" s="520" t="s">
        <v>262</v>
      </c>
      <c r="N186" s="521">
        <v>25436</v>
      </c>
      <c r="O186" s="521">
        <v>29194</v>
      </c>
      <c r="P186" s="521">
        <v>25037</v>
      </c>
      <c r="Q186" s="521">
        <v>22881</v>
      </c>
      <c r="R186" s="521">
        <v>22946</v>
      </c>
      <c r="S186" s="521">
        <v>20823</v>
      </c>
      <c r="T186" s="522">
        <v>256777</v>
      </c>
    </row>
    <row r="187" spans="2:20" ht="13.5" thickBot="1" x14ac:dyDescent="0.25">
      <c r="B187" s="494" t="s">
        <v>356</v>
      </c>
      <c r="C187" s="496" t="s">
        <v>444</v>
      </c>
      <c r="D187" s="497" t="s">
        <v>267</v>
      </c>
      <c r="E187" s="501">
        <v>345</v>
      </c>
      <c r="F187" s="501">
        <v>590</v>
      </c>
      <c r="G187" s="501">
        <v>699</v>
      </c>
      <c r="H187" s="501">
        <v>540</v>
      </c>
      <c r="I187" s="501">
        <v>364</v>
      </c>
      <c r="J187" s="501">
        <v>292</v>
      </c>
      <c r="K187" s="459" t="s">
        <v>356</v>
      </c>
      <c r="L187" s="496" t="s">
        <v>444</v>
      </c>
      <c r="M187" s="497" t="s">
        <v>267</v>
      </c>
      <c r="N187" s="501">
        <v>306</v>
      </c>
      <c r="O187" s="501">
        <v>399</v>
      </c>
      <c r="P187" s="501">
        <v>840</v>
      </c>
      <c r="Q187" s="501">
        <v>1491</v>
      </c>
      <c r="R187" s="501">
        <v>1219</v>
      </c>
      <c r="S187" s="501">
        <v>873</v>
      </c>
      <c r="T187" s="502">
        <v>7958</v>
      </c>
    </row>
    <row r="188" spans="2:20" ht="12.75" x14ac:dyDescent="0.2">
      <c r="B188" s="621" t="s">
        <v>334</v>
      </c>
      <c r="C188" s="512" t="s">
        <v>445</v>
      </c>
      <c r="D188" s="513" t="s">
        <v>269</v>
      </c>
      <c r="E188" s="514">
        <v>8531</v>
      </c>
      <c r="F188" s="514">
        <v>7266</v>
      </c>
      <c r="G188" s="514">
        <v>8033</v>
      </c>
      <c r="H188" s="514">
        <v>7430</v>
      </c>
      <c r="I188" s="514">
        <v>28815</v>
      </c>
      <c r="J188" s="514">
        <v>6018</v>
      </c>
      <c r="K188" s="621" t="s">
        <v>334</v>
      </c>
      <c r="L188" s="512" t="s">
        <v>445</v>
      </c>
      <c r="M188" s="513" t="s">
        <v>269</v>
      </c>
      <c r="N188" s="514">
        <v>23094</v>
      </c>
      <c r="O188" s="514">
        <v>38220</v>
      </c>
      <c r="P188" s="514">
        <v>9004</v>
      </c>
      <c r="Q188" s="514">
        <v>9479</v>
      </c>
      <c r="R188" s="514">
        <v>7898</v>
      </c>
      <c r="S188" s="514">
        <v>5614</v>
      </c>
      <c r="T188" s="515">
        <v>159402</v>
      </c>
    </row>
    <row r="189" spans="2:20" ht="12.75" x14ac:dyDescent="0.2">
      <c r="B189" s="662"/>
      <c r="C189" s="516" t="s">
        <v>613</v>
      </c>
      <c r="D189" s="517" t="s">
        <v>270</v>
      </c>
      <c r="E189" s="523" t="s">
        <v>585</v>
      </c>
      <c r="F189" s="523" t="s">
        <v>585</v>
      </c>
      <c r="G189" s="523" t="s">
        <v>585</v>
      </c>
      <c r="H189" s="221">
        <v>1</v>
      </c>
      <c r="I189" s="523" t="s">
        <v>585</v>
      </c>
      <c r="J189" s="523" t="s">
        <v>585</v>
      </c>
      <c r="K189" s="662"/>
      <c r="L189" s="516" t="s">
        <v>613</v>
      </c>
      <c r="M189" s="517" t="s">
        <v>270</v>
      </c>
      <c r="N189" s="523" t="s">
        <v>585</v>
      </c>
      <c r="O189" s="523" t="s">
        <v>585</v>
      </c>
      <c r="P189" s="523" t="s">
        <v>585</v>
      </c>
      <c r="Q189" s="523" t="s">
        <v>585</v>
      </c>
      <c r="R189" s="523" t="s">
        <v>585</v>
      </c>
      <c r="S189" s="523" t="s">
        <v>585</v>
      </c>
      <c r="T189" s="518">
        <v>1</v>
      </c>
    </row>
    <row r="190" spans="2:20" ht="13.5" thickBot="1" x14ac:dyDescent="0.25">
      <c r="B190" s="622"/>
      <c r="C190" s="519" t="s">
        <v>17</v>
      </c>
      <c r="D190" s="526" t="s">
        <v>262</v>
      </c>
      <c r="E190" s="521">
        <v>8531</v>
      </c>
      <c r="F190" s="521">
        <v>7266</v>
      </c>
      <c r="G190" s="521">
        <v>8033</v>
      </c>
      <c r="H190" s="521">
        <v>7431</v>
      </c>
      <c r="I190" s="521">
        <v>28815</v>
      </c>
      <c r="J190" s="521">
        <v>6018</v>
      </c>
      <c r="K190" s="622"/>
      <c r="L190" s="519" t="s">
        <v>17</v>
      </c>
      <c r="M190" s="527" t="s">
        <v>262</v>
      </c>
      <c r="N190" s="521">
        <v>23094</v>
      </c>
      <c r="O190" s="521">
        <v>38220</v>
      </c>
      <c r="P190" s="521">
        <v>9004</v>
      </c>
      <c r="Q190" s="521">
        <v>9479</v>
      </c>
      <c r="R190" s="521">
        <v>7898</v>
      </c>
      <c r="S190" s="521">
        <v>5614</v>
      </c>
      <c r="T190" s="522">
        <v>159403</v>
      </c>
    </row>
    <row r="191" spans="2:20" ht="13.5" thickBot="1" x14ac:dyDescent="0.25">
      <c r="B191" s="498" t="s">
        <v>17</v>
      </c>
      <c r="C191" s="498" t="s">
        <v>262</v>
      </c>
      <c r="D191" s="499"/>
      <c r="E191" s="502">
        <v>1822228</v>
      </c>
      <c r="F191" s="502">
        <v>1589870</v>
      </c>
      <c r="G191" s="502">
        <v>2098867</v>
      </c>
      <c r="H191" s="502">
        <v>2861838</v>
      </c>
      <c r="I191" s="502">
        <v>3906044</v>
      </c>
      <c r="J191" s="502">
        <v>4834292</v>
      </c>
      <c r="K191" s="498" t="s">
        <v>17</v>
      </c>
      <c r="L191" s="498" t="s">
        <v>262</v>
      </c>
      <c r="M191" s="505"/>
      <c r="N191" s="502">
        <v>5780093</v>
      </c>
      <c r="O191" s="502">
        <v>7113424</v>
      </c>
      <c r="P191" s="502">
        <v>5726755</v>
      </c>
      <c r="Q191" s="502">
        <v>4901169</v>
      </c>
      <c r="R191" s="502">
        <v>2519944</v>
      </c>
      <c r="S191" s="502">
        <v>1950592</v>
      </c>
      <c r="T191" s="502">
        <v>45105116</v>
      </c>
    </row>
    <row r="192" spans="2:20" ht="13.5" thickBot="1" x14ac:dyDescent="0.25">
      <c r="B192" s="507" t="s">
        <v>294</v>
      </c>
      <c r="C192" s="507" t="s">
        <v>0</v>
      </c>
      <c r="D192" s="508" t="s">
        <v>0</v>
      </c>
      <c r="E192" s="528">
        <v>4.0399585714401001</v>
      </c>
      <c r="F192" s="528">
        <v>3.524810799732784</v>
      </c>
      <c r="G192" s="528">
        <v>4.6532792422039222</v>
      </c>
      <c r="H192" s="528">
        <v>6.3448190666442361</v>
      </c>
      <c r="I192" s="528">
        <v>8.6598690933418734</v>
      </c>
      <c r="J192" s="528">
        <v>10.717835200778556</v>
      </c>
      <c r="K192" s="507" t="s">
        <v>294</v>
      </c>
      <c r="L192" s="507" t="s">
        <v>0</v>
      </c>
      <c r="M192" s="529" t="s">
        <v>0</v>
      </c>
      <c r="N192" s="528">
        <v>12.81471707111894</v>
      </c>
      <c r="O192" s="528">
        <v>15.770769772546423</v>
      </c>
      <c r="P192" s="528">
        <v>12.696464409935228</v>
      </c>
      <c r="Q192" s="528">
        <v>10.8661044126347</v>
      </c>
      <c r="R192" s="528">
        <v>5.5868252284286335</v>
      </c>
      <c r="S192" s="528">
        <v>4.324547131194608</v>
      </c>
      <c r="T192" s="528">
        <v>100</v>
      </c>
    </row>
  </sheetData>
  <mergeCells count="120">
    <mergeCell ref="D30:D32"/>
    <mergeCell ref="B14:B21"/>
    <mergeCell ref="D14:D15"/>
    <mergeCell ref="K14:K21"/>
    <mergeCell ref="M14:M15"/>
    <mergeCell ref="D16:D17"/>
    <mergeCell ref="M16:M17"/>
    <mergeCell ref="D18:D20"/>
    <mergeCell ref="N3:S3"/>
    <mergeCell ref="M18:M20"/>
    <mergeCell ref="B22:B25"/>
    <mergeCell ref="K22:K25"/>
    <mergeCell ref="K30:K34"/>
    <mergeCell ref="M30:M32"/>
    <mergeCell ref="B26:B29"/>
    <mergeCell ref="D26:D28"/>
    <mergeCell ref="K26:K29"/>
    <mergeCell ref="M26:M28"/>
    <mergeCell ref="B30:B34"/>
    <mergeCell ref="B1:J1"/>
    <mergeCell ref="K1:T1"/>
    <mergeCell ref="K4:M4"/>
    <mergeCell ref="B5:B9"/>
    <mergeCell ref="K5:K9"/>
    <mergeCell ref="D7:D8"/>
    <mergeCell ref="B4:D4"/>
    <mergeCell ref="M7:M8"/>
    <mergeCell ref="E3:J3"/>
    <mergeCell ref="B49:B54"/>
    <mergeCell ref="D49:D52"/>
    <mergeCell ref="K49:K54"/>
    <mergeCell ref="M49:M52"/>
    <mergeCell ref="B59:B61"/>
    <mergeCell ref="K59:K61"/>
    <mergeCell ref="B36:B38"/>
    <mergeCell ref="K36:K38"/>
    <mergeCell ref="B39:B46"/>
    <mergeCell ref="D39:D41"/>
    <mergeCell ref="K39:K46"/>
    <mergeCell ref="M39:M41"/>
    <mergeCell ref="D43:D45"/>
    <mergeCell ref="M43:M45"/>
    <mergeCell ref="B63:B65"/>
    <mergeCell ref="D63:D64"/>
    <mergeCell ref="K63:K65"/>
    <mergeCell ref="M63:M64"/>
    <mergeCell ref="B66:B80"/>
    <mergeCell ref="D66:D68"/>
    <mergeCell ref="K66:K80"/>
    <mergeCell ref="M66:M68"/>
    <mergeCell ref="D70:D71"/>
    <mergeCell ref="M70:M71"/>
    <mergeCell ref="D75:D77"/>
    <mergeCell ref="M75:M77"/>
    <mergeCell ref="B82:B89"/>
    <mergeCell ref="D82:D88"/>
    <mergeCell ref="K82:K89"/>
    <mergeCell ref="M82:M88"/>
    <mergeCell ref="B90:B101"/>
    <mergeCell ref="D90:D91"/>
    <mergeCell ref="K90:K101"/>
    <mergeCell ref="M90:M91"/>
    <mergeCell ref="D93:D94"/>
    <mergeCell ref="M93:M94"/>
    <mergeCell ref="D95:D96"/>
    <mergeCell ref="M95:M96"/>
    <mergeCell ref="D97:D100"/>
    <mergeCell ref="M97:M100"/>
    <mergeCell ref="B102:B109"/>
    <mergeCell ref="D102:D104"/>
    <mergeCell ref="K102:K109"/>
    <mergeCell ref="M102:M104"/>
    <mergeCell ref="D106:D108"/>
    <mergeCell ref="M106:M108"/>
    <mergeCell ref="B110:B112"/>
    <mergeCell ref="K110:K112"/>
    <mergeCell ref="B113:B115"/>
    <mergeCell ref="K113:K115"/>
    <mergeCell ref="B117:B119"/>
    <mergeCell ref="K117:K119"/>
    <mergeCell ref="B120:B122"/>
    <mergeCell ref="K120:K122"/>
    <mergeCell ref="B128:B141"/>
    <mergeCell ref="D128:D131"/>
    <mergeCell ref="K128:K141"/>
    <mergeCell ref="M128:M131"/>
    <mergeCell ref="D132:D133"/>
    <mergeCell ref="M132:M133"/>
    <mergeCell ref="D134:D140"/>
    <mergeCell ref="M134:M140"/>
    <mergeCell ref="B144:B147"/>
    <mergeCell ref="K144:K147"/>
    <mergeCell ref="B150:B154"/>
    <mergeCell ref="D150:D152"/>
    <mergeCell ref="K150:K154"/>
    <mergeCell ref="M150:M152"/>
    <mergeCell ref="B155:B157"/>
    <mergeCell ref="K155:K157"/>
    <mergeCell ref="B159:B162"/>
    <mergeCell ref="K159:K162"/>
    <mergeCell ref="D160:D161"/>
    <mergeCell ref="M160:M161"/>
    <mergeCell ref="B163:B165"/>
    <mergeCell ref="K163:K165"/>
    <mergeCell ref="B166:B168"/>
    <mergeCell ref="K166:K168"/>
    <mergeCell ref="B170:B173"/>
    <mergeCell ref="K170:K173"/>
    <mergeCell ref="B174:B178"/>
    <mergeCell ref="D174:D176"/>
    <mergeCell ref="K174:K178"/>
    <mergeCell ref="M174:M176"/>
    <mergeCell ref="B181:B183"/>
    <mergeCell ref="D181:D182"/>
    <mergeCell ref="K181:K183"/>
    <mergeCell ref="M181:M182"/>
    <mergeCell ref="B184:B186"/>
    <mergeCell ref="K184:K186"/>
    <mergeCell ref="B188:B190"/>
    <mergeCell ref="K188:K190"/>
  </mergeCells>
  <printOptions horizontalCentered="1"/>
  <pageMargins left="0.35433070866141736" right="0.35433070866141736" top="0.74803149606299213" bottom="0.15748031496062992" header="0.15748031496062992" footer="0.15748031496062992"/>
  <pageSetup scale="75" pageOrder="overThenDown" orientation="portrait" r:id="rId1"/>
  <headerFooter alignWithMargins="0"/>
  <rowBreaks count="2" manualBreakCount="2">
    <brk id="65" min="1" max="19" man="1"/>
    <brk id="127" min="1" max="19" man="1"/>
  </rowBreaks>
  <colBreaks count="1" manualBreakCount="1">
    <brk id="10" max="19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view="pageBreakPreview" zoomScaleNormal="100" zoomScaleSheetLayoutView="100" workbookViewId="0">
      <selection activeCell="F8" sqref="F8"/>
    </sheetView>
  </sheetViews>
  <sheetFormatPr defaultRowHeight="12.75" x14ac:dyDescent="0.2"/>
  <cols>
    <col min="1" max="1" width="107" style="147" customWidth="1"/>
    <col min="2" max="16384" width="9.140625" style="147"/>
  </cols>
  <sheetData>
    <row r="1" spans="1:1" x14ac:dyDescent="0.2">
      <c r="A1" s="550" t="s">
        <v>563</v>
      </c>
    </row>
    <row r="2" spans="1:1" x14ac:dyDescent="0.2">
      <c r="A2" s="550"/>
    </row>
    <row r="3" spans="1:1" ht="15" x14ac:dyDescent="0.2">
      <c r="A3" s="182"/>
    </row>
    <row r="4" spans="1:1" ht="56.25" x14ac:dyDescent="0.2">
      <c r="A4" s="183" t="s">
        <v>719</v>
      </c>
    </row>
    <row r="5" spans="1:1" ht="18.75" x14ac:dyDescent="0.2">
      <c r="A5" s="185"/>
    </row>
    <row r="6" spans="1:1" ht="37.5" x14ac:dyDescent="0.2">
      <c r="A6" s="183" t="s">
        <v>564</v>
      </c>
    </row>
    <row r="7" spans="1:1" ht="18.75" x14ac:dyDescent="0.2">
      <c r="A7" s="185"/>
    </row>
    <row r="8" spans="1:1" ht="54.75" customHeight="1" x14ac:dyDescent="0.2">
      <c r="A8" s="183" t="s">
        <v>565</v>
      </c>
    </row>
    <row r="9" spans="1:1" ht="18.75" x14ac:dyDescent="0.2">
      <c r="A9" s="185"/>
    </row>
    <row r="10" spans="1:1" ht="37.5" x14ac:dyDescent="0.2">
      <c r="A10" s="183" t="s">
        <v>720</v>
      </c>
    </row>
    <row r="11" spans="1:1" ht="15" x14ac:dyDescent="0.2">
      <c r="A11" s="182"/>
    </row>
    <row r="12" spans="1:1" ht="15" x14ac:dyDescent="0.2">
      <c r="A12" s="182"/>
    </row>
    <row r="13" spans="1:1" ht="15" x14ac:dyDescent="0.2">
      <c r="A13" s="182"/>
    </row>
    <row r="14" spans="1:1" ht="14.25" x14ac:dyDescent="0.2">
      <c r="A14" s="184"/>
    </row>
    <row r="15" spans="1:1" ht="14.25" x14ac:dyDescent="0.2">
      <c r="A15" s="186" t="s">
        <v>566</v>
      </c>
    </row>
    <row r="16" spans="1:1" x14ac:dyDescent="0.2">
      <c r="A16" s="187"/>
    </row>
    <row r="17" spans="1:1" x14ac:dyDescent="0.2">
      <c r="A17" s="187"/>
    </row>
    <row r="18" spans="1:1" x14ac:dyDescent="0.2">
      <c r="A18" s="187"/>
    </row>
  </sheetData>
  <mergeCells count="1">
    <mergeCell ref="A1:A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100" zoomScaleSheetLayoutView="100" workbookViewId="0">
      <selection activeCell="C2" sqref="C2"/>
    </sheetView>
  </sheetViews>
  <sheetFormatPr defaultRowHeight="12.75" x14ac:dyDescent="0.2"/>
  <cols>
    <col min="1" max="1" width="87.42578125" style="147" customWidth="1"/>
    <col min="2" max="2" width="9.140625" style="147" hidden="1" customWidth="1"/>
    <col min="3" max="16384" width="9.140625" style="147"/>
  </cols>
  <sheetData>
    <row r="1" spans="1:2" ht="20.25" x14ac:dyDescent="0.2">
      <c r="A1" s="188" t="s">
        <v>567</v>
      </c>
      <c r="B1" s="35"/>
    </row>
    <row r="2" spans="1:2" ht="15.75" x14ac:dyDescent="0.2">
      <c r="A2" s="189"/>
      <c r="B2" s="35"/>
    </row>
    <row r="3" spans="1:2" ht="15.75" x14ac:dyDescent="0.2">
      <c r="A3" s="190" t="s">
        <v>568</v>
      </c>
      <c r="B3" s="35"/>
    </row>
    <row r="4" spans="1:2" ht="15.75" x14ac:dyDescent="0.2">
      <c r="A4" s="189"/>
      <c r="B4" s="35"/>
    </row>
    <row r="5" spans="1:2" ht="31.5" x14ac:dyDescent="0.2">
      <c r="A5" s="191" t="s">
        <v>569</v>
      </c>
      <c r="B5" s="35"/>
    </row>
    <row r="6" spans="1:2" ht="15.75" x14ac:dyDescent="0.2">
      <c r="A6" s="189"/>
      <c r="B6" s="35"/>
    </row>
    <row r="7" spans="1:2" ht="15.75" x14ac:dyDescent="0.2">
      <c r="A7" s="190" t="s">
        <v>570</v>
      </c>
      <c r="B7" s="35"/>
    </row>
    <row r="8" spans="1:2" ht="15.75" x14ac:dyDescent="0.2">
      <c r="A8" s="189"/>
      <c r="B8" s="35"/>
    </row>
    <row r="9" spans="1:2" ht="31.5" x14ac:dyDescent="0.2">
      <c r="A9" s="191" t="s">
        <v>571</v>
      </c>
      <c r="B9" s="35"/>
    </row>
    <row r="10" spans="1:2" ht="15.75" x14ac:dyDescent="0.2">
      <c r="A10" s="189"/>
      <c r="B10" s="35"/>
    </row>
    <row r="11" spans="1:2" ht="15.75" x14ac:dyDescent="0.2">
      <c r="A11" s="190" t="s">
        <v>572</v>
      </c>
      <c r="B11" s="35"/>
    </row>
    <row r="12" spans="1:2" ht="15.75" x14ac:dyDescent="0.2">
      <c r="A12" s="189"/>
      <c r="B12" s="35"/>
    </row>
    <row r="13" spans="1:2" ht="31.5" x14ac:dyDescent="0.2">
      <c r="A13" s="191" t="s">
        <v>573</v>
      </c>
      <c r="B13" s="35"/>
    </row>
    <row r="14" spans="1:2" ht="15.75" x14ac:dyDescent="0.2">
      <c r="A14" s="189"/>
      <c r="B14" s="35"/>
    </row>
    <row r="15" spans="1:2" ht="15.75" x14ac:dyDescent="0.2">
      <c r="A15" s="190" t="s">
        <v>574</v>
      </c>
      <c r="B15" s="35"/>
    </row>
    <row r="16" spans="1:2" ht="6" customHeight="1" x14ac:dyDescent="0.2">
      <c r="A16" s="189"/>
      <c r="B16" s="35"/>
    </row>
    <row r="17" spans="1:5" ht="26.25" customHeight="1" x14ac:dyDescent="0.2">
      <c r="A17" s="191" t="s">
        <v>586</v>
      </c>
      <c r="B17" s="35"/>
    </row>
    <row r="18" spans="1:5" ht="36.75" customHeight="1" x14ac:dyDescent="0.2">
      <c r="A18" s="191" t="s">
        <v>575</v>
      </c>
      <c r="B18" s="35"/>
      <c r="E18" s="149"/>
    </row>
    <row r="19" spans="1:5" ht="21" customHeight="1" x14ac:dyDescent="0.2">
      <c r="A19" s="191" t="s">
        <v>576</v>
      </c>
      <c r="B19" s="35"/>
    </row>
    <row r="20" spans="1:5" ht="15.75" x14ac:dyDescent="0.2">
      <c r="A20" s="191" t="s">
        <v>577</v>
      </c>
      <c r="B20" s="35"/>
    </row>
    <row r="21" spans="1:5" ht="15.75" x14ac:dyDescent="0.2">
      <c r="A21" s="189"/>
      <c r="B21" s="35"/>
    </row>
    <row r="22" spans="1:5" ht="15.75" x14ac:dyDescent="0.2">
      <c r="A22" s="190" t="s">
        <v>578</v>
      </c>
      <c r="B22" s="35"/>
    </row>
    <row r="23" spans="1:5" ht="15.75" x14ac:dyDescent="0.2">
      <c r="A23" s="189"/>
      <c r="B23" s="35"/>
    </row>
    <row r="24" spans="1:5" ht="15.75" x14ac:dyDescent="0.2">
      <c r="A24" s="189" t="s">
        <v>579</v>
      </c>
      <c r="B24" s="192" t="s">
        <v>580</v>
      </c>
    </row>
    <row r="25" spans="1:5" ht="15.75" x14ac:dyDescent="0.2">
      <c r="A25" s="189" t="s">
        <v>581</v>
      </c>
      <c r="B25" s="192" t="s">
        <v>582</v>
      </c>
    </row>
    <row r="26" spans="1:5" ht="15.75" x14ac:dyDescent="0.2">
      <c r="A26" s="189"/>
      <c r="B26" s="35"/>
    </row>
    <row r="27" spans="1:5" ht="15.75" x14ac:dyDescent="0.2">
      <c r="A27" s="190" t="s">
        <v>583</v>
      </c>
      <c r="B27" s="35"/>
    </row>
    <row r="28" spans="1:5" ht="15.75" x14ac:dyDescent="0.2">
      <c r="A28" s="189"/>
      <c r="B28" s="35"/>
    </row>
    <row r="29" spans="1:5" ht="15.75" x14ac:dyDescent="0.2">
      <c r="A29" s="189" t="s">
        <v>584</v>
      </c>
      <c r="B29" s="35"/>
    </row>
  </sheetData>
  <pageMargins left="0.79"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workbookViewId="0">
      <selection activeCell="Q1" sqref="Q1"/>
    </sheetView>
  </sheetViews>
  <sheetFormatPr defaultColWidth="9.140625" defaultRowHeight="12.75" x14ac:dyDescent="0.2"/>
  <cols>
    <col min="1" max="1" width="4" customWidth="1"/>
    <col min="16" max="16" width="1.5703125" customWidth="1"/>
  </cols>
  <sheetData>
    <row r="1" spans="1:21" ht="23.1" customHeight="1" x14ac:dyDescent="0.2">
      <c r="B1" s="552" t="s">
        <v>587</v>
      </c>
      <c r="C1" s="552"/>
      <c r="D1" s="552"/>
      <c r="E1" s="552"/>
      <c r="F1" s="552"/>
      <c r="G1" s="552"/>
      <c r="H1" s="552"/>
      <c r="I1" s="552"/>
      <c r="J1" s="552"/>
      <c r="K1" s="552"/>
      <c r="L1" s="552"/>
      <c r="M1" s="552"/>
      <c r="N1" s="552"/>
      <c r="O1" s="552"/>
      <c r="P1" s="552"/>
      <c r="Q1" s="226"/>
      <c r="R1" s="226"/>
      <c r="S1" s="226"/>
      <c r="T1" s="226"/>
      <c r="U1" s="226"/>
    </row>
    <row r="2" spans="1:21" ht="23.1" customHeight="1" x14ac:dyDescent="0.2">
      <c r="A2" s="6">
        <v>1</v>
      </c>
      <c r="B2" s="551" t="s">
        <v>623</v>
      </c>
      <c r="C2" s="551"/>
      <c r="D2" s="551"/>
      <c r="E2" s="551"/>
      <c r="F2" s="551"/>
      <c r="G2" s="551"/>
      <c r="H2" s="551"/>
      <c r="I2" s="551"/>
      <c r="J2" s="551"/>
      <c r="K2" s="551"/>
      <c r="L2" s="551"/>
      <c r="M2" s="551"/>
      <c r="N2" s="551"/>
      <c r="O2" s="551"/>
      <c r="P2" s="551"/>
      <c r="Q2" s="227"/>
      <c r="R2" s="227"/>
      <c r="S2" s="227"/>
      <c r="T2" s="227"/>
      <c r="U2" s="227"/>
    </row>
    <row r="3" spans="1:21" ht="23.1" customHeight="1" x14ac:dyDescent="0.2">
      <c r="A3" s="6">
        <v>2</v>
      </c>
      <c r="B3" s="551" t="s">
        <v>624</v>
      </c>
      <c r="C3" s="551"/>
      <c r="D3" s="551"/>
      <c r="E3" s="551"/>
      <c r="F3" s="551"/>
      <c r="G3" s="551"/>
      <c r="H3" s="551"/>
      <c r="I3" s="551"/>
      <c r="J3" s="551"/>
      <c r="K3" s="551"/>
      <c r="L3" s="551"/>
      <c r="M3" s="551"/>
      <c r="N3" s="551"/>
      <c r="O3" s="551"/>
      <c r="P3" s="551"/>
      <c r="Q3" s="227"/>
      <c r="R3" s="227"/>
      <c r="S3" s="227"/>
      <c r="T3" s="227"/>
      <c r="U3" s="227"/>
    </row>
    <row r="4" spans="1:21" ht="23.1" customHeight="1" x14ac:dyDescent="0.2">
      <c r="A4" s="6">
        <v>3</v>
      </c>
      <c r="B4" s="551" t="s">
        <v>709</v>
      </c>
      <c r="C4" s="551"/>
      <c r="D4" s="551"/>
      <c r="E4" s="551"/>
      <c r="F4" s="551"/>
      <c r="G4" s="551"/>
      <c r="H4" s="551"/>
      <c r="I4" s="551"/>
      <c r="J4" s="551"/>
      <c r="K4" s="551"/>
      <c r="L4" s="551"/>
      <c r="M4" s="551"/>
      <c r="N4" s="551"/>
      <c r="O4" s="551"/>
      <c r="P4" s="551"/>
      <c r="Q4" s="227"/>
      <c r="R4" s="227"/>
      <c r="S4" s="227"/>
      <c r="T4" s="227"/>
      <c r="U4" s="227"/>
    </row>
    <row r="5" spans="1:21" ht="23.1" customHeight="1" x14ac:dyDescent="0.2">
      <c r="A5" s="6">
        <v>4</v>
      </c>
      <c r="B5" s="551" t="s">
        <v>721</v>
      </c>
      <c r="C5" s="551"/>
      <c r="D5" s="551"/>
      <c r="E5" s="551"/>
      <c r="F5" s="551"/>
      <c r="G5" s="551"/>
      <c r="H5" s="551"/>
      <c r="I5" s="551"/>
      <c r="J5" s="551"/>
      <c r="K5" s="551"/>
      <c r="L5" s="551"/>
      <c r="M5" s="551"/>
      <c r="N5" s="551"/>
      <c r="O5" s="551"/>
      <c r="P5" s="551"/>
      <c r="Q5" s="227"/>
      <c r="R5" s="227"/>
      <c r="S5" s="227"/>
      <c r="T5" s="227"/>
      <c r="U5" s="227"/>
    </row>
    <row r="6" spans="1:21" ht="23.1" customHeight="1" x14ac:dyDescent="0.2">
      <c r="A6" s="6">
        <v>5</v>
      </c>
      <c r="B6" s="551" t="s">
        <v>722</v>
      </c>
      <c r="C6" s="551"/>
      <c r="D6" s="551"/>
      <c r="E6" s="551"/>
      <c r="F6" s="551"/>
      <c r="G6" s="551"/>
      <c r="H6" s="551"/>
      <c r="I6" s="551"/>
      <c r="J6" s="551"/>
      <c r="K6" s="551"/>
      <c r="L6" s="551"/>
      <c r="M6" s="551"/>
      <c r="N6" s="551"/>
      <c r="O6" s="551"/>
      <c r="P6" s="551"/>
      <c r="Q6" s="227"/>
      <c r="R6" s="227"/>
      <c r="S6" s="227"/>
      <c r="T6" s="227"/>
      <c r="U6" s="227"/>
    </row>
    <row r="7" spans="1:21" ht="23.1" customHeight="1" x14ac:dyDescent="0.2">
      <c r="A7" s="6">
        <v>6</v>
      </c>
      <c r="B7" s="551" t="s">
        <v>710</v>
      </c>
      <c r="C7" s="551"/>
      <c r="D7" s="551"/>
      <c r="E7" s="551"/>
      <c r="F7" s="551"/>
      <c r="G7" s="551"/>
      <c r="H7" s="551"/>
      <c r="I7" s="551"/>
      <c r="J7" s="551"/>
      <c r="K7" s="551"/>
      <c r="L7" s="551"/>
      <c r="M7" s="551"/>
      <c r="N7" s="551"/>
      <c r="O7" s="551"/>
      <c r="P7" s="551"/>
      <c r="Q7" s="227"/>
      <c r="R7" s="227"/>
      <c r="S7" s="227"/>
      <c r="T7" s="227"/>
      <c r="U7" s="227"/>
    </row>
    <row r="8" spans="1:21" ht="23.1" customHeight="1" x14ac:dyDescent="0.2">
      <c r="A8" s="6">
        <v>7</v>
      </c>
      <c r="B8" s="551" t="s">
        <v>711</v>
      </c>
      <c r="C8" s="551"/>
      <c r="D8" s="551"/>
      <c r="E8" s="551"/>
      <c r="F8" s="551"/>
      <c r="G8" s="551"/>
      <c r="H8" s="551"/>
      <c r="I8" s="551"/>
      <c r="J8" s="551"/>
      <c r="K8" s="551"/>
      <c r="L8" s="551"/>
      <c r="M8" s="551"/>
      <c r="N8" s="551"/>
      <c r="O8" s="551"/>
      <c r="P8" s="551"/>
      <c r="Q8" s="227"/>
      <c r="R8" s="227"/>
      <c r="S8" s="227"/>
      <c r="T8" s="227"/>
      <c r="U8" s="227"/>
    </row>
    <row r="9" spans="1:21" ht="23.1" customHeight="1" x14ac:dyDescent="0.2">
      <c r="A9" s="6">
        <v>8</v>
      </c>
      <c r="B9" s="551" t="s">
        <v>723</v>
      </c>
      <c r="C9" s="551"/>
      <c r="D9" s="551"/>
      <c r="E9" s="551"/>
      <c r="F9" s="551"/>
      <c r="G9" s="551"/>
      <c r="H9" s="551"/>
      <c r="I9" s="551"/>
      <c r="J9" s="551"/>
      <c r="K9" s="551"/>
      <c r="L9" s="551"/>
      <c r="M9" s="551"/>
      <c r="N9" s="551"/>
      <c r="O9" s="551"/>
      <c r="P9" s="551"/>
      <c r="Q9" s="227"/>
      <c r="R9" s="227"/>
      <c r="S9" s="227"/>
      <c r="T9" s="227"/>
      <c r="U9" s="227"/>
    </row>
    <row r="10" spans="1:21" ht="23.1" customHeight="1" x14ac:dyDescent="0.2">
      <c r="A10" s="6">
        <v>9</v>
      </c>
      <c r="B10" s="551" t="s">
        <v>724</v>
      </c>
      <c r="C10" s="551"/>
      <c r="D10" s="551"/>
      <c r="E10" s="551"/>
      <c r="F10" s="551"/>
      <c r="G10" s="551"/>
      <c r="H10" s="551"/>
      <c r="I10" s="551"/>
      <c r="J10" s="551"/>
      <c r="K10" s="551"/>
      <c r="L10" s="551"/>
      <c r="M10" s="551"/>
      <c r="N10" s="551"/>
      <c r="O10" s="551"/>
      <c r="P10" s="551"/>
      <c r="Q10" s="227"/>
      <c r="R10" s="227"/>
      <c r="S10" s="227"/>
      <c r="T10" s="227"/>
      <c r="U10" s="227"/>
    </row>
    <row r="11" spans="1:21" ht="23.1" customHeight="1" x14ac:dyDescent="0.2">
      <c r="A11" s="6">
        <v>10</v>
      </c>
      <c r="B11" s="551" t="s">
        <v>630</v>
      </c>
      <c r="C11" s="551"/>
      <c r="D11" s="551"/>
      <c r="E11" s="551"/>
      <c r="F11" s="551"/>
      <c r="G11" s="551"/>
      <c r="H11" s="551"/>
      <c r="I11" s="551"/>
      <c r="J11" s="551"/>
      <c r="K11" s="551"/>
      <c r="L11" s="551"/>
      <c r="M11" s="551"/>
      <c r="N11" s="551"/>
      <c r="O11" s="551"/>
      <c r="P11" s="551"/>
      <c r="Q11" s="227"/>
      <c r="R11" s="227"/>
      <c r="S11" s="227"/>
      <c r="T11" s="227"/>
      <c r="U11" s="227"/>
    </row>
    <row r="12" spans="1:21" ht="23.1" customHeight="1" x14ac:dyDescent="0.2">
      <c r="A12" s="6">
        <v>11</v>
      </c>
      <c r="B12" s="551" t="s">
        <v>725</v>
      </c>
      <c r="C12" s="551"/>
      <c r="D12" s="551"/>
      <c r="E12" s="551"/>
      <c r="F12" s="551"/>
      <c r="G12" s="551"/>
      <c r="H12" s="551"/>
      <c r="I12" s="551"/>
      <c r="J12" s="551"/>
      <c r="K12" s="551"/>
      <c r="L12" s="551"/>
      <c r="M12" s="551"/>
      <c r="N12" s="551"/>
      <c r="O12" s="551"/>
      <c r="P12" s="551"/>
      <c r="Q12" s="227"/>
      <c r="R12" s="227"/>
      <c r="S12" s="227"/>
      <c r="T12" s="227"/>
      <c r="U12" s="227"/>
    </row>
    <row r="13" spans="1:21" ht="23.1" customHeight="1" x14ac:dyDescent="0.2">
      <c r="A13" s="6">
        <v>12</v>
      </c>
      <c r="B13" s="551" t="s">
        <v>632</v>
      </c>
      <c r="C13" s="551"/>
      <c r="D13" s="551"/>
      <c r="E13" s="551"/>
      <c r="F13" s="551"/>
      <c r="G13" s="551"/>
      <c r="H13" s="551"/>
      <c r="I13" s="551"/>
      <c r="J13" s="551"/>
      <c r="K13" s="551"/>
      <c r="L13" s="551"/>
      <c r="M13" s="551"/>
      <c r="N13" s="551"/>
      <c r="O13" s="551"/>
      <c r="P13" s="551"/>
      <c r="Q13" s="227"/>
      <c r="R13" s="227"/>
      <c r="S13" s="227"/>
      <c r="T13" s="227"/>
      <c r="U13" s="227"/>
    </row>
    <row r="14" spans="1:21" ht="23.1" customHeight="1" x14ac:dyDescent="0.2">
      <c r="A14" s="6">
        <v>13</v>
      </c>
      <c r="B14" s="551" t="s">
        <v>726</v>
      </c>
      <c r="C14" s="551"/>
      <c r="D14" s="551"/>
      <c r="E14" s="551"/>
      <c r="F14" s="551"/>
      <c r="G14" s="551"/>
      <c r="H14" s="551"/>
      <c r="I14" s="551"/>
      <c r="J14" s="551"/>
      <c r="K14" s="551"/>
      <c r="L14" s="551"/>
      <c r="M14" s="551"/>
      <c r="N14" s="551"/>
      <c r="O14" s="551"/>
      <c r="P14" s="551"/>
      <c r="Q14" s="227"/>
      <c r="R14" s="227"/>
      <c r="S14" s="227"/>
      <c r="T14" s="227"/>
      <c r="U14" s="227"/>
    </row>
    <row r="15" spans="1:21" ht="23.1" customHeight="1" x14ac:dyDescent="0.2">
      <c r="A15" s="6">
        <v>14</v>
      </c>
      <c r="B15" s="551" t="s">
        <v>716</v>
      </c>
      <c r="C15" s="551"/>
      <c r="D15" s="551"/>
      <c r="E15" s="551"/>
      <c r="F15" s="551"/>
      <c r="G15" s="551"/>
      <c r="H15" s="551"/>
      <c r="I15" s="551"/>
      <c r="J15" s="551"/>
      <c r="K15" s="551"/>
      <c r="L15" s="551"/>
      <c r="M15" s="551"/>
      <c r="N15" s="551"/>
      <c r="O15" s="551"/>
      <c r="P15" s="551"/>
      <c r="Q15" s="227"/>
      <c r="R15" s="227"/>
      <c r="S15" s="227"/>
      <c r="T15" s="227"/>
      <c r="U15" s="227"/>
    </row>
    <row r="16" spans="1:21" ht="23.1" customHeight="1" x14ac:dyDescent="0.2">
      <c r="A16" s="6">
        <v>15</v>
      </c>
      <c r="B16" s="551" t="s">
        <v>678</v>
      </c>
      <c r="C16" s="551"/>
      <c r="D16" s="551"/>
      <c r="E16" s="551"/>
      <c r="F16" s="551"/>
      <c r="G16" s="551"/>
      <c r="H16" s="551"/>
      <c r="I16" s="551"/>
      <c r="J16" s="551"/>
      <c r="K16" s="551"/>
      <c r="L16" s="551"/>
      <c r="M16" s="551"/>
      <c r="N16" s="551"/>
      <c r="O16" s="551"/>
      <c r="P16" s="551"/>
      <c r="Q16" s="227"/>
      <c r="R16" s="227"/>
      <c r="S16" s="227"/>
      <c r="T16" s="227"/>
      <c r="U16" s="227"/>
    </row>
    <row r="17" spans="1:21" ht="23.1" customHeight="1" x14ac:dyDescent="0.2">
      <c r="A17" s="6">
        <v>16</v>
      </c>
      <c r="B17" s="551" t="s">
        <v>679</v>
      </c>
      <c r="C17" s="551"/>
      <c r="D17" s="551"/>
      <c r="E17" s="551"/>
      <c r="F17" s="551"/>
      <c r="G17" s="551"/>
      <c r="H17" s="551"/>
      <c r="I17" s="551"/>
      <c r="J17" s="551"/>
      <c r="K17" s="551"/>
      <c r="L17" s="551"/>
      <c r="M17" s="551"/>
      <c r="N17" s="551"/>
      <c r="O17" s="551"/>
      <c r="P17" s="551"/>
      <c r="Q17" s="227"/>
      <c r="R17" s="227"/>
      <c r="S17" s="227"/>
      <c r="T17" s="227"/>
      <c r="U17" s="227"/>
    </row>
    <row r="18" spans="1:21" ht="23.1" customHeight="1" x14ac:dyDescent="0.2">
      <c r="A18" s="6">
        <v>17</v>
      </c>
      <c r="B18" s="551" t="s">
        <v>701</v>
      </c>
      <c r="C18" s="551"/>
      <c r="D18" s="551"/>
      <c r="E18" s="551"/>
      <c r="F18" s="551"/>
      <c r="G18" s="551"/>
      <c r="H18" s="551"/>
      <c r="I18" s="551"/>
      <c r="J18" s="551"/>
      <c r="K18" s="551"/>
      <c r="L18" s="551"/>
      <c r="M18" s="551"/>
      <c r="N18" s="551"/>
      <c r="O18" s="551"/>
      <c r="P18" s="551"/>
      <c r="Q18" s="227"/>
      <c r="R18" s="227"/>
      <c r="S18" s="227"/>
      <c r="T18" s="227"/>
      <c r="U18" s="227"/>
    </row>
    <row r="19" spans="1:21" ht="23.1" customHeight="1" x14ac:dyDescent="0.2">
      <c r="A19" s="6">
        <v>18</v>
      </c>
      <c r="B19" s="551" t="s">
        <v>702</v>
      </c>
      <c r="C19" s="551"/>
      <c r="D19" s="551"/>
      <c r="E19" s="551"/>
      <c r="F19" s="551"/>
      <c r="G19" s="551"/>
      <c r="H19" s="551"/>
      <c r="I19" s="551"/>
      <c r="J19" s="551"/>
      <c r="K19" s="551"/>
      <c r="L19" s="551"/>
      <c r="M19" s="551"/>
      <c r="N19" s="551"/>
      <c r="O19" s="551"/>
      <c r="P19" s="551"/>
      <c r="Q19" s="227"/>
      <c r="R19" s="227"/>
      <c r="S19" s="227"/>
      <c r="T19" s="227"/>
      <c r="U19" s="227"/>
    </row>
    <row r="20" spans="1:21" ht="23.1" customHeight="1" x14ac:dyDescent="0.2">
      <c r="A20" s="6">
        <v>19</v>
      </c>
      <c r="B20" s="551" t="s">
        <v>703</v>
      </c>
      <c r="C20" s="551"/>
      <c r="D20" s="551"/>
      <c r="E20" s="551"/>
      <c r="F20" s="551"/>
      <c r="G20" s="551"/>
      <c r="H20" s="551"/>
      <c r="I20" s="551"/>
      <c r="J20" s="551"/>
      <c r="K20" s="551"/>
      <c r="L20" s="551"/>
      <c r="M20" s="551"/>
      <c r="N20" s="551"/>
      <c r="O20" s="551"/>
      <c r="P20" s="551"/>
      <c r="Q20" s="227"/>
      <c r="R20" s="227"/>
      <c r="S20" s="227"/>
      <c r="T20" s="227"/>
      <c r="U20" s="227"/>
    </row>
    <row r="21" spans="1:21" ht="23.1" customHeight="1" x14ac:dyDescent="0.2">
      <c r="A21" s="6">
        <v>20</v>
      </c>
      <c r="B21" s="551" t="s">
        <v>704</v>
      </c>
      <c r="C21" s="551"/>
      <c r="D21" s="551"/>
      <c r="E21" s="551"/>
      <c r="F21" s="551"/>
      <c r="G21" s="551"/>
      <c r="H21" s="551"/>
      <c r="I21" s="551"/>
      <c r="J21" s="551"/>
      <c r="K21" s="551"/>
      <c r="L21" s="551"/>
      <c r="M21" s="551"/>
      <c r="N21" s="551"/>
      <c r="O21" s="551"/>
      <c r="P21" s="551"/>
      <c r="Q21" s="227"/>
      <c r="R21" s="227"/>
      <c r="S21" s="227"/>
      <c r="T21" s="227"/>
      <c r="U21" s="227"/>
    </row>
    <row r="22" spans="1:21" ht="23.1" customHeight="1" x14ac:dyDescent="0.2">
      <c r="A22" s="6">
        <v>21</v>
      </c>
      <c r="B22" s="551" t="s">
        <v>727</v>
      </c>
      <c r="C22" s="551"/>
      <c r="D22" s="551"/>
      <c r="E22" s="551"/>
      <c r="F22" s="551"/>
      <c r="G22" s="551"/>
      <c r="H22" s="551"/>
      <c r="I22" s="551"/>
      <c r="J22" s="551"/>
      <c r="K22" s="551"/>
      <c r="L22" s="551"/>
      <c r="M22" s="551"/>
      <c r="N22" s="551"/>
      <c r="O22" s="551"/>
      <c r="P22" s="551"/>
      <c r="Q22" s="227"/>
      <c r="R22" s="227"/>
      <c r="S22" s="227"/>
      <c r="T22" s="227"/>
      <c r="U22" s="227"/>
    </row>
    <row r="23" spans="1:21" ht="23.1" customHeight="1" x14ac:dyDescent="0.2">
      <c r="A23" s="6">
        <v>22</v>
      </c>
      <c r="B23" s="551" t="s">
        <v>705</v>
      </c>
      <c r="C23" s="551"/>
      <c r="D23" s="551"/>
      <c r="E23" s="551"/>
      <c r="F23" s="551"/>
      <c r="G23" s="551"/>
      <c r="H23" s="551"/>
      <c r="I23" s="551"/>
      <c r="J23" s="551"/>
      <c r="K23" s="551"/>
      <c r="L23" s="551"/>
      <c r="M23" s="551"/>
      <c r="N23" s="551"/>
      <c r="O23" s="551"/>
      <c r="P23" s="551"/>
      <c r="Q23" s="227"/>
      <c r="R23" s="227"/>
      <c r="S23" s="227"/>
      <c r="T23" s="227"/>
      <c r="U23" s="227"/>
    </row>
    <row r="24" spans="1:21" ht="23.1" customHeight="1" x14ac:dyDescent="0.2">
      <c r="A24" s="6">
        <v>23</v>
      </c>
      <c r="B24" s="551" t="s">
        <v>706</v>
      </c>
      <c r="C24" s="551"/>
      <c r="D24" s="551"/>
      <c r="E24" s="551"/>
      <c r="F24" s="551"/>
      <c r="G24" s="551"/>
      <c r="H24" s="551"/>
      <c r="I24" s="551"/>
      <c r="J24" s="551"/>
      <c r="K24" s="551"/>
      <c r="L24" s="551"/>
      <c r="M24" s="551"/>
      <c r="N24" s="551"/>
      <c r="O24" s="551"/>
      <c r="P24" s="551"/>
      <c r="Q24" s="227"/>
      <c r="R24" s="227"/>
      <c r="S24" s="227"/>
      <c r="T24" s="227"/>
      <c r="U24" s="227"/>
    </row>
    <row r="25" spans="1:21" ht="23.1" customHeight="1" x14ac:dyDescent="0.2">
      <c r="A25" s="6">
        <v>24</v>
      </c>
      <c r="B25" s="551" t="s">
        <v>707</v>
      </c>
      <c r="C25" s="551"/>
      <c r="D25" s="551"/>
      <c r="E25" s="551"/>
      <c r="F25" s="551"/>
      <c r="G25" s="551"/>
      <c r="H25" s="551"/>
      <c r="I25" s="551"/>
      <c r="J25" s="551"/>
      <c r="K25" s="551"/>
      <c r="L25" s="551"/>
      <c r="M25" s="551"/>
      <c r="N25" s="551"/>
      <c r="O25" s="551"/>
      <c r="P25" s="551"/>
      <c r="Q25" s="227"/>
      <c r="R25" s="227"/>
      <c r="S25" s="227"/>
      <c r="T25" s="227"/>
      <c r="U25" s="227"/>
    </row>
    <row r="26" spans="1:21" ht="23.1" customHeight="1" x14ac:dyDescent="0.2">
      <c r="A26" s="6">
        <v>25</v>
      </c>
      <c r="B26" s="551" t="s">
        <v>728</v>
      </c>
      <c r="C26" s="551"/>
      <c r="D26" s="551"/>
      <c r="E26" s="551"/>
      <c r="F26" s="551"/>
      <c r="G26" s="551"/>
      <c r="H26" s="551"/>
      <c r="I26" s="551"/>
      <c r="J26" s="551"/>
      <c r="K26" s="551"/>
      <c r="L26" s="551"/>
      <c r="M26" s="551"/>
      <c r="N26" s="551"/>
      <c r="O26" s="551"/>
      <c r="P26" s="551"/>
      <c r="Q26" s="228"/>
      <c r="R26" s="228"/>
      <c r="S26" s="228"/>
      <c r="T26" s="228"/>
      <c r="U26" s="228"/>
    </row>
  </sheetData>
  <mergeCells count="26">
    <mergeCell ref="B21:P21"/>
    <mergeCell ref="B26:P26"/>
    <mergeCell ref="B25:P25"/>
    <mergeCell ref="B24:P24"/>
    <mergeCell ref="B23:P23"/>
    <mergeCell ref="B22:P22"/>
    <mergeCell ref="B20:P20"/>
    <mergeCell ref="B19:P19"/>
    <mergeCell ref="B18:P18"/>
    <mergeCell ref="B17:P17"/>
    <mergeCell ref="B16:P16"/>
    <mergeCell ref="B15:P15"/>
    <mergeCell ref="B14:P14"/>
    <mergeCell ref="B13:P13"/>
    <mergeCell ref="B12:P12"/>
    <mergeCell ref="B11:P11"/>
    <mergeCell ref="B10:P10"/>
    <mergeCell ref="B9:P9"/>
    <mergeCell ref="B8:P8"/>
    <mergeCell ref="B7:P7"/>
    <mergeCell ref="B6:P6"/>
    <mergeCell ref="B5:P5"/>
    <mergeCell ref="B4:P4"/>
    <mergeCell ref="B3:P3"/>
    <mergeCell ref="B2:P2"/>
    <mergeCell ref="B1:P1"/>
  </mergeCells>
  <hyperlinks>
    <hyperlink ref="B2:C27" location="'Yıl-Aya Göre G. Ziyaretçi'!A1" display="A-TÜRKİYE'YE GELEN ZİYARETÇİLERİN YILLARA VE AYLARA GÖRE DAĞILIMI ( 2008 - 2017)"/>
    <hyperlink ref="B3:C28" location="'Yıl-Ay Göre Günübirlikçi'!A1" display="B-GÜNÜBİRLİKÇİLERİN YILLARA VE AYLARA GÖRE DAĞILIMI (2008 - 2017)"/>
    <hyperlink ref="B4:C29" location="'Mil Göre G.Yabancı'!A1" display="C-ÜLKEMİZE GELEN YABANCI ZİYARETÇİLERİN MİLLİYETLERİNE GÖRE DAĞILIMI (1998 - 2017)"/>
    <hyperlink ref="B5:C30" location="'G.Y.Ziyaretçi'!A1" display="TÜRKİYE'YE GELEN YABANCI ZİYARETÇİLER (2008-2017)"/>
    <hyperlink ref="B6:C31" location="'Ç.Y.Ziyaretçi'!A1" display="TÜRKİYE'DEN ÇIKAN YABANCI ZİYARETÇİLER (2008-2017)"/>
    <hyperlink ref="B7:C32" location="'Aya Göre G.Ziyaretçi'!A1" display="AYLARA GÖRE GELEN YABANCI ZİYARETÇİLER (2016-2017)"/>
    <hyperlink ref="B8:C33" location="'Aya Göre Günübirlikçi'!A1" display="AYLARA GÖRE GELEN YABANCI GÜNÜBİRLİKÇİLER (2016-2017)"/>
    <hyperlink ref="B9:C34" location="'Milliyete Göre G.Yabancı(İlk5)'!A1" display="MİLLİYETLERİNE GÖRE GELEN YABANCI ZİYARETÇİLER - 2016 - 2017 (İLK 5)"/>
    <hyperlink ref="B10:C35" location="'Yıl-Aya Göre G. Yabancı'!A1" display="1- TÜRKİYE'YE GELEN YABANCI ZİYARETÇİLERİN YILLARA VE AYLARA GÖRE DAĞILIMI - 2017"/>
    <hyperlink ref="B11:C36" location="'Mil-TaşıtA. Göre G.Yabancı'!A1" display="2- TÜRKİYE'YE GELEN YABANCI ZİYARETÇİLERİN MİLLİYETLERİNE VE TAŞIT ARAÇLARINA GÖRE DAĞILIMI - 2017"/>
    <hyperlink ref="B12:C37" location="'Ay-TaşıtA. Göre G.Yabancı'!A1" display="3- TÜRKİYE'YE GELEN YABANCI ZİYARETÇİLERİN AYLARA VE TAŞIT ARACINA GÖRE DAĞILIMI 2017"/>
    <hyperlink ref="B13:C38" location="'İl-TaşıtA. Göre G.Yabancı'!A1" display="4- TÜRKİYE'YE GELEN YABANCI ZİYARETÇİLERİN SINIR KAPILARININ BAĞLI OLDUĞU İLLERE VE TAŞIT ARAÇLARINA GÖRE DAĞILIMI - 2017"/>
    <hyperlink ref="B14:C39" location="'SınırK.-Ay Göre G.Yabancı'!A1" display="5- TÜRKİYE'YE GELEN YABANCI ZİYARETÇİLERİN SINIR KAPILARINA VE AYLARA GÖRE DAĞILIMI 2017"/>
    <hyperlink ref="B15:C40" location="'Mil-Yıl Göre G.Yabancı'!A1" display="6- 2015/2017 YILLARINDA ÜLKEMİZE GELEN YABANCI ZİYARETÇİLERİN MİLLİYETLERİNE GÖRE KARŞILAŞTIRILMASI"/>
    <hyperlink ref="B16:C41" location="'Mil-Ay Göre G.Yabancı'!A1" display="7- TÜRKİYE'YE GELEN YABANCI ZİYARETÇİLERİN MİLLİYETLERE VE AYLARA GÖRE DAĞILIMI - 2017"/>
    <hyperlink ref="B17:C42" location="'Mil-SınırK Göre G.Yabancı'!A1" display="8- TÜRKİYE'YE GELEN YABANCI ZİYARETÇİLERİN MİLLİYETLERİNE VE SINIR KAPILARINA GÖRE DAĞILIMI - 2017"/>
    <hyperlink ref="B18:C43" location="'Ay-Yıl Göre Y.Günübirlikçi'!A1" display="9- YABANCI GÜNÜBİRLİKÇİLERİN YILLARA VE AYLARA GÖRE DAĞILIMI - 2017"/>
    <hyperlink ref="B19:C44" location="'SınırK. Ay Göre Y.Günübirlikçi'!A1" display="10- TÜRKİYE'YE GELEN  YABANCI GÜNÜBİRLİKÇİLERİN SINIR KAPILARINA VE AYLARA GÖRE DAĞILIMI - 2017"/>
    <hyperlink ref="B20:C45" location="'GirişK-Ay Göre Y.Günübirlikçi'!A1" display="11- YABANCI GÜNÜBİRLİKÇİLERİN MİLLİYETLERE VE SINIR KAPILARINA GÖRE DAĞILIMI - 2017"/>
    <hyperlink ref="B21:C46" location="'SınırK.-Yıl Göre Y.Günübirlikçi'!A1" display="12- 2017 - 2017 YILLARINDA YABANCI GÜNÜBİRLİKÇİLERİN SINIR KAPILARINA VE YILLARA GÖRE KARŞILAŞTIRILMASI"/>
    <hyperlink ref="B22:C47" location="'Yıl-Ay Göre Ç.Ziyaretçi'!A1" display="13- TÜRKİYE'DEN ÇIKAN YABANCI ZİYARETÇİLERİN YILLARA VE AYLARA GÖRE DAĞILIMI - 2017"/>
    <hyperlink ref="B23:C48" location="'Mil-TaşıtA. Göre Ç.Yabancı'!A1" display="14- TÜRKİYE'DEN ÇIKAN YABANCI ZİYARETÇİLERİN MİLLİYETLERİNE VE TAŞIT ARAÇLARINA GÖRE DAĞILIMI - 2017"/>
    <hyperlink ref="B24:C49" location="'Ay-TaşıtA. Göre Ç Yabancı'!A1" display="15- TÜRKİYE'DEN ÇIKAN YABANCI ZİYARETÇİLERİN AYLARA VE TAŞIT ARAÇLARINA GÖRE DAĞILIMI - 2017"/>
    <hyperlink ref="B25:C50" location="'SınırK.-TaşıtA Göre Ç.Yabancı'!A1" display="16- TÜRKİYE'DEN ÇIKAN YABANCI ZİYARETÇİLERİN SINIR KAPILARININ BAĞLI OLDUĞU İLLERE VE TAŞIT ARAÇLARINA GÖRE DAĞILIMI - 2017"/>
    <hyperlink ref="B26:C51" location="'SınırK.-Ay Göre Ç.Yabancı'!A1" display="17-TÜRKİYE'DEN ÇIKAN YABANCI ZİYARETÇİLERİN SINIR KAPILARINA VE AYLARA GÖRE DAĞILIMI - 2017"/>
    <hyperlink ref="B7:P7" location="'G3-Aya Göre G.Ziyaretçi'!A1" display="AYLARA GÖRE GELEN YABANCI ZİYARETÇİLER (2016-2017)"/>
    <hyperlink ref="B6:P6" location="'G2-Ç.Y.Ziyaretçi'!A1" display="TÜRKİYE'DEN ÇIKAN YABANCI ZİYARETÇİLER (2008-2017)"/>
    <hyperlink ref="B5:P5" location="'G1-G.Y.Ziyaretçi'!A1" display="TÜRKİYE'YE GELEN YABANCI ZİYARETÇİLER (2008-2017)"/>
    <hyperlink ref="B4:P4" location="'C-Mil Göre G.Yabancı'!A1" display="C-ÜLKEMİZE GELEN YABANCI ZİYARETÇİLERİN MİLLİYETLERİNE GÖRE DAĞILIMI (1998 - 2017)"/>
    <hyperlink ref="B3:P3" location="'B-Yıl-Ay Göre Günübirlikçi'!A1" display="B-GÜNÜBİRLİKÇİLERİN YILLARA VE AYLARA GÖRE DAĞILIMI (2008 - 2017)"/>
    <hyperlink ref="B2:P2" location="'A-Yıl-Aya Göre G. Ziyaretçi'!A1" display="A-TÜRKİYE'YE GELEN ZİYARETÇİLERİN YILLARA VE AYLARA GÖRE DAĞILIMI ( 2008 - 2017)"/>
    <hyperlink ref="B8:P8" location="'G4-Aya Göre Günübirlikçi'!Yazdırma_Alanı" display="AYLARA GÖRE GELEN YABANCI GÜNÜBİRLİKÇİLER (2017-2018)"/>
    <hyperlink ref="B9:P9" location="'G5-Milliyete Göre G.Yabancı'!Yazdırma_Alanı" display="MİLLİYETLERİNE GÖRE GELEN YABANCI ZİYARETÇİLER - 2017 - 2018 (İLK 10)"/>
    <hyperlink ref="B10:P10" location="'T1-Yıl-Aya Göre G. Yabancı'!Yazdırma_Alanı" display="1- TÜRKİYE'YE GELEN YABANCI ZİYARETÇİLERİN YILLARA VE AYLARA GÖRE DAĞILIMI - 2017"/>
    <hyperlink ref="B11:P11" location="'T2-Mil-TaşıtA. Göre G.Yabancı'!Yazdırma_Alanı" display="2- TÜRKİYE'YE GELEN YABANCI ZİYARETÇİLERİN MİLLİYETLERİNE VE TAŞIT ARAÇLARINA GÖRE DAĞILIMI - 2017"/>
    <hyperlink ref="B12:P12" location="'T3-Ay-TaşıtA. Göre G.Yabancı'!Yazdırma_Alanı" display="3- TÜRKİYE'YE GELEN YABANCI ZİYARETÇİLERİN AYLARA VE TAŞIT ARACINA GÖRE DAĞILIMI 2017"/>
    <hyperlink ref="B13:P13" location="'T4-İl-TaşıtA. Göre G.Yabancı'!Yazdırma_Alanı" display="4- TÜRKİYE'YE GELEN YABANCI ZİYARETÇİLERİN SINIR KAPILARININ BAĞLI OLDUĞU İLLERE VE TAŞIT ARAÇLARINA GÖRE DAĞILIMI - 2018"/>
    <hyperlink ref="B14:P14" location="'T5-SınırK.-Ay Göre G.Yabancı'!Yazdırma_Alanı" display="5- TÜRKİYE'YE GELEN YABANCI ZİYARETÇİLERİN SINIR KAPILARINA VE AYLARA GÖRE DAĞILIMI - 2018"/>
    <hyperlink ref="B15:P15" location="'T6-Mil-Yıl Göre G.Yabancı'!Yazdırma_Alanı" display="6- 2015/2017 YILLARINDA ÜLKEMİZE GELEN YABANCI ZİYARETÇİLERİN MİLLİYETLERİNE GÖRE KARŞILAŞTIRILMASI"/>
    <hyperlink ref="B16:P16" location="'T7-Mil-Ay Göre G.Yabancı'!Yazdırma_Alanı" display="7- TÜRKİYE'YE GELEN YABANCI ZİYARETÇİLERİN MİLLİYETLERE VE AYLARA GÖRE DAĞILIMI - 2018"/>
    <hyperlink ref="B17:P17" location="'T8-Mil-SınırK Göre G.Yabancı'!Yazdırma_Alanı" display="8- TÜRKİYE'YE GELEN YABANCI ZİYARETÇİLERİN MİLLİYETLERİNE VE SINIR KAPILARINA GÖRE DAĞILIMI - 2018"/>
    <hyperlink ref="B18:P18" location="'T9-Ay-Yıl Göre Y.Günübirlikçi'!Yazdırma_Alanı" display="9- YABANCI GÜNÜBİRLİKÇİLERİN YILLARA VE AYLARA GÖRE DAĞILIMI - 2018"/>
    <hyperlink ref="B19:P19" location="'T10-SınırK. Ay Göre Y.Günübirl.'!Yazdırma_Alanı" display="10- TÜRKİYE'YE GELEN  YABANCI GÜNÜBİRLİKÇİLERİN SINIR KAPILARINA VE AYLARA GÖRE DAĞILIMI - 2018"/>
    <hyperlink ref="B20:P20" location="'T11-GirişK-Ay Göre Y.Günübirl.'!Yazdırma_Alanı" display="11- YABANCI GÜNÜBİRLİKÇİLERİN MİLLİYETLERE VE SINIR KAPILARINA GÖRE DAĞILIMI - 2018"/>
    <hyperlink ref="B21:P21" location="'T12-SınırK.-Yıl Göre Y.Günübir.'!Yazdırma_Alanı" display="12- 2017 - 2017 YILLARINDA YABANCI GÜNÜBİRLİKÇİLERİN SINIR KAPILARINA VE YILLARA GÖRE KARŞILAŞTIRILMASI"/>
    <hyperlink ref="B22:P22" location="'T13-Yıl-Ay Göre Ç.Ziyaretçi'!Yazdırma_Alanı" display="13- TÜRKİYE'DEN ÇIKAN YABANCI ZİYARETÇİLERİN YILLARA VE AYLARA GÖRE DAĞILIMI - 2018"/>
    <hyperlink ref="B23:P23" location="'T14-Mil-TaşıtA. Göre Ç.Yabancı'!Yazdırma_Alanı" display="14- TÜRKİYE'DEN ÇIKAN YABANCI ZİYARETÇİLERİN MİLLİYETLERİNE VE TAŞIT ARAÇLARINA GÖRE DAĞILIMI - 2017"/>
    <hyperlink ref="B25:P25" location="'T16-SınırK.-TaşıtA Göre Ç.Yab.'!Yazdırma_Alanı" display="16- TÜRKİYE'DEN ÇIKAN YABANCI ZİYARETÇİLERİN SINIR KAPILARININ BAĞLI OLDUĞU İLLERE VE TAŞIT ARAÇLARINA GÖRE DAĞILIMI - 2018"/>
    <hyperlink ref="B26:P26" location="'T17-SınırK.-Ay Göre Ç.Yabancı'!Yazdırma_Alanı" display="17- TÜRKİYE'DEN ÇIKAN YABANCI ZİYARETÇİLERİN SINIR KAPILARINA VE AYLARA GÖRE DAĞILIMI - 2018"/>
    <hyperlink ref="B24:P24" location="'T15-Ay-TaşıtA. Göre Ç Yabancı'!Yazdırma_Alanı" display="15- TÜRKİYE'DEN ÇIKAN YABANCI ZİYARETÇİLERİN AYLARA VE TAŞIT ARAÇLARINA GÖRE DAĞILIMI - 2018"/>
  </hyperlinks>
  <pageMargins left="0.32" right="0.27" top="1" bottom="1" header="0.5" footer="0.5"/>
  <pageSetup scale="7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R50"/>
  <sheetViews>
    <sheetView view="pageBreakPreview" topLeftCell="B1" zoomScaleNormal="100" zoomScaleSheetLayoutView="100" workbookViewId="0">
      <pane xSplit="20010" topLeftCell="AA1"/>
      <selection activeCell="B4" sqref="B4"/>
      <selection pane="topRight" activeCell="AA1" sqref="AA1"/>
    </sheetView>
  </sheetViews>
  <sheetFormatPr defaultColWidth="9.140625" defaultRowHeight="12.75" x14ac:dyDescent="0.2"/>
  <cols>
    <col min="1" max="1" width="0" style="9" hidden="1" customWidth="1"/>
    <col min="2" max="2" width="9.28515625" style="2" customWidth="1"/>
    <col min="3" max="3" width="11.7109375" style="8" customWidth="1"/>
    <col min="4" max="4" width="14.5703125" customWidth="1"/>
    <col min="5" max="5" width="15.28515625" customWidth="1"/>
    <col min="6" max="6" width="15" customWidth="1"/>
    <col min="7" max="7" width="13.5703125" customWidth="1"/>
    <col min="8" max="8" width="12.28515625" customWidth="1"/>
    <col min="9" max="9" width="13.42578125" customWidth="1"/>
    <col min="10" max="10" width="13.5703125" customWidth="1"/>
    <col min="11" max="11" width="12.28515625" customWidth="1"/>
    <col min="12" max="13" width="13.42578125" customWidth="1"/>
    <col min="14" max="14" width="12.85546875" customWidth="1"/>
    <col min="15" max="15" width="13.5703125" customWidth="1"/>
    <col min="16" max="16" width="13.42578125" customWidth="1"/>
    <col min="17" max="17" width="12.5703125" customWidth="1"/>
    <col min="18" max="18" width="13.85546875" customWidth="1"/>
  </cols>
  <sheetData>
    <row r="1" spans="1:18" ht="30" customHeight="1" x14ac:dyDescent="0.2">
      <c r="C1" s="553" t="s">
        <v>623</v>
      </c>
      <c r="D1" s="553"/>
      <c r="E1" s="553"/>
      <c r="F1" s="553"/>
      <c r="G1" s="553"/>
      <c r="H1" s="553"/>
      <c r="I1" s="553"/>
      <c r="J1" s="553"/>
      <c r="K1" s="553"/>
      <c r="L1" s="553"/>
      <c r="M1" s="553"/>
      <c r="N1" s="553"/>
      <c r="O1" s="553"/>
      <c r="P1" s="553"/>
      <c r="Q1" s="553"/>
      <c r="R1" s="553"/>
    </row>
    <row r="2" spans="1:18" s="2" customFormat="1" ht="12.75" customHeight="1" x14ac:dyDescent="0.2">
      <c r="A2" s="9"/>
      <c r="C2" s="1"/>
    </row>
    <row r="3" spans="1:18" ht="28.5" customHeight="1" x14ac:dyDescent="0.2">
      <c r="C3" s="557" t="s">
        <v>263</v>
      </c>
      <c r="D3" s="555" t="s">
        <v>1</v>
      </c>
      <c r="E3" s="555"/>
      <c r="F3" s="555"/>
      <c r="G3" s="555"/>
      <c r="H3" s="555"/>
      <c r="I3" s="555"/>
      <c r="J3" s="555"/>
      <c r="K3" s="555"/>
      <c r="L3" s="555"/>
      <c r="M3" s="555"/>
      <c r="N3" s="555"/>
      <c r="O3" s="555"/>
      <c r="P3" s="555"/>
      <c r="Q3" s="555"/>
      <c r="R3" s="555"/>
    </row>
    <row r="4" spans="1:18" ht="26.25" customHeight="1" x14ac:dyDescent="0.25">
      <c r="C4" s="557"/>
      <c r="D4" s="554">
        <v>2010</v>
      </c>
      <c r="E4" s="554"/>
      <c r="F4" s="554"/>
      <c r="G4" s="554">
        <v>2011</v>
      </c>
      <c r="H4" s="554"/>
      <c r="I4" s="554"/>
      <c r="J4" s="554">
        <v>2012</v>
      </c>
      <c r="K4" s="554"/>
      <c r="L4" s="554"/>
      <c r="M4" s="554">
        <v>2013</v>
      </c>
      <c r="N4" s="554"/>
      <c r="O4" s="554"/>
      <c r="P4" s="554">
        <v>2014</v>
      </c>
      <c r="Q4" s="554"/>
      <c r="R4" s="554"/>
    </row>
    <row r="5" spans="1:18" ht="47.25" customHeight="1" x14ac:dyDescent="0.2">
      <c r="C5" s="557"/>
      <c r="D5" s="11" t="s">
        <v>2</v>
      </c>
      <c r="E5" s="11" t="s">
        <v>3</v>
      </c>
      <c r="F5" s="11" t="s">
        <v>4</v>
      </c>
      <c r="G5" s="11" t="s">
        <v>2</v>
      </c>
      <c r="H5" s="11" t="s">
        <v>3</v>
      </c>
      <c r="I5" s="11" t="s">
        <v>4</v>
      </c>
      <c r="J5" s="11" t="s">
        <v>2</v>
      </c>
      <c r="K5" s="11" t="s">
        <v>3</v>
      </c>
      <c r="L5" s="11" t="s">
        <v>4</v>
      </c>
      <c r="M5" s="11" t="s">
        <v>2</v>
      </c>
      <c r="N5" s="11" t="s">
        <v>3</v>
      </c>
      <c r="O5" s="11" t="s">
        <v>4</v>
      </c>
      <c r="P5" s="11" t="s">
        <v>2</v>
      </c>
      <c r="Q5" s="11" t="s">
        <v>3</v>
      </c>
      <c r="R5" s="11" t="s">
        <v>4</v>
      </c>
    </row>
    <row r="6" spans="1:18" ht="45" customHeight="1" x14ac:dyDescent="0.2">
      <c r="C6" s="10" t="s">
        <v>5</v>
      </c>
      <c r="D6" s="12">
        <v>809974</v>
      </c>
      <c r="E6" s="12">
        <v>208572</v>
      </c>
      <c r="F6" s="12">
        <v>1018546</v>
      </c>
      <c r="G6" s="12">
        <v>975723</v>
      </c>
      <c r="H6" s="12">
        <v>287153</v>
      </c>
      <c r="I6" s="12">
        <v>1262876</v>
      </c>
      <c r="J6" s="12">
        <v>981611</v>
      </c>
      <c r="K6" s="12">
        <v>346660</v>
      </c>
      <c r="L6" s="12">
        <v>1328271</v>
      </c>
      <c r="M6" s="12">
        <v>1104754</v>
      </c>
      <c r="N6" s="12">
        <v>279855</v>
      </c>
      <c r="O6" s="12">
        <v>1384609</v>
      </c>
      <c r="P6" s="12">
        <v>1146815</v>
      </c>
      <c r="Q6" s="12">
        <v>279334</v>
      </c>
      <c r="R6" s="12">
        <v>1426149</v>
      </c>
    </row>
    <row r="7" spans="1:18" ht="45" customHeight="1" x14ac:dyDescent="0.2">
      <c r="C7" s="10" t="s">
        <v>6</v>
      </c>
      <c r="D7" s="12">
        <v>953848</v>
      </c>
      <c r="E7" s="12">
        <v>246275</v>
      </c>
      <c r="F7" s="12">
        <v>1200123</v>
      </c>
      <c r="G7" s="12">
        <v>1079505</v>
      </c>
      <c r="H7" s="12">
        <v>295541</v>
      </c>
      <c r="I7" s="12">
        <v>1375046</v>
      </c>
      <c r="J7" s="12">
        <v>997571</v>
      </c>
      <c r="K7" s="12">
        <v>350229</v>
      </c>
      <c r="L7" s="12">
        <v>1347800</v>
      </c>
      <c r="M7" s="12">
        <v>1268440</v>
      </c>
      <c r="N7" s="12">
        <v>350503</v>
      </c>
      <c r="O7" s="12">
        <v>1618943</v>
      </c>
      <c r="P7" s="12">
        <v>1352184</v>
      </c>
      <c r="Q7" s="12">
        <v>356071</v>
      </c>
      <c r="R7" s="12">
        <v>1708255</v>
      </c>
    </row>
    <row r="8" spans="1:18" ht="45" customHeight="1" x14ac:dyDescent="0.2">
      <c r="C8" s="10" t="s">
        <v>7</v>
      </c>
      <c r="D8" s="12">
        <v>1414616</v>
      </c>
      <c r="E8" s="12">
        <v>307619</v>
      </c>
      <c r="F8" s="12">
        <v>1722235</v>
      </c>
      <c r="G8" s="12">
        <v>1617782</v>
      </c>
      <c r="H8" s="12">
        <v>364317</v>
      </c>
      <c r="I8" s="12">
        <v>1982099</v>
      </c>
      <c r="J8" s="12">
        <v>1460563</v>
      </c>
      <c r="K8" s="12">
        <v>460066</v>
      </c>
      <c r="L8" s="12">
        <v>1920629</v>
      </c>
      <c r="M8" s="12">
        <v>1841154</v>
      </c>
      <c r="N8" s="12">
        <v>371462</v>
      </c>
      <c r="O8" s="12">
        <v>2212616</v>
      </c>
      <c r="P8" s="12">
        <v>1851980</v>
      </c>
      <c r="Q8" s="12">
        <v>345905</v>
      </c>
      <c r="R8" s="12">
        <v>2197885</v>
      </c>
    </row>
    <row r="9" spans="1:18" ht="45" customHeight="1" x14ac:dyDescent="0.2">
      <c r="C9" s="10" t="s">
        <v>8</v>
      </c>
      <c r="D9" s="12">
        <v>1744628</v>
      </c>
      <c r="E9" s="12">
        <v>307935</v>
      </c>
      <c r="F9" s="12">
        <v>2052563</v>
      </c>
      <c r="G9" s="12">
        <v>2290722</v>
      </c>
      <c r="H9" s="12">
        <v>377880</v>
      </c>
      <c r="I9" s="12">
        <v>2668602</v>
      </c>
      <c r="J9" s="12">
        <v>2168715</v>
      </c>
      <c r="K9" s="12">
        <v>434195</v>
      </c>
      <c r="L9" s="12">
        <v>2602910</v>
      </c>
      <c r="M9" s="12">
        <v>2451031</v>
      </c>
      <c r="N9" s="12">
        <v>445048</v>
      </c>
      <c r="O9" s="12">
        <v>2896079</v>
      </c>
      <c r="P9" s="12">
        <v>2652071</v>
      </c>
      <c r="Q9" s="12">
        <v>358556</v>
      </c>
      <c r="R9" s="12">
        <v>3010627</v>
      </c>
    </row>
    <row r="10" spans="1:18" ht="45" customHeight="1" x14ac:dyDescent="0.2">
      <c r="C10" s="10" t="s">
        <v>9</v>
      </c>
      <c r="D10" s="12">
        <v>3148337</v>
      </c>
      <c r="E10" s="12">
        <v>350129</v>
      </c>
      <c r="F10" s="12">
        <v>3498466</v>
      </c>
      <c r="G10" s="12">
        <v>3283125</v>
      </c>
      <c r="H10" s="12">
        <v>394646</v>
      </c>
      <c r="I10" s="12">
        <v>3677771</v>
      </c>
      <c r="J10" s="12">
        <v>3232926</v>
      </c>
      <c r="K10" s="12">
        <v>465190</v>
      </c>
      <c r="L10" s="12">
        <v>3698116</v>
      </c>
      <c r="M10" s="12">
        <v>3810236</v>
      </c>
      <c r="N10" s="12">
        <v>463236</v>
      </c>
      <c r="O10" s="12">
        <v>4273472</v>
      </c>
      <c r="P10" s="12">
        <v>3900096</v>
      </c>
      <c r="Q10" s="12">
        <v>430837</v>
      </c>
      <c r="R10" s="12">
        <v>4330933</v>
      </c>
    </row>
    <row r="11" spans="1:18" ht="45" customHeight="1" x14ac:dyDescent="0.2">
      <c r="C11" s="10" t="s">
        <v>10</v>
      </c>
      <c r="D11" s="12">
        <v>3500024</v>
      </c>
      <c r="E11" s="12">
        <v>397476</v>
      </c>
      <c r="F11" s="12">
        <v>3897500</v>
      </c>
      <c r="G11" s="12">
        <v>3780637</v>
      </c>
      <c r="H11" s="12">
        <v>439203</v>
      </c>
      <c r="I11" s="12">
        <v>4219840</v>
      </c>
      <c r="J11" s="12">
        <v>3882592</v>
      </c>
      <c r="K11" s="12">
        <v>549766</v>
      </c>
      <c r="L11" s="12">
        <v>4432358</v>
      </c>
      <c r="M11" s="12">
        <v>4073906</v>
      </c>
      <c r="N11" s="12">
        <v>532770</v>
      </c>
      <c r="O11" s="12">
        <v>4606676</v>
      </c>
      <c r="P11" s="12">
        <v>4335075</v>
      </c>
      <c r="Q11" s="12">
        <v>459487</v>
      </c>
      <c r="R11" s="12">
        <v>4794562</v>
      </c>
    </row>
    <row r="12" spans="1:18" ht="45" customHeight="1" x14ac:dyDescent="0.2">
      <c r="C12" s="10" t="s">
        <v>11</v>
      </c>
      <c r="D12" s="12">
        <v>4358275</v>
      </c>
      <c r="E12" s="12">
        <v>644800</v>
      </c>
      <c r="F12" s="12">
        <v>5003075</v>
      </c>
      <c r="G12" s="12">
        <v>4597475</v>
      </c>
      <c r="H12" s="12">
        <v>758097</v>
      </c>
      <c r="I12" s="12">
        <v>5355572</v>
      </c>
      <c r="J12" s="12">
        <v>4571389</v>
      </c>
      <c r="K12" s="12">
        <v>801974</v>
      </c>
      <c r="L12" s="12">
        <v>5373363</v>
      </c>
      <c r="M12" s="12">
        <v>4593511</v>
      </c>
      <c r="N12" s="12">
        <v>589959</v>
      </c>
      <c r="O12" s="12">
        <v>5183470</v>
      </c>
      <c r="P12" s="12">
        <v>5214519</v>
      </c>
      <c r="Q12" s="12">
        <v>615088</v>
      </c>
      <c r="R12" s="12">
        <v>5829607</v>
      </c>
    </row>
    <row r="13" spans="1:18" ht="45" customHeight="1" x14ac:dyDescent="0.2">
      <c r="C13" s="10" t="s">
        <v>12</v>
      </c>
      <c r="D13" s="12">
        <v>3719180</v>
      </c>
      <c r="E13" s="12">
        <v>409903</v>
      </c>
      <c r="F13" s="12">
        <v>4129083</v>
      </c>
      <c r="G13" s="12">
        <v>4076783</v>
      </c>
      <c r="H13" s="12">
        <v>557738</v>
      </c>
      <c r="I13" s="12">
        <v>4634521</v>
      </c>
      <c r="J13" s="12">
        <v>4470202</v>
      </c>
      <c r="K13" s="12">
        <v>697059</v>
      </c>
      <c r="L13" s="12">
        <v>5167261</v>
      </c>
      <c r="M13" s="12">
        <v>4945999</v>
      </c>
      <c r="N13" s="12">
        <v>583097</v>
      </c>
      <c r="O13" s="12">
        <v>5529096</v>
      </c>
      <c r="P13" s="12">
        <v>5283333</v>
      </c>
      <c r="Q13" s="12">
        <v>533644</v>
      </c>
      <c r="R13" s="12">
        <v>5816977</v>
      </c>
    </row>
    <row r="14" spans="1:18" ht="45" customHeight="1" x14ac:dyDescent="0.2">
      <c r="C14" s="10" t="s">
        <v>13</v>
      </c>
      <c r="D14" s="12">
        <v>3486319</v>
      </c>
      <c r="E14" s="12">
        <v>430408</v>
      </c>
      <c r="F14" s="12">
        <v>3916727</v>
      </c>
      <c r="G14" s="12">
        <v>3923546</v>
      </c>
      <c r="H14" s="12">
        <v>543293</v>
      </c>
      <c r="I14" s="12">
        <v>4466839</v>
      </c>
      <c r="J14" s="12">
        <v>3991415</v>
      </c>
      <c r="K14" s="12">
        <v>543523</v>
      </c>
      <c r="L14" s="12">
        <v>4534938</v>
      </c>
      <c r="M14" s="12">
        <v>4266133</v>
      </c>
      <c r="N14" s="12">
        <v>440483</v>
      </c>
      <c r="O14" s="12">
        <v>4706616</v>
      </c>
      <c r="P14" s="12">
        <v>4352429</v>
      </c>
      <c r="Q14" s="12">
        <v>420822</v>
      </c>
      <c r="R14" s="12">
        <v>4773251</v>
      </c>
    </row>
    <row r="15" spans="1:18" ht="45" customHeight="1" x14ac:dyDescent="0.2">
      <c r="C15" s="10" t="s">
        <v>14</v>
      </c>
      <c r="D15" s="12">
        <v>2840095</v>
      </c>
      <c r="E15" s="12">
        <v>334472</v>
      </c>
      <c r="F15" s="12">
        <v>3174567</v>
      </c>
      <c r="G15" s="12">
        <v>3039754</v>
      </c>
      <c r="H15" s="12">
        <v>422433</v>
      </c>
      <c r="I15" s="12">
        <v>3462187</v>
      </c>
      <c r="J15" s="12">
        <v>3050981</v>
      </c>
      <c r="K15" s="12">
        <v>491294</v>
      </c>
      <c r="L15" s="12">
        <v>3542275</v>
      </c>
      <c r="M15" s="12">
        <v>3402460</v>
      </c>
      <c r="N15" s="12">
        <v>376660</v>
      </c>
      <c r="O15" s="12">
        <v>3779120</v>
      </c>
      <c r="P15" s="12">
        <v>3439554</v>
      </c>
      <c r="Q15" s="12">
        <v>381732</v>
      </c>
      <c r="R15" s="12">
        <v>3821286</v>
      </c>
    </row>
    <row r="16" spans="1:18" ht="45" customHeight="1" x14ac:dyDescent="0.2">
      <c r="C16" s="10" t="s">
        <v>15</v>
      </c>
      <c r="D16" s="12">
        <v>1491005</v>
      </c>
      <c r="E16" s="12">
        <v>390781</v>
      </c>
      <c r="F16" s="12">
        <v>1881786</v>
      </c>
      <c r="G16" s="12">
        <v>1596295</v>
      </c>
      <c r="H16" s="12">
        <v>470340</v>
      </c>
      <c r="I16" s="12">
        <v>2066635</v>
      </c>
      <c r="J16" s="12">
        <v>1631647</v>
      </c>
      <c r="K16" s="12">
        <v>389438</v>
      </c>
      <c r="L16" s="12">
        <v>2021085</v>
      </c>
      <c r="M16" s="12">
        <v>1709479</v>
      </c>
      <c r="N16" s="12">
        <v>258264</v>
      </c>
      <c r="O16" s="12">
        <v>1967743</v>
      </c>
      <c r="P16" s="12">
        <v>1729803</v>
      </c>
      <c r="Q16" s="12">
        <v>295936</v>
      </c>
      <c r="R16" s="12">
        <v>2025739</v>
      </c>
    </row>
    <row r="17" spans="1:18" ht="45" customHeight="1" x14ac:dyDescent="0.2">
      <c r="C17" s="10" t="s">
        <v>16</v>
      </c>
      <c r="D17" s="12">
        <v>1165903</v>
      </c>
      <c r="E17" s="12">
        <v>336734</v>
      </c>
      <c r="F17" s="12">
        <v>1502637</v>
      </c>
      <c r="G17" s="12">
        <v>1194729</v>
      </c>
      <c r="H17" s="12">
        <v>402322</v>
      </c>
      <c r="I17" s="12">
        <v>1597051</v>
      </c>
      <c r="J17" s="12">
        <v>1343220</v>
      </c>
      <c r="K17" s="12">
        <v>402999</v>
      </c>
      <c r="L17" s="12">
        <v>1746219</v>
      </c>
      <c r="M17" s="12">
        <v>1442995</v>
      </c>
      <c r="N17" s="12">
        <v>259336</v>
      </c>
      <c r="O17" s="12">
        <v>1702331</v>
      </c>
      <c r="P17" s="12">
        <v>1580041</v>
      </c>
      <c r="Q17" s="12">
        <v>311934</v>
      </c>
      <c r="R17" s="12">
        <v>1891975</v>
      </c>
    </row>
    <row r="18" spans="1:18" ht="42" customHeight="1" x14ac:dyDescent="0.2">
      <c r="C18" s="10" t="s">
        <v>17</v>
      </c>
      <c r="D18" s="15">
        <v>28632204</v>
      </c>
      <c r="E18" s="15">
        <v>4365104</v>
      </c>
      <c r="F18" s="15">
        <v>32997308</v>
      </c>
      <c r="G18" s="15">
        <v>31456076</v>
      </c>
      <c r="H18" s="15">
        <v>5312963</v>
      </c>
      <c r="I18" s="15">
        <v>36769039</v>
      </c>
      <c r="J18" s="15">
        <v>31782832</v>
      </c>
      <c r="K18" s="15">
        <v>5932393</v>
      </c>
      <c r="L18" s="15">
        <v>37715225</v>
      </c>
      <c r="M18" s="15">
        <v>34910098</v>
      </c>
      <c r="N18" s="15">
        <v>4950673</v>
      </c>
      <c r="O18" s="15">
        <v>39860771</v>
      </c>
      <c r="P18" s="15">
        <v>36837900</v>
      </c>
      <c r="Q18" s="15">
        <v>4789346</v>
      </c>
      <c r="R18" s="15">
        <v>41627246</v>
      </c>
    </row>
    <row r="19" spans="1:18" s="2" customFormat="1" ht="11.25" customHeight="1" x14ac:dyDescent="0.2">
      <c r="A19" s="9"/>
      <c r="C19" s="7"/>
      <c r="D19" s="5"/>
      <c r="E19" s="5"/>
      <c r="F19" s="5"/>
      <c r="G19" s="5"/>
      <c r="H19" s="5"/>
      <c r="I19" s="5"/>
      <c r="J19" s="5"/>
      <c r="K19" s="5"/>
      <c r="L19" s="5"/>
      <c r="M19" s="5"/>
      <c r="N19" s="5"/>
      <c r="O19" s="5"/>
      <c r="P19" s="5"/>
      <c r="Q19" s="5"/>
      <c r="R19" s="5"/>
    </row>
    <row r="20" spans="1:18" ht="19.5" customHeight="1" x14ac:dyDescent="0.2">
      <c r="C20" s="558" t="s">
        <v>18</v>
      </c>
      <c r="D20" s="559"/>
      <c r="E20" s="559"/>
      <c r="F20" s="559"/>
      <c r="G20" s="559"/>
      <c r="H20" s="559"/>
      <c r="I20" s="559"/>
      <c r="J20" s="559"/>
      <c r="K20" s="559"/>
      <c r="L20" s="559"/>
      <c r="M20" s="559"/>
      <c r="N20" s="559"/>
      <c r="O20" s="559"/>
      <c r="P20" s="559"/>
      <c r="Q20" s="559"/>
      <c r="R20" s="559"/>
    </row>
    <row r="21" spans="1:18" ht="19.5" customHeight="1" x14ac:dyDescent="0.2">
      <c r="C21" s="558" t="s">
        <v>19</v>
      </c>
      <c r="D21" s="559"/>
      <c r="E21" s="559"/>
      <c r="F21" s="559"/>
      <c r="G21" s="559"/>
      <c r="H21" s="559"/>
      <c r="I21" s="559"/>
      <c r="J21" s="559"/>
      <c r="K21" s="559"/>
      <c r="L21" s="559"/>
      <c r="M21" s="559"/>
      <c r="N21" s="559"/>
      <c r="O21" s="559"/>
      <c r="P21" s="559"/>
      <c r="Q21" s="559"/>
      <c r="R21" s="559"/>
    </row>
    <row r="22" spans="1:18" ht="7.5" customHeight="1" x14ac:dyDescent="0.2"/>
    <row r="23" spans="1:18" ht="7.5" customHeight="1" x14ac:dyDescent="0.2"/>
    <row r="24" spans="1:18" ht="7.5" customHeight="1" x14ac:dyDescent="0.2"/>
    <row r="25" spans="1:18" ht="7.5" customHeight="1" x14ac:dyDescent="0.2"/>
    <row r="26" spans="1:18" ht="7.5" customHeight="1" x14ac:dyDescent="0.2"/>
    <row r="27" spans="1:18" ht="7.5" customHeight="1" x14ac:dyDescent="0.2"/>
    <row r="28" spans="1:18" ht="7.5" customHeight="1" x14ac:dyDescent="0.2"/>
    <row r="29" spans="1:18" ht="7.5" customHeight="1" x14ac:dyDescent="0.2"/>
    <row r="30" spans="1:18" s="2" customFormat="1" ht="30" customHeight="1" x14ac:dyDescent="0.2">
      <c r="A30" s="9"/>
      <c r="C30" s="553" t="s">
        <v>623</v>
      </c>
      <c r="D30" s="553"/>
      <c r="E30" s="553"/>
      <c r="F30" s="553"/>
      <c r="G30" s="553"/>
      <c r="H30" s="553"/>
      <c r="I30" s="553"/>
      <c r="J30" s="553"/>
      <c r="K30" s="553"/>
      <c r="L30" s="553"/>
      <c r="M30" s="553"/>
      <c r="N30" s="553"/>
      <c r="O30" s="553"/>
      <c r="P30" s="553"/>
      <c r="Q30" s="553"/>
      <c r="R30" s="553"/>
    </row>
    <row r="31" spans="1:18" s="2" customFormat="1" ht="12.75" customHeight="1" x14ac:dyDescent="0.2">
      <c r="A31" s="9"/>
      <c r="C31" s="8"/>
    </row>
    <row r="32" spans="1:18" ht="28.5" customHeight="1" x14ac:dyDescent="0.3">
      <c r="C32" s="557" t="s">
        <v>263</v>
      </c>
      <c r="D32" s="556" t="s">
        <v>1</v>
      </c>
      <c r="E32" s="556"/>
      <c r="F32" s="556"/>
      <c r="G32" s="556"/>
      <c r="H32" s="556"/>
      <c r="I32" s="556"/>
      <c r="J32" s="556"/>
      <c r="K32" s="556"/>
      <c r="L32" s="556"/>
      <c r="M32" s="556"/>
      <c r="N32" s="556"/>
      <c r="O32" s="556"/>
      <c r="P32" s="556"/>
      <c r="Q32" s="556"/>
      <c r="R32" s="556"/>
    </row>
    <row r="33" spans="1:18" ht="28.5" customHeight="1" x14ac:dyDescent="0.25">
      <c r="C33" s="557"/>
      <c r="D33" s="554">
        <v>2015</v>
      </c>
      <c r="E33" s="554"/>
      <c r="F33" s="554"/>
      <c r="G33" s="554">
        <v>2016</v>
      </c>
      <c r="H33" s="554"/>
      <c r="I33" s="554"/>
      <c r="J33" s="554">
        <v>2017</v>
      </c>
      <c r="K33" s="554"/>
      <c r="L33" s="554"/>
      <c r="M33" s="554">
        <v>2018</v>
      </c>
      <c r="N33" s="554"/>
      <c r="O33" s="554"/>
      <c r="P33" s="554">
        <v>2019</v>
      </c>
      <c r="Q33" s="554"/>
      <c r="R33" s="554"/>
    </row>
    <row r="34" spans="1:18" ht="47.25" x14ac:dyDescent="0.25">
      <c r="C34" s="557"/>
      <c r="D34" s="13" t="s">
        <v>2</v>
      </c>
      <c r="E34" s="13" t="s">
        <v>3</v>
      </c>
      <c r="F34" s="13" t="s">
        <v>4</v>
      </c>
      <c r="G34" s="13" t="s">
        <v>2</v>
      </c>
      <c r="H34" s="13" t="s">
        <v>3</v>
      </c>
      <c r="I34" s="13" t="s">
        <v>4</v>
      </c>
      <c r="J34" s="13" t="s">
        <v>2</v>
      </c>
      <c r="K34" s="13" t="s">
        <v>3</v>
      </c>
      <c r="L34" s="13" t="s">
        <v>4</v>
      </c>
      <c r="M34" s="13" t="s">
        <v>2</v>
      </c>
      <c r="N34" s="13" t="s">
        <v>3</v>
      </c>
      <c r="O34" s="13" t="s">
        <v>4</v>
      </c>
      <c r="P34" s="13" t="s">
        <v>2</v>
      </c>
      <c r="Q34" s="13" t="s">
        <v>3</v>
      </c>
      <c r="R34" s="13" t="s">
        <v>4</v>
      </c>
    </row>
    <row r="35" spans="1:18" ht="45" customHeight="1" x14ac:dyDescent="0.2">
      <c r="C35" s="10" t="s">
        <v>5</v>
      </c>
      <c r="D35" s="12">
        <v>1250941</v>
      </c>
      <c r="E35" s="12">
        <v>343459</v>
      </c>
      <c r="F35" s="12">
        <v>1594400</v>
      </c>
      <c r="G35" s="12">
        <v>1170333</v>
      </c>
      <c r="H35" s="12">
        <v>350916</v>
      </c>
      <c r="I35" s="12">
        <v>1521249</v>
      </c>
      <c r="J35" s="12">
        <v>1055474</v>
      </c>
      <c r="K35" s="12">
        <v>329148</v>
      </c>
      <c r="L35" s="12">
        <v>1384622</v>
      </c>
      <c r="M35" s="12">
        <v>1461570</v>
      </c>
      <c r="N35" s="12">
        <v>431167</v>
      </c>
      <c r="O35" s="12">
        <v>1892737</v>
      </c>
      <c r="P35" s="12">
        <v>1539496</v>
      </c>
      <c r="Q35" s="12">
        <v>460146</v>
      </c>
      <c r="R35" s="12">
        <v>1999642</v>
      </c>
    </row>
    <row r="36" spans="1:18" ht="45" customHeight="1" x14ac:dyDescent="0.2">
      <c r="C36" s="10" t="s">
        <v>6</v>
      </c>
      <c r="D36" s="12">
        <v>1383343</v>
      </c>
      <c r="E36" s="12">
        <v>368037</v>
      </c>
      <c r="F36" s="12">
        <v>1751380</v>
      </c>
      <c r="G36" s="12">
        <v>1240633</v>
      </c>
      <c r="H36" s="12">
        <v>390644</v>
      </c>
      <c r="I36" s="12">
        <v>1631277</v>
      </c>
      <c r="J36" s="12">
        <v>1159833</v>
      </c>
      <c r="K36" s="12">
        <v>335058</v>
      </c>
      <c r="L36" s="12">
        <v>1494891</v>
      </c>
      <c r="M36" s="12">
        <v>1527070</v>
      </c>
      <c r="N36" s="12">
        <v>405616</v>
      </c>
      <c r="O36" s="12">
        <v>1932686</v>
      </c>
      <c r="P36" s="12">
        <v>1670238</v>
      </c>
      <c r="Q36" s="12">
        <v>443671</v>
      </c>
      <c r="R36" s="12">
        <v>2113909</v>
      </c>
    </row>
    <row r="37" spans="1:18" ht="45" customHeight="1" x14ac:dyDescent="0.2">
      <c r="C37" s="10" t="s">
        <v>7</v>
      </c>
      <c r="D37" s="12">
        <v>1895940</v>
      </c>
      <c r="E37" s="12">
        <v>374022</v>
      </c>
      <c r="F37" s="12">
        <v>2269962</v>
      </c>
      <c r="G37" s="12">
        <v>1652511</v>
      </c>
      <c r="H37" s="12">
        <v>381960</v>
      </c>
      <c r="I37" s="12">
        <v>2034471</v>
      </c>
      <c r="J37" s="12">
        <v>1587007</v>
      </c>
      <c r="K37" s="12">
        <v>357935</v>
      </c>
      <c r="L37" s="12">
        <v>1944942</v>
      </c>
      <c r="M37" s="12">
        <v>2139766</v>
      </c>
      <c r="N37" s="12">
        <v>441435</v>
      </c>
      <c r="O37" s="12">
        <v>2581201</v>
      </c>
      <c r="P37" s="12">
        <v>2232358</v>
      </c>
      <c r="Q37" s="12">
        <v>513801</v>
      </c>
      <c r="R37" s="12">
        <v>2746159</v>
      </c>
    </row>
    <row r="38" spans="1:18" ht="45" customHeight="1" x14ac:dyDescent="0.2">
      <c r="C38" s="10" t="s">
        <v>8</v>
      </c>
      <c r="D38" s="12">
        <v>2437263</v>
      </c>
      <c r="E38" s="12">
        <v>331219</v>
      </c>
      <c r="F38" s="12">
        <v>2768482</v>
      </c>
      <c r="G38" s="12">
        <v>1753045</v>
      </c>
      <c r="H38" s="12">
        <v>466574</v>
      </c>
      <c r="I38" s="12">
        <v>2219619</v>
      </c>
      <c r="J38" s="12">
        <v>2070322</v>
      </c>
      <c r="K38" s="12">
        <v>428167</v>
      </c>
      <c r="L38" s="12">
        <v>2498489</v>
      </c>
      <c r="M38" s="12">
        <v>2655561</v>
      </c>
      <c r="N38" s="12">
        <v>556915</v>
      </c>
      <c r="O38" s="12">
        <v>3212476</v>
      </c>
      <c r="P38" s="12">
        <v>3293176</v>
      </c>
      <c r="Q38" s="12">
        <v>516643</v>
      </c>
      <c r="R38" s="12">
        <v>3809819</v>
      </c>
    </row>
    <row r="39" spans="1:18" ht="45" customHeight="1" x14ac:dyDescent="0.2">
      <c r="C39" s="10" t="s">
        <v>9</v>
      </c>
      <c r="D39" s="12">
        <v>3804158</v>
      </c>
      <c r="E39" s="12">
        <v>383628</v>
      </c>
      <c r="F39" s="12">
        <v>4187786</v>
      </c>
      <c r="G39" s="12">
        <v>2485411</v>
      </c>
      <c r="H39" s="12">
        <v>543963</v>
      </c>
      <c r="I39" s="12">
        <v>3029374</v>
      </c>
      <c r="J39" s="12">
        <v>2889873</v>
      </c>
      <c r="K39" s="12">
        <v>498687</v>
      </c>
      <c r="L39" s="12">
        <v>3388560</v>
      </c>
      <c r="M39" s="12">
        <v>3678440</v>
      </c>
      <c r="N39" s="12">
        <v>527997</v>
      </c>
      <c r="O39" s="12">
        <v>4206437</v>
      </c>
      <c r="P39" s="12">
        <v>4022254</v>
      </c>
      <c r="Q39" s="12">
        <v>489766</v>
      </c>
      <c r="R39" s="12">
        <v>4512020</v>
      </c>
    </row>
    <row r="40" spans="1:18" ht="45" customHeight="1" x14ac:dyDescent="0.2">
      <c r="C40" s="10" t="s">
        <v>10</v>
      </c>
      <c r="D40" s="12">
        <v>4123109</v>
      </c>
      <c r="E40" s="12">
        <v>359512</v>
      </c>
      <c r="F40" s="12">
        <v>4482621</v>
      </c>
      <c r="G40" s="12">
        <v>2438293</v>
      </c>
      <c r="H40" s="12">
        <v>463846</v>
      </c>
      <c r="I40" s="12">
        <v>2902139</v>
      </c>
      <c r="J40" s="12">
        <v>3486940</v>
      </c>
      <c r="K40" s="12">
        <v>475476</v>
      </c>
      <c r="L40" s="12">
        <v>3962416</v>
      </c>
      <c r="M40" s="12">
        <v>4505594</v>
      </c>
      <c r="N40" s="12">
        <v>585902</v>
      </c>
      <c r="O40" s="12">
        <v>5091496</v>
      </c>
      <c r="P40" s="12">
        <v>5318984</v>
      </c>
      <c r="Q40" s="12">
        <v>650997</v>
      </c>
      <c r="R40" s="12">
        <v>5969981</v>
      </c>
    </row>
    <row r="41" spans="1:18" ht="45" customHeight="1" x14ac:dyDescent="0.2">
      <c r="C41" s="10" t="s">
        <v>11</v>
      </c>
      <c r="D41" s="12">
        <v>5480502</v>
      </c>
      <c r="E41" s="12">
        <v>650711</v>
      </c>
      <c r="F41" s="12">
        <v>6131213</v>
      </c>
      <c r="G41" s="12">
        <v>3468202</v>
      </c>
      <c r="H41" s="12">
        <v>743328</v>
      </c>
      <c r="I41" s="12">
        <v>4211530</v>
      </c>
      <c r="J41" s="12">
        <v>5075961</v>
      </c>
      <c r="K41" s="12">
        <v>769973</v>
      </c>
      <c r="L41" s="12">
        <v>5845934</v>
      </c>
      <c r="M41" s="12">
        <v>5671801</v>
      </c>
      <c r="N41" s="12">
        <v>859869</v>
      </c>
      <c r="O41" s="12">
        <v>6531670</v>
      </c>
      <c r="P41" s="12">
        <v>6617380</v>
      </c>
      <c r="Q41" s="12">
        <v>796507</v>
      </c>
      <c r="R41" s="12">
        <v>7413887</v>
      </c>
    </row>
    <row r="42" spans="1:18" ht="45" customHeight="1" x14ac:dyDescent="0.2">
      <c r="C42" s="10" t="s">
        <v>12</v>
      </c>
      <c r="D42" s="12">
        <v>5130967</v>
      </c>
      <c r="E42" s="12">
        <v>525116</v>
      </c>
      <c r="F42" s="12">
        <v>5656083</v>
      </c>
      <c r="G42" s="12">
        <v>3183003</v>
      </c>
      <c r="H42" s="12">
        <v>526500</v>
      </c>
      <c r="I42" s="12">
        <v>3709503</v>
      </c>
      <c r="J42" s="12">
        <v>4658463</v>
      </c>
      <c r="K42" s="12">
        <v>647375</v>
      </c>
      <c r="L42" s="12">
        <v>5305838</v>
      </c>
      <c r="M42" s="12">
        <v>5383332</v>
      </c>
      <c r="N42" s="12">
        <v>775265</v>
      </c>
      <c r="O42" s="12">
        <v>6158597</v>
      </c>
      <c r="P42" s="12">
        <v>6307508</v>
      </c>
      <c r="Q42" s="12">
        <v>708822</v>
      </c>
      <c r="R42" s="12">
        <v>7016330</v>
      </c>
    </row>
    <row r="43" spans="1:18" ht="45" customHeight="1" x14ac:dyDescent="0.2">
      <c r="C43" s="10" t="s">
        <v>13</v>
      </c>
      <c r="D43" s="12">
        <v>4251870</v>
      </c>
      <c r="E43" s="12">
        <v>456162</v>
      </c>
      <c r="F43" s="12">
        <v>4708032</v>
      </c>
      <c r="G43" s="12">
        <v>2855397</v>
      </c>
      <c r="H43" s="12">
        <v>556757</v>
      </c>
      <c r="I43" s="12">
        <v>3412154</v>
      </c>
      <c r="J43" s="12">
        <v>4076630</v>
      </c>
      <c r="K43" s="12">
        <v>615342</v>
      </c>
      <c r="L43" s="12">
        <v>4691972</v>
      </c>
      <c r="M43" s="12">
        <v>4792818</v>
      </c>
      <c r="N43" s="12">
        <v>633027</v>
      </c>
      <c r="O43" s="12">
        <v>5425845</v>
      </c>
      <c r="P43" s="12">
        <v>5426818</v>
      </c>
      <c r="Q43" s="12">
        <v>555971</v>
      </c>
      <c r="R43" s="12">
        <v>5982789</v>
      </c>
    </row>
    <row r="44" spans="1:18" ht="45" customHeight="1" x14ac:dyDescent="0.2">
      <c r="C44" s="10" t="s">
        <v>14</v>
      </c>
      <c r="D44" s="12">
        <v>3301194</v>
      </c>
      <c r="E44" s="12">
        <v>387490</v>
      </c>
      <c r="F44" s="12">
        <v>3688684</v>
      </c>
      <c r="G44" s="12">
        <v>2449948</v>
      </c>
      <c r="H44" s="12">
        <v>403482</v>
      </c>
      <c r="I44" s="12">
        <v>2853430</v>
      </c>
      <c r="J44" s="12">
        <v>2992947</v>
      </c>
      <c r="K44" s="12">
        <v>388744</v>
      </c>
      <c r="L44" s="12">
        <v>3381691</v>
      </c>
      <c r="M44" s="12">
        <v>3755467</v>
      </c>
      <c r="N44" s="12">
        <v>483406</v>
      </c>
      <c r="O44" s="12">
        <v>4238873</v>
      </c>
      <c r="P44" s="12">
        <v>4291574</v>
      </c>
      <c r="Q44" s="12">
        <v>526427</v>
      </c>
      <c r="R44" s="12">
        <v>4818001</v>
      </c>
    </row>
    <row r="45" spans="1:18" ht="45" customHeight="1" x14ac:dyDescent="0.2">
      <c r="C45" s="10" t="s">
        <v>15</v>
      </c>
      <c r="D45" s="12">
        <v>1720554</v>
      </c>
      <c r="E45" s="12">
        <v>334995</v>
      </c>
      <c r="F45" s="12">
        <v>2055549</v>
      </c>
      <c r="G45" s="12">
        <v>1353280</v>
      </c>
      <c r="H45" s="12">
        <v>346669</v>
      </c>
      <c r="I45" s="12">
        <v>1699949</v>
      </c>
      <c r="J45" s="12">
        <v>1652795</v>
      </c>
      <c r="K45" s="12">
        <v>340534</v>
      </c>
      <c r="L45" s="12">
        <v>1993329</v>
      </c>
      <c r="M45" s="12">
        <v>1966277</v>
      </c>
      <c r="N45" s="12">
        <v>439481</v>
      </c>
      <c r="O45" s="12">
        <v>2405758</v>
      </c>
      <c r="P45" s="12">
        <v>2190622</v>
      </c>
      <c r="Q45" s="12">
        <v>502529</v>
      </c>
      <c r="R45" s="12">
        <v>2693151</v>
      </c>
    </row>
    <row r="46" spans="1:18" ht="45" customHeight="1" x14ac:dyDescent="0.2">
      <c r="C46" s="10" t="s">
        <v>16</v>
      </c>
      <c r="D46" s="12">
        <v>1464791</v>
      </c>
      <c r="E46" s="12">
        <v>355086</v>
      </c>
      <c r="F46" s="12">
        <v>1819877</v>
      </c>
      <c r="G46" s="12">
        <v>1302157</v>
      </c>
      <c r="H46" s="12">
        <v>379828</v>
      </c>
      <c r="I46" s="12">
        <v>1681985</v>
      </c>
      <c r="J46" s="12">
        <v>1703789</v>
      </c>
      <c r="K46" s="12">
        <v>373351</v>
      </c>
      <c r="L46" s="12">
        <v>2077140</v>
      </c>
      <c r="M46" s="12">
        <v>1950705</v>
      </c>
      <c r="N46" s="12">
        <v>484111</v>
      </c>
      <c r="O46" s="12">
        <v>2434816</v>
      </c>
      <c r="P46" s="12">
        <v>2147878</v>
      </c>
      <c r="Q46" s="12">
        <v>523633</v>
      </c>
      <c r="R46" s="12">
        <v>2671511</v>
      </c>
    </row>
    <row r="47" spans="1:18" ht="42" customHeight="1" x14ac:dyDescent="0.2">
      <c r="C47" s="10" t="s">
        <v>17</v>
      </c>
      <c r="D47" s="15">
        <v>36244632</v>
      </c>
      <c r="E47" s="15">
        <v>4869437</v>
      </c>
      <c r="F47" s="15">
        <v>41114069</v>
      </c>
      <c r="G47" s="15">
        <v>25352213</v>
      </c>
      <c r="H47" s="15">
        <v>5554467</v>
      </c>
      <c r="I47" s="15">
        <v>30906680</v>
      </c>
      <c r="J47" s="15">
        <v>32410034</v>
      </c>
      <c r="K47" s="15">
        <v>5559790</v>
      </c>
      <c r="L47" s="15">
        <v>37969824</v>
      </c>
      <c r="M47" s="15">
        <v>39488401</v>
      </c>
      <c r="N47" s="15">
        <v>6624191</v>
      </c>
      <c r="O47" s="15">
        <v>46112592</v>
      </c>
      <c r="P47" s="15">
        <v>45058286</v>
      </c>
      <c r="Q47" s="15">
        <v>6688913</v>
      </c>
      <c r="R47" s="15">
        <v>51747199</v>
      </c>
    </row>
    <row r="48" spans="1:18" s="2" customFormat="1" ht="11.25" customHeight="1" x14ac:dyDescent="0.2">
      <c r="A48" s="9"/>
      <c r="C48" s="7"/>
      <c r="D48" s="5"/>
      <c r="E48" s="5"/>
      <c r="F48" s="5"/>
      <c r="G48" s="5"/>
      <c r="H48" s="5"/>
      <c r="I48" s="5"/>
      <c r="J48" s="5"/>
      <c r="K48" s="5"/>
      <c r="L48" s="5"/>
      <c r="M48" s="5"/>
      <c r="N48" s="5"/>
      <c r="O48" s="5"/>
      <c r="P48" s="5"/>
      <c r="Q48" s="5"/>
      <c r="R48" s="5"/>
    </row>
    <row r="49" spans="1:18" s="2" customFormat="1" ht="19.5" customHeight="1" x14ac:dyDescent="0.2">
      <c r="A49" s="9"/>
      <c r="C49" s="558" t="s">
        <v>18</v>
      </c>
      <c r="D49" s="559"/>
      <c r="E49" s="559"/>
      <c r="F49" s="559"/>
      <c r="G49" s="559"/>
      <c r="H49" s="559"/>
      <c r="I49" s="559"/>
      <c r="J49" s="559"/>
      <c r="K49" s="559"/>
      <c r="L49" s="559"/>
      <c r="M49" s="559"/>
      <c r="N49" s="559"/>
      <c r="O49" s="559"/>
      <c r="P49" s="559"/>
      <c r="Q49" s="559"/>
      <c r="R49" s="559"/>
    </row>
    <row r="50" spans="1:18" s="2" customFormat="1" ht="19.5" customHeight="1" x14ac:dyDescent="0.2">
      <c r="A50" s="9"/>
      <c r="C50" s="558" t="s">
        <v>19</v>
      </c>
      <c r="D50" s="559"/>
      <c r="E50" s="559"/>
      <c r="F50" s="559"/>
      <c r="G50" s="559"/>
      <c r="H50" s="559"/>
      <c r="I50" s="559"/>
      <c r="J50" s="559"/>
      <c r="K50" s="559"/>
      <c r="L50" s="559"/>
      <c r="M50" s="559"/>
      <c r="N50" s="559"/>
      <c r="O50" s="559"/>
      <c r="P50" s="559"/>
      <c r="Q50" s="559"/>
      <c r="R50" s="559"/>
    </row>
  </sheetData>
  <mergeCells count="20">
    <mergeCell ref="M4:O4"/>
    <mergeCell ref="P4:R4"/>
    <mergeCell ref="C50:R50"/>
    <mergeCell ref="C49:R49"/>
    <mergeCell ref="C1:R1"/>
    <mergeCell ref="M33:O33"/>
    <mergeCell ref="P33:R33"/>
    <mergeCell ref="D3:R3"/>
    <mergeCell ref="D32:R32"/>
    <mergeCell ref="D33:F33"/>
    <mergeCell ref="G33:I33"/>
    <mergeCell ref="J33:L33"/>
    <mergeCell ref="C32:C34"/>
    <mergeCell ref="C20:R20"/>
    <mergeCell ref="C21:R21"/>
    <mergeCell ref="D4:F4"/>
    <mergeCell ref="G4:I4"/>
    <mergeCell ref="J4:L4"/>
    <mergeCell ref="C3:C5"/>
    <mergeCell ref="C30:R30"/>
  </mergeCells>
  <printOptions horizontalCentered="1"/>
  <pageMargins left="0.70866141732283472" right="0.70866141732283472" top="0.74803149606299213" bottom="0.74803149606299213" header="0.31496062992125984" footer="0.31496062992125984"/>
  <pageSetup paperSize="9" scale="60"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L19"/>
  <sheetViews>
    <sheetView view="pageBreakPreview" zoomScaleNormal="100" zoomScaleSheetLayoutView="100" workbookViewId="0">
      <selection activeCell="A4" sqref="A4"/>
    </sheetView>
  </sheetViews>
  <sheetFormatPr defaultColWidth="9.140625" defaultRowHeight="12.75" x14ac:dyDescent="0.2"/>
  <cols>
    <col min="1" max="1" width="9.140625" style="14"/>
    <col min="2" max="2" width="15.85546875" style="8" customWidth="1"/>
    <col min="3" max="12" width="15.85546875" customWidth="1"/>
  </cols>
  <sheetData>
    <row r="1" spans="2:12" ht="30" customHeight="1" x14ac:dyDescent="0.2">
      <c r="B1" s="553" t="s">
        <v>624</v>
      </c>
      <c r="C1" s="560"/>
      <c r="D1" s="560"/>
      <c r="E1" s="560"/>
      <c r="F1" s="560"/>
      <c r="G1" s="560"/>
      <c r="H1" s="560"/>
      <c r="I1" s="560"/>
      <c r="J1" s="560"/>
      <c r="K1" s="560"/>
      <c r="L1" s="560"/>
    </row>
    <row r="2" spans="2:12" s="14" customFormat="1" ht="14.25" customHeight="1" x14ac:dyDescent="0.2">
      <c r="B2" s="16"/>
      <c r="C2" s="6"/>
      <c r="D2" s="6"/>
      <c r="E2" s="6"/>
      <c r="F2" s="6"/>
      <c r="G2" s="6"/>
      <c r="H2" s="6"/>
      <c r="I2" s="6"/>
      <c r="J2" s="6"/>
      <c r="K2" s="6"/>
      <c r="L2" s="6"/>
    </row>
    <row r="3" spans="2:12" ht="30" customHeight="1" x14ac:dyDescent="0.2">
      <c r="B3" s="564" t="s">
        <v>263</v>
      </c>
      <c r="C3" s="561" t="s">
        <v>1</v>
      </c>
      <c r="D3" s="561"/>
      <c r="E3" s="561"/>
      <c r="F3" s="561"/>
      <c r="G3" s="561"/>
      <c r="H3" s="561"/>
      <c r="I3" s="561"/>
      <c r="J3" s="561"/>
      <c r="K3" s="561"/>
      <c r="L3" s="561"/>
    </row>
    <row r="4" spans="2:12" ht="30" customHeight="1" x14ac:dyDescent="0.2">
      <c r="B4" s="565"/>
      <c r="C4" s="11">
        <v>2010</v>
      </c>
      <c r="D4" s="11">
        <v>2011</v>
      </c>
      <c r="E4" s="11">
        <v>2012</v>
      </c>
      <c r="F4" s="11">
        <v>2013</v>
      </c>
      <c r="G4" s="11">
        <v>2014</v>
      </c>
      <c r="H4" s="11">
        <v>2015</v>
      </c>
      <c r="I4" s="11">
        <v>2016</v>
      </c>
      <c r="J4" s="11">
        <v>2017</v>
      </c>
      <c r="K4" s="11">
        <v>2018</v>
      </c>
      <c r="L4" s="11">
        <v>2019</v>
      </c>
    </row>
    <row r="5" spans="2:12" ht="30" customHeight="1" x14ac:dyDescent="0.2">
      <c r="B5" s="233" t="s">
        <v>5</v>
      </c>
      <c r="C5" s="234">
        <v>7100</v>
      </c>
      <c r="D5" s="234">
        <v>12998</v>
      </c>
      <c r="E5" s="234">
        <v>6706</v>
      </c>
      <c r="F5" s="234">
        <v>21853</v>
      </c>
      <c r="G5" s="234">
        <v>15453</v>
      </c>
      <c r="H5" s="234">
        <v>13974</v>
      </c>
      <c r="I5" s="234">
        <v>4041</v>
      </c>
      <c r="J5" s="234">
        <v>4726</v>
      </c>
      <c r="K5" s="234">
        <v>5021</v>
      </c>
      <c r="L5" s="234">
        <v>8357</v>
      </c>
    </row>
    <row r="6" spans="2:12" ht="30" customHeight="1" x14ac:dyDescent="0.2">
      <c r="B6" s="233" t="s">
        <v>6</v>
      </c>
      <c r="C6" s="234">
        <v>8419</v>
      </c>
      <c r="D6" s="234">
        <v>18793</v>
      </c>
      <c r="E6" s="234">
        <v>8215</v>
      </c>
      <c r="F6" s="234">
        <v>15488</v>
      </c>
      <c r="G6" s="234">
        <v>10917</v>
      </c>
      <c r="H6" s="234">
        <v>12514</v>
      </c>
      <c r="I6" s="234">
        <v>3965</v>
      </c>
      <c r="J6" s="234">
        <v>3624</v>
      </c>
      <c r="K6" s="234">
        <v>4541</v>
      </c>
      <c r="L6" s="234">
        <v>9460</v>
      </c>
    </row>
    <row r="7" spans="2:12" ht="30" customHeight="1" x14ac:dyDescent="0.2">
      <c r="B7" s="233" t="s">
        <v>7</v>
      </c>
      <c r="C7" s="234">
        <v>27362</v>
      </c>
      <c r="D7" s="234">
        <v>48145</v>
      </c>
      <c r="E7" s="234">
        <v>21721</v>
      </c>
      <c r="F7" s="234">
        <v>40405</v>
      </c>
      <c r="G7" s="234">
        <v>16701</v>
      </c>
      <c r="H7" s="234">
        <v>24962</v>
      </c>
      <c r="I7" s="234">
        <v>21660</v>
      </c>
      <c r="J7" s="234">
        <v>9695</v>
      </c>
      <c r="K7" s="234">
        <v>6480</v>
      </c>
      <c r="L7" s="234">
        <v>14444</v>
      </c>
    </row>
    <row r="8" spans="2:12" ht="30" customHeight="1" x14ac:dyDescent="0.2">
      <c r="B8" s="233" t="s">
        <v>8</v>
      </c>
      <c r="C8" s="234">
        <v>99248</v>
      </c>
      <c r="D8" s="234">
        <v>122211</v>
      </c>
      <c r="E8" s="234">
        <v>88537</v>
      </c>
      <c r="F8" s="234">
        <v>137605</v>
      </c>
      <c r="G8" s="234">
        <v>104964</v>
      </c>
      <c r="H8" s="234">
        <v>114747</v>
      </c>
      <c r="I8" s="234">
        <v>46367</v>
      </c>
      <c r="J8" s="234">
        <v>34193</v>
      </c>
      <c r="K8" s="234">
        <v>15136</v>
      </c>
      <c r="L8" s="234">
        <v>34930</v>
      </c>
    </row>
    <row r="9" spans="2:12" ht="30" customHeight="1" x14ac:dyDescent="0.2">
      <c r="B9" s="233" t="s">
        <v>9</v>
      </c>
      <c r="C9" s="234">
        <v>205116</v>
      </c>
      <c r="D9" s="234">
        <v>234893</v>
      </c>
      <c r="E9" s="234">
        <v>236924</v>
      </c>
      <c r="F9" s="234">
        <v>232944</v>
      </c>
      <c r="G9" s="234">
        <v>202729</v>
      </c>
      <c r="H9" s="234">
        <v>188855</v>
      </c>
      <c r="I9" s="234">
        <v>96034</v>
      </c>
      <c r="J9" s="234">
        <v>47873</v>
      </c>
      <c r="K9" s="234">
        <v>38906</v>
      </c>
      <c r="L9" s="234">
        <v>59617</v>
      </c>
    </row>
    <row r="10" spans="2:12" ht="30" customHeight="1" x14ac:dyDescent="0.2">
      <c r="B10" s="233" t="s">
        <v>10</v>
      </c>
      <c r="C10" s="234">
        <v>246251</v>
      </c>
      <c r="D10" s="234">
        <v>244207</v>
      </c>
      <c r="E10" s="234">
        <v>271396</v>
      </c>
      <c r="F10" s="234">
        <v>221783</v>
      </c>
      <c r="G10" s="234">
        <v>212714</v>
      </c>
      <c r="H10" s="234">
        <v>226200</v>
      </c>
      <c r="I10" s="234">
        <v>104350</v>
      </c>
      <c r="J10" s="234">
        <v>42100</v>
      </c>
      <c r="K10" s="234">
        <v>42223</v>
      </c>
      <c r="L10" s="234">
        <v>61235</v>
      </c>
    </row>
    <row r="11" spans="2:12" ht="30" customHeight="1" x14ac:dyDescent="0.2">
      <c r="B11" s="233" t="s">
        <v>11</v>
      </c>
      <c r="C11" s="234">
        <v>208556</v>
      </c>
      <c r="D11" s="234">
        <v>310758</v>
      </c>
      <c r="E11" s="234">
        <v>326337</v>
      </c>
      <c r="F11" s="234">
        <v>295937</v>
      </c>
      <c r="G11" s="234">
        <v>291479</v>
      </c>
      <c r="H11" s="234">
        <v>251248</v>
      </c>
      <c r="I11" s="234">
        <v>69574</v>
      </c>
      <c r="J11" s="234">
        <v>46752</v>
      </c>
      <c r="K11" s="234">
        <v>54386</v>
      </c>
      <c r="L11" s="234">
        <v>78952</v>
      </c>
    </row>
    <row r="12" spans="2:12" ht="30" customHeight="1" x14ac:dyDescent="0.2">
      <c r="B12" s="233" t="s">
        <v>12</v>
      </c>
      <c r="C12" s="234">
        <v>246677</v>
      </c>
      <c r="D12" s="234">
        <v>326367</v>
      </c>
      <c r="E12" s="234">
        <v>319546</v>
      </c>
      <c r="F12" s="234">
        <v>315626</v>
      </c>
      <c r="G12" s="234">
        <v>284514</v>
      </c>
      <c r="H12" s="234">
        <v>247621</v>
      </c>
      <c r="I12" s="234">
        <v>84306</v>
      </c>
      <c r="J12" s="234">
        <v>53414</v>
      </c>
      <c r="K12" s="234">
        <v>59442</v>
      </c>
      <c r="L12" s="234">
        <v>86741</v>
      </c>
    </row>
    <row r="13" spans="2:12" ht="30" customHeight="1" x14ac:dyDescent="0.2">
      <c r="B13" s="233" t="s">
        <v>13</v>
      </c>
      <c r="C13" s="234">
        <v>234933</v>
      </c>
      <c r="D13" s="234">
        <v>320661</v>
      </c>
      <c r="E13" s="234">
        <v>312275</v>
      </c>
      <c r="F13" s="234">
        <v>304676</v>
      </c>
      <c r="G13" s="234">
        <v>271349</v>
      </c>
      <c r="H13" s="234">
        <v>248214</v>
      </c>
      <c r="I13" s="234">
        <v>84518</v>
      </c>
      <c r="J13" s="234">
        <v>61211</v>
      </c>
      <c r="K13" s="234">
        <v>52702</v>
      </c>
      <c r="L13" s="234">
        <v>78086</v>
      </c>
    </row>
    <row r="14" spans="2:12" ht="30" customHeight="1" x14ac:dyDescent="0.2">
      <c r="B14" s="233" t="s">
        <v>14</v>
      </c>
      <c r="C14" s="234">
        <v>234096</v>
      </c>
      <c r="D14" s="234">
        <v>303589</v>
      </c>
      <c r="E14" s="234">
        <v>274769</v>
      </c>
      <c r="F14" s="234">
        <v>343172</v>
      </c>
      <c r="G14" s="234">
        <v>298008</v>
      </c>
      <c r="H14" s="234">
        <v>222569</v>
      </c>
      <c r="I14" s="234">
        <v>80478</v>
      </c>
      <c r="J14" s="234">
        <v>40720</v>
      </c>
      <c r="K14" s="234">
        <v>49386</v>
      </c>
      <c r="L14" s="234">
        <v>55243</v>
      </c>
    </row>
    <row r="15" spans="2:12" ht="30" customHeight="1" x14ac:dyDescent="0.2">
      <c r="B15" s="233" t="s">
        <v>15</v>
      </c>
      <c r="C15" s="234">
        <v>96909</v>
      </c>
      <c r="D15" s="234">
        <v>155023</v>
      </c>
      <c r="E15" s="234">
        <v>127961</v>
      </c>
      <c r="F15" s="234">
        <v>114250</v>
      </c>
      <c r="G15" s="234">
        <v>80806</v>
      </c>
      <c r="H15" s="234">
        <v>75058</v>
      </c>
      <c r="I15" s="234">
        <v>17524</v>
      </c>
      <c r="J15" s="234">
        <v>16432</v>
      </c>
      <c r="K15" s="234">
        <v>9676</v>
      </c>
      <c r="L15" s="234">
        <v>35051</v>
      </c>
    </row>
    <row r="16" spans="2:12" ht="30" customHeight="1" x14ac:dyDescent="0.2">
      <c r="B16" s="233" t="s">
        <v>16</v>
      </c>
      <c r="C16" s="234">
        <v>18637</v>
      </c>
      <c r="D16" s="234">
        <v>17518</v>
      </c>
      <c r="E16" s="234">
        <v>22938</v>
      </c>
      <c r="F16" s="234">
        <v>22124</v>
      </c>
      <c r="G16" s="234">
        <v>26368</v>
      </c>
      <c r="H16" s="234">
        <v>9733</v>
      </c>
      <c r="I16" s="234">
        <v>5074</v>
      </c>
      <c r="J16" s="234">
        <v>7838</v>
      </c>
      <c r="K16" s="234">
        <v>6979</v>
      </c>
      <c r="L16" s="234">
        <v>33201</v>
      </c>
    </row>
    <row r="17" spans="2:12" ht="30" customHeight="1" x14ac:dyDescent="0.2">
      <c r="B17" s="235" t="s">
        <v>17</v>
      </c>
      <c r="C17" s="236">
        <v>1633304</v>
      </c>
      <c r="D17" s="236">
        <v>2115163</v>
      </c>
      <c r="E17" s="236">
        <v>2017325</v>
      </c>
      <c r="F17" s="236">
        <v>2065863</v>
      </c>
      <c r="G17" s="236">
        <v>1816002</v>
      </c>
      <c r="H17" s="236">
        <v>1635695</v>
      </c>
      <c r="I17" s="236">
        <v>617891</v>
      </c>
      <c r="J17" s="236">
        <v>368578</v>
      </c>
      <c r="K17" s="236">
        <v>344878</v>
      </c>
      <c r="L17" s="236">
        <v>555317</v>
      </c>
    </row>
    <row r="18" spans="2:12" s="14" customFormat="1" ht="30" customHeight="1" x14ac:dyDescent="0.2">
      <c r="B18" s="237"/>
      <c r="C18" s="238"/>
      <c r="D18" s="238"/>
      <c r="E18" s="238"/>
      <c r="F18" s="238"/>
      <c r="G18" s="238"/>
      <c r="H18" s="238"/>
      <c r="I18" s="238"/>
      <c r="J18" s="238"/>
      <c r="K18" s="238"/>
      <c r="L18" s="238"/>
    </row>
    <row r="19" spans="2:12" ht="30" customHeight="1" x14ac:dyDescent="0.25">
      <c r="B19" s="562" t="s">
        <v>18</v>
      </c>
      <c r="C19" s="563"/>
      <c r="D19" s="563"/>
      <c r="E19" s="563"/>
      <c r="F19" s="563"/>
      <c r="G19" s="563"/>
      <c r="H19" s="563"/>
      <c r="I19" s="563"/>
      <c r="J19" s="563"/>
      <c r="K19" s="563"/>
      <c r="L19" s="563"/>
    </row>
  </sheetData>
  <mergeCells count="4">
    <mergeCell ref="B1:L1"/>
    <mergeCell ref="C3:L3"/>
    <mergeCell ref="B19:L19"/>
    <mergeCell ref="B3:B4"/>
  </mergeCells>
  <printOptions horizontalCentered="1"/>
  <pageMargins left="0.70866141732283472" right="0.70866141732283472" top="0.74803149606299213" bottom="0.74803149606299213" header="0.31496062992125984" footer="0.31496062992125984"/>
  <pageSetup paperSize="9" scale="7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S251"/>
  <sheetViews>
    <sheetView view="pageBreakPreview" zoomScaleNormal="100" zoomScaleSheetLayoutView="100" workbookViewId="0">
      <selection activeCell="A6" sqref="A6"/>
    </sheetView>
  </sheetViews>
  <sheetFormatPr defaultColWidth="9.140625" defaultRowHeight="12.75" x14ac:dyDescent="0.2"/>
  <cols>
    <col min="1" max="1" width="9.140625" style="18"/>
    <col min="2" max="2" width="38.7109375" customWidth="1"/>
    <col min="3" max="17" width="9.140625" bestFit="1" customWidth="1"/>
  </cols>
  <sheetData>
    <row r="1" spans="2:19" ht="16.5" customHeight="1" x14ac:dyDescent="0.25">
      <c r="B1" s="566" t="s">
        <v>709</v>
      </c>
      <c r="C1" s="567"/>
      <c r="D1" s="567"/>
      <c r="E1" s="567"/>
      <c r="F1" s="567"/>
      <c r="G1" s="567"/>
      <c r="H1" s="567"/>
      <c r="I1" s="567"/>
      <c r="J1" s="567"/>
      <c r="K1" s="567"/>
      <c r="L1" s="567"/>
      <c r="M1" s="567"/>
      <c r="N1" s="567"/>
      <c r="O1" s="567"/>
      <c r="P1" s="567"/>
      <c r="Q1" s="567"/>
    </row>
    <row r="2" spans="2:19" s="18" customFormat="1" ht="6" customHeight="1" x14ac:dyDescent="0.2">
      <c r="B2" s="19"/>
    </row>
    <row r="3" spans="2:19" ht="12.75" customHeight="1" x14ac:dyDescent="0.2">
      <c r="B3" s="17" t="s">
        <v>265</v>
      </c>
      <c r="C3" s="22">
        <v>2004</v>
      </c>
      <c r="D3" s="22">
        <v>2005</v>
      </c>
      <c r="E3" s="22">
        <v>2006</v>
      </c>
      <c r="F3" s="22">
        <v>2007</v>
      </c>
      <c r="G3" s="22">
        <v>2008</v>
      </c>
      <c r="H3" s="22">
        <v>2009</v>
      </c>
      <c r="I3" s="22">
        <v>2010</v>
      </c>
      <c r="J3" s="22">
        <v>2011</v>
      </c>
      <c r="K3" s="22">
        <v>2012</v>
      </c>
      <c r="L3" s="22">
        <v>2013</v>
      </c>
      <c r="M3" s="22">
        <v>2014</v>
      </c>
      <c r="N3" s="22">
        <v>2015</v>
      </c>
      <c r="O3" s="22">
        <v>2016</v>
      </c>
      <c r="P3" s="22">
        <v>2017</v>
      </c>
      <c r="Q3" s="22">
        <v>2018</v>
      </c>
      <c r="R3" s="22">
        <v>2019</v>
      </c>
    </row>
    <row r="4" spans="2:19" ht="12.75" customHeight="1" x14ac:dyDescent="0.2">
      <c r="B4" s="17" t="s">
        <v>729</v>
      </c>
      <c r="C4" s="533" t="s">
        <v>585</v>
      </c>
      <c r="D4" s="533" t="s">
        <v>585</v>
      </c>
      <c r="E4" s="533" t="s">
        <v>585</v>
      </c>
      <c r="F4" s="533" t="s">
        <v>585</v>
      </c>
      <c r="G4" s="533" t="s">
        <v>585</v>
      </c>
      <c r="H4" s="533" t="s">
        <v>585</v>
      </c>
      <c r="I4" s="533" t="s">
        <v>585</v>
      </c>
      <c r="J4" s="533" t="s">
        <v>585</v>
      </c>
      <c r="K4" s="533" t="s">
        <v>585</v>
      </c>
      <c r="L4" s="533" t="s">
        <v>585</v>
      </c>
      <c r="M4" s="533" t="s">
        <v>585</v>
      </c>
      <c r="N4" s="533" t="s">
        <v>585</v>
      </c>
      <c r="O4" s="533" t="s">
        <v>585</v>
      </c>
      <c r="P4" s="533">
        <v>1</v>
      </c>
      <c r="Q4" s="533" t="s">
        <v>585</v>
      </c>
      <c r="R4" s="533" t="s">
        <v>585</v>
      </c>
      <c r="S4" s="531"/>
    </row>
    <row r="5" spans="2:19" ht="12.75" customHeight="1" x14ac:dyDescent="0.2">
      <c r="B5" s="23" t="s">
        <v>20</v>
      </c>
      <c r="C5" s="196">
        <v>4243</v>
      </c>
      <c r="D5" s="196">
        <v>5939</v>
      </c>
      <c r="E5" s="196">
        <v>14541</v>
      </c>
      <c r="F5" s="196">
        <v>16919</v>
      </c>
      <c r="G5" s="196">
        <v>11473</v>
      </c>
      <c r="H5" s="196">
        <v>21508</v>
      </c>
      <c r="I5" s="196">
        <v>12511</v>
      </c>
      <c r="J5" s="196">
        <v>16395</v>
      </c>
      <c r="K5" s="196">
        <v>15373</v>
      </c>
      <c r="L5" s="196">
        <v>19704</v>
      </c>
      <c r="M5" s="196">
        <v>22599</v>
      </c>
      <c r="N5" s="196">
        <v>31983</v>
      </c>
      <c r="O5" s="196">
        <v>50197</v>
      </c>
      <c r="P5" s="196">
        <v>48668</v>
      </c>
      <c r="Q5" s="196">
        <v>56543</v>
      </c>
      <c r="R5" s="196">
        <v>68681</v>
      </c>
    </row>
    <row r="6" spans="2:19" ht="12.75" customHeight="1" x14ac:dyDescent="0.2">
      <c r="B6" s="23" t="s">
        <v>21</v>
      </c>
      <c r="C6" s="196">
        <v>3983899</v>
      </c>
      <c r="D6" s="196">
        <v>4243584</v>
      </c>
      <c r="E6" s="196">
        <v>3762475</v>
      </c>
      <c r="F6" s="196">
        <v>4149805</v>
      </c>
      <c r="G6" s="196">
        <v>4415525</v>
      </c>
      <c r="H6" s="196">
        <v>4488350</v>
      </c>
      <c r="I6" s="196">
        <v>4385263</v>
      </c>
      <c r="J6" s="196">
        <v>4826315</v>
      </c>
      <c r="K6" s="196">
        <v>5028745</v>
      </c>
      <c r="L6" s="196">
        <v>5041323</v>
      </c>
      <c r="M6" s="196">
        <v>5250036</v>
      </c>
      <c r="N6" s="196">
        <v>5580792</v>
      </c>
      <c r="O6" s="196">
        <v>3890074</v>
      </c>
      <c r="P6" s="196">
        <v>3584653</v>
      </c>
      <c r="Q6" s="196">
        <v>4512360</v>
      </c>
      <c r="R6" s="196">
        <v>5027472</v>
      </c>
    </row>
    <row r="7" spans="2:19" ht="12.75" customHeight="1" x14ac:dyDescent="0.2">
      <c r="B7" s="23" t="s">
        <v>22</v>
      </c>
      <c r="C7" s="196">
        <v>291102</v>
      </c>
      <c r="D7" s="196">
        <v>434991</v>
      </c>
      <c r="E7" s="196">
        <v>532419</v>
      </c>
      <c r="F7" s="196">
        <v>642911</v>
      </c>
      <c r="G7" s="196">
        <v>679445</v>
      </c>
      <c r="H7" s="196">
        <v>667159</v>
      </c>
      <c r="I7" s="196">
        <v>642768</v>
      </c>
      <c r="J7" s="196">
        <v>757143</v>
      </c>
      <c r="K7" s="196">
        <v>771837</v>
      </c>
      <c r="L7" s="196">
        <v>785971</v>
      </c>
      <c r="M7" s="196">
        <v>784917</v>
      </c>
      <c r="N7" s="196">
        <v>798787</v>
      </c>
      <c r="O7" s="196">
        <v>459493</v>
      </c>
      <c r="P7" s="196">
        <v>329257</v>
      </c>
      <c r="Q7" s="196">
        <v>448327</v>
      </c>
      <c r="R7" s="196">
        <v>578074</v>
      </c>
    </row>
    <row r="8" spans="2:19" ht="12.75" customHeight="1" x14ac:dyDescent="0.2">
      <c r="B8" s="23" t="s">
        <v>23</v>
      </c>
      <c r="C8" s="196" t="s">
        <v>585</v>
      </c>
      <c r="D8" s="196">
        <v>65</v>
      </c>
      <c r="E8" s="196" t="s">
        <v>585</v>
      </c>
      <c r="F8" s="196" t="s">
        <v>585</v>
      </c>
      <c r="G8" s="196" t="s">
        <v>585</v>
      </c>
      <c r="H8" s="196" t="s">
        <v>585</v>
      </c>
      <c r="I8" s="196" t="s">
        <v>585</v>
      </c>
      <c r="J8" s="196" t="s">
        <v>585</v>
      </c>
      <c r="K8" s="196">
        <v>2734</v>
      </c>
      <c r="L8" s="196">
        <v>120</v>
      </c>
      <c r="M8" s="196" t="s">
        <v>585</v>
      </c>
      <c r="N8" s="196" t="s">
        <v>585</v>
      </c>
      <c r="O8" s="196">
        <v>1</v>
      </c>
      <c r="P8" s="196">
        <v>12</v>
      </c>
      <c r="Q8" s="196" t="s">
        <v>585</v>
      </c>
      <c r="R8" s="196" t="s">
        <v>585</v>
      </c>
    </row>
    <row r="9" spans="2:19" ht="12.75" customHeight="1" x14ac:dyDescent="0.2">
      <c r="B9" s="23" t="s">
        <v>24</v>
      </c>
      <c r="C9" s="196">
        <v>92</v>
      </c>
      <c r="D9" s="196">
        <v>305</v>
      </c>
      <c r="E9" s="196">
        <v>232</v>
      </c>
      <c r="F9" s="196">
        <v>296</v>
      </c>
      <c r="G9" s="196">
        <v>340</v>
      </c>
      <c r="H9" s="196">
        <v>568</v>
      </c>
      <c r="I9" s="196">
        <v>498</v>
      </c>
      <c r="J9" s="196">
        <v>402</v>
      </c>
      <c r="K9" s="196">
        <v>356</v>
      </c>
      <c r="L9" s="196">
        <v>415</v>
      </c>
      <c r="M9" s="196">
        <v>421</v>
      </c>
      <c r="N9" s="196">
        <v>321</v>
      </c>
      <c r="O9" s="196">
        <v>126</v>
      </c>
      <c r="P9" s="196">
        <v>148</v>
      </c>
      <c r="Q9" s="196">
        <v>317</v>
      </c>
      <c r="R9" s="196">
        <v>879</v>
      </c>
    </row>
    <row r="10" spans="2:19" ht="12.75" customHeight="1" x14ac:dyDescent="0.2">
      <c r="B10" s="23" t="s">
        <v>25</v>
      </c>
      <c r="C10" s="196">
        <v>45</v>
      </c>
      <c r="D10" s="196">
        <v>82</v>
      </c>
      <c r="E10" s="196">
        <v>164</v>
      </c>
      <c r="F10" s="196">
        <v>621</v>
      </c>
      <c r="G10" s="196">
        <v>290</v>
      </c>
      <c r="H10" s="196">
        <v>391</v>
      </c>
      <c r="I10" s="196">
        <v>375</v>
      </c>
      <c r="J10" s="196">
        <v>796</v>
      </c>
      <c r="K10" s="196">
        <v>857</v>
      </c>
      <c r="L10" s="196">
        <v>1458</v>
      </c>
      <c r="M10" s="196">
        <v>2526</v>
      </c>
      <c r="N10" s="196">
        <v>2019</v>
      </c>
      <c r="O10" s="196">
        <v>1404</v>
      </c>
      <c r="P10" s="196">
        <v>2015</v>
      </c>
      <c r="Q10" s="196">
        <v>3432</v>
      </c>
      <c r="R10" s="196">
        <v>7719</v>
      </c>
    </row>
    <row r="11" spans="2:19" ht="12.75" customHeight="1" x14ac:dyDescent="0.2">
      <c r="B11" s="23" t="s">
        <v>26</v>
      </c>
      <c r="C11" s="196">
        <v>1</v>
      </c>
      <c r="D11" s="196">
        <v>1</v>
      </c>
      <c r="E11" s="196" t="s">
        <v>585</v>
      </c>
      <c r="F11" s="196" t="s">
        <v>585</v>
      </c>
      <c r="G11" s="196" t="s">
        <v>585</v>
      </c>
      <c r="H11" s="196" t="s">
        <v>585</v>
      </c>
      <c r="I11" s="196" t="s">
        <v>585</v>
      </c>
      <c r="J11" s="196" t="s">
        <v>585</v>
      </c>
      <c r="K11" s="196" t="s">
        <v>585</v>
      </c>
      <c r="L11" s="196" t="s">
        <v>585</v>
      </c>
      <c r="M11" s="196" t="s">
        <v>585</v>
      </c>
      <c r="N11" s="196" t="s">
        <v>585</v>
      </c>
      <c r="O11" s="196">
        <v>32</v>
      </c>
      <c r="P11" s="196">
        <v>12</v>
      </c>
      <c r="Q11" s="196" t="s">
        <v>585</v>
      </c>
      <c r="R11" s="196" t="s">
        <v>585</v>
      </c>
    </row>
    <row r="12" spans="2:19" ht="12.75" customHeight="1" x14ac:dyDescent="0.2">
      <c r="B12" s="23" t="s">
        <v>27</v>
      </c>
      <c r="C12" s="196">
        <v>5</v>
      </c>
      <c r="D12" s="196">
        <v>43</v>
      </c>
      <c r="E12" s="196">
        <v>67</v>
      </c>
      <c r="F12" s="196">
        <v>25</v>
      </c>
      <c r="G12" s="196">
        <v>68</v>
      </c>
      <c r="H12" s="196">
        <v>14</v>
      </c>
      <c r="I12" s="196">
        <v>27</v>
      </c>
      <c r="J12" s="196">
        <v>27</v>
      </c>
      <c r="K12" s="196">
        <v>45</v>
      </c>
      <c r="L12" s="196">
        <v>50</v>
      </c>
      <c r="M12" s="196">
        <v>59</v>
      </c>
      <c r="N12" s="196">
        <v>48</v>
      </c>
      <c r="O12" s="196">
        <v>197</v>
      </c>
      <c r="P12" s="196">
        <v>393</v>
      </c>
      <c r="Q12" s="196">
        <v>494</v>
      </c>
      <c r="R12" s="196">
        <v>632</v>
      </c>
    </row>
    <row r="13" spans="2:19" ht="12.75" customHeight="1" x14ac:dyDescent="0.2">
      <c r="B13" s="23" t="s">
        <v>28</v>
      </c>
      <c r="C13" s="196">
        <v>5796</v>
      </c>
      <c r="D13" s="196">
        <v>10265</v>
      </c>
      <c r="E13" s="196">
        <v>11474</v>
      </c>
      <c r="F13" s="196">
        <v>14600</v>
      </c>
      <c r="G13" s="196">
        <v>18599</v>
      </c>
      <c r="H13" s="196">
        <v>20578</v>
      </c>
      <c r="I13" s="196">
        <v>22255</v>
      </c>
      <c r="J13" s="196">
        <v>27136</v>
      </c>
      <c r="K13" s="196">
        <v>28559</v>
      </c>
      <c r="L13" s="196">
        <v>46729</v>
      </c>
      <c r="M13" s="196">
        <v>44407</v>
      </c>
      <c r="N13" s="196">
        <v>82977</v>
      </c>
      <c r="O13" s="196">
        <v>62394</v>
      </c>
      <c r="P13" s="196">
        <v>48280</v>
      </c>
      <c r="Q13" s="196">
        <v>68668</v>
      </c>
      <c r="R13" s="196">
        <v>64483</v>
      </c>
    </row>
    <row r="14" spans="2:19" ht="12.75" customHeight="1" x14ac:dyDescent="0.2">
      <c r="B14" s="23" t="s">
        <v>29</v>
      </c>
      <c r="C14" s="196">
        <v>44423</v>
      </c>
      <c r="D14" s="196">
        <v>51296</v>
      </c>
      <c r="E14" s="196">
        <v>50328</v>
      </c>
      <c r="F14" s="196">
        <v>57601</v>
      </c>
      <c r="G14" s="196">
        <v>63146</v>
      </c>
      <c r="H14" s="196">
        <v>59958</v>
      </c>
      <c r="I14" s="196">
        <v>49954</v>
      </c>
      <c r="J14" s="196">
        <v>53141</v>
      </c>
      <c r="K14" s="196">
        <v>59565</v>
      </c>
      <c r="L14" s="196">
        <v>65113</v>
      </c>
      <c r="M14" s="196">
        <v>76273</v>
      </c>
      <c r="N14" s="196">
        <v>80032</v>
      </c>
      <c r="O14" s="196">
        <v>83029</v>
      </c>
      <c r="P14" s="196">
        <v>103593</v>
      </c>
      <c r="Q14" s="196">
        <v>125935</v>
      </c>
      <c r="R14" s="196">
        <v>134869</v>
      </c>
    </row>
    <row r="15" spans="2:19" ht="12.75" customHeight="1" x14ac:dyDescent="0.2">
      <c r="B15" s="23" t="s">
        <v>30</v>
      </c>
      <c r="C15" s="196" t="s">
        <v>585</v>
      </c>
      <c r="D15" s="196" t="s">
        <v>585</v>
      </c>
      <c r="E15" s="196" t="s">
        <v>585</v>
      </c>
      <c r="F15" s="196" t="s">
        <v>585</v>
      </c>
      <c r="G15" s="196">
        <v>1</v>
      </c>
      <c r="H15" s="196" t="s">
        <v>585</v>
      </c>
      <c r="I15" s="196" t="s">
        <v>585</v>
      </c>
      <c r="J15" s="196" t="s">
        <v>585</v>
      </c>
      <c r="K15" s="196" t="s">
        <v>585</v>
      </c>
      <c r="L15" s="196" t="s">
        <v>585</v>
      </c>
      <c r="M15" s="196" t="s">
        <v>585</v>
      </c>
      <c r="N15" s="196">
        <v>8</v>
      </c>
      <c r="O15" s="196" t="s">
        <v>585</v>
      </c>
      <c r="P15" s="196" t="s">
        <v>585</v>
      </c>
      <c r="Q15" s="196">
        <v>27</v>
      </c>
      <c r="R15" s="196">
        <v>4</v>
      </c>
    </row>
    <row r="16" spans="2:19" ht="12.75" customHeight="1" x14ac:dyDescent="0.2">
      <c r="B16" s="23" t="s">
        <v>625</v>
      </c>
      <c r="C16" s="196" t="s">
        <v>585</v>
      </c>
      <c r="D16" s="196" t="s">
        <v>585</v>
      </c>
      <c r="E16" s="196" t="s">
        <v>585</v>
      </c>
      <c r="F16" s="196" t="s">
        <v>585</v>
      </c>
      <c r="G16" s="196" t="s">
        <v>585</v>
      </c>
      <c r="H16" s="196" t="s">
        <v>585</v>
      </c>
      <c r="I16" s="196" t="s">
        <v>585</v>
      </c>
      <c r="J16" s="196" t="s">
        <v>585</v>
      </c>
      <c r="K16" s="196" t="s">
        <v>585</v>
      </c>
      <c r="L16" s="196" t="s">
        <v>585</v>
      </c>
      <c r="M16" s="196" t="s">
        <v>585</v>
      </c>
      <c r="N16" s="196" t="s">
        <v>585</v>
      </c>
      <c r="O16" s="196" t="s">
        <v>585</v>
      </c>
      <c r="P16" s="196" t="s">
        <v>585</v>
      </c>
      <c r="Q16" s="196" t="s">
        <v>585</v>
      </c>
      <c r="R16" s="196">
        <v>66</v>
      </c>
    </row>
    <row r="17" spans="2:18" ht="12.75" customHeight="1" x14ac:dyDescent="0.2">
      <c r="B17" s="23" t="s">
        <v>31</v>
      </c>
      <c r="C17" s="196">
        <v>67413</v>
      </c>
      <c r="D17" s="196">
        <v>91107</v>
      </c>
      <c r="E17" s="196">
        <v>99580</v>
      </c>
      <c r="F17" s="196">
        <v>109865</v>
      </c>
      <c r="G17" s="196">
        <v>124400</v>
      </c>
      <c r="H17" s="196">
        <v>129642</v>
      </c>
      <c r="I17" s="196">
        <v>131685</v>
      </c>
      <c r="J17" s="196">
        <v>156009</v>
      </c>
      <c r="K17" s="196">
        <v>164899</v>
      </c>
      <c r="L17" s="196">
        <v>190457</v>
      </c>
      <c r="M17" s="196">
        <v>200730</v>
      </c>
      <c r="N17" s="196">
        <v>225762</v>
      </c>
      <c r="O17" s="196">
        <v>97626</v>
      </c>
      <c r="P17" s="196">
        <v>77153</v>
      </c>
      <c r="Q17" s="196">
        <v>96488</v>
      </c>
      <c r="R17" s="196">
        <v>120837</v>
      </c>
    </row>
    <row r="18" spans="2:18" ht="12.75" customHeight="1" x14ac:dyDescent="0.2">
      <c r="B18" s="23" t="s">
        <v>32</v>
      </c>
      <c r="C18" s="196">
        <v>455863</v>
      </c>
      <c r="D18" s="196">
        <v>486051</v>
      </c>
      <c r="E18" s="196">
        <v>429709</v>
      </c>
      <c r="F18" s="196">
        <v>472482</v>
      </c>
      <c r="G18" s="196">
        <v>520334</v>
      </c>
      <c r="H18" s="196">
        <v>548117</v>
      </c>
      <c r="I18" s="196">
        <v>500321</v>
      </c>
      <c r="J18" s="196">
        <v>528966</v>
      </c>
      <c r="K18" s="196">
        <v>505560</v>
      </c>
      <c r="L18" s="196">
        <v>518273</v>
      </c>
      <c r="M18" s="196">
        <v>512339</v>
      </c>
      <c r="N18" s="196">
        <v>486044</v>
      </c>
      <c r="O18" s="196">
        <v>310946</v>
      </c>
      <c r="P18" s="196">
        <v>287746</v>
      </c>
      <c r="Q18" s="196">
        <v>353628</v>
      </c>
      <c r="R18" s="196">
        <v>401475</v>
      </c>
    </row>
    <row r="19" spans="2:18" ht="12.75" customHeight="1" x14ac:dyDescent="0.2">
      <c r="B19" s="23" t="s">
        <v>33</v>
      </c>
      <c r="C19" s="196">
        <v>330042</v>
      </c>
      <c r="D19" s="196">
        <v>411652</v>
      </c>
      <c r="E19" s="196">
        <v>380133</v>
      </c>
      <c r="F19" s="196">
        <v>434577</v>
      </c>
      <c r="G19" s="196">
        <v>459593</v>
      </c>
      <c r="H19" s="196">
        <v>424155</v>
      </c>
      <c r="I19" s="196">
        <v>486381</v>
      </c>
      <c r="J19" s="196">
        <v>578685</v>
      </c>
      <c r="K19" s="196">
        <v>593238</v>
      </c>
      <c r="L19" s="196">
        <v>630754</v>
      </c>
      <c r="M19" s="196">
        <v>657684</v>
      </c>
      <c r="N19" s="196">
        <v>602488</v>
      </c>
      <c r="O19" s="196">
        <v>606223</v>
      </c>
      <c r="P19" s="196">
        <v>765514</v>
      </c>
      <c r="Q19" s="196">
        <v>858506</v>
      </c>
      <c r="R19" s="196">
        <v>901723</v>
      </c>
    </row>
    <row r="20" spans="2:18" ht="12.75" customHeight="1" x14ac:dyDescent="0.2">
      <c r="B20" s="23" t="s">
        <v>34</v>
      </c>
      <c r="C20" s="196">
        <v>38</v>
      </c>
      <c r="D20" s="196">
        <v>164</v>
      </c>
      <c r="E20" s="196">
        <v>162</v>
      </c>
      <c r="F20" s="196">
        <v>82</v>
      </c>
      <c r="G20" s="196">
        <v>189</v>
      </c>
      <c r="H20" s="196">
        <v>238</v>
      </c>
      <c r="I20" s="196">
        <v>205</v>
      </c>
      <c r="J20" s="196">
        <v>209</v>
      </c>
      <c r="K20" s="196">
        <v>138</v>
      </c>
      <c r="L20" s="196">
        <v>326</v>
      </c>
      <c r="M20" s="196">
        <v>485</v>
      </c>
      <c r="N20" s="196">
        <v>347</v>
      </c>
      <c r="O20" s="196">
        <v>240</v>
      </c>
      <c r="P20" s="196">
        <v>93</v>
      </c>
      <c r="Q20" s="196">
        <v>139</v>
      </c>
      <c r="R20" s="196">
        <v>191</v>
      </c>
    </row>
    <row r="21" spans="2:18" ht="12.75" customHeight="1" x14ac:dyDescent="0.2">
      <c r="B21" s="23" t="s">
        <v>35</v>
      </c>
      <c r="C21" s="196">
        <v>3154</v>
      </c>
      <c r="D21" s="196">
        <v>4201</v>
      </c>
      <c r="E21" s="196">
        <v>4254</v>
      </c>
      <c r="F21" s="196">
        <v>5829</v>
      </c>
      <c r="G21" s="196">
        <v>8081</v>
      </c>
      <c r="H21" s="196">
        <v>9090</v>
      </c>
      <c r="I21" s="196">
        <v>9375</v>
      </c>
      <c r="J21" s="196">
        <v>9712</v>
      </c>
      <c r="K21" s="196">
        <v>13342</v>
      </c>
      <c r="L21" s="196">
        <v>16230</v>
      </c>
      <c r="M21" s="196">
        <v>24305</v>
      </c>
      <c r="N21" s="196">
        <v>32476</v>
      </c>
      <c r="O21" s="196">
        <v>41505</v>
      </c>
      <c r="P21" s="196">
        <v>59442</v>
      </c>
      <c r="Q21" s="196">
        <v>77075</v>
      </c>
      <c r="R21" s="196">
        <v>90299</v>
      </c>
    </row>
    <row r="22" spans="2:18" ht="12.75" customHeight="1" x14ac:dyDescent="0.2">
      <c r="B22" s="23" t="s">
        <v>36</v>
      </c>
      <c r="C22" s="196" t="s">
        <v>585</v>
      </c>
      <c r="D22" s="196" t="s">
        <v>585</v>
      </c>
      <c r="E22" s="196" t="s">
        <v>585</v>
      </c>
      <c r="F22" s="196" t="s">
        <v>585</v>
      </c>
      <c r="G22" s="196" t="s">
        <v>585</v>
      </c>
      <c r="H22" s="196" t="s">
        <v>585</v>
      </c>
      <c r="I22" s="196" t="s">
        <v>585</v>
      </c>
      <c r="J22" s="196" t="s">
        <v>585</v>
      </c>
      <c r="K22" s="196" t="s">
        <v>585</v>
      </c>
      <c r="L22" s="196" t="s">
        <v>585</v>
      </c>
      <c r="M22" s="196" t="s">
        <v>585</v>
      </c>
      <c r="N22" s="196" t="s">
        <v>585</v>
      </c>
      <c r="O22" s="196" t="s">
        <v>585</v>
      </c>
      <c r="P22" s="196" t="s">
        <v>585</v>
      </c>
      <c r="Q22" s="196" t="s">
        <v>585</v>
      </c>
      <c r="R22" s="196" t="s">
        <v>585</v>
      </c>
    </row>
    <row r="23" spans="2:18" ht="12.75" customHeight="1" x14ac:dyDescent="0.2">
      <c r="B23" s="23" t="s">
        <v>37</v>
      </c>
      <c r="C23" s="196">
        <v>2735</v>
      </c>
      <c r="D23" s="196">
        <v>2939</v>
      </c>
      <c r="E23" s="196">
        <v>3128</v>
      </c>
      <c r="F23" s="196">
        <v>2351</v>
      </c>
      <c r="G23" s="196">
        <v>2950</v>
      </c>
      <c r="H23" s="196">
        <v>3599</v>
      </c>
      <c r="I23" s="196">
        <v>2190</v>
      </c>
      <c r="J23" s="196">
        <v>6168</v>
      </c>
      <c r="K23" s="196">
        <v>6652</v>
      </c>
      <c r="L23" s="196">
        <v>8856</v>
      </c>
      <c r="M23" s="196">
        <v>12706</v>
      </c>
      <c r="N23" s="196">
        <v>12212</v>
      </c>
      <c r="O23" s="196">
        <v>8951</v>
      </c>
      <c r="P23" s="196">
        <v>11346</v>
      </c>
      <c r="Q23" s="196">
        <v>17932</v>
      </c>
      <c r="R23" s="196">
        <v>20605</v>
      </c>
    </row>
    <row r="24" spans="2:18" ht="12.75" customHeight="1" x14ac:dyDescent="0.2">
      <c r="B24" s="23" t="s">
        <v>38</v>
      </c>
      <c r="C24" s="196">
        <v>35</v>
      </c>
      <c r="D24" s="196">
        <v>46</v>
      </c>
      <c r="E24" s="196">
        <v>393</v>
      </c>
      <c r="F24" s="196">
        <v>115</v>
      </c>
      <c r="G24" s="196">
        <v>239</v>
      </c>
      <c r="H24" s="196">
        <v>195</v>
      </c>
      <c r="I24" s="196">
        <v>185</v>
      </c>
      <c r="J24" s="196">
        <v>203</v>
      </c>
      <c r="K24" s="196">
        <v>230</v>
      </c>
      <c r="L24" s="196">
        <v>182</v>
      </c>
      <c r="M24" s="196">
        <v>270</v>
      </c>
      <c r="N24" s="196">
        <v>201</v>
      </c>
      <c r="O24" s="196">
        <v>165</v>
      </c>
      <c r="P24" s="196">
        <v>124</v>
      </c>
      <c r="Q24" s="196">
        <v>134</v>
      </c>
      <c r="R24" s="196">
        <v>179</v>
      </c>
    </row>
    <row r="25" spans="2:18" ht="12.75" customHeight="1" x14ac:dyDescent="0.2">
      <c r="B25" s="23" t="s">
        <v>39</v>
      </c>
      <c r="C25" s="196">
        <v>1</v>
      </c>
      <c r="D25" s="196" t="s">
        <v>585</v>
      </c>
      <c r="E25" s="196" t="s">
        <v>585</v>
      </c>
      <c r="F25" s="196" t="s">
        <v>585</v>
      </c>
      <c r="G25" s="196" t="s">
        <v>585</v>
      </c>
      <c r="H25" s="196" t="s">
        <v>585</v>
      </c>
      <c r="I25" s="196" t="s">
        <v>585</v>
      </c>
      <c r="J25" s="196" t="s">
        <v>585</v>
      </c>
      <c r="K25" s="196" t="s">
        <v>585</v>
      </c>
      <c r="L25" s="196" t="s">
        <v>585</v>
      </c>
      <c r="M25" s="196" t="s">
        <v>585</v>
      </c>
      <c r="N25" s="196" t="s">
        <v>585</v>
      </c>
      <c r="O25" s="196" t="s">
        <v>585</v>
      </c>
      <c r="P25" s="196" t="s">
        <v>585</v>
      </c>
      <c r="Q25" s="196" t="s">
        <v>585</v>
      </c>
      <c r="R25" s="196" t="s">
        <v>585</v>
      </c>
    </row>
    <row r="26" spans="2:18" ht="12.75" customHeight="1" x14ac:dyDescent="0.2">
      <c r="B26" s="23" t="s">
        <v>40</v>
      </c>
      <c r="C26" s="196" t="s">
        <v>585</v>
      </c>
      <c r="D26" s="196" t="s">
        <v>585</v>
      </c>
      <c r="E26" s="196">
        <v>1</v>
      </c>
      <c r="F26" s="196" t="s">
        <v>585</v>
      </c>
      <c r="G26" s="196">
        <v>3</v>
      </c>
      <c r="H26" s="196">
        <v>10</v>
      </c>
      <c r="I26" s="196">
        <v>2075</v>
      </c>
      <c r="J26" s="196">
        <v>21</v>
      </c>
      <c r="K26" s="196" t="s">
        <v>585</v>
      </c>
      <c r="L26" s="196">
        <v>8</v>
      </c>
      <c r="M26" s="196">
        <v>7</v>
      </c>
      <c r="N26" s="196">
        <v>6</v>
      </c>
      <c r="O26" s="196">
        <v>17</v>
      </c>
      <c r="P26" s="196" t="s">
        <v>585</v>
      </c>
      <c r="Q26" s="196" t="s">
        <v>585</v>
      </c>
      <c r="R26" s="196">
        <v>184</v>
      </c>
    </row>
    <row r="27" spans="2:18" ht="12.75" customHeight="1" x14ac:dyDescent="0.2">
      <c r="B27" s="23" t="s">
        <v>41</v>
      </c>
      <c r="C27" s="196" t="s">
        <v>585</v>
      </c>
      <c r="D27" s="196" t="s">
        <v>585</v>
      </c>
      <c r="E27" s="196" t="s">
        <v>585</v>
      </c>
      <c r="F27" s="196" t="s">
        <v>585</v>
      </c>
      <c r="G27" s="196" t="s">
        <v>585</v>
      </c>
      <c r="H27" s="196" t="s">
        <v>585</v>
      </c>
      <c r="I27" s="196" t="s">
        <v>585</v>
      </c>
      <c r="J27" s="196" t="s">
        <v>585</v>
      </c>
      <c r="K27" s="196" t="s">
        <v>585</v>
      </c>
      <c r="L27" s="196" t="s">
        <v>585</v>
      </c>
      <c r="M27" s="196">
        <v>6</v>
      </c>
      <c r="N27" s="196" t="s">
        <v>585</v>
      </c>
      <c r="O27" s="196" t="s">
        <v>585</v>
      </c>
      <c r="P27" s="196" t="s">
        <v>585</v>
      </c>
      <c r="Q27" s="196" t="s">
        <v>585</v>
      </c>
      <c r="R27" s="196" t="s">
        <v>585</v>
      </c>
    </row>
    <row r="28" spans="2:18" ht="12.75" customHeight="1" x14ac:dyDescent="0.2">
      <c r="B28" s="23" t="s">
        <v>42</v>
      </c>
      <c r="C28" s="196">
        <v>426971</v>
      </c>
      <c r="D28" s="196">
        <v>503821</v>
      </c>
      <c r="E28" s="196">
        <v>459824</v>
      </c>
      <c r="F28" s="196">
        <v>542712</v>
      </c>
      <c r="G28" s="196">
        <v>596442</v>
      </c>
      <c r="H28" s="196">
        <v>592078</v>
      </c>
      <c r="I28" s="196">
        <v>543003</v>
      </c>
      <c r="J28" s="196">
        <v>585860</v>
      </c>
      <c r="K28" s="196">
        <v>608071</v>
      </c>
      <c r="L28" s="196">
        <v>651596</v>
      </c>
      <c r="M28" s="196">
        <v>660857</v>
      </c>
      <c r="N28" s="196">
        <v>617406</v>
      </c>
      <c r="O28" s="196">
        <v>413614</v>
      </c>
      <c r="P28" s="196">
        <v>419998</v>
      </c>
      <c r="Q28" s="196">
        <v>511559</v>
      </c>
      <c r="R28" s="196">
        <v>557435</v>
      </c>
    </row>
    <row r="29" spans="2:18" ht="12.75" customHeight="1" x14ac:dyDescent="0.2">
      <c r="B29" s="23" t="s">
        <v>43</v>
      </c>
      <c r="C29" s="196">
        <v>40</v>
      </c>
      <c r="D29" s="196">
        <v>3344</v>
      </c>
      <c r="E29" s="196">
        <v>148</v>
      </c>
      <c r="F29" s="196">
        <v>115</v>
      </c>
      <c r="G29" s="196">
        <v>68</v>
      </c>
      <c r="H29" s="196">
        <v>56</v>
      </c>
      <c r="I29" s="196">
        <v>56</v>
      </c>
      <c r="J29" s="196">
        <v>69</v>
      </c>
      <c r="K29" s="196">
        <v>58</v>
      </c>
      <c r="L29" s="196">
        <v>90</v>
      </c>
      <c r="M29" s="196">
        <v>177</v>
      </c>
      <c r="N29" s="196">
        <v>200</v>
      </c>
      <c r="O29" s="196">
        <v>203</v>
      </c>
      <c r="P29" s="196">
        <v>239</v>
      </c>
      <c r="Q29" s="196">
        <v>276</v>
      </c>
      <c r="R29" s="196">
        <v>292</v>
      </c>
    </row>
    <row r="30" spans="2:18" ht="12.75" customHeight="1" x14ac:dyDescent="0.2">
      <c r="B30" s="23" t="s">
        <v>44</v>
      </c>
      <c r="C30" s="196">
        <v>69</v>
      </c>
      <c r="D30" s="196">
        <v>68</v>
      </c>
      <c r="E30" s="196">
        <v>2322</v>
      </c>
      <c r="F30" s="196">
        <v>115</v>
      </c>
      <c r="G30" s="196">
        <v>145</v>
      </c>
      <c r="H30" s="196">
        <v>201</v>
      </c>
      <c r="I30" s="196">
        <v>155</v>
      </c>
      <c r="J30" s="196">
        <v>288</v>
      </c>
      <c r="K30" s="196">
        <v>339</v>
      </c>
      <c r="L30" s="196">
        <v>1577</v>
      </c>
      <c r="M30" s="196">
        <v>714</v>
      </c>
      <c r="N30" s="196">
        <v>818</v>
      </c>
      <c r="O30" s="196">
        <v>779</v>
      </c>
      <c r="P30" s="196">
        <v>851</v>
      </c>
      <c r="Q30" s="196">
        <v>1028</v>
      </c>
      <c r="R30" s="196">
        <v>1351</v>
      </c>
    </row>
    <row r="31" spans="2:18" ht="12.75" customHeight="1" x14ac:dyDescent="0.2">
      <c r="B31" s="23" t="s">
        <v>45</v>
      </c>
      <c r="C31" s="196">
        <v>41</v>
      </c>
      <c r="D31" s="196">
        <v>35</v>
      </c>
      <c r="E31" s="196">
        <v>28</v>
      </c>
      <c r="F31" s="196">
        <v>52</v>
      </c>
      <c r="G31" s="196">
        <v>22</v>
      </c>
      <c r="H31" s="196">
        <v>3</v>
      </c>
      <c r="I31" s="196">
        <v>13</v>
      </c>
      <c r="J31" s="196">
        <v>4</v>
      </c>
      <c r="K31" s="196">
        <v>1</v>
      </c>
      <c r="L31" s="196">
        <v>5</v>
      </c>
      <c r="M31" s="196">
        <v>2</v>
      </c>
      <c r="N31" s="196">
        <v>1</v>
      </c>
      <c r="O31" s="196">
        <v>2</v>
      </c>
      <c r="P31" s="196" t="s">
        <v>585</v>
      </c>
      <c r="Q31" s="196" t="s">
        <v>585</v>
      </c>
      <c r="R31" s="196" t="s">
        <v>585</v>
      </c>
    </row>
    <row r="32" spans="2:18" ht="12.75" customHeight="1" x14ac:dyDescent="0.2">
      <c r="B32" s="23" t="s">
        <v>46</v>
      </c>
      <c r="C32" s="196">
        <v>62374</v>
      </c>
      <c r="D32" s="196">
        <v>77183</v>
      </c>
      <c r="E32" s="196">
        <v>85336</v>
      </c>
      <c r="F32" s="196">
        <v>106578</v>
      </c>
      <c r="G32" s="196">
        <v>152961</v>
      </c>
      <c r="H32" s="196">
        <v>142422</v>
      </c>
      <c r="I32" s="196">
        <v>152421</v>
      </c>
      <c r="J32" s="196">
        <v>123607</v>
      </c>
      <c r="K32" s="196">
        <v>138007</v>
      </c>
      <c r="L32" s="196">
        <v>200659</v>
      </c>
      <c r="M32" s="196">
        <v>223975</v>
      </c>
      <c r="N32" s="196">
        <v>204355</v>
      </c>
      <c r="O32" s="196">
        <v>113793</v>
      </c>
      <c r="P32" s="196">
        <v>229229</v>
      </c>
      <c r="Q32" s="196">
        <v>245254</v>
      </c>
      <c r="R32" s="196">
        <v>258419</v>
      </c>
    </row>
    <row r="33" spans="2:18" ht="12.75" customHeight="1" x14ac:dyDescent="0.2">
      <c r="B33" s="23" t="s">
        <v>47</v>
      </c>
      <c r="C33" s="196">
        <v>15</v>
      </c>
      <c r="D33" s="196">
        <v>46</v>
      </c>
      <c r="E33" s="196">
        <v>18</v>
      </c>
      <c r="F33" s="196">
        <v>21</v>
      </c>
      <c r="G33" s="196">
        <v>18</v>
      </c>
      <c r="H33" s="196">
        <v>34</v>
      </c>
      <c r="I33" s="196">
        <v>27</v>
      </c>
      <c r="J33" s="196">
        <v>40</v>
      </c>
      <c r="K33" s="196">
        <v>46</v>
      </c>
      <c r="L33" s="196">
        <v>40</v>
      </c>
      <c r="M33" s="196">
        <v>33</v>
      </c>
      <c r="N33" s="196">
        <v>55</v>
      </c>
      <c r="O33" s="196">
        <v>48</v>
      </c>
      <c r="P33" s="196">
        <v>36</v>
      </c>
      <c r="Q33" s="196">
        <v>27</v>
      </c>
      <c r="R33" s="196">
        <v>79</v>
      </c>
    </row>
    <row r="34" spans="2:18" ht="12.75" customHeight="1" x14ac:dyDescent="0.2">
      <c r="B34" s="23" t="s">
        <v>48</v>
      </c>
      <c r="C34" s="196">
        <v>7213</v>
      </c>
      <c r="D34" s="196">
        <v>8814</v>
      </c>
      <c r="E34" s="196">
        <v>12153</v>
      </c>
      <c r="F34" s="196">
        <v>13005</v>
      </c>
      <c r="G34" s="196">
        <v>19676</v>
      </c>
      <c r="H34" s="196">
        <v>22051</v>
      </c>
      <c r="I34" s="196">
        <v>30480</v>
      </c>
      <c r="J34" s="196">
        <v>35579</v>
      </c>
      <c r="K34" s="196">
        <v>48071</v>
      </c>
      <c r="L34" s="196">
        <v>52424</v>
      </c>
      <c r="M34" s="196">
        <v>53736</v>
      </c>
      <c r="N34" s="196">
        <v>51600</v>
      </c>
      <c r="O34" s="196">
        <v>38315</v>
      </c>
      <c r="P34" s="196">
        <v>49360</v>
      </c>
      <c r="Q34" s="196">
        <v>43292</v>
      </c>
      <c r="R34" s="196">
        <v>37500</v>
      </c>
    </row>
    <row r="35" spans="2:18" ht="12.75" customHeight="1" x14ac:dyDescent="0.2">
      <c r="B35" s="23" t="s">
        <v>49</v>
      </c>
      <c r="C35" s="196">
        <v>3724</v>
      </c>
      <c r="D35" s="196">
        <v>14780</v>
      </c>
      <c r="E35" s="196">
        <v>21498</v>
      </c>
      <c r="F35" s="196">
        <v>35280</v>
      </c>
      <c r="G35" s="196">
        <v>22790</v>
      </c>
      <c r="H35" s="196">
        <v>37313</v>
      </c>
      <c r="I35" s="196">
        <v>7516</v>
      </c>
      <c r="J35" s="196">
        <v>8201</v>
      </c>
      <c r="K35" s="196">
        <v>4920</v>
      </c>
      <c r="L35" s="196">
        <v>5205</v>
      </c>
      <c r="M35" s="196">
        <v>6437</v>
      </c>
      <c r="N35" s="196">
        <v>7911</v>
      </c>
      <c r="O35" s="196">
        <v>4716</v>
      </c>
      <c r="P35" s="196">
        <v>4811</v>
      </c>
      <c r="Q35" s="196">
        <v>5441</v>
      </c>
      <c r="R35" s="196">
        <v>5014</v>
      </c>
    </row>
    <row r="36" spans="2:18" ht="12.75" customHeight="1" x14ac:dyDescent="0.2">
      <c r="B36" s="23" t="s">
        <v>626</v>
      </c>
      <c r="C36" s="196" t="s">
        <v>585</v>
      </c>
      <c r="D36" s="196" t="s">
        <v>585</v>
      </c>
      <c r="E36" s="196" t="s">
        <v>585</v>
      </c>
      <c r="F36" s="196" t="s">
        <v>585</v>
      </c>
      <c r="G36" s="196" t="s">
        <v>585</v>
      </c>
      <c r="H36" s="196" t="s">
        <v>585</v>
      </c>
      <c r="I36" s="196" t="s">
        <v>585</v>
      </c>
      <c r="J36" s="196" t="s">
        <v>585</v>
      </c>
      <c r="K36" s="196" t="s">
        <v>585</v>
      </c>
      <c r="L36" s="196" t="s">
        <v>585</v>
      </c>
      <c r="M36" s="196" t="s">
        <v>585</v>
      </c>
      <c r="N36" s="196" t="s">
        <v>585</v>
      </c>
      <c r="O36" s="196" t="s">
        <v>585</v>
      </c>
      <c r="P36" s="196" t="s">
        <v>585</v>
      </c>
      <c r="Q36" s="196" t="s">
        <v>585</v>
      </c>
      <c r="R36" s="196">
        <v>1</v>
      </c>
    </row>
    <row r="37" spans="2:18" ht="12.75" customHeight="1" x14ac:dyDescent="0.2">
      <c r="B37" s="23" t="s">
        <v>50</v>
      </c>
      <c r="C37" s="196">
        <v>335</v>
      </c>
      <c r="D37" s="196">
        <v>435</v>
      </c>
      <c r="E37" s="196">
        <v>434</v>
      </c>
      <c r="F37" s="196">
        <v>594</v>
      </c>
      <c r="G37" s="196">
        <v>943</v>
      </c>
      <c r="H37" s="196">
        <v>896</v>
      </c>
      <c r="I37" s="196">
        <v>759</v>
      </c>
      <c r="J37" s="196">
        <v>968</v>
      </c>
      <c r="K37" s="196">
        <v>1145</v>
      </c>
      <c r="L37" s="196">
        <v>1029</v>
      </c>
      <c r="M37" s="196">
        <v>1356</v>
      </c>
      <c r="N37" s="196">
        <v>1555</v>
      </c>
      <c r="O37" s="196">
        <v>1282</v>
      </c>
      <c r="P37" s="196">
        <v>1264</v>
      </c>
      <c r="Q37" s="196">
        <v>1780</v>
      </c>
      <c r="R37" s="196">
        <v>2491</v>
      </c>
    </row>
    <row r="38" spans="2:18" ht="12.75" customHeight="1" x14ac:dyDescent="0.2">
      <c r="B38" s="23" t="s">
        <v>51</v>
      </c>
      <c r="C38" s="196">
        <v>41685</v>
      </c>
      <c r="D38" s="196">
        <v>44701</v>
      </c>
      <c r="E38" s="196">
        <v>40489</v>
      </c>
      <c r="F38" s="196">
        <v>50437</v>
      </c>
      <c r="G38" s="196">
        <v>58910</v>
      </c>
      <c r="H38" s="196">
        <v>52271</v>
      </c>
      <c r="I38" s="196">
        <v>47361</v>
      </c>
      <c r="J38" s="196">
        <v>56522</v>
      </c>
      <c r="K38" s="196">
        <v>61851</v>
      </c>
      <c r="L38" s="196">
        <v>72086</v>
      </c>
      <c r="M38" s="196">
        <v>83258</v>
      </c>
      <c r="N38" s="196">
        <v>85434</v>
      </c>
      <c r="O38" s="196">
        <v>66177</v>
      </c>
      <c r="P38" s="196">
        <v>90378</v>
      </c>
      <c r="Q38" s="196">
        <v>120480</v>
      </c>
      <c r="R38" s="196">
        <v>144445</v>
      </c>
    </row>
    <row r="39" spans="2:18" ht="12.75" customHeight="1" x14ac:dyDescent="0.2">
      <c r="B39" s="23" t="s">
        <v>52</v>
      </c>
      <c r="C39" s="196">
        <v>55</v>
      </c>
      <c r="D39" s="196">
        <v>82</v>
      </c>
      <c r="E39" s="196">
        <v>46</v>
      </c>
      <c r="F39" s="196">
        <v>145</v>
      </c>
      <c r="G39" s="196">
        <v>47</v>
      </c>
      <c r="H39" s="196">
        <v>110</v>
      </c>
      <c r="I39" s="196">
        <v>65</v>
      </c>
      <c r="J39" s="196">
        <v>102</v>
      </c>
      <c r="K39" s="196">
        <v>202</v>
      </c>
      <c r="L39" s="196">
        <v>168</v>
      </c>
      <c r="M39" s="196">
        <v>629</v>
      </c>
      <c r="N39" s="196">
        <v>188</v>
      </c>
      <c r="O39" s="196">
        <v>167</v>
      </c>
      <c r="P39" s="196">
        <v>168</v>
      </c>
      <c r="Q39" s="196">
        <v>301</v>
      </c>
      <c r="R39" s="196">
        <v>417</v>
      </c>
    </row>
    <row r="40" spans="2:18" ht="12.75" customHeight="1" x14ac:dyDescent="0.2">
      <c r="B40" s="23" t="s">
        <v>53</v>
      </c>
      <c r="C40" s="196" t="s">
        <v>585</v>
      </c>
      <c r="D40" s="196" t="s">
        <v>585</v>
      </c>
      <c r="E40" s="196" t="s">
        <v>585</v>
      </c>
      <c r="F40" s="196" t="s">
        <v>585</v>
      </c>
      <c r="G40" s="196" t="s">
        <v>585</v>
      </c>
      <c r="H40" s="196" t="s">
        <v>585</v>
      </c>
      <c r="I40" s="196" t="s">
        <v>585</v>
      </c>
      <c r="J40" s="196" t="s">
        <v>585</v>
      </c>
      <c r="K40" s="196" t="s">
        <v>585</v>
      </c>
      <c r="L40" s="196" t="s">
        <v>585</v>
      </c>
      <c r="M40" s="196" t="s">
        <v>585</v>
      </c>
      <c r="N40" s="196" t="s">
        <v>585</v>
      </c>
      <c r="O40" s="196" t="s">
        <v>585</v>
      </c>
      <c r="P40" s="196">
        <v>1</v>
      </c>
      <c r="Q40" s="196" t="s">
        <v>585</v>
      </c>
      <c r="R40" s="196" t="s">
        <v>585</v>
      </c>
    </row>
    <row r="41" spans="2:18" ht="12.75" customHeight="1" x14ac:dyDescent="0.2">
      <c r="B41" s="23" t="s">
        <v>54</v>
      </c>
      <c r="C41" s="196">
        <v>9934</v>
      </c>
      <c r="D41" s="196">
        <v>20077</v>
      </c>
      <c r="E41" s="196">
        <v>24222</v>
      </c>
      <c r="F41" s="196">
        <v>33136</v>
      </c>
      <c r="G41" s="196">
        <v>43647</v>
      </c>
      <c r="H41" s="196">
        <v>53574</v>
      </c>
      <c r="I41" s="196">
        <v>65246</v>
      </c>
      <c r="J41" s="196">
        <v>89442</v>
      </c>
      <c r="K41" s="196">
        <v>88903</v>
      </c>
      <c r="L41" s="196">
        <v>113433</v>
      </c>
      <c r="M41" s="196">
        <v>91627</v>
      </c>
      <c r="N41" s="196">
        <v>85473</v>
      </c>
      <c r="O41" s="196">
        <v>42530</v>
      </c>
      <c r="P41" s="196">
        <v>49754</v>
      </c>
      <c r="Q41" s="196">
        <v>78691</v>
      </c>
      <c r="R41" s="196">
        <v>101164</v>
      </c>
    </row>
    <row r="42" spans="2:18" ht="12.75" customHeight="1" x14ac:dyDescent="0.2">
      <c r="B42" s="23" t="s">
        <v>55</v>
      </c>
      <c r="C42" s="196">
        <v>93</v>
      </c>
      <c r="D42" s="196">
        <v>86</v>
      </c>
      <c r="E42" s="196">
        <v>143</v>
      </c>
      <c r="F42" s="196">
        <v>978</v>
      </c>
      <c r="G42" s="196">
        <v>134</v>
      </c>
      <c r="H42" s="196">
        <v>266</v>
      </c>
      <c r="I42" s="196">
        <v>315</v>
      </c>
      <c r="J42" s="196">
        <v>19504</v>
      </c>
      <c r="K42" s="196">
        <v>552</v>
      </c>
      <c r="L42" s="196">
        <v>634</v>
      </c>
      <c r="M42" s="196">
        <v>893</v>
      </c>
      <c r="N42" s="196">
        <v>909</v>
      </c>
      <c r="O42" s="196">
        <v>605</v>
      </c>
      <c r="P42" s="196">
        <v>554</v>
      </c>
      <c r="Q42" s="196">
        <v>918</v>
      </c>
      <c r="R42" s="196">
        <v>1282</v>
      </c>
    </row>
    <row r="43" spans="2:18" ht="12.75" customHeight="1" x14ac:dyDescent="0.2">
      <c r="B43" s="23" t="s">
        <v>56</v>
      </c>
      <c r="C43" s="196">
        <v>1310082</v>
      </c>
      <c r="D43" s="196">
        <v>1621918</v>
      </c>
      <c r="E43" s="196">
        <v>1177906</v>
      </c>
      <c r="F43" s="196">
        <v>1239667</v>
      </c>
      <c r="G43" s="196">
        <v>1255343</v>
      </c>
      <c r="H43" s="196">
        <v>1406604</v>
      </c>
      <c r="I43" s="196">
        <v>1433970</v>
      </c>
      <c r="J43" s="196">
        <v>1491561</v>
      </c>
      <c r="K43" s="196">
        <v>1492073</v>
      </c>
      <c r="L43" s="196">
        <v>1582912</v>
      </c>
      <c r="M43" s="196">
        <v>1693591</v>
      </c>
      <c r="N43" s="196">
        <v>1821480</v>
      </c>
      <c r="O43" s="196">
        <v>1690766</v>
      </c>
      <c r="P43" s="196">
        <v>1852867</v>
      </c>
      <c r="Q43" s="196">
        <v>2386885</v>
      </c>
      <c r="R43" s="196">
        <v>2713464</v>
      </c>
    </row>
    <row r="44" spans="2:18" ht="12.75" customHeight="1" x14ac:dyDescent="0.2">
      <c r="B44" s="23" t="s">
        <v>57</v>
      </c>
      <c r="C44" s="196">
        <v>92</v>
      </c>
      <c r="D44" s="196">
        <v>63</v>
      </c>
      <c r="E44" s="196">
        <v>215</v>
      </c>
      <c r="F44" s="196">
        <v>203</v>
      </c>
      <c r="G44" s="196">
        <v>261</v>
      </c>
      <c r="H44" s="196">
        <v>326</v>
      </c>
      <c r="I44" s="196">
        <v>413</v>
      </c>
      <c r="J44" s="196">
        <v>506</v>
      </c>
      <c r="K44" s="196">
        <v>621</v>
      </c>
      <c r="L44" s="196">
        <v>1563</v>
      </c>
      <c r="M44" s="196">
        <v>2120</v>
      </c>
      <c r="N44" s="196">
        <v>2389</v>
      </c>
      <c r="O44" s="196">
        <v>1676</v>
      </c>
      <c r="P44" s="196">
        <v>2000</v>
      </c>
      <c r="Q44" s="196">
        <v>2312</v>
      </c>
      <c r="R44" s="196">
        <v>2481</v>
      </c>
    </row>
    <row r="45" spans="2:18" ht="12.75" customHeight="1" x14ac:dyDescent="0.2">
      <c r="B45" s="23" t="s">
        <v>58</v>
      </c>
      <c r="C45" s="196">
        <v>27</v>
      </c>
      <c r="D45" s="196">
        <v>39</v>
      </c>
      <c r="E45" s="196">
        <v>47</v>
      </c>
      <c r="F45" s="196">
        <v>57</v>
      </c>
      <c r="G45" s="196">
        <v>76</v>
      </c>
      <c r="H45" s="196">
        <v>95</v>
      </c>
      <c r="I45" s="196">
        <v>93</v>
      </c>
      <c r="J45" s="196">
        <v>119</v>
      </c>
      <c r="K45" s="196">
        <v>178</v>
      </c>
      <c r="L45" s="196">
        <v>251</v>
      </c>
      <c r="M45" s="196">
        <v>265</v>
      </c>
      <c r="N45" s="196">
        <v>268</v>
      </c>
      <c r="O45" s="196">
        <v>282</v>
      </c>
      <c r="P45" s="196">
        <v>260</v>
      </c>
      <c r="Q45" s="196">
        <v>363</v>
      </c>
      <c r="R45" s="196">
        <v>348</v>
      </c>
    </row>
    <row r="46" spans="2:18" ht="12.75" customHeight="1" x14ac:dyDescent="0.2">
      <c r="B46" s="23" t="s">
        <v>588</v>
      </c>
      <c r="C46" s="196" t="s">
        <v>585</v>
      </c>
      <c r="D46" s="196" t="s">
        <v>585</v>
      </c>
      <c r="E46" s="196">
        <v>3</v>
      </c>
      <c r="F46" s="196" t="s">
        <v>585</v>
      </c>
      <c r="G46" s="196" t="s">
        <v>585</v>
      </c>
      <c r="H46" s="196" t="s">
        <v>585</v>
      </c>
      <c r="I46" s="196" t="s">
        <v>585</v>
      </c>
      <c r="J46" s="196" t="s">
        <v>585</v>
      </c>
      <c r="K46" s="196" t="s">
        <v>585</v>
      </c>
      <c r="L46" s="196" t="s">
        <v>585</v>
      </c>
      <c r="M46" s="196" t="s">
        <v>585</v>
      </c>
      <c r="N46" s="196" t="s">
        <v>585</v>
      </c>
      <c r="O46" s="196" t="s">
        <v>585</v>
      </c>
      <c r="P46" s="196" t="s">
        <v>585</v>
      </c>
      <c r="Q46" s="196" t="s">
        <v>585</v>
      </c>
      <c r="R46" s="196" t="s">
        <v>585</v>
      </c>
    </row>
    <row r="47" spans="2:18" ht="12.75" customHeight="1" x14ac:dyDescent="0.2">
      <c r="B47" s="23" t="s">
        <v>59</v>
      </c>
      <c r="C47" s="196">
        <v>8</v>
      </c>
      <c r="D47" s="196">
        <v>2</v>
      </c>
      <c r="E47" s="196" t="s">
        <v>585</v>
      </c>
      <c r="F47" s="196" t="s">
        <v>585</v>
      </c>
      <c r="G47" s="196" t="s">
        <v>585</v>
      </c>
      <c r="H47" s="196" t="s">
        <v>585</v>
      </c>
      <c r="I47" s="196" t="s">
        <v>585</v>
      </c>
      <c r="J47" s="196" t="s">
        <v>585</v>
      </c>
      <c r="K47" s="196">
        <v>2</v>
      </c>
      <c r="L47" s="196">
        <v>3</v>
      </c>
      <c r="M47" s="196">
        <v>4</v>
      </c>
      <c r="N47" s="196">
        <v>1</v>
      </c>
      <c r="O47" s="196" t="s">
        <v>585</v>
      </c>
      <c r="P47" s="196" t="s">
        <v>585</v>
      </c>
      <c r="Q47" s="196" t="s">
        <v>585</v>
      </c>
      <c r="R47" s="196" t="s">
        <v>585</v>
      </c>
    </row>
    <row r="48" spans="2:18" ht="12.75" customHeight="1" x14ac:dyDescent="0.2">
      <c r="B48" s="23" t="s">
        <v>60</v>
      </c>
      <c r="C48" s="196">
        <v>44124</v>
      </c>
      <c r="D48" s="196">
        <v>44854</v>
      </c>
      <c r="E48" s="196">
        <v>38542</v>
      </c>
      <c r="F48" s="196">
        <v>45006</v>
      </c>
      <c r="G48" s="196">
        <v>63904</v>
      </c>
      <c r="H48" s="196">
        <v>91222</v>
      </c>
      <c r="I48" s="196">
        <v>67954</v>
      </c>
      <c r="J48" s="196">
        <v>84844</v>
      </c>
      <c r="K48" s="196">
        <v>104489</v>
      </c>
      <c r="L48" s="196">
        <v>118189</v>
      </c>
      <c r="M48" s="196">
        <v>160052</v>
      </c>
      <c r="N48" s="196">
        <v>171873</v>
      </c>
      <c r="O48" s="196">
        <v>176233</v>
      </c>
      <c r="P48" s="196">
        <v>213333</v>
      </c>
      <c r="Q48" s="196">
        <v>288207</v>
      </c>
      <c r="R48" s="196">
        <v>295512</v>
      </c>
    </row>
    <row r="49" spans="2:18" ht="12.75" customHeight="1" x14ac:dyDescent="0.2">
      <c r="B49" s="23" t="s">
        <v>61</v>
      </c>
      <c r="C49" s="196">
        <v>50</v>
      </c>
      <c r="D49" s="196">
        <v>201</v>
      </c>
      <c r="E49" s="196">
        <v>44</v>
      </c>
      <c r="F49" s="196">
        <v>90</v>
      </c>
      <c r="G49" s="196">
        <v>128</v>
      </c>
      <c r="H49" s="196">
        <v>229</v>
      </c>
      <c r="I49" s="196">
        <v>105</v>
      </c>
      <c r="J49" s="196">
        <v>186</v>
      </c>
      <c r="K49" s="196">
        <v>281</v>
      </c>
      <c r="L49" s="196">
        <v>646</v>
      </c>
      <c r="M49" s="196">
        <v>916</v>
      </c>
      <c r="N49" s="196">
        <v>1199</v>
      </c>
      <c r="O49" s="196">
        <v>1463</v>
      </c>
      <c r="P49" s="196">
        <v>1665</v>
      </c>
      <c r="Q49" s="196">
        <v>2671</v>
      </c>
      <c r="R49" s="196">
        <v>4670</v>
      </c>
    </row>
    <row r="50" spans="2:18" ht="12.75" customHeight="1" x14ac:dyDescent="0.2">
      <c r="B50" s="23" t="s">
        <v>589</v>
      </c>
      <c r="C50" s="196">
        <v>7</v>
      </c>
      <c r="D50" s="196" t="s">
        <v>585</v>
      </c>
      <c r="E50" s="196" t="s">
        <v>585</v>
      </c>
      <c r="F50" s="196" t="s">
        <v>585</v>
      </c>
      <c r="G50" s="196" t="s">
        <v>585</v>
      </c>
      <c r="H50" s="196" t="s">
        <v>585</v>
      </c>
      <c r="I50" s="196" t="s">
        <v>585</v>
      </c>
      <c r="J50" s="196" t="s">
        <v>585</v>
      </c>
      <c r="K50" s="196" t="s">
        <v>585</v>
      </c>
      <c r="L50" s="196">
        <v>1</v>
      </c>
      <c r="M50" s="196" t="s">
        <v>585</v>
      </c>
      <c r="N50" s="196" t="s">
        <v>585</v>
      </c>
      <c r="O50" s="196" t="s">
        <v>585</v>
      </c>
      <c r="P50" s="196" t="s">
        <v>585</v>
      </c>
      <c r="Q50" s="196" t="s">
        <v>585</v>
      </c>
      <c r="R50" s="196" t="s">
        <v>585</v>
      </c>
    </row>
    <row r="51" spans="2:18" ht="12.75" customHeight="1" x14ac:dyDescent="0.2">
      <c r="B51" s="23" t="s">
        <v>590</v>
      </c>
      <c r="C51" s="196">
        <v>1</v>
      </c>
      <c r="D51" s="196" t="s">
        <v>585</v>
      </c>
      <c r="E51" s="196" t="s">
        <v>585</v>
      </c>
      <c r="F51" s="196" t="s">
        <v>585</v>
      </c>
      <c r="G51" s="196" t="s">
        <v>585</v>
      </c>
      <c r="H51" s="196" t="s">
        <v>585</v>
      </c>
      <c r="I51" s="196" t="s">
        <v>585</v>
      </c>
      <c r="J51" s="196" t="s">
        <v>585</v>
      </c>
      <c r="K51" s="196" t="s">
        <v>585</v>
      </c>
      <c r="L51" s="196" t="s">
        <v>585</v>
      </c>
      <c r="M51" s="196" t="s">
        <v>585</v>
      </c>
      <c r="N51" s="196" t="s">
        <v>585</v>
      </c>
      <c r="O51" s="196" t="s">
        <v>585</v>
      </c>
      <c r="P51" s="196" t="s">
        <v>585</v>
      </c>
      <c r="Q51" s="196" t="s">
        <v>585</v>
      </c>
      <c r="R51" s="196" t="s">
        <v>585</v>
      </c>
    </row>
    <row r="52" spans="2:18" ht="12.75" customHeight="1" x14ac:dyDescent="0.2">
      <c r="B52" s="23" t="s">
        <v>62</v>
      </c>
      <c r="C52" s="196">
        <v>41</v>
      </c>
      <c r="D52" s="196">
        <v>34</v>
      </c>
      <c r="E52" s="196">
        <v>62</v>
      </c>
      <c r="F52" s="196">
        <v>57</v>
      </c>
      <c r="G52" s="196">
        <v>63</v>
      </c>
      <c r="H52" s="196">
        <v>111</v>
      </c>
      <c r="I52" s="196">
        <v>106</v>
      </c>
      <c r="J52" s="196">
        <v>150</v>
      </c>
      <c r="K52" s="196">
        <v>147</v>
      </c>
      <c r="L52" s="196">
        <v>417</v>
      </c>
      <c r="M52" s="196">
        <v>979</v>
      </c>
      <c r="N52" s="196">
        <v>925</v>
      </c>
      <c r="O52" s="196">
        <v>1010</v>
      </c>
      <c r="P52" s="196">
        <v>1061</v>
      </c>
      <c r="Q52" s="196">
        <v>1237</v>
      </c>
      <c r="R52" s="196">
        <v>1712</v>
      </c>
    </row>
    <row r="53" spans="2:18" ht="12.75" customHeight="1" x14ac:dyDescent="0.2">
      <c r="B53" s="23" t="s">
        <v>63</v>
      </c>
      <c r="C53" s="196">
        <v>59112</v>
      </c>
      <c r="D53" s="196">
        <v>88739</v>
      </c>
      <c r="E53" s="196">
        <v>94450</v>
      </c>
      <c r="F53" s="196">
        <v>129730</v>
      </c>
      <c r="G53" s="196">
        <v>158858</v>
      </c>
      <c r="H53" s="196">
        <v>164733</v>
      </c>
      <c r="I53" s="196">
        <v>174426</v>
      </c>
      <c r="J53" s="196">
        <v>223369</v>
      </c>
      <c r="K53" s="196">
        <v>223986</v>
      </c>
      <c r="L53" s="196">
        <v>217254</v>
      </c>
      <c r="M53" s="196">
        <v>226189</v>
      </c>
      <c r="N53" s="196">
        <v>212464</v>
      </c>
      <c r="O53" s="196">
        <v>87328</v>
      </c>
      <c r="P53" s="196">
        <v>126567</v>
      </c>
      <c r="Q53" s="196">
        <v>228251</v>
      </c>
      <c r="R53" s="196">
        <v>311359</v>
      </c>
    </row>
    <row r="54" spans="2:18" ht="12.75" customHeight="1" x14ac:dyDescent="0.2">
      <c r="B54" s="23" t="s">
        <v>64</v>
      </c>
      <c r="C54" s="196">
        <v>35339</v>
      </c>
      <c r="D54" s="196">
        <v>44077</v>
      </c>
      <c r="E54" s="196">
        <v>56323</v>
      </c>
      <c r="F54" s="196">
        <v>68252</v>
      </c>
      <c r="G54" s="196">
        <v>61882</v>
      </c>
      <c r="H54" s="196">
        <v>69336</v>
      </c>
      <c r="I54" s="196">
        <v>77142</v>
      </c>
      <c r="J54" s="196">
        <v>96701</v>
      </c>
      <c r="K54" s="196">
        <v>114582</v>
      </c>
      <c r="L54" s="196">
        <v>138876</v>
      </c>
      <c r="M54" s="196">
        <v>199746</v>
      </c>
      <c r="N54" s="196">
        <v>313704</v>
      </c>
      <c r="O54" s="196">
        <v>167570</v>
      </c>
      <c r="P54" s="196">
        <v>247277</v>
      </c>
      <c r="Q54" s="196">
        <v>394109</v>
      </c>
      <c r="R54" s="196">
        <v>426344</v>
      </c>
    </row>
    <row r="55" spans="2:18" ht="12.75" customHeight="1" x14ac:dyDescent="0.2">
      <c r="B55" s="23" t="s">
        <v>65</v>
      </c>
      <c r="C55" s="196">
        <v>214948</v>
      </c>
      <c r="D55" s="196">
        <v>304621</v>
      </c>
      <c r="E55" s="196">
        <v>235755</v>
      </c>
      <c r="F55" s="196">
        <v>265429</v>
      </c>
      <c r="G55" s="196">
        <v>276805</v>
      </c>
      <c r="H55" s="196">
        <v>296085</v>
      </c>
      <c r="I55" s="196">
        <v>314446</v>
      </c>
      <c r="J55" s="196">
        <v>369867</v>
      </c>
      <c r="K55" s="196">
        <v>391312</v>
      </c>
      <c r="L55" s="196">
        <v>402818</v>
      </c>
      <c r="M55" s="196">
        <v>408287</v>
      </c>
      <c r="N55" s="196">
        <v>408841</v>
      </c>
      <c r="O55" s="196">
        <v>329618</v>
      </c>
      <c r="P55" s="196">
        <v>269026</v>
      </c>
      <c r="Q55" s="196">
        <v>326278</v>
      </c>
      <c r="R55" s="196">
        <v>335877</v>
      </c>
    </row>
    <row r="56" spans="2:18" ht="12.75" customHeight="1" x14ac:dyDescent="0.2">
      <c r="B56" s="23" t="s">
        <v>66</v>
      </c>
      <c r="C56" s="196">
        <v>5</v>
      </c>
      <c r="D56" s="196">
        <v>109</v>
      </c>
      <c r="E56" s="196">
        <v>434</v>
      </c>
      <c r="F56" s="196">
        <v>42</v>
      </c>
      <c r="G56" s="196">
        <v>250</v>
      </c>
      <c r="H56" s="196">
        <v>32</v>
      </c>
      <c r="I56" s="196">
        <v>223</v>
      </c>
      <c r="J56" s="196">
        <v>11</v>
      </c>
      <c r="K56" s="196">
        <v>327</v>
      </c>
      <c r="L56" s="196">
        <v>4312</v>
      </c>
      <c r="M56" s="196">
        <v>6026</v>
      </c>
      <c r="N56" s="196">
        <v>5979</v>
      </c>
      <c r="O56" s="196">
        <v>5179</v>
      </c>
      <c r="P56" s="196">
        <v>6132</v>
      </c>
      <c r="Q56" s="196">
        <v>7751</v>
      </c>
      <c r="R56" s="196">
        <v>8628</v>
      </c>
    </row>
    <row r="57" spans="2:18" ht="12.75" customHeight="1" x14ac:dyDescent="0.2">
      <c r="B57" s="23" t="s">
        <v>67</v>
      </c>
      <c r="C57" s="196" t="s">
        <v>585</v>
      </c>
      <c r="D57" s="196" t="s">
        <v>585</v>
      </c>
      <c r="E57" s="196">
        <v>92</v>
      </c>
      <c r="F57" s="196" t="s">
        <v>585</v>
      </c>
      <c r="G57" s="196">
        <v>6</v>
      </c>
      <c r="H57" s="196">
        <v>17</v>
      </c>
      <c r="I57" s="196">
        <v>3</v>
      </c>
      <c r="J57" s="196">
        <v>9</v>
      </c>
      <c r="K57" s="196">
        <v>20</v>
      </c>
      <c r="L57" s="196">
        <v>391</v>
      </c>
      <c r="M57" s="196">
        <v>33</v>
      </c>
      <c r="N57" s="196">
        <v>16</v>
      </c>
      <c r="O57" s="196">
        <v>31</v>
      </c>
      <c r="P57" s="196">
        <v>17</v>
      </c>
      <c r="Q57" s="196">
        <v>39</v>
      </c>
      <c r="R57" s="196">
        <v>24</v>
      </c>
    </row>
    <row r="58" spans="2:18" ht="12.75" customHeight="1" x14ac:dyDescent="0.2">
      <c r="B58" s="23" t="s">
        <v>68</v>
      </c>
      <c r="C58" s="196">
        <v>183</v>
      </c>
      <c r="D58" s="196">
        <v>526</v>
      </c>
      <c r="E58" s="196">
        <v>351</v>
      </c>
      <c r="F58" s="196">
        <v>1886</v>
      </c>
      <c r="G58" s="196">
        <v>948</v>
      </c>
      <c r="H58" s="196">
        <v>913</v>
      </c>
      <c r="I58" s="196">
        <v>1467</v>
      </c>
      <c r="J58" s="196">
        <v>2924</v>
      </c>
      <c r="K58" s="196">
        <v>2073</v>
      </c>
      <c r="L58" s="196">
        <v>727</v>
      </c>
      <c r="M58" s="196">
        <v>1349</v>
      </c>
      <c r="N58" s="196">
        <v>2583</v>
      </c>
      <c r="O58" s="196">
        <v>1625</v>
      </c>
      <c r="P58" s="196">
        <v>1359</v>
      </c>
      <c r="Q58" s="196">
        <v>1938</v>
      </c>
      <c r="R58" s="196">
        <v>3478</v>
      </c>
    </row>
    <row r="59" spans="2:18" ht="12.75" customHeight="1" x14ac:dyDescent="0.2">
      <c r="B59" s="23" t="s">
        <v>69</v>
      </c>
      <c r="C59" s="196">
        <v>190</v>
      </c>
      <c r="D59" s="196">
        <v>2407</v>
      </c>
      <c r="E59" s="196">
        <v>13816</v>
      </c>
      <c r="F59" s="196">
        <v>120</v>
      </c>
      <c r="G59" s="196">
        <v>523</v>
      </c>
      <c r="H59" s="196">
        <v>668</v>
      </c>
      <c r="I59" s="196">
        <v>668</v>
      </c>
      <c r="J59" s="196">
        <v>523</v>
      </c>
      <c r="K59" s="196">
        <v>246</v>
      </c>
      <c r="L59" s="196">
        <v>1127</v>
      </c>
      <c r="M59" s="196">
        <v>682</v>
      </c>
      <c r="N59" s="196">
        <v>476</v>
      </c>
      <c r="O59" s="196">
        <v>748</v>
      </c>
      <c r="P59" s="196">
        <v>2017</v>
      </c>
      <c r="Q59" s="196">
        <v>3611</v>
      </c>
      <c r="R59" s="196">
        <v>5679</v>
      </c>
    </row>
    <row r="60" spans="2:18" ht="12.75" customHeight="1" x14ac:dyDescent="0.2">
      <c r="B60" s="23" t="s">
        <v>70</v>
      </c>
      <c r="C60" s="196">
        <v>1312</v>
      </c>
      <c r="D60" s="196">
        <v>1319</v>
      </c>
      <c r="E60" s="196">
        <v>1711</v>
      </c>
      <c r="F60" s="196">
        <v>2307</v>
      </c>
      <c r="G60" s="196">
        <v>2308</v>
      </c>
      <c r="H60" s="196">
        <v>2478</v>
      </c>
      <c r="I60" s="196">
        <v>2704</v>
      </c>
      <c r="J60" s="196">
        <v>3892</v>
      </c>
      <c r="K60" s="196">
        <v>4433</v>
      </c>
      <c r="L60" s="196">
        <v>4780</v>
      </c>
      <c r="M60" s="196">
        <v>5093</v>
      </c>
      <c r="N60" s="196">
        <v>6791</v>
      </c>
      <c r="O60" s="196">
        <v>4323</v>
      </c>
      <c r="P60" s="196">
        <v>5548</v>
      </c>
      <c r="Q60" s="196">
        <v>8423</v>
      </c>
      <c r="R60" s="196">
        <v>8416</v>
      </c>
    </row>
    <row r="61" spans="2:18" ht="12.75" customHeight="1" x14ac:dyDescent="0.2">
      <c r="B61" s="23" t="s">
        <v>71</v>
      </c>
      <c r="C61" s="196">
        <v>3</v>
      </c>
      <c r="D61" s="196">
        <v>7</v>
      </c>
      <c r="E61" s="196">
        <v>17</v>
      </c>
      <c r="F61" s="196">
        <v>2</v>
      </c>
      <c r="G61" s="196">
        <v>29</v>
      </c>
      <c r="H61" s="196">
        <v>15</v>
      </c>
      <c r="I61" s="196">
        <v>10</v>
      </c>
      <c r="J61" s="196">
        <v>57</v>
      </c>
      <c r="K61" s="196">
        <v>44</v>
      </c>
      <c r="L61" s="196">
        <v>69</v>
      </c>
      <c r="M61" s="196">
        <v>130</v>
      </c>
      <c r="N61" s="196">
        <v>117</v>
      </c>
      <c r="O61" s="196">
        <v>133</v>
      </c>
      <c r="P61" s="196">
        <v>80</v>
      </c>
      <c r="Q61" s="196">
        <v>235</v>
      </c>
      <c r="R61" s="196">
        <v>290</v>
      </c>
    </row>
    <row r="62" spans="2:18" ht="12.75" customHeight="1" x14ac:dyDescent="0.2">
      <c r="B62" s="23" t="s">
        <v>72</v>
      </c>
      <c r="C62" s="196">
        <v>241</v>
      </c>
      <c r="D62" s="196">
        <v>352</v>
      </c>
      <c r="E62" s="196">
        <v>305</v>
      </c>
      <c r="F62" s="196">
        <v>486</v>
      </c>
      <c r="G62" s="196">
        <v>437</v>
      </c>
      <c r="H62" s="196">
        <v>358</v>
      </c>
      <c r="I62" s="196">
        <v>462</v>
      </c>
      <c r="J62" s="196">
        <v>570</v>
      </c>
      <c r="K62" s="196">
        <v>652</v>
      </c>
      <c r="L62" s="196">
        <v>745</v>
      </c>
      <c r="M62" s="196">
        <v>2032</v>
      </c>
      <c r="N62" s="196">
        <v>799</v>
      </c>
      <c r="O62" s="196">
        <v>637</v>
      </c>
      <c r="P62" s="196">
        <v>1082</v>
      </c>
      <c r="Q62" s="196">
        <v>948</v>
      </c>
      <c r="R62" s="196">
        <v>1237</v>
      </c>
    </row>
    <row r="63" spans="2:18" ht="12.75" customHeight="1" x14ac:dyDescent="0.2">
      <c r="B63" s="23" t="s">
        <v>73</v>
      </c>
      <c r="C63" s="196">
        <v>7083</v>
      </c>
      <c r="D63" s="196">
        <v>8269</v>
      </c>
      <c r="E63" s="196">
        <v>8893</v>
      </c>
      <c r="F63" s="196">
        <v>11792</v>
      </c>
      <c r="G63" s="196">
        <v>15627</v>
      </c>
      <c r="H63" s="196">
        <v>23361</v>
      </c>
      <c r="I63" s="196">
        <v>24349</v>
      </c>
      <c r="J63" s="196">
        <v>40282</v>
      </c>
      <c r="K63" s="196">
        <v>56113</v>
      </c>
      <c r="L63" s="196">
        <v>57385</v>
      </c>
      <c r="M63" s="196">
        <v>59486</v>
      </c>
      <c r="N63" s="196">
        <v>56867</v>
      </c>
      <c r="O63" s="196">
        <v>47232</v>
      </c>
      <c r="P63" s="196">
        <v>85031</v>
      </c>
      <c r="Q63" s="196">
        <v>119337</v>
      </c>
      <c r="R63" s="196">
        <v>127149</v>
      </c>
    </row>
    <row r="64" spans="2:18" ht="12.75" customHeight="1" x14ac:dyDescent="0.2">
      <c r="B64" s="23" t="s">
        <v>74</v>
      </c>
      <c r="C64" s="196">
        <v>106</v>
      </c>
      <c r="D64" s="196">
        <v>192</v>
      </c>
      <c r="E64" s="196">
        <v>171</v>
      </c>
      <c r="F64" s="196">
        <v>667</v>
      </c>
      <c r="G64" s="196">
        <v>745</v>
      </c>
      <c r="H64" s="196">
        <v>445</v>
      </c>
      <c r="I64" s="196">
        <v>561</v>
      </c>
      <c r="J64" s="196">
        <v>382</v>
      </c>
      <c r="K64" s="196">
        <v>546</v>
      </c>
      <c r="L64" s="196">
        <v>584</v>
      </c>
      <c r="M64" s="196">
        <v>1237</v>
      </c>
      <c r="N64" s="196">
        <v>1608</v>
      </c>
      <c r="O64" s="196">
        <v>1447</v>
      </c>
      <c r="P64" s="196">
        <v>2982</v>
      </c>
      <c r="Q64" s="196">
        <v>6741</v>
      </c>
      <c r="R64" s="196">
        <v>10004</v>
      </c>
    </row>
    <row r="65" spans="2:18" ht="12.75" customHeight="1" x14ac:dyDescent="0.2">
      <c r="B65" s="23" t="s">
        <v>75</v>
      </c>
      <c r="C65" s="196">
        <v>33034</v>
      </c>
      <c r="D65" s="196">
        <v>36648</v>
      </c>
      <c r="E65" s="196">
        <v>41692</v>
      </c>
      <c r="F65" s="196">
        <v>53142</v>
      </c>
      <c r="G65" s="196">
        <v>63855</v>
      </c>
      <c r="H65" s="196">
        <v>64982</v>
      </c>
      <c r="I65" s="196">
        <v>69323</v>
      </c>
      <c r="J65" s="196">
        <v>72393</v>
      </c>
      <c r="K65" s="196">
        <v>70956</v>
      </c>
      <c r="L65" s="196">
        <v>73365</v>
      </c>
      <c r="M65" s="196">
        <v>67198</v>
      </c>
      <c r="N65" s="196">
        <v>48522</v>
      </c>
      <c r="O65" s="196">
        <v>39063</v>
      </c>
      <c r="P65" s="196">
        <v>48320</v>
      </c>
      <c r="Q65" s="196">
        <v>51880</v>
      </c>
      <c r="R65" s="196">
        <v>66882</v>
      </c>
    </row>
    <row r="66" spans="2:18" ht="12.75" customHeight="1" x14ac:dyDescent="0.2">
      <c r="B66" s="23" t="s">
        <v>76</v>
      </c>
      <c r="C66" s="196">
        <v>13016</v>
      </c>
      <c r="D66" s="196">
        <v>16710</v>
      </c>
      <c r="E66" s="196">
        <v>15952</v>
      </c>
      <c r="F66" s="196">
        <v>24369</v>
      </c>
      <c r="G66" s="196">
        <v>33752</v>
      </c>
      <c r="H66" s="196">
        <v>36413</v>
      </c>
      <c r="I66" s="196">
        <v>35136</v>
      </c>
      <c r="J66" s="196">
        <v>34921</v>
      </c>
      <c r="K66" s="196">
        <v>35459</v>
      </c>
      <c r="L66" s="196">
        <v>48537</v>
      </c>
      <c r="M66" s="196">
        <v>55649</v>
      </c>
      <c r="N66" s="196">
        <v>63363</v>
      </c>
      <c r="O66" s="196">
        <v>35549</v>
      </c>
      <c r="P66" s="196">
        <v>48024</v>
      </c>
      <c r="Q66" s="196">
        <v>61707</v>
      </c>
      <c r="R66" s="196">
        <v>77041</v>
      </c>
    </row>
    <row r="67" spans="2:18" ht="12.75" customHeight="1" x14ac:dyDescent="0.2">
      <c r="B67" s="23" t="s">
        <v>77</v>
      </c>
      <c r="C67" s="196">
        <v>660</v>
      </c>
      <c r="D67" s="196">
        <v>817</v>
      </c>
      <c r="E67" s="196">
        <v>1069</v>
      </c>
      <c r="F67" s="196">
        <v>2081</v>
      </c>
      <c r="G67" s="196">
        <v>2057</v>
      </c>
      <c r="H67" s="196">
        <v>2062</v>
      </c>
      <c r="I67" s="196">
        <v>1479</v>
      </c>
      <c r="J67" s="196">
        <v>1912</v>
      </c>
      <c r="K67" s="196">
        <v>2826</v>
      </c>
      <c r="L67" s="196">
        <v>3488</v>
      </c>
      <c r="M67" s="196">
        <v>4480</v>
      </c>
      <c r="N67" s="196">
        <v>5095</v>
      </c>
      <c r="O67" s="196">
        <v>5408</v>
      </c>
      <c r="P67" s="196">
        <v>6078</v>
      </c>
      <c r="Q67" s="196">
        <v>9137</v>
      </c>
      <c r="R67" s="196">
        <v>20714</v>
      </c>
    </row>
    <row r="68" spans="2:18" ht="12.75" customHeight="1" x14ac:dyDescent="0.2">
      <c r="B68" s="23" t="s">
        <v>78</v>
      </c>
      <c r="C68" s="196" t="s">
        <v>585</v>
      </c>
      <c r="D68" s="196" t="s">
        <v>585</v>
      </c>
      <c r="E68" s="196" t="s">
        <v>585</v>
      </c>
      <c r="F68" s="196" t="s">
        <v>585</v>
      </c>
      <c r="G68" s="196" t="s">
        <v>585</v>
      </c>
      <c r="H68" s="196" t="s">
        <v>585</v>
      </c>
      <c r="I68" s="196" t="s">
        <v>585</v>
      </c>
      <c r="J68" s="196" t="s">
        <v>585</v>
      </c>
      <c r="K68" s="196" t="s">
        <v>585</v>
      </c>
      <c r="L68" s="196" t="s">
        <v>585</v>
      </c>
      <c r="M68" s="196" t="s">
        <v>585</v>
      </c>
      <c r="N68" s="196" t="s">
        <v>585</v>
      </c>
      <c r="O68" s="196">
        <v>2</v>
      </c>
      <c r="P68" s="196">
        <v>8</v>
      </c>
      <c r="Q68" s="196" t="s">
        <v>585</v>
      </c>
      <c r="R68" s="196" t="s">
        <v>585</v>
      </c>
    </row>
    <row r="69" spans="2:18" ht="12.75" customHeight="1" x14ac:dyDescent="0.2">
      <c r="B69" s="23" t="s">
        <v>79</v>
      </c>
      <c r="C69" s="196" t="s">
        <v>585</v>
      </c>
      <c r="D69" s="196" t="s">
        <v>585</v>
      </c>
      <c r="E69" s="196" t="s">
        <v>585</v>
      </c>
      <c r="F69" s="196" t="s">
        <v>585</v>
      </c>
      <c r="G69" s="196" t="s">
        <v>585</v>
      </c>
      <c r="H69" s="196" t="s">
        <v>585</v>
      </c>
      <c r="I69" s="196" t="s">
        <v>585</v>
      </c>
      <c r="J69" s="196" t="s">
        <v>585</v>
      </c>
      <c r="K69" s="196" t="s">
        <v>585</v>
      </c>
      <c r="L69" s="196" t="s">
        <v>585</v>
      </c>
      <c r="M69" s="196" t="s">
        <v>585</v>
      </c>
      <c r="N69" s="196" t="s">
        <v>585</v>
      </c>
      <c r="O69" s="196" t="s">
        <v>585</v>
      </c>
      <c r="P69" s="196">
        <v>1</v>
      </c>
      <c r="Q69" s="196">
        <v>2</v>
      </c>
      <c r="R69" s="196">
        <v>1</v>
      </c>
    </row>
    <row r="70" spans="2:18" ht="12.75" customHeight="1" x14ac:dyDescent="0.2">
      <c r="B70" s="23" t="s">
        <v>80</v>
      </c>
      <c r="C70" s="196">
        <v>15987</v>
      </c>
      <c r="D70" s="196">
        <v>24914</v>
      </c>
      <c r="E70" s="196">
        <v>30410</v>
      </c>
      <c r="F70" s="196">
        <v>37788</v>
      </c>
      <c r="G70" s="196">
        <v>44023</v>
      </c>
      <c r="H70" s="196">
        <v>65875</v>
      </c>
      <c r="I70" s="196">
        <v>57447</v>
      </c>
      <c r="J70" s="196">
        <v>68645</v>
      </c>
      <c r="K70" s="196">
        <v>77884</v>
      </c>
      <c r="L70" s="196">
        <v>82579</v>
      </c>
      <c r="M70" s="196">
        <v>89562</v>
      </c>
      <c r="N70" s="196">
        <v>109775</v>
      </c>
      <c r="O70" s="196">
        <v>87660</v>
      </c>
      <c r="P70" s="196">
        <v>114155</v>
      </c>
      <c r="Q70" s="196">
        <v>176538</v>
      </c>
      <c r="R70" s="196">
        <v>234264</v>
      </c>
    </row>
    <row r="71" spans="2:18" ht="12.75" customHeight="1" x14ac:dyDescent="0.2">
      <c r="B71" s="23" t="s">
        <v>81</v>
      </c>
      <c r="C71" s="196">
        <v>20</v>
      </c>
      <c r="D71" s="196">
        <v>245</v>
      </c>
      <c r="E71" s="196">
        <v>47</v>
      </c>
      <c r="F71" s="196">
        <v>53</v>
      </c>
      <c r="G71" s="196">
        <v>42</v>
      </c>
      <c r="H71" s="196">
        <v>50</v>
      </c>
      <c r="I71" s="196">
        <v>34</v>
      </c>
      <c r="J71" s="196">
        <v>33</v>
      </c>
      <c r="K71" s="196">
        <v>167</v>
      </c>
      <c r="L71" s="196">
        <v>80</v>
      </c>
      <c r="M71" s="196">
        <v>148</v>
      </c>
      <c r="N71" s="196">
        <v>118</v>
      </c>
      <c r="O71" s="196">
        <v>93</v>
      </c>
      <c r="P71" s="196">
        <v>75</v>
      </c>
      <c r="Q71" s="196">
        <v>140</v>
      </c>
      <c r="R71" s="196">
        <v>127</v>
      </c>
    </row>
    <row r="72" spans="2:18" ht="12.75" customHeight="1" x14ac:dyDescent="0.2">
      <c r="B72" s="23" t="s">
        <v>82</v>
      </c>
      <c r="C72" s="196">
        <v>69</v>
      </c>
      <c r="D72" s="196">
        <v>13</v>
      </c>
      <c r="E72" s="196">
        <v>8</v>
      </c>
      <c r="F72" s="196">
        <v>63</v>
      </c>
      <c r="G72" s="196">
        <v>457</v>
      </c>
      <c r="H72" s="196">
        <v>804</v>
      </c>
      <c r="I72" s="196">
        <v>755</v>
      </c>
      <c r="J72" s="196">
        <v>1280</v>
      </c>
      <c r="K72" s="196">
        <v>1847</v>
      </c>
      <c r="L72" s="196">
        <v>2407</v>
      </c>
      <c r="M72" s="196">
        <v>6373</v>
      </c>
      <c r="N72" s="196">
        <v>2957</v>
      </c>
      <c r="O72" s="196">
        <v>2807</v>
      </c>
      <c r="P72" s="196">
        <v>2891</v>
      </c>
      <c r="Q72" s="196">
        <v>3571</v>
      </c>
      <c r="R72" s="196">
        <v>4528</v>
      </c>
    </row>
    <row r="73" spans="2:18" ht="12.75" customHeight="1" x14ac:dyDescent="0.2">
      <c r="B73" s="23" t="s">
        <v>83</v>
      </c>
      <c r="C73" s="196">
        <v>12422</v>
      </c>
      <c r="D73" s="196">
        <v>15072</v>
      </c>
      <c r="E73" s="196">
        <v>21115</v>
      </c>
      <c r="F73" s="196">
        <v>24757</v>
      </c>
      <c r="G73" s="196">
        <v>28222</v>
      </c>
      <c r="H73" s="196">
        <v>35814</v>
      </c>
      <c r="I73" s="196">
        <v>31658</v>
      </c>
      <c r="J73" s="196">
        <v>51610</v>
      </c>
      <c r="K73" s="196">
        <v>65272</v>
      </c>
      <c r="L73" s="196">
        <v>59734</v>
      </c>
      <c r="M73" s="196">
        <v>69229</v>
      </c>
      <c r="N73" s="196">
        <v>83515</v>
      </c>
      <c r="O73" s="196">
        <v>59015</v>
      </c>
      <c r="P73" s="196">
        <v>63244</v>
      </c>
      <c r="Q73" s="196">
        <v>95068</v>
      </c>
      <c r="R73" s="196">
        <v>139126</v>
      </c>
    </row>
    <row r="74" spans="2:18" ht="12.75" customHeight="1" x14ac:dyDescent="0.2">
      <c r="B74" s="23" t="s">
        <v>84</v>
      </c>
      <c r="C74" s="196">
        <v>2938</v>
      </c>
      <c r="D74" s="196">
        <v>3282</v>
      </c>
      <c r="E74" s="196">
        <v>3163</v>
      </c>
      <c r="F74" s="196">
        <v>3634</v>
      </c>
      <c r="G74" s="196">
        <v>4130</v>
      </c>
      <c r="H74" s="196">
        <v>5402</v>
      </c>
      <c r="I74" s="196">
        <v>4685</v>
      </c>
      <c r="J74" s="196">
        <v>5447</v>
      </c>
      <c r="K74" s="196">
        <v>6327</v>
      </c>
      <c r="L74" s="196">
        <v>7971</v>
      </c>
      <c r="M74" s="196">
        <v>11435</v>
      </c>
      <c r="N74" s="196">
        <v>16218</v>
      </c>
      <c r="O74" s="196">
        <v>19353</v>
      </c>
      <c r="P74" s="196">
        <v>32339</v>
      </c>
      <c r="Q74" s="196">
        <v>56816</v>
      </c>
      <c r="R74" s="196">
        <v>72760</v>
      </c>
    </row>
    <row r="75" spans="2:18" ht="12.75" customHeight="1" x14ac:dyDescent="0.2">
      <c r="B75" s="23" t="s">
        <v>85</v>
      </c>
      <c r="C75" s="196">
        <v>80908</v>
      </c>
      <c r="D75" s="196">
        <v>95730</v>
      </c>
      <c r="E75" s="196">
        <v>78766</v>
      </c>
      <c r="F75" s="196">
        <v>84378</v>
      </c>
      <c r="G75" s="196">
        <v>102883</v>
      </c>
      <c r="H75" s="196">
        <v>136489</v>
      </c>
      <c r="I75" s="196">
        <v>143204</v>
      </c>
      <c r="J75" s="196">
        <v>186562</v>
      </c>
      <c r="K75" s="196">
        <v>195083</v>
      </c>
      <c r="L75" s="196">
        <v>219044</v>
      </c>
      <c r="M75" s="196">
        <v>228138</v>
      </c>
      <c r="N75" s="196">
        <v>213803</v>
      </c>
      <c r="O75" s="196">
        <v>122185</v>
      </c>
      <c r="P75" s="196">
        <v>97112</v>
      </c>
      <c r="Q75" s="196">
        <v>128860</v>
      </c>
      <c r="R75" s="196">
        <v>135192</v>
      </c>
    </row>
    <row r="76" spans="2:18" ht="12.75" customHeight="1" x14ac:dyDescent="0.2">
      <c r="B76" s="23" t="s">
        <v>86</v>
      </c>
      <c r="C76" s="196">
        <v>548858</v>
      </c>
      <c r="D76" s="196">
        <v>701190</v>
      </c>
      <c r="E76" s="196">
        <v>657859</v>
      </c>
      <c r="F76" s="196">
        <v>768167</v>
      </c>
      <c r="G76" s="196">
        <v>885006</v>
      </c>
      <c r="H76" s="196">
        <v>932809</v>
      </c>
      <c r="I76" s="196">
        <v>928376</v>
      </c>
      <c r="J76" s="196">
        <v>1140459</v>
      </c>
      <c r="K76" s="196">
        <v>1032565</v>
      </c>
      <c r="L76" s="196">
        <v>1046010</v>
      </c>
      <c r="M76" s="196">
        <v>1037152</v>
      </c>
      <c r="N76" s="196">
        <v>847259</v>
      </c>
      <c r="O76" s="196">
        <v>555151</v>
      </c>
      <c r="P76" s="196">
        <v>578524</v>
      </c>
      <c r="Q76" s="196">
        <v>731379</v>
      </c>
      <c r="R76" s="196">
        <v>875957</v>
      </c>
    </row>
    <row r="77" spans="2:18" ht="12.75" customHeight="1" x14ac:dyDescent="0.2">
      <c r="B77" s="23" t="s">
        <v>87</v>
      </c>
      <c r="C77" s="196" t="s">
        <v>585</v>
      </c>
      <c r="D77" s="196" t="s">
        <v>585</v>
      </c>
      <c r="E77" s="196" t="s">
        <v>585</v>
      </c>
      <c r="F77" s="196" t="s">
        <v>585</v>
      </c>
      <c r="G77" s="196" t="s">
        <v>585</v>
      </c>
      <c r="H77" s="196" t="s">
        <v>585</v>
      </c>
      <c r="I77" s="196" t="s">
        <v>585</v>
      </c>
      <c r="J77" s="196" t="s">
        <v>585</v>
      </c>
      <c r="K77" s="196" t="s">
        <v>585</v>
      </c>
      <c r="L77" s="196" t="s">
        <v>585</v>
      </c>
      <c r="M77" s="196" t="s">
        <v>585</v>
      </c>
      <c r="N77" s="196" t="s">
        <v>585</v>
      </c>
      <c r="O77" s="196" t="s">
        <v>585</v>
      </c>
      <c r="P77" s="196" t="s">
        <v>585</v>
      </c>
      <c r="Q77" s="196" t="s">
        <v>585</v>
      </c>
      <c r="R77" s="196" t="s">
        <v>585</v>
      </c>
    </row>
    <row r="78" spans="2:18" ht="12.75" customHeight="1" x14ac:dyDescent="0.2">
      <c r="B78" s="23" t="s">
        <v>88</v>
      </c>
      <c r="C78" s="196">
        <v>37</v>
      </c>
      <c r="D78" s="196">
        <v>29</v>
      </c>
      <c r="E78" s="196">
        <v>1558</v>
      </c>
      <c r="F78" s="196">
        <v>64</v>
      </c>
      <c r="G78" s="196">
        <v>100</v>
      </c>
      <c r="H78" s="196">
        <v>175</v>
      </c>
      <c r="I78" s="196">
        <v>161</v>
      </c>
      <c r="J78" s="196">
        <v>268</v>
      </c>
      <c r="K78" s="196">
        <v>473</v>
      </c>
      <c r="L78" s="196">
        <v>1902</v>
      </c>
      <c r="M78" s="196">
        <v>1691</v>
      </c>
      <c r="N78" s="196">
        <v>2259</v>
      </c>
      <c r="O78" s="196">
        <v>1577</v>
      </c>
      <c r="P78" s="196">
        <v>1565</v>
      </c>
      <c r="Q78" s="196">
        <v>2289</v>
      </c>
      <c r="R78" s="196">
        <v>2872</v>
      </c>
    </row>
    <row r="79" spans="2:18" ht="12.75" customHeight="1" x14ac:dyDescent="0.2">
      <c r="B79" s="23" t="s">
        <v>89</v>
      </c>
      <c r="C79" s="196">
        <v>88</v>
      </c>
      <c r="D79" s="196">
        <v>84</v>
      </c>
      <c r="E79" s="196">
        <v>157</v>
      </c>
      <c r="F79" s="196">
        <v>199</v>
      </c>
      <c r="G79" s="196">
        <v>176</v>
      </c>
      <c r="H79" s="196">
        <v>199</v>
      </c>
      <c r="I79" s="196">
        <v>188</v>
      </c>
      <c r="J79" s="196">
        <v>350</v>
      </c>
      <c r="K79" s="196">
        <v>389</v>
      </c>
      <c r="L79" s="196">
        <v>528</v>
      </c>
      <c r="M79" s="196">
        <v>633</v>
      </c>
      <c r="N79" s="196">
        <v>560</v>
      </c>
      <c r="O79" s="196">
        <v>694</v>
      </c>
      <c r="P79" s="196">
        <v>796</v>
      </c>
      <c r="Q79" s="196">
        <v>1173</v>
      </c>
      <c r="R79" s="196">
        <v>2404</v>
      </c>
    </row>
    <row r="80" spans="2:18" ht="12.75" customHeight="1" x14ac:dyDescent="0.2">
      <c r="B80" s="23" t="s">
        <v>90</v>
      </c>
      <c r="C80" s="196">
        <v>254</v>
      </c>
      <c r="D80" s="196">
        <v>403</v>
      </c>
      <c r="E80" s="196">
        <v>509</v>
      </c>
      <c r="F80" s="196">
        <v>646</v>
      </c>
      <c r="G80" s="196">
        <v>726</v>
      </c>
      <c r="H80" s="196">
        <v>837</v>
      </c>
      <c r="I80" s="196">
        <v>760</v>
      </c>
      <c r="J80" s="196">
        <v>1817</v>
      </c>
      <c r="K80" s="196">
        <v>3597</v>
      </c>
      <c r="L80" s="196">
        <v>5225</v>
      </c>
      <c r="M80" s="196">
        <v>4093</v>
      </c>
      <c r="N80" s="196">
        <v>3765</v>
      </c>
      <c r="O80" s="196">
        <v>3309</v>
      </c>
      <c r="P80" s="196">
        <v>4369</v>
      </c>
      <c r="Q80" s="196">
        <v>5801</v>
      </c>
      <c r="R80" s="196">
        <v>6437</v>
      </c>
    </row>
    <row r="81" spans="2:18" ht="12.75" customHeight="1" x14ac:dyDescent="0.2">
      <c r="B81" s="23" t="s">
        <v>91</v>
      </c>
      <c r="C81" s="196" t="s">
        <v>585</v>
      </c>
      <c r="D81" s="196" t="s">
        <v>585</v>
      </c>
      <c r="E81" s="196" t="s">
        <v>585</v>
      </c>
      <c r="F81" s="196" t="s">
        <v>585</v>
      </c>
      <c r="G81" s="196">
        <v>1</v>
      </c>
      <c r="H81" s="196">
        <v>60</v>
      </c>
      <c r="I81" s="196">
        <v>15</v>
      </c>
      <c r="J81" s="196">
        <v>23</v>
      </c>
      <c r="K81" s="196">
        <v>3</v>
      </c>
      <c r="L81" s="196" t="s">
        <v>585</v>
      </c>
      <c r="M81" s="196" t="s">
        <v>585</v>
      </c>
      <c r="N81" s="196">
        <v>2</v>
      </c>
      <c r="O81" s="196" t="s">
        <v>585</v>
      </c>
      <c r="P81" s="196" t="s">
        <v>585</v>
      </c>
      <c r="Q81" s="196" t="s">
        <v>585</v>
      </c>
      <c r="R81" s="196" t="s">
        <v>585</v>
      </c>
    </row>
    <row r="82" spans="2:18" ht="12.75" customHeight="1" x14ac:dyDescent="0.2">
      <c r="B82" s="23" t="s">
        <v>92</v>
      </c>
      <c r="C82" s="196">
        <v>203</v>
      </c>
      <c r="D82" s="196">
        <v>208</v>
      </c>
      <c r="E82" s="196">
        <v>294</v>
      </c>
      <c r="F82" s="196">
        <v>506</v>
      </c>
      <c r="G82" s="196">
        <v>835</v>
      </c>
      <c r="H82" s="196">
        <v>625</v>
      </c>
      <c r="I82" s="196">
        <v>723</v>
      </c>
      <c r="J82" s="196">
        <v>645</v>
      </c>
      <c r="K82" s="196">
        <v>601</v>
      </c>
      <c r="L82" s="196">
        <v>666</v>
      </c>
      <c r="M82" s="196">
        <v>710</v>
      </c>
      <c r="N82" s="196">
        <v>829</v>
      </c>
      <c r="O82" s="196">
        <v>1041</v>
      </c>
      <c r="P82" s="196">
        <v>1295</v>
      </c>
      <c r="Q82" s="196">
        <v>1471</v>
      </c>
      <c r="R82" s="196">
        <v>1957</v>
      </c>
    </row>
    <row r="83" spans="2:18" ht="12.75" customHeight="1" x14ac:dyDescent="0.2">
      <c r="B83" s="23" t="s">
        <v>93</v>
      </c>
      <c r="C83" s="196">
        <v>4</v>
      </c>
      <c r="D83" s="196">
        <v>7</v>
      </c>
      <c r="E83" s="196">
        <v>8</v>
      </c>
      <c r="F83" s="196">
        <v>30</v>
      </c>
      <c r="G83" s="196">
        <v>62</v>
      </c>
      <c r="H83" s="196">
        <v>131</v>
      </c>
      <c r="I83" s="196">
        <v>70</v>
      </c>
      <c r="J83" s="196">
        <v>112</v>
      </c>
      <c r="K83" s="196">
        <v>135</v>
      </c>
      <c r="L83" s="196">
        <v>161</v>
      </c>
      <c r="M83" s="196">
        <v>159</v>
      </c>
      <c r="N83" s="196">
        <v>172</v>
      </c>
      <c r="O83" s="196">
        <v>162</v>
      </c>
      <c r="P83" s="196">
        <v>231</v>
      </c>
      <c r="Q83" s="196">
        <v>188</v>
      </c>
      <c r="R83" s="196">
        <v>228</v>
      </c>
    </row>
    <row r="84" spans="2:18" ht="12.75" customHeight="1" x14ac:dyDescent="0.2">
      <c r="B84" s="23" t="s">
        <v>94</v>
      </c>
      <c r="C84" s="196">
        <v>222</v>
      </c>
      <c r="D84" s="196">
        <v>146</v>
      </c>
      <c r="E84" s="196">
        <v>126</v>
      </c>
      <c r="F84" s="196">
        <v>34</v>
      </c>
      <c r="G84" s="196">
        <v>43</v>
      </c>
      <c r="H84" s="196">
        <v>62</v>
      </c>
      <c r="I84" s="196">
        <v>60</v>
      </c>
      <c r="J84" s="196">
        <v>58</v>
      </c>
      <c r="K84" s="196">
        <v>75</v>
      </c>
      <c r="L84" s="196">
        <v>53</v>
      </c>
      <c r="M84" s="196">
        <v>100</v>
      </c>
      <c r="N84" s="196">
        <v>120</v>
      </c>
      <c r="O84" s="196">
        <v>112</v>
      </c>
      <c r="P84" s="196">
        <v>283</v>
      </c>
      <c r="Q84" s="196">
        <v>498</v>
      </c>
      <c r="R84" s="196">
        <v>644</v>
      </c>
    </row>
    <row r="85" spans="2:18" ht="12.75" customHeight="1" x14ac:dyDescent="0.2">
      <c r="B85" s="23" t="s">
        <v>95</v>
      </c>
      <c r="C85" s="196" t="s">
        <v>585</v>
      </c>
      <c r="D85" s="196" t="s">
        <v>585</v>
      </c>
      <c r="E85" s="196" t="s">
        <v>585</v>
      </c>
      <c r="F85" s="196" t="s">
        <v>585</v>
      </c>
      <c r="G85" s="196" t="s">
        <v>585</v>
      </c>
      <c r="H85" s="196" t="s">
        <v>585</v>
      </c>
      <c r="I85" s="196" t="s">
        <v>585</v>
      </c>
      <c r="J85" s="196" t="s">
        <v>585</v>
      </c>
      <c r="K85" s="196" t="s">
        <v>585</v>
      </c>
      <c r="L85" s="196" t="s">
        <v>585</v>
      </c>
      <c r="M85" s="196" t="s">
        <v>585</v>
      </c>
      <c r="N85" s="196" t="s">
        <v>585</v>
      </c>
      <c r="O85" s="196">
        <v>5</v>
      </c>
      <c r="P85" s="196">
        <v>10</v>
      </c>
      <c r="Q85" s="196" t="s">
        <v>585</v>
      </c>
      <c r="R85" s="196" t="s">
        <v>585</v>
      </c>
    </row>
    <row r="86" spans="2:18" ht="12.75" customHeight="1" x14ac:dyDescent="0.2">
      <c r="B86" s="23" t="s">
        <v>96</v>
      </c>
      <c r="C86" s="196">
        <v>1</v>
      </c>
      <c r="D86" s="196" t="s">
        <v>585</v>
      </c>
      <c r="E86" s="196" t="s">
        <v>585</v>
      </c>
      <c r="F86" s="196" t="s">
        <v>585</v>
      </c>
      <c r="G86" s="196" t="s">
        <v>585</v>
      </c>
      <c r="H86" s="196" t="s">
        <v>585</v>
      </c>
      <c r="I86" s="196" t="s">
        <v>585</v>
      </c>
      <c r="J86" s="196" t="s">
        <v>585</v>
      </c>
      <c r="K86" s="196" t="s">
        <v>585</v>
      </c>
      <c r="L86" s="196" t="s">
        <v>585</v>
      </c>
      <c r="M86" s="196" t="s">
        <v>585</v>
      </c>
      <c r="N86" s="196" t="s">
        <v>585</v>
      </c>
      <c r="O86" s="196" t="s">
        <v>585</v>
      </c>
      <c r="P86" s="196" t="s">
        <v>585</v>
      </c>
      <c r="Q86" s="196" t="s">
        <v>585</v>
      </c>
      <c r="R86" s="196" t="s">
        <v>585</v>
      </c>
    </row>
    <row r="87" spans="2:18" ht="12.75" customHeight="1" x14ac:dyDescent="0.2">
      <c r="B87" s="23" t="s">
        <v>97</v>
      </c>
      <c r="C87" s="196" t="s">
        <v>585</v>
      </c>
      <c r="D87" s="196" t="s">
        <v>585</v>
      </c>
      <c r="E87" s="196" t="s">
        <v>585</v>
      </c>
      <c r="F87" s="196" t="s">
        <v>585</v>
      </c>
      <c r="G87" s="196" t="s">
        <v>585</v>
      </c>
      <c r="H87" s="196" t="s">
        <v>585</v>
      </c>
      <c r="I87" s="196" t="s">
        <v>585</v>
      </c>
      <c r="J87" s="196" t="s">
        <v>585</v>
      </c>
      <c r="K87" s="196" t="s">
        <v>585</v>
      </c>
      <c r="L87" s="196" t="s">
        <v>585</v>
      </c>
      <c r="M87" s="196" t="s">
        <v>585</v>
      </c>
      <c r="N87" s="196" t="s">
        <v>585</v>
      </c>
      <c r="O87" s="196">
        <v>1</v>
      </c>
      <c r="P87" s="196" t="s">
        <v>585</v>
      </c>
      <c r="Q87" s="196" t="s">
        <v>585</v>
      </c>
      <c r="R87" s="196" t="s">
        <v>585</v>
      </c>
    </row>
    <row r="88" spans="2:18" ht="12.75" customHeight="1" x14ac:dyDescent="0.2">
      <c r="B88" s="23" t="s">
        <v>98</v>
      </c>
      <c r="C88" s="196">
        <v>331</v>
      </c>
      <c r="D88" s="196">
        <v>519</v>
      </c>
      <c r="E88" s="196">
        <v>709</v>
      </c>
      <c r="F88" s="196">
        <v>1056</v>
      </c>
      <c r="G88" s="196">
        <v>1211</v>
      </c>
      <c r="H88" s="196">
        <v>1124</v>
      </c>
      <c r="I88" s="196">
        <v>893</v>
      </c>
      <c r="J88" s="196">
        <v>1266</v>
      </c>
      <c r="K88" s="196">
        <v>1193</v>
      </c>
      <c r="L88" s="196">
        <v>1586</v>
      </c>
      <c r="M88" s="196">
        <v>1633</v>
      </c>
      <c r="N88" s="196">
        <v>1728</v>
      </c>
      <c r="O88" s="196">
        <v>1276</v>
      </c>
      <c r="P88" s="196">
        <v>1050</v>
      </c>
      <c r="Q88" s="196">
        <v>1824</v>
      </c>
      <c r="R88" s="196">
        <v>2931</v>
      </c>
    </row>
    <row r="89" spans="2:18" ht="12.75" customHeight="1" x14ac:dyDescent="0.2">
      <c r="B89" s="23" t="s">
        <v>99</v>
      </c>
      <c r="C89" s="196">
        <v>42</v>
      </c>
      <c r="D89" s="196">
        <v>42</v>
      </c>
      <c r="E89" s="196">
        <v>29</v>
      </c>
      <c r="F89" s="196">
        <v>56</v>
      </c>
      <c r="G89" s="196">
        <v>41</v>
      </c>
      <c r="H89" s="196">
        <v>59</v>
      </c>
      <c r="I89" s="196">
        <v>47</v>
      </c>
      <c r="J89" s="196">
        <v>68</v>
      </c>
      <c r="K89" s="196">
        <v>134</v>
      </c>
      <c r="L89" s="196">
        <v>60</v>
      </c>
      <c r="M89" s="196">
        <v>90</v>
      </c>
      <c r="N89" s="196">
        <v>102</v>
      </c>
      <c r="O89" s="196">
        <v>89</v>
      </c>
      <c r="P89" s="196">
        <v>55</v>
      </c>
      <c r="Q89" s="196">
        <v>39</v>
      </c>
      <c r="R89" s="196">
        <v>60</v>
      </c>
    </row>
    <row r="90" spans="2:18" ht="12.75" customHeight="1" x14ac:dyDescent="0.2">
      <c r="B90" s="23" t="s">
        <v>100</v>
      </c>
      <c r="C90" s="196">
        <v>9430</v>
      </c>
      <c r="D90" s="196">
        <v>13315</v>
      </c>
      <c r="E90" s="196">
        <v>15131</v>
      </c>
      <c r="F90" s="196">
        <v>14349</v>
      </c>
      <c r="G90" s="196">
        <v>20774</v>
      </c>
      <c r="H90" s="196">
        <v>24402</v>
      </c>
      <c r="I90" s="196">
        <v>27177</v>
      </c>
      <c r="J90" s="196">
        <v>34394</v>
      </c>
      <c r="K90" s="196">
        <v>40771</v>
      </c>
      <c r="L90" s="196">
        <v>44798</v>
      </c>
      <c r="M90" s="196">
        <v>43049</v>
      </c>
      <c r="N90" s="196">
        <v>47679</v>
      </c>
      <c r="O90" s="196">
        <v>29316</v>
      </c>
      <c r="P90" s="196">
        <v>34487</v>
      </c>
      <c r="Q90" s="196">
        <v>53544</v>
      </c>
      <c r="R90" s="196">
        <v>74652</v>
      </c>
    </row>
    <row r="91" spans="2:18" ht="12.75" customHeight="1" x14ac:dyDescent="0.2">
      <c r="B91" s="23" t="s">
        <v>101</v>
      </c>
      <c r="C91" s="196">
        <v>6210</v>
      </c>
      <c r="D91" s="196">
        <v>8604</v>
      </c>
      <c r="E91" s="196">
        <v>4996</v>
      </c>
      <c r="F91" s="196">
        <v>5800</v>
      </c>
      <c r="G91" s="196">
        <v>9617</v>
      </c>
      <c r="H91" s="196">
        <v>13574</v>
      </c>
      <c r="I91" s="196">
        <v>15421</v>
      </c>
      <c r="J91" s="196">
        <v>16749</v>
      </c>
      <c r="K91" s="196">
        <v>18924</v>
      </c>
      <c r="L91" s="196">
        <v>14265</v>
      </c>
      <c r="M91" s="196">
        <v>15943</v>
      </c>
      <c r="N91" s="196">
        <v>12967</v>
      </c>
      <c r="O91" s="196">
        <v>10342</v>
      </c>
      <c r="P91" s="196">
        <v>10201</v>
      </c>
      <c r="Q91" s="196">
        <v>10516</v>
      </c>
      <c r="R91" s="196">
        <v>12355</v>
      </c>
    </row>
    <row r="92" spans="2:18" ht="12.75" customHeight="1" x14ac:dyDescent="0.2">
      <c r="B92" s="23" t="s">
        <v>102</v>
      </c>
      <c r="C92" s="196">
        <v>56926</v>
      </c>
      <c r="D92" s="196">
        <v>91597</v>
      </c>
      <c r="E92" s="196">
        <v>108140</v>
      </c>
      <c r="F92" s="196">
        <v>135124</v>
      </c>
      <c r="G92" s="196">
        <v>119500</v>
      </c>
      <c r="H92" s="196">
        <v>89148</v>
      </c>
      <c r="I92" s="196">
        <v>123315</v>
      </c>
      <c r="J92" s="196">
        <v>149943</v>
      </c>
      <c r="K92" s="196">
        <v>159084</v>
      </c>
      <c r="L92" s="196">
        <v>187040</v>
      </c>
      <c r="M92" s="196">
        <v>248910</v>
      </c>
      <c r="N92" s="196">
        <v>228694</v>
      </c>
      <c r="O92" s="196">
        <v>106904</v>
      </c>
      <c r="P92" s="196">
        <v>120622</v>
      </c>
      <c r="Q92" s="196">
        <v>159354</v>
      </c>
      <c r="R92" s="196">
        <v>212970</v>
      </c>
    </row>
    <row r="93" spans="2:18" ht="12.75" customHeight="1" x14ac:dyDescent="0.2">
      <c r="B93" s="23" t="s">
        <v>103</v>
      </c>
      <c r="C93" s="196" t="s">
        <v>585</v>
      </c>
      <c r="D93" s="196" t="s">
        <v>585</v>
      </c>
      <c r="E93" s="196" t="s">
        <v>585</v>
      </c>
      <c r="F93" s="196" t="s">
        <v>585</v>
      </c>
      <c r="G93" s="196" t="s">
        <v>585</v>
      </c>
      <c r="H93" s="196" t="s">
        <v>585</v>
      </c>
      <c r="I93" s="196" t="s">
        <v>585</v>
      </c>
      <c r="J93" s="196" t="s">
        <v>585</v>
      </c>
      <c r="K93" s="196" t="s">
        <v>585</v>
      </c>
      <c r="L93" s="196" t="s">
        <v>585</v>
      </c>
      <c r="M93" s="196" t="s">
        <v>585</v>
      </c>
      <c r="N93" s="196" t="s">
        <v>585</v>
      </c>
      <c r="O93" s="196">
        <v>194</v>
      </c>
      <c r="P93" s="196">
        <v>227</v>
      </c>
      <c r="Q93" s="196">
        <v>7</v>
      </c>
      <c r="R93" s="196">
        <v>369</v>
      </c>
    </row>
    <row r="94" spans="2:18" ht="12.75" customHeight="1" x14ac:dyDescent="0.2">
      <c r="B94" s="23" t="s">
        <v>104</v>
      </c>
      <c r="C94" s="196">
        <v>234937</v>
      </c>
      <c r="D94" s="196">
        <v>367338</v>
      </c>
      <c r="E94" s="196">
        <v>549328</v>
      </c>
      <c r="F94" s="196">
        <v>630979</v>
      </c>
      <c r="G94" s="196">
        <v>830184</v>
      </c>
      <c r="H94" s="196">
        <v>995381</v>
      </c>
      <c r="I94" s="196">
        <v>1112193</v>
      </c>
      <c r="J94" s="196">
        <v>1152661</v>
      </c>
      <c r="K94" s="196">
        <v>1404882</v>
      </c>
      <c r="L94" s="196">
        <v>1769447</v>
      </c>
      <c r="M94" s="196">
        <v>1755289</v>
      </c>
      <c r="N94" s="196">
        <v>1911832</v>
      </c>
      <c r="O94" s="196">
        <v>2206266</v>
      </c>
      <c r="P94" s="196">
        <v>2438730</v>
      </c>
      <c r="Q94" s="196">
        <v>2069392</v>
      </c>
      <c r="R94" s="196">
        <v>1995254</v>
      </c>
    </row>
    <row r="95" spans="2:18" ht="12.75" customHeight="1" x14ac:dyDescent="0.2">
      <c r="B95" s="23" t="s">
        <v>105</v>
      </c>
      <c r="C95" s="196">
        <v>71</v>
      </c>
      <c r="D95" s="196">
        <v>60</v>
      </c>
      <c r="E95" s="196">
        <v>57</v>
      </c>
      <c r="F95" s="196">
        <v>118</v>
      </c>
      <c r="G95" s="196">
        <v>107</v>
      </c>
      <c r="H95" s="196">
        <v>198</v>
      </c>
      <c r="I95" s="196">
        <v>179</v>
      </c>
      <c r="J95" s="196">
        <v>296</v>
      </c>
      <c r="K95" s="196">
        <v>294</v>
      </c>
      <c r="L95" s="196">
        <v>222</v>
      </c>
      <c r="M95" s="196">
        <v>288</v>
      </c>
      <c r="N95" s="196">
        <v>359</v>
      </c>
      <c r="O95" s="196">
        <v>295</v>
      </c>
      <c r="P95" s="196">
        <v>256</v>
      </c>
      <c r="Q95" s="196">
        <v>450</v>
      </c>
      <c r="R95" s="196">
        <v>678</v>
      </c>
    </row>
    <row r="96" spans="2:18" ht="12.75" customHeight="1" x14ac:dyDescent="0.2">
      <c r="B96" s="23" t="s">
        <v>106</v>
      </c>
      <c r="C96" s="196">
        <v>20748</v>
      </c>
      <c r="D96" s="196">
        <v>22923</v>
      </c>
      <c r="E96" s="196">
        <v>22321</v>
      </c>
      <c r="F96" s="196">
        <v>29470</v>
      </c>
      <c r="G96" s="196">
        <v>31186</v>
      </c>
      <c r="H96" s="196">
        <v>31407</v>
      </c>
      <c r="I96" s="196">
        <v>33563</v>
      </c>
      <c r="J96" s="196">
        <v>41959</v>
      </c>
      <c r="K96" s="196">
        <v>47144</v>
      </c>
      <c r="L96" s="196">
        <v>44058</v>
      </c>
      <c r="M96" s="196">
        <v>45297</v>
      </c>
      <c r="N96" s="196">
        <v>38598</v>
      </c>
      <c r="O96" s="196">
        <v>21346</v>
      </c>
      <c r="P96" s="196">
        <v>23630</v>
      </c>
      <c r="Q96" s="196">
        <v>44188</v>
      </c>
      <c r="R96" s="196">
        <v>56465</v>
      </c>
    </row>
    <row r="97" spans="2:18" ht="12.75" customHeight="1" x14ac:dyDescent="0.2">
      <c r="B97" s="23" t="s">
        <v>107</v>
      </c>
      <c r="C97" s="196">
        <v>20003</v>
      </c>
      <c r="D97" s="196">
        <v>26480</v>
      </c>
      <c r="E97" s="196">
        <v>35379</v>
      </c>
      <c r="F97" s="196">
        <v>45175</v>
      </c>
      <c r="G97" s="196">
        <v>55798</v>
      </c>
      <c r="H97" s="196">
        <v>55114</v>
      </c>
      <c r="I97" s="196">
        <v>63406</v>
      </c>
      <c r="J97" s="196">
        <v>73731</v>
      </c>
      <c r="K97" s="196">
        <v>90934</v>
      </c>
      <c r="L97" s="196">
        <v>95014</v>
      </c>
      <c r="M97" s="196">
        <v>119503</v>
      </c>
      <c r="N97" s="196">
        <v>131869</v>
      </c>
      <c r="O97" s="196">
        <v>79316</v>
      </c>
      <c r="P97" s="196">
        <v>86996</v>
      </c>
      <c r="Q97" s="196">
        <v>147127</v>
      </c>
      <c r="R97" s="196">
        <v>230131</v>
      </c>
    </row>
    <row r="98" spans="2:18" ht="12.75" customHeight="1" x14ac:dyDescent="0.2">
      <c r="B98" s="23" t="s">
        <v>108</v>
      </c>
      <c r="C98" s="196">
        <v>1191382</v>
      </c>
      <c r="D98" s="196">
        <v>1254153</v>
      </c>
      <c r="E98" s="196">
        <v>997556</v>
      </c>
      <c r="F98" s="196">
        <v>1053675</v>
      </c>
      <c r="G98" s="196">
        <v>1141580</v>
      </c>
      <c r="H98" s="196">
        <v>1127150</v>
      </c>
      <c r="I98" s="196">
        <v>1073064</v>
      </c>
      <c r="J98" s="196">
        <v>1222823</v>
      </c>
      <c r="K98" s="196">
        <v>1273593</v>
      </c>
      <c r="L98" s="196">
        <v>1312466</v>
      </c>
      <c r="M98" s="196">
        <v>1303730</v>
      </c>
      <c r="N98" s="196">
        <v>1232487</v>
      </c>
      <c r="O98" s="196">
        <v>906336</v>
      </c>
      <c r="P98" s="196">
        <v>799006</v>
      </c>
      <c r="Q98" s="196">
        <v>1013642</v>
      </c>
      <c r="R98" s="196">
        <v>1117290</v>
      </c>
    </row>
    <row r="99" spans="2:18" ht="12.75" customHeight="1" x14ac:dyDescent="0.2">
      <c r="B99" s="23" t="s">
        <v>109</v>
      </c>
      <c r="C99" s="196">
        <v>238</v>
      </c>
      <c r="D99" s="196">
        <v>274</v>
      </c>
      <c r="E99" s="196">
        <v>396</v>
      </c>
      <c r="F99" s="196">
        <v>646</v>
      </c>
      <c r="G99" s="196">
        <v>675</v>
      </c>
      <c r="H99" s="196">
        <v>1470</v>
      </c>
      <c r="I99" s="196">
        <v>599</v>
      </c>
      <c r="J99" s="196">
        <v>1252</v>
      </c>
      <c r="K99" s="196">
        <v>1167</v>
      </c>
      <c r="L99" s="196">
        <v>1330</v>
      </c>
      <c r="M99" s="196">
        <v>1601</v>
      </c>
      <c r="N99" s="196">
        <v>1691</v>
      </c>
      <c r="O99" s="196">
        <v>1300</v>
      </c>
      <c r="P99" s="196">
        <v>1435</v>
      </c>
      <c r="Q99" s="196">
        <v>1595</v>
      </c>
      <c r="R99" s="196">
        <v>2814</v>
      </c>
    </row>
    <row r="100" spans="2:18" ht="12.75" customHeight="1" x14ac:dyDescent="0.2">
      <c r="B100" s="23" t="s">
        <v>110</v>
      </c>
      <c r="C100" s="196" t="s">
        <v>585</v>
      </c>
      <c r="D100" s="196" t="s">
        <v>585</v>
      </c>
      <c r="E100" s="196" t="s">
        <v>585</v>
      </c>
      <c r="F100" s="196" t="s">
        <v>585</v>
      </c>
      <c r="G100" s="196">
        <v>6575</v>
      </c>
      <c r="H100" s="196">
        <v>6560</v>
      </c>
      <c r="I100" s="196">
        <v>6442</v>
      </c>
      <c r="J100" s="196">
        <v>10666</v>
      </c>
      <c r="K100" s="196">
        <v>13138</v>
      </c>
      <c r="L100" s="196">
        <v>12650</v>
      </c>
      <c r="M100" s="196">
        <v>20217</v>
      </c>
      <c r="N100" s="196">
        <v>19074</v>
      </c>
      <c r="O100" s="196">
        <v>6399</v>
      </c>
      <c r="P100" s="196">
        <v>6994</v>
      </c>
      <c r="Q100" s="196">
        <v>18683</v>
      </c>
      <c r="R100" s="196">
        <v>30092</v>
      </c>
    </row>
    <row r="101" spans="2:18" ht="12.75" customHeight="1" x14ac:dyDescent="0.2">
      <c r="B101" s="23" t="s">
        <v>111</v>
      </c>
      <c r="C101" s="196">
        <v>111475</v>
      </c>
      <c r="D101" s="196">
        <v>107968</v>
      </c>
      <c r="E101" s="196">
        <v>123118</v>
      </c>
      <c r="F101" s="196">
        <v>180217</v>
      </c>
      <c r="G101" s="196">
        <v>250130</v>
      </c>
      <c r="H101" s="196">
        <v>285229</v>
      </c>
      <c r="I101" s="196">
        <v>280328</v>
      </c>
      <c r="J101" s="196">
        <v>369033</v>
      </c>
      <c r="K101" s="196">
        <v>533149</v>
      </c>
      <c r="L101" s="196">
        <v>730639</v>
      </c>
      <c r="M101" s="196">
        <v>857246</v>
      </c>
      <c r="N101" s="196">
        <v>1094144</v>
      </c>
      <c r="O101" s="196">
        <v>420831</v>
      </c>
      <c r="P101" s="196">
        <v>896876</v>
      </c>
      <c r="Q101" s="196">
        <v>1172896</v>
      </c>
      <c r="R101" s="196">
        <v>1374896</v>
      </c>
    </row>
    <row r="102" spans="2:18" ht="12.75" customHeight="1" x14ac:dyDescent="0.2">
      <c r="B102" s="23" t="s">
        <v>112</v>
      </c>
      <c r="C102" s="196" t="s">
        <v>585</v>
      </c>
      <c r="D102" s="196" t="s">
        <v>585</v>
      </c>
      <c r="E102" s="196" t="s">
        <v>585</v>
      </c>
      <c r="F102" s="196" t="s">
        <v>585</v>
      </c>
      <c r="G102" s="196" t="s">
        <v>585</v>
      </c>
      <c r="H102" s="196">
        <v>8</v>
      </c>
      <c r="I102" s="196">
        <v>296</v>
      </c>
      <c r="J102" s="196" t="s">
        <v>585</v>
      </c>
      <c r="K102" s="196" t="s">
        <v>585</v>
      </c>
      <c r="L102" s="196" t="s">
        <v>585</v>
      </c>
      <c r="M102" s="196">
        <v>2188</v>
      </c>
      <c r="N102" s="196" t="s">
        <v>585</v>
      </c>
      <c r="O102" s="196" t="s">
        <v>585</v>
      </c>
      <c r="P102" s="196" t="s">
        <v>585</v>
      </c>
      <c r="Q102" s="196" t="s">
        <v>585</v>
      </c>
      <c r="R102" s="196" t="s">
        <v>585</v>
      </c>
    </row>
    <row r="103" spans="2:18" ht="12.75" customHeight="1" x14ac:dyDescent="0.2">
      <c r="B103" s="23" t="s">
        <v>113</v>
      </c>
      <c r="C103" s="196">
        <v>1387808</v>
      </c>
      <c r="D103" s="196">
        <v>1757843</v>
      </c>
      <c r="E103" s="196">
        <v>1678845</v>
      </c>
      <c r="F103" s="196">
        <v>1916130</v>
      </c>
      <c r="G103" s="196">
        <v>2169924</v>
      </c>
      <c r="H103" s="196">
        <v>2426749</v>
      </c>
      <c r="I103" s="196">
        <v>2673605</v>
      </c>
      <c r="J103" s="196">
        <v>2582054</v>
      </c>
      <c r="K103" s="196">
        <v>2456519</v>
      </c>
      <c r="L103" s="196">
        <v>2509357</v>
      </c>
      <c r="M103" s="196">
        <v>2600360</v>
      </c>
      <c r="N103" s="196">
        <v>2512139</v>
      </c>
      <c r="O103" s="196">
        <v>1711481</v>
      </c>
      <c r="P103" s="196">
        <v>1658715</v>
      </c>
      <c r="Q103" s="196">
        <v>2254871</v>
      </c>
      <c r="R103" s="196">
        <v>2562064</v>
      </c>
    </row>
    <row r="104" spans="2:18" ht="12.75" customHeight="1" x14ac:dyDescent="0.2">
      <c r="B104" s="23" t="s">
        <v>114</v>
      </c>
      <c r="C104" s="196">
        <v>628725</v>
      </c>
      <c r="D104" s="196">
        <v>957244</v>
      </c>
      <c r="E104" s="196">
        <v>865941</v>
      </c>
      <c r="F104" s="196">
        <v>1058206</v>
      </c>
      <c r="G104" s="196">
        <v>1134965</v>
      </c>
      <c r="H104" s="196">
        <v>1383261</v>
      </c>
      <c r="I104" s="196">
        <v>1885097</v>
      </c>
      <c r="J104" s="196">
        <v>1879304</v>
      </c>
      <c r="K104" s="196">
        <v>1186343</v>
      </c>
      <c r="L104" s="196">
        <v>1196801</v>
      </c>
      <c r="M104" s="196">
        <v>1590664</v>
      </c>
      <c r="N104" s="196">
        <v>1700385</v>
      </c>
      <c r="O104" s="196">
        <v>1665160</v>
      </c>
      <c r="P104" s="196">
        <v>2501948</v>
      </c>
      <c r="Q104" s="196">
        <v>2001744</v>
      </c>
      <c r="R104" s="196">
        <v>2102890</v>
      </c>
    </row>
    <row r="105" spans="2:18" ht="12.75" customHeight="1" x14ac:dyDescent="0.2">
      <c r="B105" s="23" t="s">
        <v>115</v>
      </c>
      <c r="C105" s="196">
        <v>78884</v>
      </c>
      <c r="D105" s="196">
        <v>98316</v>
      </c>
      <c r="E105" s="196">
        <v>88973</v>
      </c>
      <c r="F105" s="196">
        <v>109287</v>
      </c>
      <c r="G105" s="196">
        <v>115388</v>
      </c>
      <c r="H105" s="196">
        <v>117360</v>
      </c>
      <c r="I105" s="196">
        <v>111065</v>
      </c>
      <c r="J105" s="196">
        <v>118620</v>
      </c>
      <c r="K105" s="196">
        <v>110863</v>
      </c>
      <c r="L105" s="196">
        <v>112665</v>
      </c>
      <c r="M105" s="196">
        <v>105001</v>
      </c>
      <c r="N105" s="196">
        <v>101379</v>
      </c>
      <c r="O105" s="196">
        <v>54221</v>
      </c>
      <c r="P105" s="196">
        <v>50102</v>
      </c>
      <c r="Q105" s="196">
        <v>71221</v>
      </c>
      <c r="R105" s="196">
        <v>96886</v>
      </c>
    </row>
    <row r="106" spans="2:18" ht="12.75" customHeight="1" x14ac:dyDescent="0.2">
      <c r="B106" s="23" t="s">
        <v>116</v>
      </c>
      <c r="C106" s="196">
        <v>115764</v>
      </c>
      <c r="D106" s="196">
        <v>198462</v>
      </c>
      <c r="E106" s="196">
        <v>234334</v>
      </c>
      <c r="F106" s="196">
        <v>288358</v>
      </c>
      <c r="G106" s="196">
        <v>342104</v>
      </c>
      <c r="H106" s="196">
        <v>376215</v>
      </c>
      <c r="I106" s="196">
        <v>321325</v>
      </c>
      <c r="J106" s="196">
        <v>300084</v>
      </c>
      <c r="K106" s="196">
        <v>278164</v>
      </c>
      <c r="L106" s="196">
        <v>290422</v>
      </c>
      <c r="M106" s="196">
        <v>283926</v>
      </c>
      <c r="N106" s="196">
        <v>236063</v>
      </c>
      <c r="O106" s="196">
        <v>106582</v>
      </c>
      <c r="P106" s="196">
        <v>106757</v>
      </c>
      <c r="Q106" s="196">
        <v>178018</v>
      </c>
      <c r="R106" s="196">
        <v>257342</v>
      </c>
    </row>
    <row r="107" spans="2:18" ht="12.75" customHeight="1" x14ac:dyDescent="0.2">
      <c r="B107" s="23" t="s">
        <v>117</v>
      </c>
      <c r="C107" s="196">
        <v>299172</v>
      </c>
      <c r="D107" s="196">
        <v>393943</v>
      </c>
      <c r="E107" s="196">
        <v>362501</v>
      </c>
      <c r="F107" s="196">
        <v>511435</v>
      </c>
      <c r="G107" s="196">
        <v>558183</v>
      </c>
      <c r="H107" s="196">
        <v>311582</v>
      </c>
      <c r="I107" s="196">
        <v>109559</v>
      </c>
      <c r="J107" s="196">
        <v>79140</v>
      </c>
      <c r="K107" s="196">
        <v>83740</v>
      </c>
      <c r="L107" s="196">
        <v>164917</v>
      </c>
      <c r="M107" s="196">
        <v>188608</v>
      </c>
      <c r="N107" s="196">
        <v>224568</v>
      </c>
      <c r="O107" s="196">
        <v>293988</v>
      </c>
      <c r="P107" s="196">
        <v>380415</v>
      </c>
      <c r="Q107" s="196">
        <v>443732</v>
      </c>
      <c r="R107" s="196">
        <v>569368</v>
      </c>
    </row>
    <row r="108" spans="2:18" ht="12.75" customHeight="1" x14ac:dyDescent="0.2">
      <c r="B108" s="23" t="s">
        <v>118</v>
      </c>
      <c r="C108" s="196">
        <v>284086</v>
      </c>
      <c r="D108" s="196">
        <v>405956</v>
      </c>
      <c r="E108" s="196">
        <v>326254</v>
      </c>
      <c r="F108" s="196">
        <v>338182</v>
      </c>
      <c r="G108" s="196">
        <v>404092</v>
      </c>
      <c r="H108" s="196">
        <v>401740</v>
      </c>
      <c r="I108" s="196">
        <v>447270</v>
      </c>
      <c r="J108" s="196">
        <v>571917</v>
      </c>
      <c r="K108" s="196">
        <v>617811</v>
      </c>
      <c r="L108" s="196">
        <v>692186</v>
      </c>
      <c r="M108" s="196">
        <v>667551</v>
      </c>
      <c r="N108" s="196">
        <v>624649</v>
      </c>
      <c r="O108" s="196">
        <v>320580</v>
      </c>
      <c r="P108" s="196">
        <v>289134</v>
      </c>
      <c r="Q108" s="196">
        <v>384397</v>
      </c>
      <c r="R108" s="196">
        <v>444285</v>
      </c>
    </row>
    <row r="109" spans="2:18" ht="12.75" customHeight="1" x14ac:dyDescent="0.2">
      <c r="B109" s="23" t="s">
        <v>119</v>
      </c>
      <c r="C109" s="196">
        <v>271387</v>
      </c>
      <c r="D109" s="196">
        <v>308682</v>
      </c>
      <c r="E109" s="196">
        <v>210277</v>
      </c>
      <c r="F109" s="196">
        <v>229688</v>
      </c>
      <c r="G109" s="196">
        <v>252925</v>
      </c>
      <c r="H109" s="196">
        <v>283060</v>
      </c>
      <c r="I109" s="196">
        <v>271139</v>
      </c>
      <c r="J109" s="196">
        <v>328825</v>
      </c>
      <c r="K109" s="196">
        <v>354461</v>
      </c>
      <c r="L109" s="196">
        <v>379344</v>
      </c>
      <c r="M109" s="196">
        <v>394458</v>
      </c>
      <c r="N109" s="196">
        <v>380338</v>
      </c>
      <c r="O109" s="196">
        <v>215194</v>
      </c>
      <c r="P109" s="196">
        <v>206479</v>
      </c>
      <c r="Q109" s="196">
        <v>269649</v>
      </c>
      <c r="R109" s="196">
        <v>311107</v>
      </c>
    </row>
    <row r="110" spans="2:18" ht="12.75" customHeight="1" x14ac:dyDescent="0.2">
      <c r="B110" s="23" t="s">
        <v>120</v>
      </c>
      <c r="C110" s="196">
        <v>318097</v>
      </c>
      <c r="D110" s="196">
        <v>401852</v>
      </c>
      <c r="E110" s="196">
        <v>402568</v>
      </c>
      <c r="F110" s="196">
        <v>514803</v>
      </c>
      <c r="G110" s="196">
        <v>600261</v>
      </c>
      <c r="H110" s="196">
        <v>634886</v>
      </c>
      <c r="I110" s="196">
        <v>671060</v>
      </c>
      <c r="J110" s="196">
        <v>752238</v>
      </c>
      <c r="K110" s="196">
        <v>714041</v>
      </c>
      <c r="L110" s="196">
        <v>731784</v>
      </c>
      <c r="M110" s="196">
        <v>697360</v>
      </c>
      <c r="N110" s="196">
        <v>507897</v>
      </c>
      <c r="O110" s="196">
        <v>213227</v>
      </c>
      <c r="P110" s="196">
        <v>205788</v>
      </c>
      <c r="Q110" s="196">
        <v>284195</v>
      </c>
      <c r="R110" s="196">
        <v>377011</v>
      </c>
    </row>
    <row r="111" spans="2:18" ht="12.75" customHeight="1" x14ac:dyDescent="0.2">
      <c r="B111" s="23" t="s">
        <v>121</v>
      </c>
      <c r="C111" s="196">
        <v>2114</v>
      </c>
      <c r="D111" s="196">
        <v>3934</v>
      </c>
      <c r="E111" s="196">
        <v>6667</v>
      </c>
      <c r="F111" s="196">
        <v>9103</v>
      </c>
      <c r="G111" s="196">
        <v>9374</v>
      </c>
      <c r="H111" s="196">
        <v>7838</v>
      </c>
      <c r="I111" s="196">
        <v>6476</v>
      </c>
      <c r="J111" s="196">
        <v>6156</v>
      </c>
      <c r="K111" s="196">
        <v>5797</v>
      </c>
      <c r="L111" s="196">
        <v>4909</v>
      </c>
      <c r="M111" s="196">
        <v>8691</v>
      </c>
      <c r="N111" s="196">
        <v>9579</v>
      </c>
      <c r="O111" s="196">
        <v>3314</v>
      </c>
      <c r="P111" s="196">
        <v>2455</v>
      </c>
      <c r="Q111" s="196">
        <v>2935</v>
      </c>
      <c r="R111" s="196">
        <v>3966</v>
      </c>
    </row>
    <row r="112" spans="2:18" ht="12.75" customHeight="1" x14ac:dyDescent="0.2">
      <c r="B112" s="23" t="s">
        <v>122</v>
      </c>
      <c r="C112" s="196">
        <v>192</v>
      </c>
      <c r="D112" s="196">
        <v>265</v>
      </c>
      <c r="E112" s="196">
        <v>324</v>
      </c>
      <c r="F112" s="196">
        <v>381</v>
      </c>
      <c r="G112" s="196">
        <v>575</v>
      </c>
      <c r="H112" s="196">
        <v>815</v>
      </c>
      <c r="I112" s="196">
        <v>433</v>
      </c>
      <c r="J112" s="196">
        <v>628</v>
      </c>
      <c r="K112" s="196">
        <v>1024</v>
      </c>
      <c r="L112" s="196">
        <v>781</v>
      </c>
      <c r="M112" s="196">
        <v>1222</v>
      </c>
      <c r="N112" s="196">
        <v>1259</v>
      </c>
      <c r="O112" s="196">
        <v>1161</v>
      </c>
      <c r="P112" s="196">
        <v>717</v>
      </c>
      <c r="Q112" s="196">
        <v>1421</v>
      </c>
      <c r="R112" s="196">
        <v>1640</v>
      </c>
    </row>
    <row r="113" spans="2:18" ht="12.75" customHeight="1" x14ac:dyDescent="0.2">
      <c r="B113" s="23" t="s">
        <v>123</v>
      </c>
      <c r="C113" s="196" t="s">
        <v>585</v>
      </c>
      <c r="D113" s="196" t="s">
        <v>585</v>
      </c>
      <c r="E113" s="196" t="s">
        <v>585</v>
      </c>
      <c r="F113" s="196" t="s">
        <v>585</v>
      </c>
      <c r="G113" s="196" t="s">
        <v>585</v>
      </c>
      <c r="H113" s="196" t="s">
        <v>585</v>
      </c>
      <c r="I113" s="196" t="s">
        <v>585</v>
      </c>
      <c r="J113" s="196" t="s">
        <v>585</v>
      </c>
      <c r="K113" s="196" t="s">
        <v>585</v>
      </c>
      <c r="L113" s="196" t="s">
        <v>585</v>
      </c>
      <c r="M113" s="196" t="s">
        <v>585</v>
      </c>
      <c r="N113" s="196" t="s">
        <v>585</v>
      </c>
      <c r="O113" s="196" t="s">
        <v>585</v>
      </c>
      <c r="P113" s="196" t="s">
        <v>585</v>
      </c>
      <c r="Q113" s="196" t="s">
        <v>585</v>
      </c>
      <c r="R113" s="196" t="s">
        <v>585</v>
      </c>
    </row>
    <row r="114" spans="2:18" ht="12.75" customHeight="1" x14ac:dyDescent="0.2">
      <c r="B114" s="23" t="s">
        <v>124</v>
      </c>
      <c r="C114" s="196">
        <v>64318</v>
      </c>
      <c r="D114" s="196">
        <v>116969</v>
      </c>
      <c r="E114" s="196">
        <v>125755</v>
      </c>
      <c r="F114" s="196">
        <v>168852</v>
      </c>
      <c r="G114" s="196">
        <v>149731</v>
      </c>
      <c r="H114" s="196">
        <v>147641</v>
      </c>
      <c r="I114" s="196">
        <v>195404</v>
      </c>
      <c r="J114" s="196">
        <v>188312</v>
      </c>
      <c r="K114" s="196">
        <v>203592</v>
      </c>
      <c r="L114" s="196">
        <v>174150</v>
      </c>
      <c r="M114" s="196">
        <v>170550</v>
      </c>
      <c r="N114" s="196">
        <v>104847</v>
      </c>
      <c r="O114" s="196">
        <v>44695</v>
      </c>
      <c r="P114" s="196">
        <v>49323</v>
      </c>
      <c r="Q114" s="196">
        <v>81931</v>
      </c>
      <c r="R114" s="196">
        <v>103320</v>
      </c>
    </row>
    <row r="115" spans="2:18" ht="12.75" customHeight="1" x14ac:dyDescent="0.2">
      <c r="B115" s="23" t="s">
        <v>125</v>
      </c>
      <c r="C115" s="196">
        <v>45</v>
      </c>
      <c r="D115" s="196">
        <v>114</v>
      </c>
      <c r="E115" s="196">
        <v>87</v>
      </c>
      <c r="F115" s="196">
        <v>96</v>
      </c>
      <c r="G115" s="196">
        <v>1946</v>
      </c>
      <c r="H115" s="196">
        <v>287</v>
      </c>
      <c r="I115" s="196">
        <v>112</v>
      </c>
      <c r="J115" s="196">
        <v>139</v>
      </c>
      <c r="K115" s="196">
        <v>148</v>
      </c>
      <c r="L115" s="196">
        <v>133</v>
      </c>
      <c r="M115" s="196">
        <v>173</v>
      </c>
      <c r="N115" s="196">
        <v>228</v>
      </c>
      <c r="O115" s="196">
        <v>223</v>
      </c>
      <c r="P115" s="196">
        <v>196</v>
      </c>
      <c r="Q115" s="196">
        <v>321</v>
      </c>
      <c r="R115" s="196">
        <v>609</v>
      </c>
    </row>
    <row r="116" spans="2:18" ht="12.75" customHeight="1" x14ac:dyDescent="0.2">
      <c r="B116" s="23" t="s">
        <v>126</v>
      </c>
      <c r="C116" s="196">
        <v>383</v>
      </c>
      <c r="D116" s="196">
        <v>491</v>
      </c>
      <c r="E116" s="196">
        <v>466</v>
      </c>
      <c r="F116" s="196">
        <v>808</v>
      </c>
      <c r="G116" s="196">
        <v>996</v>
      </c>
      <c r="H116" s="196">
        <v>1553</v>
      </c>
      <c r="I116" s="196">
        <v>1381</v>
      </c>
      <c r="J116" s="196">
        <v>1609</v>
      </c>
      <c r="K116" s="196">
        <v>2411</v>
      </c>
      <c r="L116" s="196">
        <v>5775</v>
      </c>
      <c r="M116" s="196">
        <v>6027</v>
      </c>
      <c r="N116" s="196">
        <v>6198</v>
      </c>
      <c r="O116" s="196">
        <v>5498</v>
      </c>
      <c r="P116" s="196">
        <v>5883</v>
      </c>
      <c r="Q116" s="196">
        <v>8015</v>
      </c>
      <c r="R116" s="196">
        <v>8742</v>
      </c>
    </row>
    <row r="117" spans="2:18" ht="12.75" customHeight="1" x14ac:dyDescent="0.2">
      <c r="B117" s="23" t="s">
        <v>127</v>
      </c>
      <c r="C117" s="196">
        <v>52870</v>
      </c>
      <c r="D117" s="196">
        <v>81229</v>
      </c>
      <c r="E117" s="196">
        <v>97925</v>
      </c>
      <c r="F117" s="196">
        <v>128567</v>
      </c>
      <c r="G117" s="196">
        <v>147631</v>
      </c>
      <c r="H117" s="196">
        <v>155270</v>
      </c>
      <c r="I117" s="196">
        <v>152556</v>
      </c>
      <c r="J117" s="196">
        <v>191903</v>
      </c>
      <c r="K117" s="196">
        <v>182252</v>
      </c>
      <c r="L117" s="196">
        <v>199497</v>
      </c>
      <c r="M117" s="196">
        <v>190116</v>
      </c>
      <c r="N117" s="196">
        <v>187615</v>
      </c>
      <c r="O117" s="196">
        <v>106285</v>
      </c>
      <c r="P117" s="196">
        <v>81196</v>
      </c>
      <c r="Q117" s="196">
        <v>108272</v>
      </c>
      <c r="R117" s="196">
        <v>139164</v>
      </c>
    </row>
    <row r="118" spans="2:18" ht="12.75" customHeight="1" x14ac:dyDescent="0.2">
      <c r="B118" s="23" t="s">
        <v>128</v>
      </c>
      <c r="C118" s="196" t="s">
        <v>585</v>
      </c>
      <c r="D118" s="196" t="s">
        <v>585</v>
      </c>
      <c r="E118" s="196" t="s">
        <v>585</v>
      </c>
      <c r="F118" s="196" t="s">
        <v>585</v>
      </c>
      <c r="G118" s="196" t="s">
        <v>585</v>
      </c>
      <c r="H118" s="196">
        <v>11837</v>
      </c>
      <c r="I118" s="196">
        <v>11610</v>
      </c>
      <c r="J118" s="196">
        <v>13793</v>
      </c>
      <c r="K118" s="196">
        <v>16559</v>
      </c>
      <c r="L118" s="196">
        <v>18838</v>
      </c>
      <c r="M118" s="196">
        <v>20423</v>
      </c>
      <c r="N118" s="196">
        <v>19768</v>
      </c>
      <c r="O118" s="196">
        <v>16709</v>
      </c>
      <c r="P118" s="196">
        <v>19555</v>
      </c>
      <c r="Q118" s="196">
        <v>24183</v>
      </c>
      <c r="R118" s="196">
        <v>27639</v>
      </c>
    </row>
    <row r="119" spans="2:18" ht="12.75" customHeight="1" x14ac:dyDescent="0.2">
      <c r="B119" s="23" t="s">
        <v>129</v>
      </c>
      <c r="C119" s="196">
        <v>1414</v>
      </c>
      <c r="D119" s="196">
        <v>1955</v>
      </c>
      <c r="E119" s="196">
        <v>2585</v>
      </c>
      <c r="F119" s="196">
        <v>3783</v>
      </c>
      <c r="G119" s="196">
        <v>4862</v>
      </c>
      <c r="H119" s="196">
        <v>4902</v>
      </c>
      <c r="I119" s="196">
        <v>6043</v>
      </c>
      <c r="J119" s="196">
        <v>7661</v>
      </c>
      <c r="K119" s="196">
        <v>13971</v>
      </c>
      <c r="L119" s="196">
        <v>18630</v>
      </c>
      <c r="M119" s="196">
        <v>29743</v>
      </c>
      <c r="N119" s="196">
        <v>35832</v>
      </c>
      <c r="O119" s="196">
        <v>32681</v>
      </c>
      <c r="P119" s="196">
        <v>48764</v>
      </c>
      <c r="Q119" s="196">
        <v>96327</v>
      </c>
      <c r="R119" s="196">
        <v>108496</v>
      </c>
    </row>
    <row r="120" spans="2:18" ht="12.75" customHeight="1" x14ac:dyDescent="0.2">
      <c r="B120" s="23" t="s">
        <v>130</v>
      </c>
      <c r="C120" s="196" t="s">
        <v>585</v>
      </c>
      <c r="D120" s="196" t="s">
        <v>585</v>
      </c>
      <c r="E120" s="196" t="s">
        <v>585</v>
      </c>
      <c r="F120" s="196" t="s">
        <v>585</v>
      </c>
      <c r="G120" s="196" t="s">
        <v>585</v>
      </c>
      <c r="H120" s="196" t="s">
        <v>585</v>
      </c>
      <c r="I120" s="196" t="s">
        <v>585</v>
      </c>
      <c r="J120" s="196" t="s">
        <v>585</v>
      </c>
      <c r="K120" s="196" t="s">
        <v>585</v>
      </c>
      <c r="L120" s="196" t="s">
        <v>585</v>
      </c>
      <c r="M120" s="196" t="s">
        <v>585</v>
      </c>
      <c r="N120" s="196" t="s">
        <v>585</v>
      </c>
      <c r="O120" s="196" t="s">
        <v>585</v>
      </c>
      <c r="P120" s="196">
        <v>1</v>
      </c>
      <c r="Q120" s="196" t="s">
        <v>585</v>
      </c>
      <c r="R120" s="196" t="s">
        <v>585</v>
      </c>
    </row>
    <row r="121" spans="2:18" ht="12.75" customHeight="1" x14ac:dyDescent="0.2">
      <c r="B121" s="23" t="s">
        <v>131</v>
      </c>
      <c r="C121" s="196">
        <v>83404</v>
      </c>
      <c r="D121" s="196">
        <v>106196</v>
      </c>
      <c r="E121" s="196">
        <v>135637</v>
      </c>
      <c r="F121" s="196">
        <v>195219</v>
      </c>
      <c r="G121" s="196">
        <v>213072</v>
      </c>
      <c r="H121" s="196">
        <v>219445</v>
      </c>
      <c r="I121" s="196">
        <v>247784</v>
      </c>
      <c r="J121" s="196">
        <v>315907</v>
      </c>
      <c r="K121" s="196">
        <v>380046</v>
      </c>
      <c r="L121" s="196">
        <v>425773</v>
      </c>
      <c r="M121" s="196">
        <v>437971</v>
      </c>
      <c r="N121" s="196">
        <v>423744</v>
      </c>
      <c r="O121" s="196">
        <v>240188</v>
      </c>
      <c r="P121" s="196">
        <v>402830</v>
      </c>
      <c r="Q121" s="196">
        <v>426916</v>
      </c>
      <c r="R121" s="196">
        <v>455724</v>
      </c>
    </row>
    <row r="122" spans="2:18" ht="12.75" customHeight="1" x14ac:dyDescent="0.2">
      <c r="B122" s="23" t="s">
        <v>132</v>
      </c>
      <c r="C122" s="196">
        <v>2200</v>
      </c>
      <c r="D122" s="196">
        <v>2862</v>
      </c>
      <c r="E122" s="196">
        <v>3140</v>
      </c>
      <c r="F122" s="196">
        <v>3793</v>
      </c>
      <c r="G122" s="196">
        <v>3627</v>
      </c>
      <c r="H122" s="196">
        <v>4991</v>
      </c>
      <c r="I122" s="196">
        <v>4319</v>
      </c>
      <c r="J122" s="196">
        <v>4541</v>
      </c>
      <c r="K122" s="196">
        <v>5510</v>
      </c>
      <c r="L122" s="196">
        <v>6226</v>
      </c>
      <c r="M122" s="196">
        <v>6880</v>
      </c>
      <c r="N122" s="196">
        <v>7506</v>
      </c>
      <c r="O122" s="196">
        <v>5986</v>
      </c>
      <c r="P122" s="196">
        <v>5046</v>
      </c>
      <c r="Q122" s="196">
        <v>7197</v>
      </c>
      <c r="R122" s="196">
        <v>7902</v>
      </c>
    </row>
    <row r="123" spans="2:18" ht="12.75" customHeight="1" x14ac:dyDescent="0.2">
      <c r="B123" s="23" t="s">
        <v>133</v>
      </c>
      <c r="C123" s="196">
        <v>24717</v>
      </c>
      <c r="D123" s="196">
        <v>31023</v>
      </c>
      <c r="E123" s="196">
        <v>41455</v>
      </c>
      <c r="F123" s="196">
        <v>44638</v>
      </c>
      <c r="G123" s="196">
        <v>47730</v>
      </c>
      <c r="H123" s="196">
        <v>40882</v>
      </c>
      <c r="I123" s="196">
        <v>35665</v>
      </c>
      <c r="J123" s="196">
        <v>41197</v>
      </c>
      <c r="K123" s="196">
        <v>42866</v>
      </c>
      <c r="L123" s="196">
        <v>64905</v>
      </c>
      <c r="M123" s="196">
        <v>81941</v>
      </c>
      <c r="N123" s="196">
        <v>88369</v>
      </c>
      <c r="O123" s="196">
        <v>88877</v>
      </c>
      <c r="P123" s="196">
        <v>104911</v>
      </c>
      <c r="Q123" s="196">
        <v>114926</v>
      </c>
      <c r="R123" s="196">
        <v>121364</v>
      </c>
    </row>
    <row r="124" spans="2:18" ht="12.75" customHeight="1" x14ac:dyDescent="0.2">
      <c r="B124" s="23" t="s">
        <v>134</v>
      </c>
      <c r="C124" s="196">
        <v>198</v>
      </c>
      <c r="D124" s="196">
        <v>111</v>
      </c>
      <c r="E124" s="196">
        <v>88</v>
      </c>
      <c r="F124" s="196">
        <v>19</v>
      </c>
      <c r="G124" s="196">
        <v>19</v>
      </c>
      <c r="H124" s="196">
        <v>11</v>
      </c>
      <c r="I124" s="196">
        <v>6</v>
      </c>
      <c r="J124" s="196">
        <v>185</v>
      </c>
      <c r="K124" s="196">
        <v>40</v>
      </c>
      <c r="L124" s="196">
        <v>70</v>
      </c>
      <c r="M124" s="196">
        <v>14</v>
      </c>
      <c r="N124" s="196">
        <v>23</v>
      </c>
      <c r="O124" s="196">
        <v>80</v>
      </c>
      <c r="P124" s="196">
        <v>55</v>
      </c>
      <c r="Q124" s="196">
        <v>150</v>
      </c>
      <c r="R124" s="196">
        <v>524</v>
      </c>
    </row>
    <row r="125" spans="2:18" ht="12.75" customHeight="1" x14ac:dyDescent="0.2">
      <c r="B125" s="23" t="s">
        <v>135</v>
      </c>
      <c r="C125" s="196">
        <v>2088</v>
      </c>
      <c r="D125" s="196">
        <v>3277</v>
      </c>
      <c r="E125" s="196">
        <v>4175</v>
      </c>
      <c r="F125" s="196">
        <v>5066</v>
      </c>
      <c r="G125" s="196">
        <v>6070</v>
      </c>
      <c r="H125" s="196">
        <v>7248</v>
      </c>
      <c r="I125" s="196">
        <v>7129</v>
      </c>
      <c r="J125" s="196">
        <v>9853</v>
      </c>
      <c r="K125" s="196">
        <v>12987</v>
      </c>
      <c r="L125" s="196">
        <v>21979</v>
      </c>
      <c r="M125" s="196">
        <v>23378</v>
      </c>
      <c r="N125" s="196">
        <v>26046</v>
      </c>
      <c r="O125" s="196">
        <v>19416</v>
      </c>
      <c r="P125" s="196">
        <v>29650</v>
      </c>
      <c r="Q125" s="196">
        <v>56031</v>
      </c>
      <c r="R125" s="196">
        <v>70974</v>
      </c>
    </row>
    <row r="126" spans="2:18" ht="12.75" customHeight="1" x14ac:dyDescent="0.2">
      <c r="B126" s="23" t="s">
        <v>136</v>
      </c>
      <c r="C126" s="196">
        <v>275</v>
      </c>
      <c r="D126" s="196">
        <v>113</v>
      </c>
      <c r="E126" s="196">
        <v>240</v>
      </c>
      <c r="F126" s="196">
        <v>66</v>
      </c>
      <c r="G126" s="196">
        <v>397</v>
      </c>
      <c r="H126" s="196">
        <v>598</v>
      </c>
      <c r="I126" s="196">
        <v>459</v>
      </c>
      <c r="J126" s="196">
        <v>1020</v>
      </c>
      <c r="K126" s="196">
        <v>783</v>
      </c>
      <c r="L126" s="196">
        <v>989</v>
      </c>
      <c r="M126" s="196">
        <v>1196</v>
      </c>
      <c r="N126" s="196">
        <v>1210</v>
      </c>
      <c r="O126" s="196">
        <v>983</v>
      </c>
      <c r="P126" s="196">
        <v>1209</v>
      </c>
      <c r="Q126" s="196">
        <v>1204</v>
      </c>
      <c r="R126" s="196">
        <v>1351</v>
      </c>
    </row>
    <row r="127" spans="2:18" ht="12.75" customHeight="1" x14ac:dyDescent="0.2">
      <c r="B127" s="23" t="s">
        <v>137</v>
      </c>
      <c r="C127" s="196">
        <v>686</v>
      </c>
      <c r="D127" s="196">
        <v>1023</v>
      </c>
      <c r="E127" s="196">
        <v>1446</v>
      </c>
      <c r="F127" s="196">
        <v>2377</v>
      </c>
      <c r="G127" s="196">
        <v>2686</v>
      </c>
      <c r="H127" s="196">
        <v>3355</v>
      </c>
      <c r="I127" s="196">
        <v>2323</v>
      </c>
      <c r="J127" s="196">
        <v>3902</v>
      </c>
      <c r="K127" s="196">
        <v>2847</v>
      </c>
      <c r="L127" s="196">
        <v>781</v>
      </c>
      <c r="M127" s="196">
        <v>605</v>
      </c>
      <c r="N127" s="196">
        <v>837</v>
      </c>
      <c r="O127" s="196">
        <v>683</v>
      </c>
      <c r="P127" s="196">
        <v>651</v>
      </c>
      <c r="Q127" s="196">
        <v>835</v>
      </c>
      <c r="R127" s="196">
        <v>1133</v>
      </c>
    </row>
    <row r="128" spans="2:18" ht="12.75" customHeight="1" x14ac:dyDescent="0.2">
      <c r="B128" s="23" t="s">
        <v>138</v>
      </c>
      <c r="C128" s="196" t="s">
        <v>585</v>
      </c>
      <c r="D128" s="196" t="s">
        <v>585</v>
      </c>
      <c r="E128" s="196" t="s">
        <v>585</v>
      </c>
      <c r="F128" s="196" t="s">
        <v>585</v>
      </c>
      <c r="G128" s="196" t="s">
        <v>585</v>
      </c>
      <c r="H128" s="196">
        <v>28171</v>
      </c>
      <c r="I128" s="196">
        <v>46228</v>
      </c>
      <c r="J128" s="196">
        <v>56411</v>
      </c>
      <c r="K128" s="196">
        <v>70156</v>
      </c>
      <c r="L128" s="196">
        <v>78825</v>
      </c>
      <c r="M128" s="196">
        <v>86272</v>
      </c>
      <c r="N128" s="196">
        <v>97818</v>
      </c>
      <c r="O128" s="196">
        <v>100022</v>
      </c>
      <c r="P128" s="196">
        <v>116049</v>
      </c>
      <c r="Q128" s="196">
        <v>139500</v>
      </c>
      <c r="R128" s="196">
        <v>152048</v>
      </c>
    </row>
    <row r="129" spans="2:18" ht="12.75" customHeight="1" x14ac:dyDescent="0.2">
      <c r="B129" s="23" t="s">
        <v>139</v>
      </c>
      <c r="C129" s="196">
        <v>661</v>
      </c>
      <c r="D129" s="196">
        <v>890</v>
      </c>
      <c r="E129" s="196">
        <v>831</v>
      </c>
      <c r="F129" s="196">
        <v>1324</v>
      </c>
      <c r="G129" s="196">
        <v>1615</v>
      </c>
      <c r="H129" s="196">
        <v>1774</v>
      </c>
      <c r="I129" s="196">
        <v>1305</v>
      </c>
      <c r="J129" s="196">
        <v>2179</v>
      </c>
      <c r="K129" s="196">
        <v>2465</v>
      </c>
      <c r="L129" s="196">
        <v>2639</v>
      </c>
      <c r="M129" s="196">
        <v>2731</v>
      </c>
      <c r="N129" s="196">
        <v>3659</v>
      </c>
      <c r="O129" s="196">
        <v>2088</v>
      </c>
      <c r="P129" s="196">
        <v>1936</v>
      </c>
      <c r="Q129" s="196">
        <v>3621</v>
      </c>
      <c r="R129" s="196">
        <v>5026</v>
      </c>
    </row>
    <row r="130" spans="2:18" ht="12.75" customHeight="1" x14ac:dyDescent="0.2">
      <c r="B130" s="23" t="s">
        <v>140</v>
      </c>
      <c r="C130" s="196">
        <v>7198</v>
      </c>
      <c r="D130" s="196">
        <v>11086</v>
      </c>
      <c r="E130" s="196">
        <v>11823</v>
      </c>
      <c r="F130" s="196">
        <v>12589</v>
      </c>
      <c r="G130" s="196">
        <v>22084</v>
      </c>
      <c r="H130" s="196">
        <v>26801</v>
      </c>
      <c r="I130" s="196">
        <v>27281</v>
      </c>
      <c r="J130" s="196">
        <v>41617</v>
      </c>
      <c r="K130" s="196">
        <v>65167</v>
      </c>
      <c r="L130" s="196">
        <v>88238</v>
      </c>
      <c r="M130" s="196">
        <v>133128</v>
      </c>
      <c r="N130" s="196">
        <v>174486</v>
      </c>
      <c r="O130" s="196">
        <v>179938</v>
      </c>
      <c r="P130" s="196">
        <v>255644</v>
      </c>
      <c r="Q130" s="196">
        <v>298620</v>
      </c>
      <c r="R130" s="196">
        <v>374191</v>
      </c>
    </row>
    <row r="131" spans="2:18" ht="12.75" customHeight="1" x14ac:dyDescent="0.2">
      <c r="B131" s="23" t="s">
        <v>141</v>
      </c>
      <c r="C131" s="196">
        <v>121685</v>
      </c>
      <c r="D131" s="196">
        <v>140920</v>
      </c>
      <c r="E131" s="196">
        <v>172679</v>
      </c>
      <c r="F131" s="196">
        <v>190512</v>
      </c>
      <c r="G131" s="196">
        <v>195909</v>
      </c>
      <c r="H131" s="196">
        <v>197442</v>
      </c>
      <c r="I131" s="196">
        <v>191993</v>
      </c>
      <c r="J131" s="196">
        <v>203272</v>
      </c>
      <c r="K131" s="196">
        <v>211828</v>
      </c>
      <c r="L131" s="196">
        <v>216881</v>
      </c>
      <c r="M131" s="196">
        <v>227612</v>
      </c>
      <c r="N131" s="196">
        <v>233278</v>
      </c>
      <c r="O131" s="196">
        <v>222839</v>
      </c>
      <c r="P131" s="196">
        <v>245858</v>
      </c>
      <c r="Q131" s="196">
        <v>256343</v>
      </c>
      <c r="R131" s="196">
        <v>255986</v>
      </c>
    </row>
    <row r="132" spans="2:18" ht="12.75" customHeight="1" x14ac:dyDescent="0.2">
      <c r="B132" s="23" t="s">
        <v>142</v>
      </c>
      <c r="C132" s="196">
        <v>4106</v>
      </c>
      <c r="D132" s="196">
        <v>432</v>
      </c>
      <c r="E132" s="196">
        <v>237</v>
      </c>
      <c r="F132" s="196">
        <v>120</v>
      </c>
      <c r="G132" s="196">
        <v>226</v>
      </c>
      <c r="H132" s="196">
        <v>937</v>
      </c>
      <c r="I132" s="196">
        <v>149</v>
      </c>
      <c r="J132" s="196">
        <v>56</v>
      </c>
      <c r="K132" s="196">
        <v>714</v>
      </c>
      <c r="L132" s="196">
        <v>586</v>
      </c>
      <c r="M132" s="196">
        <v>57</v>
      </c>
      <c r="N132" s="196">
        <v>61</v>
      </c>
      <c r="O132" s="196">
        <v>80</v>
      </c>
      <c r="P132" s="196">
        <v>345</v>
      </c>
      <c r="Q132" s="196">
        <v>29</v>
      </c>
      <c r="R132" s="196">
        <v>39</v>
      </c>
    </row>
    <row r="133" spans="2:18" ht="12.75" customHeight="1" x14ac:dyDescent="0.2">
      <c r="B133" s="23" t="s">
        <v>627</v>
      </c>
      <c r="C133" s="196">
        <v>116009</v>
      </c>
      <c r="D133" s="196">
        <v>119150</v>
      </c>
      <c r="E133" s="196">
        <v>118387</v>
      </c>
      <c r="F133" s="196">
        <v>93705</v>
      </c>
      <c r="G133" s="196">
        <v>106645</v>
      </c>
      <c r="H133" s="196">
        <v>107389</v>
      </c>
      <c r="I133" s="196">
        <v>115541</v>
      </c>
      <c r="J133" s="196">
        <v>130648</v>
      </c>
      <c r="K133" s="196">
        <v>137579</v>
      </c>
      <c r="L133" s="196">
        <v>140793</v>
      </c>
      <c r="M133" s="196">
        <v>156138</v>
      </c>
      <c r="N133" s="196">
        <v>167428</v>
      </c>
      <c r="O133" s="196">
        <v>146008</v>
      </c>
      <c r="P133" s="196">
        <v>172851</v>
      </c>
      <c r="Q133" s="196">
        <v>209519</v>
      </c>
      <c r="R133" s="196">
        <v>222862</v>
      </c>
    </row>
    <row r="134" spans="2:18" ht="12.75" customHeight="1" x14ac:dyDescent="0.2">
      <c r="B134" s="23" t="s">
        <v>143</v>
      </c>
      <c r="C134" s="196" t="s">
        <v>585</v>
      </c>
      <c r="D134" s="196" t="s">
        <v>585</v>
      </c>
      <c r="E134" s="196" t="s">
        <v>585</v>
      </c>
      <c r="F134" s="196" t="s">
        <v>585</v>
      </c>
      <c r="G134" s="196" t="s">
        <v>585</v>
      </c>
      <c r="H134" s="196" t="s">
        <v>585</v>
      </c>
      <c r="I134" s="196" t="s">
        <v>585</v>
      </c>
      <c r="J134" s="196" t="s">
        <v>585</v>
      </c>
      <c r="K134" s="196" t="s">
        <v>585</v>
      </c>
      <c r="L134" s="196" t="s">
        <v>585</v>
      </c>
      <c r="M134" s="196" t="s">
        <v>585</v>
      </c>
      <c r="N134" s="196">
        <v>2</v>
      </c>
      <c r="O134" s="196">
        <v>1</v>
      </c>
      <c r="P134" s="196" t="s">
        <v>585</v>
      </c>
      <c r="Q134" s="196">
        <v>3</v>
      </c>
      <c r="R134" s="196" t="s">
        <v>585</v>
      </c>
    </row>
    <row r="135" spans="2:18" ht="12.75" customHeight="1" x14ac:dyDescent="0.2">
      <c r="B135" s="23" t="s">
        <v>144</v>
      </c>
      <c r="C135" s="196">
        <v>508</v>
      </c>
      <c r="D135" s="196">
        <v>730</v>
      </c>
      <c r="E135" s="196">
        <v>817</v>
      </c>
      <c r="F135" s="196">
        <v>722</v>
      </c>
      <c r="G135" s="196">
        <v>913</v>
      </c>
      <c r="H135" s="196">
        <v>807</v>
      </c>
      <c r="I135" s="196">
        <v>773</v>
      </c>
      <c r="J135" s="196">
        <v>828</v>
      </c>
      <c r="K135" s="196">
        <v>784</v>
      </c>
      <c r="L135" s="196">
        <v>1064</v>
      </c>
      <c r="M135" s="196">
        <v>1654</v>
      </c>
      <c r="N135" s="196">
        <v>1745</v>
      </c>
      <c r="O135" s="196">
        <v>1375</v>
      </c>
      <c r="P135" s="196">
        <v>2505</v>
      </c>
      <c r="Q135" s="196">
        <v>3097</v>
      </c>
      <c r="R135" s="196">
        <v>3087</v>
      </c>
    </row>
    <row r="136" spans="2:18" ht="12.75" customHeight="1" x14ac:dyDescent="0.2">
      <c r="B136" s="23" t="s">
        <v>145</v>
      </c>
      <c r="C136" s="196">
        <v>8</v>
      </c>
      <c r="D136" s="196">
        <v>10</v>
      </c>
      <c r="E136" s="196">
        <v>19</v>
      </c>
      <c r="F136" s="196">
        <v>20</v>
      </c>
      <c r="G136" s="196">
        <v>32</v>
      </c>
      <c r="H136" s="196">
        <v>83</v>
      </c>
      <c r="I136" s="196">
        <v>22</v>
      </c>
      <c r="J136" s="196">
        <v>90</v>
      </c>
      <c r="K136" s="196">
        <v>82</v>
      </c>
      <c r="L136" s="196">
        <v>72</v>
      </c>
      <c r="M136" s="196">
        <v>112</v>
      </c>
      <c r="N136" s="196">
        <v>106</v>
      </c>
      <c r="O136" s="196">
        <v>47</v>
      </c>
      <c r="P136" s="196">
        <v>39</v>
      </c>
      <c r="Q136" s="196">
        <v>51</v>
      </c>
      <c r="R136" s="196">
        <v>84</v>
      </c>
    </row>
    <row r="137" spans="2:18" ht="12.75" customHeight="1" x14ac:dyDescent="0.2">
      <c r="B137" s="23" t="s">
        <v>146</v>
      </c>
      <c r="C137" s="196">
        <v>13</v>
      </c>
      <c r="D137" s="196">
        <v>7</v>
      </c>
      <c r="E137" s="196">
        <v>18</v>
      </c>
      <c r="F137" s="196">
        <v>43</v>
      </c>
      <c r="G137" s="196">
        <v>30</v>
      </c>
      <c r="H137" s="196">
        <v>59</v>
      </c>
      <c r="I137" s="196">
        <v>20</v>
      </c>
      <c r="J137" s="196">
        <v>87</v>
      </c>
      <c r="K137" s="196">
        <v>35</v>
      </c>
      <c r="L137" s="196">
        <v>49</v>
      </c>
      <c r="M137" s="196">
        <v>61</v>
      </c>
      <c r="N137" s="196">
        <v>80</v>
      </c>
      <c r="O137" s="196">
        <v>76</v>
      </c>
      <c r="P137" s="196">
        <v>56</v>
      </c>
      <c r="Q137" s="196">
        <v>120</v>
      </c>
      <c r="R137" s="196">
        <v>136</v>
      </c>
    </row>
    <row r="138" spans="2:18" ht="12.75" customHeight="1" x14ac:dyDescent="0.2">
      <c r="B138" s="23" t="s">
        <v>147</v>
      </c>
      <c r="C138" s="196">
        <v>24985</v>
      </c>
      <c r="D138" s="196">
        <v>24467</v>
      </c>
      <c r="E138" s="196">
        <v>34177</v>
      </c>
      <c r="F138" s="196">
        <v>57436</v>
      </c>
      <c r="G138" s="196">
        <v>58460</v>
      </c>
      <c r="H138" s="196">
        <v>40686</v>
      </c>
      <c r="I138" s="196">
        <v>39102</v>
      </c>
      <c r="J138" s="196">
        <v>45074</v>
      </c>
      <c r="K138" s="196">
        <v>45725</v>
      </c>
      <c r="L138" s="196">
        <v>55058</v>
      </c>
      <c r="M138" s="196">
        <v>58981</v>
      </c>
      <c r="N138" s="196">
        <v>60485</v>
      </c>
      <c r="O138" s="196">
        <v>34861</v>
      </c>
      <c r="P138" s="196">
        <v>46536</v>
      </c>
      <c r="Q138" s="196">
        <v>65868</v>
      </c>
      <c r="R138" s="196">
        <v>86051</v>
      </c>
    </row>
    <row r="139" spans="2:18" ht="12.75" customHeight="1" x14ac:dyDescent="0.2">
      <c r="B139" s="23" t="s">
        <v>148</v>
      </c>
      <c r="C139" s="196">
        <v>69</v>
      </c>
      <c r="D139" s="196">
        <v>101</v>
      </c>
      <c r="E139" s="196">
        <v>112</v>
      </c>
      <c r="F139" s="196">
        <v>99</v>
      </c>
      <c r="G139" s="196">
        <v>488</v>
      </c>
      <c r="H139" s="196">
        <v>230</v>
      </c>
      <c r="I139" s="196">
        <v>276</v>
      </c>
      <c r="J139" s="196">
        <v>164</v>
      </c>
      <c r="K139" s="196">
        <v>167</v>
      </c>
      <c r="L139" s="196">
        <v>444</v>
      </c>
      <c r="M139" s="196">
        <v>529</v>
      </c>
      <c r="N139" s="196">
        <v>455</v>
      </c>
      <c r="O139" s="196">
        <v>233</v>
      </c>
      <c r="P139" s="196">
        <v>205</v>
      </c>
      <c r="Q139" s="196">
        <v>250</v>
      </c>
      <c r="R139" s="196">
        <v>205</v>
      </c>
    </row>
    <row r="140" spans="2:18" ht="12.75" customHeight="1" x14ac:dyDescent="0.2">
      <c r="B140" s="23" t="s">
        <v>149</v>
      </c>
      <c r="C140" s="196">
        <v>27846</v>
      </c>
      <c r="D140" s="196">
        <v>29327</v>
      </c>
      <c r="E140" s="196">
        <v>31497</v>
      </c>
      <c r="F140" s="196">
        <v>33700</v>
      </c>
      <c r="G140" s="196">
        <v>43779</v>
      </c>
      <c r="H140" s="196">
        <v>64721</v>
      </c>
      <c r="I140" s="196">
        <v>60917</v>
      </c>
      <c r="J140" s="196">
        <v>53562</v>
      </c>
      <c r="K140" s="196">
        <v>213890</v>
      </c>
      <c r="L140" s="196">
        <v>264266</v>
      </c>
      <c r="M140" s="196">
        <v>267501</v>
      </c>
      <c r="N140" s="196">
        <v>234762</v>
      </c>
      <c r="O140" s="196">
        <v>72014</v>
      </c>
      <c r="P140" s="196">
        <v>99395</v>
      </c>
      <c r="Q140" s="196">
        <v>188312</v>
      </c>
      <c r="R140" s="196">
        <v>259243</v>
      </c>
    </row>
    <row r="141" spans="2:18" ht="12.75" customHeight="1" x14ac:dyDescent="0.2">
      <c r="B141" s="23" t="s">
        <v>150</v>
      </c>
      <c r="C141" s="196">
        <v>1083</v>
      </c>
      <c r="D141" s="196">
        <v>3902</v>
      </c>
      <c r="E141" s="196">
        <v>1143</v>
      </c>
      <c r="F141" s="196">
        <v>1249</v>
      </c>
      <c r="G141" s="196">
        <v>1353</v>
      </c>
      <c r="H141" s="196">
        <v>1603</v>
      </c>
      <c r="I141" s="196">
        <v>1362</v>
      </c>
      <c r="J141" s="196">
        <v>1688</v>
      </c>
      <c r="K141" s="196">
        <v>1855</v>
      </c>
      <c r="L141" s="196">
        <v>2099</v>
      </c>
      <c r="M141" s="196">
        <v>2100</v>
      </c>
      <c r="N141" s="196">
        <v>2180</v>
      </c>
      <c r="O141" s="196">
        <v>1161</v>
      </c>
      <c r="P141" s="196">
        <v>1239</v>
      </c>
      <c r="Q141" s="196">
        <v>1546</v>
      </c>
      <c r="R141" s="196">
        <v>1796</v>
      </c>
    </row>
    <row r="142" spans="2:18" ht="12.75" customHeight="1" x14ac:dyDescent="0.2">
      <c r="B142" s="23" t="s">
        <v>151</v>
      </c>
      <c r="C142" s="196">
        <v>37607</v>
      </c>
      <c r="D142" s="196">
        <v>50481</v>
      </c>
      <c r="E142" s="196">
        <v>48458</v>
      </c>
      <c r="F142" s="196">
        <v>71791</v>
      </c>
      <c r="G142" s="196">
        <v>92939</v>
      </c>
      <c r="H142" s="196">
        <v>76730</v>
      </c>
      <c r="I142" s="196">
        <v>71992</v>
      </c>
      <c r="J142" s="196">
        <v>76036</v>
      </c>
      <c r="K142" s="196">
        <v>69520</v>
      </c>
      <c r="L142" s="196">
        <v>90180</v>
      </c>
      <c r="M142" s="196">
        <v>106469</v>
      </c>
      <c r="N142" s="196">
        <v>112654</v>
      </c>
      <c r="O142" s="196">
        <v>109749</v>
      </c>
      <c r="P142" s="196">
        <v>134264</v>
      </c>
      <c r="Q142" s="196">
        <v>199371</v>
      </c>
      <c r="R142" s="196">
        <v>229704</v>
      </c>
    </row>
    <row r="143" spans="2:18" ht="12.75" customHeight="1" x14ac:dyDescent="0.2">
      <c r="B143" s="23" t="s">
        <v>152</v>
      </c>
      <c r="C143" s="196">
        <v>36298</v>
      </c>
      <c r="D143" s="196">
        <v>41074</v>
      </c>
      <c r="E143" s="196">
        <v>35995</v>
      </c>
      <c r="F143" s="196">
        <v>45461</v>
      </c>
      <c r="G143" s="196">
        <v>53948</v>
      </c>
      <c r="H143" s="196">
        <v>71771</v>
      </c>
      <c r="I143" s="196">
        <v>134554</v>
      </c>
      <c r="J143" s="196">
        <v>137110</v>
      </c>
      <c r="K143" s="196">
        <v>144491</v>
      </c>
      <c r="L143" s="196">
        <v>143629</v>
      </c>
      <c r="M143" s="196">
        <v>161274</v>
      </c>
      <c r="N143" s="196">
        <v>197552</v>
      </c>
      <c r="O143" s="196">
        <v>191642</v>
      </c>
      <c r="P143" s="196">
        <v>237476</v>
      </c>
      <c r="Q143" s="196">
        <v>338837</v>
      </c>
      <c r="R143" s="196">
        <v>376721</v>
      </c>
    </row>
    <row r="144" spans="2:18" ht="12.75" customHeight="1" x14ac:dyDescent="0.2">
      <c r="B144" s="23" t="s">
        <v>153</v>
      </c>
      <c r="C144" s="196">
        <v>7125</v>
      </c>
      <c r="D144" s="196">
        <v>9676</v>
      </c>
      <c r="E144" s="196">
        <v>5365</v>
      </c>
      <c r="F144" s="196">
        <v>6785</v>
      </c>
      <c r="G144" s="196">
        <v>10852</v>
      </c>
      <c r="H144" s="196">
        <v>9687</v>
      </c>
      <c r="I144" s="196">
        <v>11262</v>
      </c>
      <c r="J144" s="196">
        <v>13286</v>
      </c>
      <c r="K144" s="196">
        <v>14034</v>
      </c>
      <c r="L144" s="196">
        <v>15733</v>
      </c>
      <c r="M144" s="196">
        <v>15310</v>
      </c>
      <c r="N144" s="196">
        <v>12764</v>
      </c>
      <c r="O144" s="196">
        <v>4831</v>
      </c>
      <c r="P144" s="196">
        <v>4922</v>
      </c>
      <c r="Q144" s="196">
        <v>7716</v>
      </c>
      <c r="R144" s="196">
        <v>10957</v>
      </c>
    </row>
    <row r="145" spans="2:18" ht="12.75" customHeight="1" x14ac:dyDescent="0.2">
      <c r="B145" s="23" t="s">
        <v>154</v>
      </c>
      <c r="C145" s="196">
        <v>62102</v>
      </c>
      <c r="D145" s="196">
        <v>78115</v>
      </c>
      <c r="E145" s="196">
        <v>78275</v>
      </c>
      <c r="F145" s="196">
        <v>82718</v>
      </c>
      <c r="G145" s="196">
        <v>95414</v>
      </c>
      <c r="H145" s="196">
        <v>82684</v>
      </c>
      <c r="I145" s="196">
        <v>90944</v>
      </c>
      <c r="J145" s="196">
        <v>103918</v>
      </c>
      <c r="K145" s="196">
        <v>94409</v>
      </c>
      <c r="L145" s="196">
        <v>97074</v>
      </c>
      <c r="M145" s="196">
        <v>119977</v>
      </c>
      <c r="N145" s="196">
        <v>140197</v>
      </c>
      <c r="O145" s="196">
        <v>64737</v>
      </c>
      <c r="P145" s="196">
        <v>79899</v>
      </c>
      <c r="Q145" s="196">
        <v>123448</v>
      </c>
      <c r="R145" s="196">
        <v>149523</v>
      </c>
    </row>
    <row r="146" spans="2:18" ht="12.75" customHeight="1" x14ac:dyDescent="0.2">
      <c r="B146" s="23" t="s">
        <v>155</v>
      </c>
      <c r="C146" s="196">
        <v>12</v>
      </c>
      <c r="D146" s="196">
        <v>40</v>
      </c>
      <c r="E146" s="196">
        <v>47</v>
      </c>
      <c r="F146" s="196">
        <v>64</v>
      </c>
      <c r="G146" s="196">
        <v>97</v>
      </c>
      <c r="H146" s="196">
        <v>169</v>
      </c>
      <c r="I146" s="196">
        <v>134</v>
      </c>
      <c r="J146" s="196">
        <v>341</v>
      </c>
      <c r="K146" s="196">
        <v>837</v>
      </c>
      <c r="L146" s="196">
        <v>357</v>
      </c>
      <c r="M146" s="196">
        <v>319</v>
      </c>
      <c r="N146" s="196">
        <v>326</v>
      </c>
      <c r="O146" s="196">
        <v>360</v>
      </c>
      <c r="P146" s="196">
        <v>367</v>
      </c>
      <c r="Q146" s="196">
        <v>428</v>
      </c>
      <c r="R146" s="196">
        <v>509</v>
      </c>
    </row>
    <row r="147" spans="2:18" ht="12.75" customHeight="1" x14ac:dyDescent="0.2">
      <c r="B147" s="23" t="s">
        <v>156</v>
      </c>
      <c r="C147" s="196">
        <v>28</v>
      </c>
      <c r="D147" s="196">
        <v>1</v>
      </c>
      <c r="E147" s="196">
        <v>50</v>
      </c>
      <c r="F147" s="196">
        <v>198</v>
      </c>
      <c r="G147" s="196">
        <v>54</v>
      </c>
      <c r="H147" s="196">
        <v>123</v>
      </c>
      <c r="I147" s="196">
        <v>115</v>
      </c>
      <c r="J147" s="196">
        <v>185</v>
      </c>
      <c r="K147" s="196">
        <v>190</v>
      </c>
      <c r="L147" s="196">
        <v>242</v>
      </c>
      <c r="M147" s="196">
        <v>685</v>
      </c>
      <c r="N147" s="196">
        <v>719</v>
      </c>
      <c r="O147" s="196">
        <v>160</v>
      </c>
      <c r="P147" s="196">
        <v>227</v>
      </c>
      <c r="Q147" s="196">
        <v>653</v>
      </c>
      <c r="R147" s="196">
        <v>1225</v>
      </c>
    </row>
    <row r="148" spans="2:18" ht="12.75" customHeight="1" x14ac:dyDescent="0.2">
      <c r="B148" s="23" t="s">
        <v>157</v>
      </c>
      <c r="C148" s="196">
        <v>36</v>
      </c>
      <c r="D148" s="196">
        <v>34</v>
      </c>
      <c r="E148" s="196">
        <v>73</v>
      </c>
      <c r="F148" s="196">
        <v>59</v>
      </c>
      <c r="G148" s="196">
        <v>102</v>
      </c>
      <c r="H148" s="196">
        <v>125</v>
      </c>
      <c r="I148" s="196">
        <v>103</v>
      </c>
      <c r="J148" s="196">
        <v>159</v>
      </c>
      <c r="K148" s="196">
        <v>226</v>
      </c>
      <c r="L148" s="196">
        <v>264</v>
      </c>
      <c r="M148" s="196">
        <v>220</v>
      </c>
      <c r="N148" s="196">
        <v>319</v>
      </c>
      <c r="O148" s="196">
        <v>219</v>
      </c>
      <c r="P148" s="196">
        <v>278</v>
      </c>
      <c r="Q148" s="196">
        <v>259</v>
      </c>
      <c r="R148" s="196">
        <v>346</v>
      </c>
    </row>
    <row r="149" spans="2:18" ht="12.75" customHeight="1" x14ac:dyDescent="0.2">
      <c r="B149" s="23" t="s">
        <v>158</v>
      </c>
      <c r="C149" s="196">
        <v>49</v>
      </c>
      <c r="D149" s="196">
        <v>73</v>
      </c>
      <c r="E149" s="196">
        <v>126</v>
      </c>
      <c r="F149" s="196">
        <v>173</v>
      </c>
      <c r="G149" s="196">
        <v>205</v>
      </c>
      <c r="H149" s="196">
        <v>258</v>
      </c>
      <c r="I149" s="196">
        <v>156</v>
      </c>
      <c r="J149" s="196">
        <v>167</v>
      </c>
      <c r="K149" s="196">
        <v>262</v>
      </c>
      <c r="L149" s="196">
        <v>404</v>
      </c>
      <c r="M149" s="196">
        <v>541</v>
      </c>
      <c r="N149" s="196">
        <v>622</v>
      </c>
      <c r="O149" s="196">
        <v>431</v>
      </c>
      <c r="P149" s="196">
        <v>735</v>
      </c>
      <c r="Q149" s="196">
        <v>958</v>
      </c>
      <c r="R149" s="196">
        <v>1175</v>
      </c>
    </row>
    <row r="150" spans="2:18" ht="12.75" customHeight="1" x14ac:dyDescent="0.2">
      <c r="B150" s="23" t="s">
        <v>159</v>
      </c>
      <c r="C150" s="196">
        <v>14373</v>
      </c>
      <c r="D150" s="196">
        <v>19183</v>
      </c>
      <c r="E150" s="196">
        <v>18084</v>
      </c>
      <c r="F150" s="196">
        <v>23851</v>
      </c>
      <c r="G150" s="196">
        <v>26881</v>
      </c>
      <c r="H150" s="196">
        <v>29557</v>
      </c>
      <c r="I150" s="196">
        <v>32458</v>
      </c>
      <c r="J150" s="196">
        <v>36222</v>
      </c>
      <c r="K150" s="196">
        <v>41169</v>
      </c>
      <c r="L150" s="196">
        <v>55139</v>
      </c>
      <c r="M150" s="196">
        <v>69968</v>
      </c>
      <c r="N150" s="196">
        <v>69616</v>
      </c>
      <c r="O150" s="196">
        <v>49255</v>
      </c>
      <c r="P150" s="196">
        <v>61166</v>
      </c>
      <c r="Q150" s="196">
        <v>95591</v>
      </c>
      <c r="R150" s="196">
        <v>114214</v>
      </c>
    </row>
    <row r="151" spans="2:18" ht="12.75" customHeight="1" x14ac:dyDescent="0.2">
      <c r="B151" s="23" t="s">
        <v>160</v>
      </c>
      <c r="C151" s="196">
        <v>197</v>
      </c>
      <c r="D151" s="196">
        <v>190</v>
      </c>
      <c r="E151" s="196">
        <v>264</v>
      </c>
      <c r="F151" s="196">
        <v>294</v>
      </c>
      <c r="G151" s="196">
        <v>333</v>
      </c>
      <c r="H151" s="196">
        <v>407</v>
      </c>
      <c r="I151" s="196">
        <v>573</v>
      </c>
      <c r="J151" s="196">
        <v>834</v>
      </c>
      <c r="K151" s="196">
        <v>880</v>
      </c>
      <c r="L151" s="196">
        <v>1439</v>
      </c>
      <c r="M151" s="196">
        <v>1467</v>
      </c>
      <c r="N151" s="196">
        <v>2103</v>
      </c>
      <c r="O151" s="196">
        <v>2149</v>
      </c>
      <c r="P151" s="196">
        <v>2280</v>
      </c>
      <c r="Q151" s="196">
        <v>2904</v>
      </c>
      <c r="R151" s="196">
        <v>3402</v>
      </c>
    </row>
    <row r="152" spans="2:18" ht="12.75" customHeight="1" x14ac:dyDescent="0.2">
      <c r="B152" s="23" t="s">
        <v>161</v>
      </c>
      <c r="C152" s="196">
        <v>2146</v>
      </c>
      <c r="D152" s="196">
        <v>2831</v>
      </c>
      <c r="E152" s="196">
        <v>4596</v>
      </c>
      <c r="F152" s="196">
        <v>2999</v>
      </c>
      <c r="G152" s="196">
        <v>3412</v>
      </c>
      <c r="H152" s="196">
        <v>3616</v>
      </c>
      <c r="I152" s="196">
        <v>3361</v>
      </c>
      <c r="J152" s="196">
        <v>5974</v>
      </c>
      <c r="K152" s="196">
        <v>6397</v>
      </c>
      <c r="L152" s="196">
        <v>6769</v>
      </c>
      <c r="M152" s="196">
        <v>7430</v>
      </c>
      <c r="N152" s="196">
        <v>9210</v>
      </c>
      <c r="O152" s="196">
        <v>5849</v>
      </c>
      <c r="P152" s="196">
        <v>5523</v>
      </c>
      <c r="Q152" s="196">
        <v>8287</v>
      </c>
      <c r="R152" s="196">
        <v>8739</v>
      </c>
    </row>
    <row r="153" spans="2:18" ht="12.75" customHeight="1" x14ac:dyDescent="0.2">
      <c r="B153" s="23" t="s">
        <v>162</v>
      </c>
      <c r="C153" s="196" t="s">
        <v>585</v>
      </c>
      <c r="D153" s="196" t="s">
        <v>585</v>
      </c>
      <c r="E153" s="196" t="s">
        <v>585</v>
      </c>
      <c r="F153" s="196" t="s">
        <v>585</v>
      </c>
      <c r="G153" s="196" t="s">
        <v>585</v>
      </c>
      <c r="H153" s="196" t="s">
        <v>585</v>
      </c>
      <c r="I153" s="196" t="s">
        <v>585</v>
      </c>
      <c r="J153" s="196">
        <v>311</v>
      </c>
      <c r="K153" s="196" t="s">
        <v>585</v>
      </c>
      <c r="L153" s="196" t="s">
        <v>585</v>
      </c>
      <c r="M153" s="196" t="s">
        <v>585</v>
      </c>
      <c r="N153" s="196" t="s">
        <v>585</v>
      </c>
      <c r="O153" s="196" t="s">
        <v>585</v>
      </c>
      <c r="P153" s="196" t="s">
        <v>585</v>
      </c>
      <c r="Q153" s="196" t="s">
        <v>585</v>
      </c>
      <c r="R153" s="196" t="s">
        <v>585</v>
      </c>
    </row>
    <row r="154" spans="2:18" ht="12.75" customHeight="1" x14ac:dyDescent="0.2">
      <c r="B154" s="23" t="s">
        <v>163</v>
      </c>
      <c r="C154" s="196" t="s">
        <v>585</v>
      </c>
      <c r="D154" s="196" t="s">
        <v>585</v>
      </c>
      <c r="E154" s="196" t="s">
        <v>585</v>
      </c>
      <c r="F154" s="196" t="s">
        <v>585</v>
      </c>
      <c r="G154" s="196">
        <v>6</v>
      </c>
      <c r="H154" s="196" t="s">
        <v>585</v>
      </c>
      <c r="I154" s="196">
        <v>2</v>
      </c>
      <c r="J154" s="196" t="s">
        <v>585</v>
      </c>
      <c r="K154" s="196">
        <v>1</v>
      </c>
      <c r="L154" s="196" t="s">
        <v>585</v>
      </c>
      <c r="M154" s="196">
        <v>20</v>
      </c>
      <c r="N154" s="196">
        <v>10</v>
      </c>
      <c r="O154" s="196" t="s">
        <v>585</v>
      </c>
      <c r="P154" s="196" t="s">
        <v>585</v>
      </c>
      <c r="Q154" s="196">
        <v>2</v>
      </c>
      <c r="R154" s="196">
        <v>2</v>
      </c>
    </row>
    <row r="155" spans="2:18" ht="12.75" customHeight="1" x14ac:dyDescent="0.2">
      <c r="B155" s="23" t="s">
        <v>164</v>
      </c>
      <c r="C155" s="196" t="s">
        <v>585</v>
      </c>
      <c r="D155" s="196" t="s">
        <v>585</v>
      </c>
      <c r="E155" s="196" t="s">
        <v>585</v>
      </c>
      <c r="F155" s="196" t="s">
        <v>585</v>
      </c>
      <c r="G155" s="196" t="s">
        <v>585</v>
      </c>
      <c r="H155" s="196" t="s">
        <v>585</v>
      </c>
      <c r="I155" s="196" t="s">
        <v>585</v>
      </c>
      <c r="J155" s="196" t="s">
        <v>585</v>
      </c>
      <c r="K155" s="196" t="s">
        <v>585</v>
      </c>
      <c r="L155" s="196" t="s">
        <v>585</v>
      </c>
      <c r="M155" s="196" t="s">
        <v>585</v>
      </c>
      <c r="N155" s="196" t="s">
        <v>585</v>
      </c>
      <c r="O155" s="196" t="s">
        <v>585</v>
      </c>
      <c r="P155" s="196" t="s">
        <v>585</v>
      </c>
      <c r="Q155" s="196" t="s">
        <v>585</v>
      </c>
      <c r="R155" s="196" t="s">
        <v>585</v>
      </c>
    </row>
    <row r="156" spans="2:18" ht="12.75" customHeight="1" x14ac:dyDescent="0.2">
      <c r="B156" s="23" t="s">
        <v>165</v>
      </c>
      <c r="C156" s="196">
        <v>386</v>
      </c>
      <c r="D156" s="196">
        <v>315</v>
      </c>
      <c r="E156" s="196">
        <v>383</v>
      </c>
      <c r="F156" s="196">
        <v>485</v>
      </c>
      <c r="G156" s="196">
        <v>701</v>
      </c>
      <c r="H156" s="196">
        <v>1650</v>
      </c>
      <c r="I156" s="196">
        <v>2117</v>
      </c>
      <c r="J156" s="196">
        <v>3255</v>
      </c>
      <c r="K156" s="196">
        <v>4088</v>
      </c>
      <c r="L156" s="196">
        <v>2648</v>
      </c>
      <c r="M156" s="196">
        <v>4046</v>
      </c>
      <c r="N156" s="196">
        <v>4078</v>
      </c>
      <c r="O156" s="196">
        <v>2499</v>
      </c>
      <c r="P156" s="196">
        <v>5485</v>
      </c>
      <c r="Q156" s="196">
        <v>6137</v>
      </c>
      <c r="R156" s="196">
        <v>10714</v>
      </c>
    </row>
    <row r="157" spans="2:18" ht="12.75" customHeight="1" x14ac:dyDescent="0.2">
      <c r="B157" s="23" t="s">
        <v>166</v>
      </c>
      <c r="C157" s="196" t="s">
        <v>585</v>
      </c>
      <c r="D157" s="196" t="s">
        <v>585</v>
      </c>
      <c r="E157" s="196" t="s">
        <v>585</v>
      </c>
      <c r="F157" s="196" t="s">
        <v>585</v>
      </c>
      <c r="G157" s="196" t="s">
        <v>585</v>
      </c>
      <c r="H157" s="196" t="s">
        <v>585</v>
      </c>
      <c r="I157" s="196" t="s">
        <v>585</v>
      </c>
      <c r="J157" s="196" t="s">
        <v>585</v>
      </c>
      <c r="K157" s="196" t="s">
        <v>585</v>
      </c>
      <c r="L157" s="196" t="s">
        <v>585</v>
      </c>
      <c r="M157" s="196" t="s">
        <v>585</v>
      </c>
      <c r="N157" s="196" t="s">
        <v>585</v>
      </c>
      <c r="O157" s="196" t="s">
        <v>585</v>
      </c>
      <c r="P157" s="196">
        <v>1</v>
      </c>
      <c r="Q157" s="196" t="s">
        <v>585</v>
      </c>
      <c r="R157" s="196" t="s">
        <v>585</v>
      </c>
    </row>
    <row r="158" spans="2:18" ht="12.75" customHeight="1" x14ac:dyDescent="0.2">
      <c r="B158" s="23" t="s">
        <v>167</v>
      </c>
      <c r="C158" s="196">
        <v>13417</v>
      </c>
      <c r="D158" s="196">
        <v>17801</v>
      </c>
      <c r="E158" s="196">
        <v>20000</v>
      </c>
      <c r="F158" s="196">
        <v>25630</v>
      </c>
      <c r="G158" s="196">
        <v>26997</v>
      </c>
      <c r="H158" s="196">
        <v>21912</v>
      </c>
      <c r="I158" s="196">
        <v>22908</v>
      </c>
      <c r="J158" s="196">
        <v>29606</v>
      </c>
      <c r="K158" s="196">
        <v>31576</v>
      </c>
      <c r="L158" s="196">
        <v>36617</v>
      </c>
      <c r="M158" s="196">
        <v>42663</v>
      </c>
      <c r="N158" s="196">
        <v>45902</v>
      </c>
      <c r="O158" s="196">
        <v>20958</v>
      </c>
      <c r="P158" s="196">
        <v>19632</v>
      </c>
      <c r="Q158" s="196">
        <v>36737</v>
      </c>
      <c r="R158" s="196">
        <v>66557</v>
      </c>
    </row>
    <row r="159" spans="2:18" ht="12.75" customHeight="1" x14ac:dyDescent="0.2">
      <c r="B159" s="23" t="s">
        <v>168</v>
      </c>
      <c r="C159" s="196">
        <v>34454</v>
      </c>
      <c r="D159" s="196">
        <v>43149</v>
      </c>
      <c r="E159" s="196">
        <v>42686</v>
      </c>
      <c r="F159" s="196">
        <v>52946</v>
      </c>
      <c r="G159" s="196">
        <v>57994</v>
      </c>
      <c r="H159" s="196">
        <v>66912</v>
      </c>
      <c r="I159" s="196">
        <v>61560</v>
      </c>
      <c r="J159" s="196">
        <v>79665</v>
      </c>
      <c r="K159" s="196">
        <v>112025</v>
      </c>
      <c r="L159" s="196">
        <v>107437</v>
      </c>
      <c r="M159" s="196">
        <v>108762</v>
      </c>
      <c r="N159" s="196">
        <v>100040</v>
      </c>
      <c r="O159" s="196">
        <v>94871</v>
      </c>
      <c r="P159" s="196">
        <v>100971</v>
      </c>
      <c r="Q159" s="196">
        <v>148943</v>
      </c>
      <c r="R159" s="196">
        <v>177655</v>
      </c>
    </row>
    <row r="160" spans="2:18" ht="12.75" customHeight="1" x14ac:dyDescent="0.2">
      <c r="B160" s="23" t="s">
        <v>169</v>
      </c>
      <c r="C160" s="196">
        <v>2</v>
      </c>
      <c r="D160" s="196" t="s">
        <v>585</v>
      </c>
      <c r="E160" s="196" t="s">
        <v>585</v>
      </c>
      <c r="F160" s="196" t="s">
        <v>585</v>
      </c>
      <c r="G160" s="196" t="s">
        <v>585</v>
      </c>
      <c r="H160" s="196" t="s">
        <v>585</v>
      </c>
      <c r="I160" s="196" t="s">
        <v>585</v>
      </c>
      <c r="J160" s="196" t="s">
        <v>585</v>
      </c>
      <c r="K160" s="196" t="s">
        <v>585</v>
      </c>
      <c r="L160" s="196" t="s">
        <v>585</v>
      </c>
      <c r="M160" s="196" t="s">
        <v>585</v>
      </c>
      <c r="N160" s="196" t="s">
        <v>585</v>
      </c>
      <c r="O160" s="196" t="s">
        <v>585</v>
      </c>
      <c r="P160" s="196" t="s">
        <v>585</v>
      </c>
      <c r="Q160" s="196" t="s">
        <v>585</v>
      </c>
      <c r="R160" s="196" t="s">
        <v>585</v>
      </c>
    </row>
    <row r="161" spans="2:18" ht="12.75" customHeight="1" x14ac:dyDescent="0.2">
      <c r="B161" s="23" t="s">
        <v>170</v>
      </c>
      <c r="C161" s="196" t="s">
        <v>585</v>
      </c>
      <c r="D161" s="196" t="s">
        <v>585</v>
      </c>
      <c r="E161" s="196">
        <v>4</v>
      </c>
      <c r="F161" s="196" t="s">
        <v>585</v>
      </c>
      <c r="G161" s="196">
        <v>6</v>
      </c>
      <c r="H161" s="196">
        <v>6</v>
      </c>
      <c r="I161" s="196">
        <v>1</v>
      </c>
      <c r="J161" s="196">
        <v>1</v>
      </c>
      <c r="K161" s="196">
        <v>1</v>
      </c>
      <c r="L161" s="196">
        <v>3</v>
      </c>
      <c r="M161" s="196">
        <v>5</v>
      </c>
      <c r="N161" s="196">
        <v>1</v>
      </c>
      <c r="O161" s="196">
        <v>12</v>
      </c>
      <c r="P161" s="196">
        <v>5</v>
      </c>
      <c r="Q161" s="196">
        <v>1</v>
      </c>
      <c r="R161" s="196">
        <v>1</v>
      </c>
    </row>
    <row r="162" spans="2:18" ht="12.75" customHeight="1" x14ac:dyDescent="0.2">
      <c r="B162" s="23" t="s">
        <v>171</v>
      </c>
      <c r="C162" s="196">
        <v>18959</v>
      </c>
      <c r="D162" s="196">
        <v>22482</v>
      </c>
      <c r="E162" s="196">
        <v>19287</v>
      </c>
      <c r="F162" s="196">
        <v>20365</v>
      </c>
      <c r="G162" s="196">
        <v>23134</v>
      </c>
      <c r="H162" s="196">
        <v>26192</v>
      </c>
      <c r="I162" s="196">
        <v>22897</v>
      </c>
      <c r="J162" s="196">
        <v>26495</v>
      </c>
      <c r="K162" s="196">
        <v>31736</v>
      </c>
      <c r="L162" s="196">
        <v>35501</v>
      </c>
      <c r="M162" s="196">
        <v>45466</v>
      </c>
      <c r="N162" s="196">
        <v>54434</v>
      </c>
      <c r="O162" s="196">
        <v>38447</v>
      </c>
      <c r="P162" s="196">
        <v>54296</v>
      </c>
      <c r="Q162" s="196">
        <v>77689</v>
      </c>
      <c r="R162" s="196">
        <v>96424</v>
      </c>
    </row>
    <row r="163" spans="2:18" ht="12.75" customHeight="1" x14ac:dyDescent="0.2">
      <c r="B163" s="23" t="s">
        <v>172</v>
      </c>
      <c r="C163" s="196">
        <v>2256</v>
      </c>
      <c r="D163" s="196">
        <v>2381</v>
      </c>
      <c r="E163" s="196">
        <v>2880</v>
      </c>
      <c r="F163" s="196">
        <v>3317</v>
      </c>
      <c r="G163" s="196">
        <v>5146</v>
      </c>
      <c r="H163" s="196">
        <v>4916</v>
      </c>
      <c r="I163" s="196">
        <v>4776</v>
      </c>
      <c r="J163" s="196">
        <v>5357</v>
      </c>
      <c r="K163" s="196">
        <v>8154</v>
      </c>
      <c r="L163" s="196">
        <v>10179</v>
      </c>
      <c r="M163" s="196">
        <v>10723</v>
      </c>
      <c r="N163" s="196">
        <v>11231</v>
      </c>
      <c r="O163" s="196">
        <v>10929</v>
      </c>
      <c r="P163" s="196">
        <v>13174</v>
      </c>
      <c r="Q163" s="196">
        <v>15876</v>
      </c>
      <c r="R163" s="196">
        <v>17910</v>
      </c>
    </row>
    <row r="164" spans="2:18" ht="12.75" customHeight="1" x14ac:dyDescent="0.2">
      <c r="B164" s="23" t="s">
        <v>173</v>
      </c>
      <c r="C164" s="196">
        <v>71985</v>
      </c>
      <c r="D164" s="196">
        <v>91178</v>
      </c>
      <c r="E164" s="196">
        <v>109206</v>
      </c>
      <c r="F164" s="196">
        <v>145341</v>
      </c>
      <c r="G164" s="196">
        <v>141514</v>
      </c>
      <c r="H164" s="196">
        <v>117856</v>
      </c>
      <c r="I164" s="196">
        <v>96196</v>
      </c>
      <c r="J164" s="196">
        <v>101124</v>
      </c>
      <c r="K164" s="196">
        <v>108032</v>
      </c>
      <c r="L164" s="196">
        <v>111915</v>
      </c>
      <c r="M164" s="196">
        <v>132338</v>
      </c>
      <c r="N164" s="196">
        <v>149800</v>
      </c>
      <c r="O164" s="196">
        <v>140117</v>
      </c>
      <c r="P164" s="196">
        <v>171538</v>
      </c>
      <c r="Q164" s="196">
        <v>194268</v>
      </c>
      <c r="R164" s="196">
        <v>198867</v>
      </c>
    </row>
    <row r="165" spans="2:18" ht="12.75" customHeight="1" x14ac:dyDescent="0.2">
      <c r="B165" s="23" t="s">
        <v>174</v>
      </c>
      <c r="C165" s="196">
        <v>11550</v>
      </c>
      <c r="D165" s="196">
        <v>243</v>
      </c>
      <c r="E165" s="196">
        <v>133</v>
      </c>
      <c r="F165" s="196">
        <v>251</v>
      </c>
      <c r="G165" s="196">
        <v>202</v>
      </c>
      <c r="H165" s="196">
        <v>298</v>
      </c>
      <c r="I165" s="196">
        <v>216</v>
      </c>
      <c r="J165" s="196">
        <v>257</v>
      </c>
      <c r="K165" s="196">
        <v>302</v>
      </c>
      <c r="L165" s="196">
        <v>263</v>
      </c>
      <c r="M165" s="196">
        <v>268</v>
      </c>
      <c r="N165" s="196">
        <v>240</v>
      </c>
      <c r="O165" s="196">
        <v>85</v>
      </c>
      <c r="P165" s="196">
        <v>108</v>
      </c>
      <c r="Q165" s="196">
        <v>140</v>
      </c>
      <c r="R165" s="196">
        <v>252</v>
      </c>
    </row>
    <row r="166" spans="2:18" ht="12.75" customHeight="1" x14ac:dyDescent="0.2">
      <c r="B166" s="23" t="s">
        <v>175</v>
      </c>
      <c r="C166" s="196" t="s">
        <v>585</v>
      </c>
      <c r="D166" s="196" t="s">
        <v>585</v>
      </c>
      <c r="E166" s="196" t="s">
        <v>585</v>
      </c>
      <c r="F166" s="196" t="s">
        <v>585</v>
      </c>
      <c r="G166" s="196" t="s">
        <v>585</v>
      </c>
      <c r="H166" s="196" t="s">
        <v>585</v>
      </c>
      <c r="I166" s="196" t="s">
        <v>585</v>
      </c>
      <c r="J166" s="196" t="s">
        <v>585</v>
      </c>
      <c r="K166" s="196" t="s">
        <v>585</v>
      </c>
      <c r="L166" s="196" t="s">
        <v>585</v>
      </c>
      <c r="M166" s="196" t="s">
        <v>585</v>
      </c>
      <c r="N166" s="196" t="s">
        <v>585</v>
      </c>
      <c r="O166" s="196" t="s">
        <v>585</v>
      </c>
      <c r="P166" s="196" t="s">
        <v>585</v>
      </c>
      <c r="Q166" s="196" t="s">
        <v>585</v>
      </c>
      <c r="R166" s="196" t="s">
        <v>585</v>
      </c>
    </row>
    <row r="167" spans="2:18" ht="12.75" customHeight="1" x14ac:dyDescent="0.2">
      <c r="B167" s="23" t="s">
        <v>176</v>
      </c>
      <c r="C167" s="196">
        <v>150</v>
      </c>
      <c r="D167" s="196">
        <v>151</v>
      </c>
      <c r="E167" s="196">
        <v>168</v>
      </c>
      <c r="F167" s="196">
        <v>240</v>
      </c>
      <c r="G167" s="196">
        <v>418</v>
      </c>
      <c r="H167" s="196">
        <v>576</v>
      </c>
      <c r="I167" s="196">
        <v>682</v>
      </c>
      <c r="J167" s="196">
        <v>833</v>
      </c>
      <c r="K167" s="196">
        <v>1333</v>
      </c>
      <c r="L167" s="196">
        <v>1600</v>
      </c>
      <c r="M167" s="196">
        <v>1744</v>
      </c>
      <c r="N167" s="196">
        <v>1742</v>
      </c>
      <c r="O167" s="196">
        <v>1742</v>
      </c>
      <c r="P167" s="196">
        <v>1831</v>
      </c>
      <c r="Q167" s="196">
        <v>2714</v>
      </c>
      <c r="R167" s="196">
        <v>3382</v>
      </c>
    </row>
    <row r="168" spans="2:18" ht="12.75" customHeight="1" x14ac:dyDescent="0.2">
      <c r="B168" s="23" t="s">
        <v>177</v>
      </c>
      <c r="C168" s="196">
        <v>48</v>
      </c>
      <c r="D168" s="196">
        <v>50</v>
      </c>
      <c r="E168" s="196">
        <v>156</v>
      </c>
      <c r="F168" s="196">
        <v>109</v>
      </c>
      <c r="G168" s="196">
        <v>151</v>
      </c>
      <c r="H168" s="196">
        <v>194</v>
      </c>
      <c r="I168" s="196">
        <v>163</v>
      </c>
      <c r="J168" s="196">
        <v>311</v>
      </c>
      <c r="K168" s="196">
        <v>386</v>
      </c>
      <c r="L168" s="196">
        <v>485</v>
      </c>
      <c r="M168" s="196">
        <v>586</v>
      </c>
      <c r="N168" s="196">
        <v>708</v>
      </c>
      <c r="O168" s="196">
        <v>698</v>
      </c>
      <c r="P168" s="196">
        <v>493</v>
      </c>
      <c r="Q168" s="196">
        <v>716</v>
      </c>
      <c r="R168" s="196">
        <v>844</v>
      </c>
    </row>
    <row r="169" spans="2:18" ht="12.75" customHeight="1" x14ac:dyDescent="0.2">
      <c r="B169" s="23" t="s">
        <v>178</v>
      </c>
      <c r="C169" s="196">
        <v>224</v>
      </c>
      <c r="D169" s="196">
        <v>248</v>
      </c>
      <c r="E169" s="196">
        <v>405</v>
      </c>
      <c r="F169" s="196">
        <v>407</v>
      </c>
      <c r="G169" s="196">
        <v>447</v>
      </c>
      <c r="H169" s="196">
        <v>420</v>
      </c>
      <c r="I169" s="196">
        <v>376</v>
      </c>
      <c r="J169" s="196">
        <v>644</v>
      </c>
      <c r="K169" s="196">
        <v>815</v>
      </c>
      <c r="L169" s="196">
        <v>893</v>
      </c>
      <c r="M169" s="196">
        <v>977</v>
      </c>
      <c r="N169" s="196">
        <v>1301</v>
      </c>
      <c r="O169" s="196">
        <v>851</v>
      </c>
      <c r="P169" s="196">
        <v>782</v>
      </c>
      <c r="Q169" s="196">
        <v>1666</v>
      </c>
      <c r="R169" s="196">
        <v>3840</v>
      </c>
    </row>
    <row r="170" spans="2:18" ht="12.75" customHeight="1" x14ac:dyDescent="0.2">
      <c r="B170" s="23" t="s">
        <v>179</v>
      </c>
      <c r="C170" s="196">
        <v>40</v>
      </c>
      <c r="D170" s="196">
        <v>98</v>
      </c>
      <c r="E170" s="196">
        <v>95</v>
      </c>
      <c r="F170" s="196">
        <v>66</v>
      </c>
      <c r="G170" s="196">
        <v>113</v>
      </c>
      <c r="H170" s="196">
        <v>107</v>
      </c>
      <c r="I170" s="196">
        <v>124</v>
      </c>
      <c r="J170" s="196">
        <v>178</v>
      </c>
      <c r="K170" s="196">
        <v>206</v>
      </c>
      <c r="L170" s="196">
        <v>253</v>
      </c>
      <c r="M170" s="196">
        <v>271</v>
      </c>
      <c r="N170" s="196">
        <v>363</v>
      </c>
      <c r="O170" s="196">
        <v>314</v>
      </c>
      <c r="P170" s="196">
        <v>248</v>
      </c>
      <c r="Q170" s="196">
        <v>11</v>
      </c>
      <c r="R170" s="196">
        <v>429</v>
      </c>
    </row>
    <row r="171" spans="2:18" ht="12.75" customHeight="1" x14ac:dyDescent="0.2">
      <c r="B171" s="23" t="s">
        <v>180</v>
      </c>
      <c r="C171" s="196">
        <v>8</v>
      </c>
      <c r="D171" s="196">
        <v>5</v>
      </c>
      <c r="E171" s="196">
        <v>4</v>
      </c>
      <c r="F171" s="196" t="s">
        <v>585</v>
      </c>
      <c r="G171" s="196">
        <v>5</v>
      </c>
      <c r="H171" s="196">
        <v>1</v>
      </c>
      <c r="I171" s="196" t="s">
        <v>585</v>
      </c>
      <c r="J171" s="196" t="s">
        <v>585</v>
      </c>
      <c r="K171" s="196">
        <v>4</v>
      </c>
      <c r="L171" s="196">
        <v>9</v>
      </c>
      <c r="M171" s="196">
        <v>34</v>
      </c>
      <c r="N171" s="196">
        <v>1</v>
      </c>
      <c r="O171" s="196">
        <v>10</v>
      </c>
      <c r="P171" s="196" t="s">
        <v>585</v>
      </c>
      <c r="Q171" s="196" t="s">
        <v>585</v>
      </c>
      <c r="R171" s="196">
        <v>2</v>
      </c>
    </row>
    <row r="172" spans="2:18" ht="12.75" customHeight="1" x14ac:dyDescent="0.2">
      <c r="B172" s="23" t="s">
        <v>181</v>
      </c>
      <c r="C172" s="196">
        <v>287</v>
      </c>
      <c r="D172" s="196">
        <v>292</v>
      </c>
      <c r="E172" s="196">
        <v>320</v>
      </c>
      <c r="F172" s="196">
        <v>397</v>
      </c>
      <c r="G172" s="196">
        <v>418</v>
      </c>
      <c r="H172" s="196">
        <v>712</v>
      </c>
      <c r="I172" s="196">
        <v>634</v>
      </c>
      <c r="J172" s="196">
        <v>915</v>
      </c>
      <c r="K172" s="196">
        <v>1277</v>
      </c>
      <c r="L172" s="196">
        <v>1155</v>
      </c>
      <c r="M172" s="196">
        <v>1880</v>
      </c>
      <c r="N172" s="196">
        <v>3795</v>
      </c>
      <c r="O172" s="196">
        <v>3425</v>
      </c>
      <c r="P172" s="196">
        <v>5904</v>
      </c>
      <c r="Q172" s="196">
        <v>7788</v>
      </c>
      <c r="R172" s="196">
        <v>8271</v>
      </c>
    </row>
    <row r="173" spans="2:18" ht="12.75" customHeight="1" x14ac:dyDescent="0.2">
      <c r="B173" s="23" t="s">
        <v>182</v>
      </c>
      <c r="C173" s="196">
        <v>39</v>
      </c>
      <c r="D173" s="196">
        <v>43</v>
      </c>
      <c r="E173" s="196">
        <v>113</v>
      </c>
      <c r="F173" s="196">
        <v>94</v>
      </c>
      <c r="G173" s="196">
        <v>160</v>
      </c>
      <c r="H173" s="196">
        <v>230</v>
      </c>
      <c r="I173" s="196">
        <v>159</v>
      </c>
      <c r="J173" s="196">
        <v>342</v>
      </c>
      <c r="K173" s="196">
        <v>510</v>
      </c>
      <c r="L173" s="196">
        <v>1338</v>
      </c>
      <c r="M173" s="196">
        <v>1346</v>
      </c>
      <c r="N173" s="196">
        <v>1268</v>
      </c>
      <c r="O173" s="196">
        <v>1369</v>
      </c>
      <c r="P173" s="196">
        <v>1388</v>
      </c>
      <c r="Q173" s="196">
        <v>1551</v>
      </c>
      <c r="R173" s="196">
        <v>2127</v>
      </c>
    </row>
    <row r="174" spans="2:18" ht="12.75" customHeight="1" x14ac:dyDescent="0.2">
      <c r="B174" s="23" t="s">
        <v>183</v>
      </c>
      <c r="C174" s="196">
        <v>1833</v>
      </c>
      <c r="D174" s="196">
        <v>2714</v>
      </c>
      <c r="E174" s="196">
        <v>4303</v>
      </c>
      <c r="F174" s="196">
        <v>5600</v>
      </c>
      <c r="G174" s="196">
        <v>7237</v>
      </c>
      <c r="H174" s="196">
        <v>9420</v>
      </c>
      <c r="I174" s="196">
        <v>9172</v>
      </c>
      <c r="J174" s="196">
        <v>14564</v>
      </c>
      <c r="K174" s="196">
        <v>19897</v>
      </c>
      <c r="L174" s="196">
        <v>22869</v>
      </c>
      <c r="M174" s="196">
        <v>28387</v>
      </c>
      <c r="N174" s="196">
        <v>27711</v>
      </c>
      <c r="O174" s="196">
        <v>25264</v>
      </c>
      <c r="P174" s="196">
        <v>25760</v>
      </c>
      <c r="Q174" s="196">
        <v>28510</v>
      </c>
      <c r="R174" s="196">
        <v>39885</v>
      </c>
    </row>
    <row r="175" spans="2:18" ht="12.75" customHeight="1" x14ac:dyDescent="0.2">
      <c r="B175" s="23" t="s">
        <v>184</v>
      </c>
      <c r="C175" s="196">
        <v>66</v>
      </c>
      <c r="D175" s="196">
        <v>132</v>
      </c>
      <c r="E175" s="196">
        <v>173</v>
      </c>
      <c r="F175" s="196">
        <v>234</v>
      </c>
      <c r="G175" s="196">
        <v>317</v>
      </c>
      <c r="H175" s="196">
        <v>219</v>
      </c>
      <c r="I175" s="196">
        <v>198</v>
      </c>
      <c r="J175" s="196">
        <v>438</v>
      </c>
      <c r="K175" s="196">
        <v>590</v>
      </c>
      <c r="L175" s="196">
        <v>495</v>
      </c>
      <c r="M175" s="196">
        <v>490</v>
      </c>
      <c r="N175" s="196">
        <v>1057</v>
      </c>
      <c r="O175" s="196">
        <v>664</v>
      </c>
      <c r="P175" s="196">
        <v>689</v>
      </c>
      <c r="Q175" s="196">
        <v>566</v>
      </c>
      <c r="R175" s="196">
        <v>702</v>
      </c>
    </row>
    <row r="176" spans="2:18" ht="12.75" customHeight="1" x14ac:dyDescent="0.2">
      <c r="B176" s="23" t="s">
        <v>185</v>
      </c>
      <c r="C176" s="196" t="s">
        <v>585</v>
      </c>
      <c r="D176" s="196" t="s">
        <v>585</v>
      </c>
      <c r="E176" s="196" t="s">
        <v>585</v>
      </c>
      <c r="F176" s="196" t="s">
        <v>585</v>
      </c>
      <c r="G176" s="196" t="s">
        <v>585</v>
      </c>
      <c r="H176" s="196" t="s">
        <v>585</v>
      </c>
      <c r="I176" s="196" t="s">
        <v>585</v>
      </c>
      <c r="J176" s="196" t="s">
        <v>585</v>
      </c>
      <c r="K176" s="196" t="s">
        <v>585</v>
      </c>
      <c r="L176" s="196" t="s">
        <v>585</v>
      </c>
      <c r="M176" s="196" t="s">
        <v>585</v>
      </c>
      <c r="N176" s="196" t="s">
        <v>585</v>
      </c>
      <c r="O176" s="196" t="s">
        <v>585</v>
      </c>
      <c r="P176" s="196" t="s">
        <v>585</v>
      </c>
      <c r="Q176" s="196" t="s">
        <v>585</v>
      </c>
      <c r="R176" s="196" t="s">
        <v>585</v>
      </c>
    </row>
    <row r="177" spans="2:18" ht="12.75" customHeight="1" x14ac:dyDescent="0.2">
      <c r="B177" s="23" t="s">
        <v>186</v>
      </c>
      <c r="C177" s="196" t="s">
        <v>585</v>
      </c>
      <c r="D177" s="196" t="s">
        <v>585</v>
      </c>
      <c r="E177" s="196" t="s">
        <v>585</v>
      </c>
      <c r="F177" s="196" t="s">
        <v>585</v>
      </c>
      <c r="G177" s="196" t="s">
        <v>585</v>
      </c>
      <c r="H177" s="196" t="s">
        <v>585</v>
      </c>
      <c r="I177" s="196" t="s">
        <v>585</v>
      </c>
      <c r="J177" s="196" t="s">
        <v>585</v>
      </c>
      <c r="K177" s="196" t="s">
        <v>585</v>
      </c>
      <c r="L177" s="196" t="s">
        <v>585</v>
      </c>
      <c r="M177" s="196" t="s">
        <v>585</v>
      </c>
      <c r="N177" s="196" t="s">
        <v>585</v>
      </c>
      <c r="O177" s="196" t="s">
        <v>585</v>
      </c>
      <c r="P177" s="196" t="s">
        <v>585</v>
      </c>
      <c r="Q177" s="196" t="s">
        <v>585</v>
      </c>
      <c r="R177" s="196" t="s">
        <v>585</v>
      </c>
    </row>
    <row r="178" spans="2:18" ht="12.75" customHeight="1" x14ac:dyDescent="0.2">
      <c r="B178" s="23" t="s">
        <v>187</v>
      </c>
      <c r="C178" s="196">
        <v>120143</v>
      </c>
      <c r="D178" s="196">
        <v>161760</v>
      </c>
      <c r="E178" s="196">
        <v>165580</v>
      </c>
      <c r="F178" s="196">
        <v>184446</v>
      </c>
      <c r="G178" s="196">
        <v>250458</v>
      </c>
      <c r="H178" s="196">
        <v>262314</v>
      </c>
      <c r="I178" s="196">
        <v>299405</v>
      </c>
      <c r="J178" s="196">
        <v>375502</v>
      </c>
      <c r="K178" s="196">
        <v>406879</v>
      </c>
      <c r="L178" s="196">
        <v>412870</v>
      </c>
      <c r="M178" s="196">
        <v>326292</v>
      </c>
      <c r="N178" s="196">
        <v>282210</v>
      </c>
      <c r="O178" s="196">
        <v>156215</v>
      </c>
      <c r="P178" s="196">
        <v>116180</v>
      </c>
      <c r="Q178" s="196">
        <v>161789</v>
      </c>
      <c r="R178" s="196">
        <v>208330</v>
      </c>
    </row>
    <row r="179" spans="2:18" ht="12.75" customHeight="1" x14ac:dyDescent="0.2">
      <c r="B179" s="23" t="s">
        <v>188</v>
      </c>
      <c r="C179" s="196">
        <v>9</v>
      </c>
      <c r="D179" s="196">
        <v>5</v>
      </c>
      <c r="E179" s="196">
        <v>34</v>
      </c>
      <c r="F179" s="196">
        <v>71</v>
      </c>
      <c r="G179" s="196">
        <v>78</v>
      </c>
      <c r="H179" s="196">
        <v>227</v>
      </c>
      <c r="I179" s="196">
        <v>72</v>
      </c>
      <c r="J179" s="196">
        <v>140</v>
      </c>
      <c r="K179" s="196">
        <v>144</v>
      </c>
      <c r="L179" s="196">
        <v>172</v>
      </c>
      <c r="M179" s="196">
        <v>178</v>
      </c>
      <c r="N179" s="196">
        <v>134</v>
      </c>
      <c r="O179" s="196">
        <v>177</v>
      </c>
      <c r="P179" s="196">
        <v>153</v>
      </c>
      <c r="Q179" s="196">
        <v>227</v>
      </c>
      <c r="R179" s="196">
        <v>199</v>
      </c>
    </row>
    <row r="180" spans="2:18" ht="12.75" customHeight="1" x14ac:dyDescent="0.2">
      <c r="B180" s="23" t="s">
        <v>189</v>
      </c>
      <c r="C180" s="196">
        <v>20674</v>
      </c>
      <c r="D180" s="196">
        <v>24689</v>
      </c>
      <c r="E180" s="196">
        <v>28607</v>
      </c>
      <c r="F180" s="196">
        <v>43082</v>
      </c>
      <c r="G180" s="196">
        <v>69127</v>
      </c>
      <c r="H180" s="196">
        <v>73910</v>
      </c>
      <c r="I180" s="196">
        <v>68124</v>
      </c>
      <c r="J180" s="196">
        <v>85011</v>
      </c>
      <c r="K180" s="196">
        <v>105976</v>
      </c>
      <c r="L180" s="196">
        <v>129292</v>
      </c>
      <c r="M180" s="196">
        <v>143354</v>
      </c>
      <c r="N180" s="196">
        <v>143331</v>
      </c>
      <c r="O180" s="196">
        <v>134330</v>
      </c>
      <c r="P180" s="196">
        <v>195745</v>
      </c>
      <c r="Q180" s="196">
        <v>241235</v>
      </c>
      <c r="R180" s="196">
        <v>252138</v>
      </c>
    </row>
    <row r="181" spans="2:18" ht="12.75" customHeight="1" x14ac:dyDescent="0.2">
      <c r="B181" s="23" t="s">
        <v>190</v>
      </c>
      <c r="C181" s="196">
        <v>10290</v>
      </c>
      <c r="D181" s="196">
        <v>11755</v>
      </c>
      <c r="E181" s="196">
        <v>14700</v>
      </c>
      <c r="F181" s="196">
        <v>21307</v>
      </c>
      <c r="G181" s="196">
        <v>22473</v>
      </c>
      <c r="H181" s="196">
        <v>24004</v>
      </c>
      <c r="I181" s="196">
        <v>22540</v>
      </c>
      <c r="J181" s="196">
        <v>26735</v>
      </c>
      <c r="K181" s="196">
        <v>28394</v>
      </c>
      <c r="L181" s="196">
        <v>34170</v>
      </c>
      <c r="M181" s="196">
        <v>48420</v>
      </c>
      <c r="N181" s="196">
        <v>59700</v>
      </c>
      <c r="O181" s="196">
        <v>52023</v>
      </c>
      <c r="P181" s="196">
        <v>77464</v>
      </c>
      <c r="Q181" s="196">
        <v>113579</v>
      </c>
      <c r="R181" s="196">
        <v>130736</v>
      </c>
    </row>
    <row r="182" spans="2:18" ht="12.75" customHeight="1" x14ac:dyDescent="0.2">
      <c r="B182" s="23" t="s">
        <v>191</v>
      </c>
      <c r="C182" s="196" t="s">
        <v>585</v>
      </c>
      <c r="D182" s="196" t="s">
        <v>585</v>
      </c>
      <c r="E182" s="196">
        <v>6</v>
      </c>
      <c r="F182" s="196" t="s">
        <v>585</v>
      </c>
      <c r="G182" s="196">
        <v>14</v>
      </c>
      <c r="H182" s="196">
        <v>10</v>
      </c>
      <c r="I182" s="196">
        <v>1</v>
      </c>
      <c r="J182" s="196">
        <v>4</v>
      </c>
      <c r="K182" s="196">
        <v>8</v>
      </c>
      <c r="L182" s="196">
        <v>10</v>
      </c>
      <c r="M182" s="196">
        <v>3</v>
      </c>
      <c r="N182" s="196">
        <v>2</v>
      </c>
      <c r="O182" s="196">
        <v>10</v>
      </c>
      <c r="P182" s="196">
        <v>4</v>
      </c>
      <c r="Q182" s="196">
        <v>23</v>
      </c>
      <c r="R182" s="196">
        <v>1</v>
      </c>
    </row>
    <row r="183" spans="2:18" ht="12.75" customHeight="1" x14ac:dyDescent="0.2">
      <c r="B183" s="23" t="s">
        <v>192</v>
      </c>
      <c r="C183" s="196">
        <v>243</v>
      </c>
      <c r="D183" s="196">
        <v>481</v>
      </c>
      <c r="E183" s="196">
        <v>565</v>
      </c>
      <c r="F183" s="196">
        <v>671</v>
      </c>
      <c r="G183" s="196">
        <v>732</v>
      </c>
      <c r="H183" s="196">
        <v>1398</v>
      </c>
      <c r="I183" s="196">
        <v>776</v>
      </c>
      <c r="J183" s="196">
        <v>1347</v>
      </c>
      <c r="K183" s="196">
        <v>1529</v>
      </c>
      <c r="L183" s="196">
        <v>1670</v>
      </c>
      <c r="M183" s="196">
        <v>1764</v>
      </c>
      <c r="N183" s="196">
        <v>1997</v>
      </c>
      <c r="O183" s="196">
        <v>1461</v>
      </c>
      <c r="P183" s="196">
        <v>2004</v>
      </c>
      <c r="Q183" s="196">
        <v>3701</v>
      </c>
      <c r="R183" s="196">
        <v>4431</v>
      </c>
    </row>
    <row r="184" spans="2:18" ht="12.75" customHeight="1" x14ac:dyDescent="0.2">
      <c r="B184" s="23" t="s">
        <v>193</v>
      </c>
      <c r="C184" s="196">
        <v>6</v>
      </c>
      <c r="D184" s="196">
        <v>30</v>
      </c>
      <c r="E184" s="196">
        <v>8</v>
      </c>
      <c r="F184" s="196">
        <v>43</v>
      </c>
      <c r="G184" s="196">
        <v>21</v>
      </c>
      <c r="H184" s="196">
        <v>21</v>
      </c>
      <c r="I184" s="196">
        <v>33</v>
      </c>
      <c r="J184" s="196">
        <v>25</v>
      </c>
      <c r="K184" s="196">
        <v>29</v>
      </c>
      <c r="L184" s="196">
        <v>48</v>
      </c>
      <c r="M184" s="196">
        <v>141</v>
      </c>
      <c r="N184" s="196">
        <v>60</v>
      </c>
      <c r="O184" s="196">
        <v>24</v>
      </c>
      <c r="P184" s="196">
        <v>22</v>
      </c>
      <c r="Q184" s="196">
        <v>23</v>
      </c>
      <c r="R184" s="196">
        <v>24</v>
      </c>
    </row>
    <row r="185" spans="2:18" ht="12.75" customHeight="1" x14ac:dyDescent="0.2">
      <c r="B185" s="23" t="s">
        <v>194</v>
      </c>
      <c r="C185" s="196">
        <v>72</v>
      </c>
      <c r="D185" s="196">
        <v>123</v>
      </c>
      <c r="E185" s="196">
        <v>223</v>
      </c>
      <c r="F185" s="196">
        <v>155</v>
      </c>
      <c r="G185" s="196">
        <v>323</v>
      </c>
      <c r="H185" s="196">
        <v>385</v>
      </c>
      <c r="I185" s="196">
        <v>431</v>
      </c>
      <c r="J185" s="196">
        <v>586</v>
      </c>
      <c r="K185" s="196">
        <v>700</v>
      </c>
      <c r="L185" s="196">
        <v>937</v>
      </c>
      <c r="M185" s="196">
        <v>825</v>
      </c>
      <c r="N185" s="196">
        <v>1263</v>
      </c>
      <c r="O185" s="196">
        <v>974</v>
      </c>
      <c r="P185" s="196">
        <v>660</v>
      </c>
      <c r="Q185" s="196">
        <v>1025</v>
      </c>
      <c r="R185" s="196">
        <v>1328</v>
      </c>
    </row>
    <row r="186" spans="2:18" ht="12.75" customHeight="1" x14ac:dyDescent="0.2">
      <c r="B186" s="23" t="s">
        <v>195</v>
      </c>
      <c r="C186" s="196">
        <v>898</v>
      </c>
      <c r="D186" s="196">
        <v>1256</v>
      </c>
      <c r="E186" s="196">
        <v>1239</v>
      </c>
      <c r="F186" s="196">
        <v>1616</v>
      </c>
      <c r="G186" s="196">
        <v>1735</v>
      </c>
      <c r="H186" s="196">
        <v>1926</v>
      </c>
      <c r="I186" s="196">
        <v>2016</v>
      </c>
      <c r="J186" s="196">
        <v>2697</v>
      </c>
      <c r="K186" s="196">
        <v>2952</v>
      </c>
      <c r="L186" s="196">
        <v>4393</v>
      </c>
      <c r="M186" s="196">
        <v>5733</v>
      </c>
      <c r="N186" s="196">
        <v>7281</v>
      </c>
      <c r="O186" s="196">
        <v>4667</v>
      </c>
      <c r="P186" s="196">
        <v>5085</v>
      </c>
      <c r="Q186" s="196">
        <v>8674</v>
      </c>
      <c r="R186" s="196">
        <v>11430</v>
      </c>
    </row>
    <row r="187" spans="2:18" ht="12.75" customHeight="1" x14ac:dyDescent="0.2">
      <c r="B187" s="23" t="s">
        <v>196</v>
      </c>
      <c r="C187" s="196" t="s">
        <v>585</v>
      </c>
      <c r="D187" s="196" t="s">
        <v>585</v>
      </c>
      <c r="E187" s="196" t="s">
        <v>585</v>
      </c>
      <c r="F187" s="196" t="s">
        <v>585</v>
      </c>
      <c r="G187" s="196" t="s">
        <v>585</v>
      </c>
      <c r="H187" s="196" t="s">
        <v>585</v>
      </c>
      <c r="I187" s="196" t="s">
        <v>585</v>
      </c>
      <c r="J187" s="196" t="s">
        <v>585</v>
      </c>
      <c r="K187" s="196" t="s">
        <v>585</v>
      </c>
      <c r="L187" s="196" t="s">
        <v>585</v>
      </c>
      <c r="M187" s="196">
        <v>100</v>
      </c>
      <c r="N187" s="196" t="s">
        <v>585</v>
      </c>
      <c r="O187" s="196" t="s">
        <v>585</v>
      </c>
      <c r="P187" s="196">
        <v>2</v>
      </c>
      <c r="Q187" s="196" t="s">
        <v>585</v>
      </c>
      <c r="R187" s="196" t="s">
        <v>585</v>
      </c>
    </row>
    <row r="188" spans="2:18" ht="12.75" customHeight="1" x14ac:dyDescent="0.2">
      <c r="B188" s="23" t="s">
        <v>197</v>
      </c>
      <c r="C188" s="196">
        <v>138327</v>
      </c>
      <c r="D188" s="196">
        <v>181021</v>
      </c>
      <c r="E188" s="196">
        <v>190774</v>
      </c>
      <c r="F188" s="196">
        <v>276783</v>
      </c>
      <c r="G188" s="196">
        <v>397682</v>
      </c>
      <c r="H188" s="196">
        <v>419475</v>
      </c>
      <c r="I188" s="196">
        <v>428275</v>
      </c>
      <c r="J188" s="196">
        <v>486319</v>
      </c>
      <c r="K188" s="196">
        <v>428440</v>
      </c>
      <c r="L188" s="196">
        <v>423129</v>
      </c>
      <c r="M188" s="196">
        <v>510569</v>
      </c>
      <c r="N188" s="196">
        <v>500779</v>
      </c>
      <c r="O188" s="196">
        <v>205701</v>
      </c>
      <c r="P188" s="196">
        <v>296120</v>
      </c>
      <c r="Q188" s="196">
        <v>646365</v>
      </c>
      <c r="R188" s="196">
        <v>880839</v>
      </c>
    </row>
    <row r="189" spans="2:18" ht="12.75" customHeight="1" x14ac:dyDescent="0.2">
      <c r="B189" s="23" t="s">
        <v>198</v>
      </c>
      <c r="C189" s="196">
        <v>14909</v>
      </c>
      <c r="D189" s="196">
        <v>21013</v>
      </c>
      <c r="E189" s="196">
        <v>18148</v>
      </c>
      <c r="F189" s="196">
        <v>30512</v>
      </c>
      <c r="G189" s="196">
        <v>36977</v>
      </c>
      <c r="H189" s="196">
        <v>46900</v>
      </c>
      <c r="I189" s="196">
        <v>53373</v>
      </c>
      <c r="J189" s="196">
        <v>52319</v>
      </c>
      <c r="K189" s="196">
        <v>46606</v>
      </c>
      <c r="L189" s="196">
        <v>45928</v>
      </c>
      <c r="M189" s="196">
        <v>52851</v>
      </c>
      <c r="N189" s="196">
        <v>56312</v>
      </c>
      <c r="O189" s="196">
        <v>27015</v>
      </c>
      <c r="P189" s="196">
        <v>26727</v>
      </c>
      <c r="Q189" s="196">
        <v>39948</v>
      </c>
      <c r="R189" s="196">
        <v>54130</v>
      </c>
    </row>
    <row r="190" spans="2:18" ht="12.75" customHeight="1" x14ac:dyDescent="0.2">
      <c r="B190" s="23" t="s">
        <v>199</v>
      </c>
      <c r="C190" s="196">
        <v>27</v>
      </c>
      <c r="D190" s="196">
        <v>113</v>
      </c>
      <c r="E190" s="196">
        <v>4</v>
      </c>
      <c r="F190" s="196" t="s">
        <v>585</v>
      </c>
      <c r="G190" s="196">
        <v>1</v>
      </c>
      <c r="H190" s="196">
        <v>3</v>
      </c>
      <c r="I190" s="196">
        <v>16</v>
      </c>
      <c r="J190" s="196">
        <v>15</v>
      </c>
      <c r="K190" s="196" t="s">
        <v>585</v>
      </c>
      <c r="L190" s="196">
        <v>2</v>
      </c>
      <c r="M190" s="196" t="s">
        <v>585</v>
      </c>
      <c r="N190" s="196" t="s">
        <v>585</v>
      </c>
      <c r="O190" s="196" t="s">
        <v>585</v>
      </c>
      <c r="P190" s="196" t="s">
        <v>585</v>
      </c>
      <c r="Q190" s="196" t="s">
        <v>585</v>
      </c>
      <c r="R190" s="196" t="s">
        <v>585</v>
      </c>
    </row>
    <row r="191" spans="2:18" ht="12.75" customHeight="1" x14ac:dyDescent="0.2">
      <c r="B191" s="23" t="s">
        <v>200</v>
      </c>
      <c r="C191" s="196">
        <v>3</v>
      </c>
      <c r="D191" s="196" t="s">
        <v>585</v>
      </c>
      <c r="E191" s="196" t="s">
        <v>585</v>
      </c>
      <c r="F191" s="196" t="s">
        <v>585</v>
      </c>
      <c r="G191" s="196" t="s">
        <v>585</v>
      </c>
      <c r="H191" s="196" t="s">
        <v>585</v>
      </c>
      <c r="I191" s="196" t="s">
        <v>585</v>
      </c>
      <c r="J191" s="196" t="s">
        <v>585</v>
      </c>
      <c r="K191" s="196" t="s">
        <v>585</v>
      </c>
      <c r="L191" s="196" t="s">
        <v>585</v>
      </c>
      <c r="M191" s="196" t="s">
        <v>585</v>
      </c>
      <c r="N191" s="196" t="s">
        <v>585</v>
      </c>
      <c r="O191" s="196">
        <v>6</v>
      </c>
      <c r="P191" s="196" t="s">
        <v>585</v>
      </c>
      <c r="Q191" s="196" t="s">
        <v>585</v>
      </c>
      <c r="R191" s="196" t="s">
        <v>585</v>
      </c>
    </row>
    <row r="192" spans="2:18" ht="12.75" customHeight="1" x14ac:dyDescent="0.2">
      <c r="B192" s="23" t="s">
        <v>201</v>
      </c>
      <c r="C192" s="196">
        <v>169398</v>
      </c>
      <c r="D192" s="196">
        <v>202860</v>
      </c>
      <c r="E192" s="196">
        <v>245941</v>
      </c>
      <c r="F192" s="196">
        <v>390505</v>
      </c>
      <c r="G192" s="196">
        <v>447419</v>
      </c>
      <c r="H192" s="196">
        <v>366698</v>
      </c>
      <c r="I192" s="196">
        <v>355144</v>
      </c>
      <c r="J192" s="196">
        <v>390248</v>
      </c>
      <c r="K192" s="196">
        <v>385055</v>
      </c>
      <c r="L192" s="196">
        <v>395214</v>
      </c>
      <c r="M192" s="196">
        <v>426585</v>
      </c>
      <c r="N192" s="196">
        <v>441097</v>
      </c>
      <c r="O192" s="196">
        <v>357473</v>
      </c>
      <c r="P192" s="196">
        <v>423868</v>
      </c>
      <c r="Q192" s="196">
        <v>641484</v>
      </c>
      <c r="R192" s="196">
        <v>763320</v>
      </c>
    </row>
    <row r="193" spans="2:18" ht="12.75" customHeight="1" x14ac:dyDescent="0.2">
      <c r="B193" s="23" t="s">
        <v>202</v>
      </c>
      <c r="C193" s="196">
        <v>10</v>
      </c>
      <c r="D193" s="196">
        <v>149</v>
      </c>
      <c r="E193" s="196">
        <v>53</v>
      </c>
      <c r="F193" s="196">
        <v>198</v>
      </c>
      <c r="G193" s="196">
        <v>43</v>
      </c>
      <c r="H193" s="196">
        <v>173</v>
      </c>
      <c r="I193" s="196">
        <v>89</v>
      </c>
      <c r="J193" s="196">
        <v>188</v>
      </c>
      <c r="K193" s="196">
        <v>510</v>
      </c>
      <c r="L193" s="196">
        <v>486</v>
      </c>
      <c r="M193" s="196">
        <v>593</v>
      </c>
      <c r="N193" s="196">
        <v>667</v>
      </c>
      <c r="O193" s="196">
        <v>635</v>
      </c>
      <c r="P193" s="196">
        <v>749</v>
      </c>
      <c r="Q193" s="196">
        <v>697</v>
      </c>
      <c r="R193" s="196">
        <v>1116</v>
      </c>
    </row>
    <row r="194" spans="2:18" ht="12.75" customHeight="1" x14ac:dyDescent="0.2">
      <c r="B194" s="23" t="s">
        <v>203</v>
      </c>
      <c r="C194" s="196">
        <v>1605006</v>
      </c>
      <c r="D194" s="196">
        <v>1864682</v>
      </c>
      <c r="E194" s="196">
        <v>1853442</v>
      </c>
      <c r="F194" s="196">
        <v>2465336</v>
      </c>
      <c r="G194" s="196">
        <v>2879278</v>
      </c>
      <c r="H194" s="196">
        <v>2694733</v>
      </c>
      <c r="I194" s="196">
        <v>3107043</v>
      </c>
      <c r="J194" s="196">
        <v>3468214</v>
      </c>
      <c r="K194" s="196">
        <v>3599925</v>
      </c>
      <c r="L194" s="196">
        <v>4269306</v>
      </c>
      <c r="M194" s="196">
        <v>4479049</v>
      </c>
      <c r="N194" s="196">
        <v>3649003</v>
      </c>
      <c r="O194" s="196">
        <v>866256</v>
      </c>
      <c r="P194" s="196">
        <v>4715438</v>
      </c>
      <c r="Q194" s="196">
        <v>5964613</v>
      </c>
      <c r="R194" s="196">
        <v>7017657</v>
      </c>
    </row>
    <row r="195" spans="2:18" ht="12.75" customHeight="1" x14ac:dyDescent="0.2">
      <c r="B195" s="23" t="s">
        <v>204</v>
      </c>
      <c r="C195" s="196" t="s">
        <v>585</v>
      </c>
      <c r="D195" s="196" t="s">
        <v>585</v>
      </c>
      <c r="E195" s="196" t="s">
        <v>585</v>
      </c>
      <c r="F195" s="196" t="s">
        <v>585</v>
      </c>
      <c r="G195" s="196" t="s">
        <v>585</v>
      </c>
      <c r="H195" s="196" t="s">
        <v>585</v>
      </c>
      <c r="I195" s="196" t="s">
        <v>585</v>
      </c>
      <c r="J195" s="196" t="s">
        <v>585</v>
      </c>
      <c r="K195" s="196" t="s">
        <v>585</v>
      </c>
      <c r="L195" s="196" t="s">
        <v>585</v>
      </c>
      <c r="M195" s="196" t="s">
        <v>585</v>
      </c>
      <c r="N195" s="196" t="s">
        <v>585</v>
      </c>
      <c r="O195" s="196" t="s">
        <v>585</v>
      </c>
      <c r="P195" s="196">
        <v>2</v>
      </c>
      <c r="Q195" s="196" t="s">
        <v>585</v>
      </c>
      <c r="R195" s="196" t="s">
        <v>585</v>
      </c>
    </row>
    <row r="196" spans="2:18" ht="12.75" customHeight="1" x14ac:dyDescent="0.2">
      <c r="B196" s="23" t="s">
        <v>205</v>
      </c>
      <c r="C196" s="196" t="s">
        <v>585</v>
      </c>
      <c r="D196" s="196">
        <v>3</v>
      </c>
      <c r="E196" s="196" t="s">
        <v>585</v>
      </c>
      <c r="F196" s="196">
        <v>2</v>
      </c>
      <c r="G196" s="196">
        <v>15</v>
      </c>
      <c r="H196" s="196">
        <v>14</v>
      </c>
      <c r="I196" s="196">
        <v>44</v>
      </c>
      <c r="J196" s="196">
        <v>69</v>
      </c>
      <c r="K196" s="196">
        <v>244</v>
      </c>
      <c r="L196" s="196">
        <v>497</v>
      </c>
      <c r="M196" s="196">
        <v>470</v>
      </c>
      <c r="N196" s="196">
        <v>1335</v>
      </c>
      <c r="O196" s="196">
        <v>1949</v>
      </c>
      <c r="P196" s="196">
        <v>2429</v>
      </c>
      <c r="Q196" s="196">
        <v>3414</v>
      </c>
      <c r="R196" s="196">
        <v>4199</v>
      </c>
    </row>
    <row r="197" spans="2:18" ht="12.75" customHeight="1" x14ac:dyDescent="0.2">
      <c r="B197" s="23" t="s">
        <v>206</v>
      </c>
      <c r="C197" s="196">
        <v>16</v>
      </c>
      <c r="D197" s="196">
        <v>1464</v>
      </c>
      <c r="E197" s="196">
        <v>44</v>
      </c>
      <c r="F197" s="196">
        <v>34</v>
      </c>
      <c r="G197" s="196">
        <v>28</v>
      </c>
      <c r="H197" s="196">
        <v>48</v>
      </c>
      <c r="I197" s="196">
        <v>68</v>
      </c>
      <c r="J197" s="196">
        <v>49</v>
      </c>
      <c r="K197" s="196">
        <v>99</v>
      </c>
      <c r="L197" s="196">
        <v>91</v>
      </c>
      <c r="M197" s="196">
        <v>156</v>
      </c>
      <c r="N197" s="196">
        <v>179</v>
      </c>
      <c r="O197" s="196">
        <v>61</v>
      </c>
      <c r="P197" s="196">
        <v>71</v>
      </c>
      <c r="Q197" s="196">
        <v>127</v>
      </c>
      <c r="R197" s="196">
        <v>188</v>
      </c>
    </row>
    <row r="198" spans="2:18" ht="12.75" customHeight="1" x14ac:dyDescent="0.2">
      <c r="B198" s="23" t="s">
        <v>207</v>
      </c>
      <c r="C198" s="196" t="s">
        <v>585</v>
      </c>
      <c r="D198" s="196">
        <v>7</v>
      </c>
      <c r="E198" s="196">
        <v>2</v>
      </c>
      <c r="F198" s="196">
        <v>20</v>
      </c>
      <c r="G198" s="196" t="s">
        <v>585</v>
      </c>
      <c r="H198" s="196" t="s">
        <v>585</v>
      </c>
      <c r="I198" s="196" t="s">
        <v>585</v>
      </c>
      <c r="J198" s="196" t="s">
        <v>585</v>
      </c>
      <c r="K198" s="196" t="s">
        <v>585</v>
      </c>
      <c r="L198" s="196" t="s">
        <v>585</v>
      </c>
      <c r="M198" s="196" t="s">
        <v>585</v>
      </c>
      <c r="N198" s="196" t="s">
        <v>585</v>
      </c>
      <c r="O198" s="196" t="s">
        <v>585</v>
      </c>
      <c r="P198" s="196" t="s">
        <v>585</v>
      </c>
      <c r="Q198" s="196" t="s">
        <v>585</v>
      </c>
      <c r="R198" s="196" t="s">
        <v>585</v>
      </c>
    </row>
    <row r="199" spans="2:18" ht="12.75" customHeight="1" x14ac:dyDescent="0.2">
      <c r="B199" s="23" t="s">
        <v>208</v>
      </c>
      <c r="C199" s="196">
        <v>3</v>
      </c>
      <c r="D199" s="196">
        <v>12</v>
      </c>
      <c r="E199" s="196">
        <v>6</v>
      </c>
      <c r="F199" s="196">
        <v>24</v>
      </c>
      <c r="G199" s="196">
        <v>29</v>
      </c>
      <c r="H199" s="196">
        <v>53</v>
      </c>
      <c r="I199" s="196">
        <v>52</v>
      </c>
      <c r="J199" s="196">
        <v>111</v>
      </c>
      <c r="K199" s="196">
        <v>114</v>
      </c>
      <c r="L199" s="196">
        <v>97</v>
      </c>
      <c r="M199" s="196">
        <v>124</v>
      </c>
      <c r="N199" s="196">
        <v>112</v>
      </c>
      <c r="O199" s="196">
        <v>68</v>
      </c>
      <c r="P199" s="196">
        <v>34</v>
      </c>
      <c r="Q199" s="196">
        <v>93</v>
      </c>
      <c r="R199" s="196">
        <v>56</v>
      </c>
    </row>
    <row r="200" spans="2:18" ht="12.75" customHeight="1" x14ac:dyDescent="0.2">
      <c r="B200" s="23" t="s">
        <v>209</v>
      </c>
      <c r="C200" s="196" t="s">
        <v>585</v>
      </c>
      <c r="D200" s="196" t="s">
        <v>585</v>
      </c>
      <c r="E200" s="196" t="s">
        <v>585</v>
      </c>
      <c r="F200" s="196" t="s">
        <v>585</v>
      </c>
      <c r="G200" s="196" t="s">
        <v>585</v>
      </c>
      <c r="H200" s="196" t="s">
        <v>585</v>
      </c>
      <c r="I200" s="196" t="s">
        <v>585</v>
      </c>
      <c r="J200" s="196" t="s">
        <v>585</v>
      </c>
      <c r="K200" s="196" t="s">
        <v>585</v>
      </c>
      <c r="L200" s="196" t="s">
        <v>585</v>
      </c>
      <c r="M200" s="196" t="s">
        <v>585</v>
      </c>
      <c r="N200" s="196" t="s">
        <v>585</v>
      </c>
      <c r="O200" s="196">
        <v>40</v>
      </c>
      <c r="P200" s="196">
        <v>15</v>
      </c>
      <c r="Q200" s="196">
        <v>63</v>
      </c>
      <c r="R200" s="196">
        <v>106</v>
      </c>
    </row>
    <row r="201" spans="2:18" ht="12.75" customHeight="1" x14ac:dyDescent="0.2">
      <c r="B201" s="23" t="s">
        <v>210</v>
      </c>
      <c r="C201" s="196">
        <v>121</v>
      </c>
      <c r="D201" s="196">
        <v>1293</v>
      </c>
      <c r="E201" s="196">
        <v>321</v>
      </c>
      <c r="F201" s="196">
        <v>234</v>
      </c>
      <c r="G201" s="196">
        <v>240</v>
      </c>
      <c r="H201" s="196">
        <v>357</v>
      </c>
      <c r="I201" s="196">
        <v>306</v>
      </c>
      <c r="J201" s="196">
        <v>363</v>
      </c>
      <c r="K201" s="196">
        <v>353</v>
      </c>
      <c r="L201" s="196">
        <v>330</v>
      </c>
      <c r="M201" s="196">
        <v>293</v>
      </c>
      <c r="N201" s="196">
        <v>268</v>
      </c>
      <c r="O201" s="196">
        <v>150</v>
      </c>
      <c r="P201" s="196">
        <v>100</v>
      </c>
      <c r="Q201" s="196">
        <v>167</v>
      </c>
      <c r="R201" s="196">
        <v>190</v>
      </c>
    </row>
    <row r="202" spans="2:18" ht="12.75" customHeight="1" x14ac:dyDescent="0.2">
      <c r="B202" s="23" t="s">
        <v>211</v>
      </c>
      <c r="C202" s="196">
        <v>7</v>
      </c>
      <c r="D202" s="196">
        <v>7</v>
      </c>
      <c r="E202" s="196">
        <v>18</v>
      </c>
      <c r="F202" s="196">
        <v>7</v>
      </c>
      <c r="G202" s="196">
        <v>20</v>
      </c>
      <c r="H202" s="196">
        <v>14</v>
      </c>
      <c r="I202" s="196">
        <v>8</v>
      </c>
      <c r="J202" s="196">
        <v>19</v>
      </c>
      <c r="K202" s="196">
        <v>27</v>
      </c>
      <c r="L202" s="196">
        <v>1023</v>
      </c>
      <c r="M202" s="196">
        <v>855</v>
      </c>
      <c r="N202" s="196">
        <v>919</v>
      </c>
      <c r="O202" s="196">
        <v>162</v>
      </c>
      <c r="P202" s="196">
        <v>163</v>
      </c>
      <c r="Q202" s="196">
        <v>72</v>
      </c>
      <c r="R202" s="196">
        <v>16</v>
      </c>
    </row>
    <row r="203" spans="2:18" ht="12.75" customHeight="1" x14ac:dyDescent="0.2">
      <c r="B203" s="23" t="s">
        <v>212</v>
      </c>
      <c r="C203" s="196">
        <v>1807</v>
      </c>
      <c r="D203" s="196">
        <v>1384</v>
      </c>
      <c r="E203" s="196">
        <v>1751</v>
      </c>
      <c r="F203" s="196">
        <v>2434</v>
      </c>
      <c r="G203" s="196">
        <v>2971</v>
      </c>
      <c r="H203" s="196">
        <v>4077</v>
      </c>
      <c r="I203" s="196">
        <v>4755</v>
      </c>
      <c r="J203" s="196">
        <v>5579</v>
      </c>
      <c r="K203" s="196">
        <v>5650</v>
      </c>
      <c r="L203" s="196">
        <v>4811</v>
      </c>
      <c r="M203" s="196">
        <v>5133</v>
      </c>
      <c r="N203" s="196">
        <v>5483</v>
      </c>
      <c r="O203" s="196">
        <v>5705</v>
      </c>
      <c r="P203" s="196">
        <v>6170</v>
      </c>
      <c r="Q203" s="196">
        <v>7546</v>
      </c>
      <c r="R203" s="196">
        <v>10290</v>
      </c>
    </row>
    <row r="204" spans="2:18" ht="12.75" customHeight="1" x14ac:dyDescent="0.2">
      <c r="B204" s="23" t="s">
        <v>213</v>
      </c>
      <c r="C204" s="196">
        <v>38</v>
      </c>
      <c r="D204" s="196">
        <v>27</v>
      </c>
      <c r="E204" s="196">
        <v>19</v>
      </c>
      <c r="F204" s="196">
        <v>57</v>
      </c>
      <c r="G204" s="196">
        <v>37</v>
      </c>
      <c r="H204" s="196">
        <v>64</v>
      </c>
      <c r="I204" s="196">
        <v>51</v>
      </c>
      <c r="J204" s="196">
        <v>80</v>
      </c>
      <c r="K204" s="196">
        <v>120</v>
      </c>
      <c r="L204" s="196">
        <v>131</v>
      </c>
      <c r="M204" s="196">
        <v>206</v>
      </c>
      <c r="N204" s="196">
        <v>203</v>
      </c>
      <c r="O204" s="196">
        <v>141</v>
      </c>
      <c r="P204" s="196">
        <v>227</v>
      </c>
      <c r="Q204" s="196">
        <v>515</v>
      </c>
      <c r="R204" s="196">
        <v>550</v>
      </c>
    </row>
    <row r="205" spans="2:18" ht="12.75" customHeight="1" x14ac:dyDescent="0.2">
      <c r="B205" s="23" t="s">
        <v>214</v>
      </c>
      <c r="C205" s="196">
        <v>192769</v>
      </c>
      <c r="D205" s="196">
        <v>175387</v>
      </c>
      <c r="E205" s="196">
        <v>163765</v>
      </c>
      <c r="F205" s="196">
        <v>137100</v>
      </c>
      <c r="G205" s="196">
        <v>170399</v>
      </c>
      <c r="H205" s="196">
        <v>102202</v>
      </c>
      <c r="I205" s="196">
        <v>113465</v>
      </c>
      <c r="J205" s="196">
        <v>137934</v>
      </c>
      <c r="K205" s="196">
        <v>157568</v>
      </c>
      <c r="L205" s="196">
        <v>169988</v>
      </c>
      <c r="M205" s="196">
        <v>189396</v>
      </c>
      <c r="N205" s="196">
        <v>178997</v>
      </c>
      <c r="O205" s="196">
        <v>110594</v>
      </c>
      <c r="P205" s="196">
        <v>146852</v>
      </c>
      <c r="Q205" s="196">
        <v>225312</v>
      </c>
      <c r="R205" s="196">
        <v>282347</v>
      </c>
    </row>
    <row r="206" spans="2:18" ht="12.75" customHeight="1" x14ac:dyDescent="0.2">
      <c r="B206" s="23" t="s">
        <v>215</v>
      </c>
      <c r="C206" s="196">
        <v>69</v>
      </c>
      <c r="D206" s="196">
        <v>86</v>
      </c>
      <c r="E206" s="196">
        <v>71</v>
      </c>
      <c r="F206" s="196">
        <v>112</v>
      </c>
      <c r="G206" s="196">
        <v>155</v>
      </c>
      <c r="H206" s="196">
        <v>186</v>
      </c>
      <c r="I206" s="196">
        <v>317</v>
      </c>
      <c r="J206" s="196">
        <v>213</v>
      </c>
      <c r="K206" s="196">
        <v>253</v>
      </c>
      <c r="L206" s="196">
        <v>242</v>
      </c>
      <c r="M206" s="196">
        <v>318</v>
      </c>
      <c r="N206" s="196">
        <v>343</v>
      </c>
      <c r="O206" s="196">
        <v>335</v>
      </c>
      <c r="P206" s="196">
        <v>388</v>
      </c>
      <c r="Q206" s="196">
        <v>525</v>
      </c>
      <c r="R206" s="196">
        <v>658</v>
      </c>
    </row>
    <row r="207" spans="2:18" ht="12.75" customHeight="1" x14ac:dyDescent="0.2">
      <c r="B207" s="23" t="s">
        <v>216</v>
      </c>
      <c r="C207" s="196">
        <v>8432</v>
      </c>
      <c r="D207" s="196">
        <v>13066</v>
      </c>
      <c r="E207" s="196">
        <v>11577</v>
      </c>
      <c r="F207" s="196">
        <v>17155</v>
      </c>
      <c r="G207" s="196">
        <v>19121</v>
      </c>
      <c r="H207" s="196">
        <v>20451</v>
      </c>
      <c r="I207" s="196">
        <v>18994</v>
      </c>
      <c r="J207" s="196">
        <v>20957</v>
      </c>
      <c r="K207" s="196">
        <v>22206</v>
      </c>
      <c r="L207" s="196">
        <v>22403</v>
      </c>
      <c r="M207" s="196">
        <v>29449</v>
      </c>
      <c r="N207" s="196">
        <v>26892</v>
      </c>
      <c r="O207" s="196">
        <v>15962</v>
      </c>
      <c r="P207" s="196">
        <v>17561</v>
      </c>
      <c r="Q207" s="196">
        <v>28382</v>
      </c>
      <c r="R207" s="196">
        <v>34930</v>
      </c>
    </row>
    <row r="208" spans="2:18" ht="12.75" customHeight="1" x14ac:dyDescent="0.2">
      <c r="B208" s="23" t="s">
        <v>217</v>
      </c>
      <c r="C208" s="196">
        <v>31931</v>
      </c>
      <c r="D208" s="196">
        <v>35448</v>
      </c>
      <c r="E208" s="196">
        <v>36151</v>
      </c>
      <c r="F208" s="196">
        <v>54729</v>
      </c>
      <c r="G208" s="196">
        <v>69168</v>
      </c>
      <c r="H208" s="196">
        <v>80687</v>
      </c>
      <c r="I208" s="196">
        <v>91765</v>
      </c>
      <c r="J208" s="196">
        <v>122088</v>
      </c>
      <c r="K208" s="196">
        <v>126974</v>
      </c>
      <c r="L208" s="196">
        <v>127455</v>
      </c>
      <c r="M208" s="196">
        <v>136899</v>
      </c>
      <c r="N208" s="196">
        <v>151514</v>
      </c>
      <c r="O208" s="196">
        <v>61477</v>
      </c>
      <c r="P208" s="196">
        <v>97967</v>
      </c>
      <c r="Q208" s="196">
        <v>157003</v>
      </c>
      <c r="R208" s="196">
        <v>207108</v>
      </c>
    </row>
    <row r="209" spans="2:18" ht="12.75" customHeight="1" x14ac:dyDescent="0.2">
      <c r="B209" s="23" t="s">
        <v>218</v>
      </c>
      <c r="C209" s="196">
        <v>22898</v>
      </c>
      <c r="D209" s="196">
        <v>23737</v>
      </c>
      <c r="E209" s="196">
        <v>23139</v>
      </c>
      <c r="F209" s="196">
        <v>35412</v>
      </c>
      <c r="G209" s="196">
        <v>41301</v>
      </c>
      <c r="H209" s="196">
        <v>38134</v>
      </c>
      <c r="I209" s="196">
        <v>38597</v>
      </c>
      <c r="J209" s="196">
        <v>41870</v>
      </c>
      <c r="K209" s="196">
        <v>39899</v>
      </c>
      <c r="L209" s="196">
        <v>37692</v>
      </c>
      <c r="M209" s="196">
        <v>41799</v>
      </c>
      <c r="N209" s="196">
        <v>39734</v>
      </c>
      <c r="O209" s="196">
        <v>18863</v>
      </c>
      <c r="P209" s="196">
        <v>25105</v>
      </c>
      <c r="Q209" s="196">
        <v>40716</v>
      </c>
      <c r="R209" s="196">
        <v>50414</v>
      </c>
    </row>
    <row r="210" spans="2:18" ht="12.75" customHeight="1" x14ac:dyDescent="0.2">
      <c r="B210" s="23" t="s">
        <v>219</v>
      </c>
      <c r="C210" s="196">
        <v>8</v>
      </c>
      <c r="D210" s="196">
        <v>42</v>
      </c>
      <c r="E210" s="196">
        <v>5</v>
      </c>
      <c r="F210" s="196">
        <v>7</v>
      </c>
      <c r="G210" s="196">
        <v>94</v>
      </c>
      <c r="H210" s="196">
        <v>49</v>
      </c>
      <c r="I210" s="196" t="s">
        <v>585</v>
      </c>
      <c r="J210" s="196">
        <v>31</v>
      </c>
      <c r="K210" s="196">
        <v>5</v>
      </c>
      <c r="L210" s="196">
        <v>28</v>
      </c>
      <c r="M210" s="196">
        <v>28</v>
      </c>
      <c r="N210" s="196">
        <v>11</v>
      </c>
      <c r="O210" s="196">
        <v>21</v>
      </c>
      <c r="P210" s="196">
        <v>18</v>
      </c>
      <c r="Q210" s="196">
        <v>9</v>
      </c>
      <c r="R210" s="196">
        <v>9</v>
      </c>
    </row>
    <row r="211" spans="2:18" ht="12.75" customHeight="1" x14ac:dyDescent="0.2">
      <c r="B211" s="23" t="s">
        <v>220</v>
      </c>
      <c r="C211" s="196">
        <v>122</v>
      </c>
      <c r="D211" s="196">
        <v>86</v>
      </c>
      <c r="E211" s="196">
        <v>193</v>
      </c>
      <c r="F211" s="196">
        <v>291</v>
      </c>
      <c r="G211" s="196">
        <v>489</v>
      </c>
      <c r="H211" s="196">
        <v>957</v>
      </c>
      <c r="I211" s="196">
        <v>850</v>
      </c>
      <c r="J211" s="196">
        <v>1608</v>
      </c>
      <c r="K211" s="196">
        <v>3501</v>
      </c>
      <c r="L211" s="196">
        <v>3357</v>
      </c>
      <c r="M211" s="196">
        <v>3737</v>
      </c>
      <c r="N211" s="196">
        <v>4502</v>
      </c>
      <c r="O211" s="196">
        <v>3496</v>
      </c>
      <c r="P211" s="196">
        <v>5290</v>
      </c>
      <c r="Q211" s="196">
        <v>11425</v>
      </c>
      <c r="R211" s="196">
        <v>21623</v>
      </c>
    </row>
    <row r="212" spans="2:18" ht="12.75" customHeight="1" x14ac:dyDescent="0.2">
      <c r="B212" s="23" t="s">
        <v>628</v>
      </c>
      <c r="C212" s="196" t="s">
        <v>585</v>
      </c>
      <c r="D212" s="196" t="s">
        <v>585</v>
      </c>
      <c r="E212" s="196" t="s">
        <v>585</v>
      </c>
      <c r="F212" s="196" t="s">
        <v>585</v>
      </c>
      <c r="G212" s="196" t="s">
        <v>585</v>
      </c>
      <c r="H212" s="196" t="s">
        <v>585</v>
      </c>
      <c r="I212" s="196" t="s">
        <v>585</v>
      </c>
      <c r="J212" s="196" t="s">
        <v>585</v>
      </c>
      <c r="K212" s="196" t="s">
        <v>585</v>
      </c>
      <c r="L212" s="196" t="s">
        <v>585</v>
      </c>
      <c r="M212" s="196" t="s">
        <v>585</v>
      </c>
      <c r="N212" s="196" t="s">
        <v>585</v>
      </c>
      <c r="O212" s="196" t="s">
        <v>585</v>
      </c>
      <c r="P212" s="196" t="s">
        <v>585</v>
      </c>
      <c r="Q212" s="196" t="s">
        <v>585</v>
      </c>
      <c r="R212" s="196">
        <v>83</v>
      </c>
    </row>
    <row r="213" spans="2:18" ht="12.75" customHeight="1" x14ac:dyDescent="0.2">
      <c r="B213" s="23" t="s">
        <v>221</v>
      </c>
      <c r="C213" s="196">
        <v>600</v>
      </c>
      <c r="D213" s="196">
        <v>863</v>
      </c>
      <c r="E213" s="196">
        <v>920</v>
      </c>
      <c r="F213" s="196">
        <v>1199</v>
      </c>
      <c r="G213" s="196">
        <v>1518</v>
      </c>
      <c r="H213" s="196">
        <v>1691</v>
      </c>
      <c r="I213" s="196">
        <v>1408</v>
      </c>
      <c r="J213" s="196">
        <v>1769</v>
      </c>
      <c r="K213" s="196">
        <v>2431</v>
      </c>
      <c r="L213" s="196">
        <v>3268</v>
      </c>
      <c r="M213" s="196">
        <v>3141</v>
      </c>
      <c r="N213" s="196">
        <v>3519</v>
      </c>
      <c r="O213" s="196">
        <v>2405</v>
      </c>
      <c r="P213" s="196">
        <v>3219</v>
      </c>
      <c r="Q213" s="196">
        <v>5100</v>
      </c>
      <c r="R213" s="196">
        <v>7530</v>
      </c>
    </row>
    <row r="214" spans="2:18" ht="12.75" customHeight="1" x14ac:dyDescent="0.2">
      <c r="B214" s="23" t="s">
        <v>222</v>
      </c>
      <c r="C214" s="196">
        <v>2382</v>
      </c>
      <c r="D214" s="196">
        <v>2897</v>
      </c>
      <c r="E214" s="196">
        <v>4383</v>
      </c>
      <c r="F214" s="196">
        <v>5989</v>
      </c>
      <c r="G214" s="196">
        <v>8987</v>
      </c>
      <c r="H214" s="196">
        <v>10581</v>
      </c>
      <c r="I214" s="196">
        <v>6634</v>
      </c>
      <c r="J214" s="196">
        <v>7458</v>
      </c>
      <c r="K214" s="196">
        <v>8161</v>
      </c>
      <c r="L214" s="196">
        <v>9319</v>
      </c>
      <c r="M214" s="196">
        <v>10714</v>
      </c>
      <c r="N214" s="196">
        <v>11434</v>
      </c>
      <c r="O214" s="196">
        <v>10562</v>
      </c>
      <c r="P214" s="196">
        <v>12162</v>
      </c>
      <c r="Q214" s="196">
        <v>15661</v>
      </c>
      <c r="R214" s="196">
        <v>17863</v>
      </c>
    </row>
    <row r="215" spans="2:18" ht="12.75" customHeight="1" x14ac:dyDescent="0.2">
      <c r="B215" s="23" t="s">
        <v>223</v>
      </c>
      <c r="C215" s="196">
        <v>36</v>
      </c>
      <c r="D215" s="196">
        <v>15</v>
      </c>
      <c r="E215" s="196">
        <v>121</v>
      </c>
      <c r="F215" s="196" t="s">
        <v>585</v>
      </c>
      <c r="G215" s="196">
        <v>201</v>
      </c>
      <c r="H215" s="196">
        <v>238</v>
      </c>
      <c r="I215" s="196">
        <v>264</v>
      </c>
      <c r="J215" s="196">
        <v>180</v>
      </c>
      <c r="K215" s="196">
        <v>196</v>
      </c>
      <c r="L215" s="196">
        <v>271</v>
      </c>
      <c r="M215" s="196">
        <v>367</v>
      </c>
      <c r="N215" s="196">
        <v>405</v>
      </c>
      <c r="O215" s="196">
        <v>192</v>
      </c>
      <c r="P215" s="196">
        <v>225</v>
      </c>
      <c r="Q215" s="196">
        <v>786</v>
      </c>
      <c r="R215" s="196">
        <v>616</v>
      </c>
    </row>
    <row r="216" spans="2:18" ht="12.75" customHeight="1" x14ac:dyDescent="0.2">
      <c r="B216" s="23" t="s">
        <v>224</v>
      </c>
      <c r="C216" s="196">
        <v>193961</v>
      </c>
      <c r="D216" s="196">
        <v>288625</v>
      </c>
      <c r="E216" s="196">
        <v>277779</v>
      </c>
      <c r="F216" s="196">
        <v>332840</v>
      </c>
      <c r="G216" s="196">
        <v>406935</v>
      </c>
      <c r="H216" s="196">
        <v>509679</v>
      </c>
      <c r="I216" s="196">
        <v>899494</v>
      </c>
      <c r="J216" s="196">
        <v>974054</v>
      </c>
      <c r="K216" s="196">
        <v>730039</v>
      </c>
      <c r="L216" s="196">
        <v>1252826</v>
      </c>
      <c r="M216" s="196">
        <v>1176490</v>
      </c>
      <c r="N216" s="196">
        <v>847275</v>
      </c>
      <c r="O216" s="196">
        <v>291754</v>
      </c>
      <c r="P216" s="196">
        <v>404203</v>
      </c>
      <c r="Q216" s="196">
        <v>477439</v>
      </c>
      <c r="R216" s="196">
        <v>571976</v>
      </c>
    </row>
    <row r="217" spans="2:18" ht="12.75" customHeight="1" x14ac:dyDescent="0.2">
      <c r="B217" s="23" t="s">
        <v>225</v>
      </c>
      <c r="C217" s="196">
        <v>25197</v>
      </c>
      <c r="D217" s="196">
        <v>36328</v>
      </c>
      <c r="E217" s="196">
        <v>38890</v>
      </c>
      <c r="F217" s="196">
        <v>41490</v>
      </c>
      <c r="G217" s="196">
        <v>55636</v>
      </c>
      <c r="H217" s="196">
        <v>66938</v>
      </c>
      <c r="I217" s="196">
        <v>84934</v>
      </c>
      <c r="J217" s="196">
        <v>116711</v>
      </c>
      <c r="K217" s="196">
        <v>175467</v>
      </c>
      <c r="L217" s="196">
        <v>234220</v>
      </c>
      <c r="M217" s="196">
        <v>341786</v>
      </c>
      <c r="N217" s="196">
        <v>450674</v>
      </c>
      <c r="O217" s="196">
        <v>530410</v>
      </c>
      <c r="P217" s="196">
        <v>651170</v>
      </c>
      <c r="Q217" s="196">
        <v>747233</v>
      </c>
      <c r="R217" s="196">
        <v>564816</v>
      </c>
    </row>
    <row r="218" spans="2:18" ht="12.75" customHeight="1" x14ac:dyDescent="0.2">
      <c r="B218" s="23" t="s">
        <v>226</v>
      </c>
      <c r="C218" s="196" t="s">
        <v>585</v>
      </c>
      <c r="D218" s="196" t="s">
        <v>585</v>
      </c>
      <c r="E218" s="196" t="s">
        <v>585</v>
      </c>
      <c r="F218" s="196" t="s">
        <v>585</v>
      </c>
      <c r="G218" s="196" t="s">
        <v>585</v>
      </c>
      <c r="H218" s="196" t="s">
        <v>585</v>
      </c>
      <c r="I218" s="196" t="s">
        <v>585</v>
      </c>
      <c r="J218" s="196" t="s">
        <v>585</v>
      </c>
      <c r="K218" s="196" t="s">
        <v>585</v>
      </c>
      <c r="L218" s="196" t="s">
        <v>585</v>
      </c>
      <c r="M218" s="196" t="s">
        <v>585</v>
      </c>
      <c r="N218" s="196" t="s">
        <v>585</v>
      </c>
      <c r="O218" s="196" t="s">
        <v>585</v>
      </c>
      <c r="P218" s="196" t="s">
        <v>585</v>
      </c>
      <c r="Q218" s="196" t="s">
        <v>585</v>
      </c>
      <c r="R218" s="196" t="s">
        <v>585</v>
      </c>
    </row>
    <row r="219" spans="2:18" ht="12.75" customHeight="1" x14ac:dyDescent="0.2">
      <c r="B219" s="23" t="s">
        <v>227</v>
      </c>
      <c r="C219" s="196">
        <v>8</v>
      </c>
      <c r="D219" s="196">
        <v>15</v>
      </c>
      <c r="E219" s="196">
        <v>33</v>
      </c>
      <c r="F219" s="196">
        <v>13</v>
      </c>
      <c r="G219" s="196">
        <v>31</v>
      </c>
      <c r="H219" s="196">
        <v>213</v>
      </c>
      <c r="I219" s="196">
        <v>36</v>
      </c>
      <c r="J219" s="196">
        <v>43</v>
      </c>
      <c r="K219" s="196">
        <v>68</v>
      </c>
      <c r="L219" s="196">
        <v>103</v>
      </c>
      <c r="M219" s="196">
        <v>86</v>
      </c>
      <c r="N219" s="196">
        <v>240</v>
      </c>
      <c r="O219" s="196">
        <v>88</v>
      </c>
      <c r="P219" s="196">
        <v>120</v>
      </c>
      <c r="Q219" s="196">
        <v>125</v>
      </c>
      <c r="R219" s="196">
        <v>134</v>
      </c>
    </row>
    <row r="220" spans="2:18" ht="12.75" customHeight="1" x14ac:dyDescent="0.2">
      <c r="B220" s="23" t="s">
        <v>228</v>
      </c>
      <c r="C220" s="196">
        <v>3759</v>
      </c>
      <c r="D220" s="196">
        <v>5415</v>
      </c>
      <c r="E220" s="196">
        <v>5644</v>
      </c>
      <c r="F220" s="196">
        <v>7112</v>
      </c>
      <c r="G220" s="196">
        <v>8580</v>
      </c>
      <c r="H220" s="196">
        <v>7612</v>
      </c>
      <c r="I220" s="196">
        <v>8183</v>
      </c>
      <c r="J220" s="196">
        <v>11964</v>
      </c>
      <c r="K220" s="196">
        <v>12765</v>
      </c>
      <c r="L220" s="196">
        <v>15905</v>
      </c>
      <c r="M220" s="196">
        <v>17451</v>
      </c>
      <c r="N220" s="196">
        <v>24307</v>
      </c>
      <c r="O220" s="196">
        <v>10421</v>
      </c>
      <c r="P220" s="196">
        <v>8645</v>
      </c>
      <c r="Q220" s="196">
        <v>14609</v>
      </c>
      <c r="R220" s="196">
        <v>18509</v>
      </c>
    </row>
    <row r="221" spans="2:18" ht="12.75" customHeight="1" x14ac:dyDescent="0.2">
      <c r="B221" s="23" t="s">
        <v>229</v>
      </c>
      <c r="C221" s="196">
        <v>4922</v>
      </c>
      <c r="D221" s="196">
        <v>6814</v>
      </c>
      <c r="E221" s="196">
        <v>11950</v>
      </c>
      <c r="F221" s="196">
        <v>36415</v>
      </c>
      <c r="G221" s="196">
        <v>36262</v>
      </c>
      <c r="H221" s="196">
        <v>19816</v>
      </c>
      <c r="I221" s="196">
        <v>17737</v>
      </c>
      <c r="J221" s="196">
        <v>16822</v>
      </c>
      <c r="K221" s="196">
        <v>22823</v>
      </c>
      <c r="L221" s="196">
        <v>27174</v>
      </c>
      <c r="M221" s="196">
        <v>34678</v>
      </c>
      <c r="N221" s="196">
        <v>31917</v>
      </c>
      <c r="O221" s="196">
        <v>24768</v>
      </c>
      <c r="P221" s="196">
        <v>30532</v>
      </c>
      <c r="Q221" s="196">
        <v>40879</v>
      </c>
      <c r="R221" s="196">
        <v>44155</v>
      </c>
    </row>
    <row r="222" spans="2:18" ht="12.75" customHeight="1" x14ac:dyDescent="0.2">
      <c r="B222" s="23" t="s">
        <v>230</v>
      </c>
      <c r="C222" s="196" t="s">
        <v>585</v>
      </c>
      <c r="D222" s="196" t="s">
        <v>585</v>
      </c>
      <c r="E222" s="196" t="s">
        <v>585</v>
      </c>
      <c r="F222" s="196" t="s">
        <v>585</v>
      </c>
      <c r="G222" s="196" t="s">
        <v>585</v>
      </c>
      <c r="H222" s="196" t="s">
        <v>585</v>
      </c>
      <c r="I222" s="196" t="s">
        <v>585</v>
      </c>
      <c r="J222" s="196" t="s">
        <v>585</v>
      </c>
      <c r="K222" s="196" t="s">
        <v>585</v>
      </c>
      <c r="L222" s="196" t="s">
        <v>585</v>
      </c>
      <c r="M222" s="196" t="s">
        <v>585</v>
      </c>
      <c r="N222" s="196" t="s">
        <v>585</v>
      </c>
      <c r="O222" s="196" t="s">
        <v>585</v>
      </c>
      <c r="P222" s="196" t="s">
        <v>585</v>
      </c>
      <c r="Q222" s="196" t="s">
        <v>585</v>
      </c>
      <c r="R222" s="196" t="s">
        <v>585</v>
      </c>
    </row>
    <row r="223" spans="2:18" ht="12.75" customHeight="1" x14ac:dyDescent="0.2">
      <c r="B223" s="23" t="s">
        <v>231</v>
      </c>
      <c r="C223" s="196">
        <v>347</v>
      </c>
      <c r="D223" s="196">
        <v>337</v>
      </c>
      <c r="E223" s="196">
        <v>572</v>
      </c>
      <c r="F223" s="196">
        <v>651</v>
      </c>
      <c r="G223" s="196">
        <v>781</v>
      </c>
      <c r="H223" s="196">
        <v>1028</v>
      </c>
      <c r="I223" s="196">
        <v>1791</v>
      </c>
      <c r="J223" s="196">
        <v>2247</v>
      </c>
      <c r="K223" s="196">
        <v>2476</v>
      </c>
      <c r="L223" s="196">
        <v>3048</v>
      </c>
      <c r="M223" s="196">
        <v>3439</v>
      </c>
      <c r="N223" s="196">
        <v>3309</v>
      </c>
      <c r="O223" s="196">
        <v>2312</v>
      </c>
      <c r="P223" s="196">
        <v>2549</v>
      </c>
      <c r="Q223" s="196">
        <v>3166</v>
      </c>
      <c r="R223" s="196">
        <v>3704</v>
      </c>
    </row>
    <row r="224" spans="2:18" ht="12.75" customHeight="1" x14ac:dyDescent="0.2">
      <c r="B224" s="23" t="s">
        <v>232</v>
      </c>
      <c r="C224" s="196">
        <v>3725</v>
      </c>
      <c r="D224" s="196">
        <v>5908</v>
      </c>
      <c r="E224" s="196">
        <v>7176</v>
      </c>
      <c r="F224" s="196">
        <v>10999</v>
      </c>
      <c r="G224" s="196">
        <v>10141</v>
      </c>
      <c r="H224" s="196">
        <v>9992</v>
      </c>
      <c r="I224" s="196">
        <v>9282</v>
      </c>
      <c r="J224" s="196">
        <v>11067</v>
      </c>
      <c r="K224" s="196">
        <v>12211</v>
      </c>
      <c r="L224" s="196">
        <v>20783</v>
      </c>
      <c r="M224" s="196">
        <v>26219</v>
      </c>
      <c r="N224" s="196">
        <v>22125</v>
      </c>
      <c r="O224" s="196">
        <v>12483</v>
      </c>
      <c r="P224" s="196">
        <v>30721</v>
      </c>
      <c r="Q224" s="196">
        <v>54098</v>
      </c>
      <c r="R224" s="196">
        <v>62192</v>
      </c>
    </row>
    <row r="225" spans="2:18" ht="12.75" customHeight="1" x14ac:dyDescent="0.2">
      <c r="B225" s="23" t="s">
        <v>233</v>
      </c>
      <c r="C225" s="196">
        <v>8091</v>
      </c>
      <c r="D225" s="196">
        <v>11668</v>
      </c>
      <c r="E225" s="196">
        <v>9996</v>
      </c>
      <c r="F225" s="196">
        <v>15199</v>
      </c>
      <c r="G225" s="196">
        <v>15320</v>
      </c>
      <c r="H225" s="196">
        <v>14694</v>
      </c>
      <c r="I225" s="196">
        <v>17820</v>
      </c>
      <c r="J225" s="196">
        <v>19636</v>
      </c>
      <c r="K225" s="196">
        <v>21569</v>
      </c>
      <c r="L225" s="196">
        <v>31019</v>
      </c>
      <c r="M225" s="196">
        <v>38509</v>
      </c>
      <c r="N225" s="196">
        <v>40029</v>
      </c>
      <c r="O225" s="196">
        <v>46035</v>
      </c>
      <c r="P225" s="196">
        <v>61318</v>
      </c>
      <c r="Q225" s="196">
        <v>98097</v>
      </c>
      <c r="R225" s="196">
        <v>107592</v>
      </c>
    </row>
    <row r="226" spans="2:18" ht="12.75" customHeight="1" x14ac:dyDescent="0.2">
      <c r="B226" s="23" t="s">
        <v>234</v>
      </c>
      <c r="C226" s="196">
        <v>66</v>
      </c>
      <c r="D226" s="196">
        <v>110</v>
      </c>
      <c r="E226" s="196">
        <v>110</v>
      </c>
      <c r="F226" s="196">
        <v>109</v>
      </c>
      <c r="G226" s="196">
        <v>177</v>
      </c>
      <c r="H226" s="196">
        <v>149</v>
      </c>
      <c r="I226" s="196">
        <v>135</v>
      </c>
      <c r="J226" s="196">
        <v>258</v>
      </c>
      <c r="K226" s="196">
        <v>314</v>
      </c>
      <c r="L226" s="196">
        <v>463</v>
      </c>
      <c r="M226" s="196">
        <v>420</v>
      </c>
      <c r="N226" s="196">
        <v>460</v>
      </c>
      <c r="O226" s="196">
        <v>401</v>
      </c>
      <c r="P226" s="196">
        <v>482</v>
      </c>
      <c r="Q226" s="196">
        <v>969</v>
      </c>
      <c r="R226" s="196">
        <v>854</v>
      </c>
    </row>
    <row r="227" spans="2:18" ht="12.75" customHeight="1" x14ac:dyDescent="0.2">
      <c r="B227" s="23" t="s">
        <v>235</v>
      </c>
      <c r="C227" s="196">
        <v>7</v>
      </c>
      <c r="D227" s="196" t="s">
        <v>585</v>
      </c>
      <c r="E227" s="196">
        <v>1</v>
      </c>
      <c r="F227" s="196" t="s">
        <v>585</v>
      </c>
      <c r="G227" s="196" t="s">
        <v>585</v>
      </c>
      <c r="H227" s="196" t="s">
        <v>585</v>
      </c>
      <c r="I227" s="196" t="s">
        <v>585</v>
      </c>
      <c r="J227" s="196" t="s">
        <v>585</v>
      </c>
      <c r="K227" s="196" t="s">
        <v>585</v>
      </c>
      <c r="L227" s="196" t="s">
        <v>585</v>
      </c>
      <c r="M227" s="196" t="s">
        <v>585</v>
      </c>
      <c r="N227" s="196" t="s">
        <v>585</v>
      </c>
      <c r="O227" s="196" t="s">
        <v>585</v>
      </c>
      <c r="P227" s="196" t="s">
        <v>585</v>
      </c>
      <c r="Q227" s="196" t="s">
        <v>585</v>
      </c>
      <c r="R227" s="196" t="s">
        <v>585</v>
      </c>
    </row>
    <row r="228" spans="2:18" ht="12.75" customHeight="1" x14ac:dyDescent="0.2">
      <c r="B228" s="23" t="s">
        <v>236</v>
      </c>
      <c r="C228" s="196">
        <v>4</v>
      </c>
      <c r="D228" s="196">
        <v>12</v>
      </c>
      <c r="E228" s="196">
        <v>5</v>
      </c>
      <c r="F228" s="196" t="s">
        <v>585</v>
      </c>
      <c r="G228" s="196">
        <v>18</v>
      </c>
      <c r="H228" s="196">
        <v>20</v>
      </c>
      <c r="I228" s="196">
        <v>21</v>
      </c>
      <c r="J228" s="196">
        <v>19</v>
      </c>
      <c r="K228" s="196">
        <v>14</v>
      </c>
      <c r="L228" s="196">
        <v>14</v>
      </c>
      <c r="M228" s="196">
        <v>58</v>
      </c>
      <c r="N228" s="196">
        <v>25</v>
      </c>
      <c r="O228" s="196">
        <v>19</v>
      </c>
      <c r="P228" s="196">
        <v>14</v>
      </c>
      <c r="Q228" s="196">
        <v>10</v>
      </c>
      <c r="R228" s="196">
        <v>12</v>
      </c>
    </row>
    <row r="229" spans="2:18" ht="12.75" customHeight="1" x14ac:dyDescent="0.2">
      <c r="B229" s="23" t="s">
        <v>237</v>
      </c>
      <c r="C229" s="196">
        <v>322</v>
      </c>
      <c r="D229" s="196">
        <v>432</v>
      </c>
      <c r="E229" s="196">
        <v>444</v>
      </c>
      <c r="F229" s="196">
        <v>674</v>
      </c>
      <c r="G229" s="196">
        <v>692</v>
      </c>
      <c r="H229" s="196">
        <v>808</v>
      </c>
      <c r="I229" s="196">
        <v>697</v>
      </c>
      <c r="J229" s="196">
        <v>871</v>
      </c>
      <c r="K229" s="196">
        <v>1041</v>
      </c>
      <c r="L229" s="196">
        <v>941</v>
      </c>
      <c r="M229" s="196">
        <v>1368</v>
      </c>
      <c r="N229" s="196">
        <v>1035</v>
      </c>
      <c r="O229" s="196">
        <v>617</v>
      </c>
      <c r="P229" s="196">
        <v>482</v>
      </c>
      <c r="Q229" s="196">
        <v>626</v>
      </c>
      <c r="R229" s="196">
        <v>890</v>
      </c>
    </row>
    <row r="230" spans="2:18" ht="12.75" customHeight="1" x14ac:dyDescent="0.2">
      <c r="B230" s="23" t="s">
        <v>238</v>
      </c>
      <c r="C230" s="196">
        <v>52470</v>
      </c>
      <c r="D230" s="196">
        <v>61093</v>
      </c>
      <c r="E230" s="196">
        <v>47984</v>
      </c>
      <c r="F230" s="196">
        <v>41890</v>
      </c>
      <c r="G230" s="196">
        <v>42840</v>
      </c>
      <c r="H230" s="196">
        <v>56707</v>
      </c>
      <c r="I230" s="196">
        <v>57855</v>
      </c>
      <c r="J230" s="196">
        <v>63176</v>
      </c>
      <c r="K230" s="196">
        <v>86595</v>
      </c>
      <c r="L230" s="196">
        <v>91683</v>
      </c>
      <c r="M230" s="196">
        <v>100612</v>
      </c>
      <c r="N230" s="196">
        <v>102341</v>
      </c>
      <c r="O230" s="196">
        <v>100185</v>
      </c>
      <c r="P230" s="196">
        <v>111627</v>
      </c>
      <c r="Q230" s="196">
        <v>142372</v>
      </c>
      <c r="R230" s="196">
        <v>172587</v>
      </c>
    </row>
    <row r="231" spans="2:18" ht="12.75" customHeight="1" x14ac:dyDescent="0.2">
      <c r="B231" s="23" t="s">
        <v>239</v>
      </c>
      <c r="C231" s="196" t="s">
        <v>585</v>
      </c>
      <c r="D231" s="196" t="s">
        <v>585</v>
      </c>
      <c r="E231" s="196" t="s">
        <v>585</v>
      </c>
      <c r="F231" s="196" t="s">
        <v>585</v>
      </c>
      <c r="G231" s="196" t="s">
        <v>585</v>
      </c>
      <c r="H231" s="196" t="s">
        <v>585</v>
      </c>
      <c r="I231" s="196" t="s">
        <v>585</v>
      </c>
      <c r="J231" s="196" t="s">
        <v>585</v>
      </c>
      <c r="K231" s="196" t="s">
        <v>585</v>
      </c>
      <c r="L231" s="196" t="s">
        <v>585</v>
      </c>
      <c r="M231" s="196" t="s">
        <v>585</v>
      </c>
      <c r="N231" s="196" t="s">
        <v>585</v>
      </c>
      <c r="O231" s="196" t="s">
        <v>585</v>
      </c>
      <c r="P231" s="196" t="s">
        <v>585</v>
      </c>
      <c r="Q231" s="196" t="s">
        <v>585</v>
      </c>
      <c r="R231" s="196" t="s">
        <v>585</v>
      </c>
    </row>
    <row r="232" spans="2:18" ht="12.75" customHeight="1" x14ac:dyDescent="0.2">
      <c r="B232" s="23" t="s">
        <v>240</v>
      </c>
      <c r="C232" s="196">
        <v>1</v>
      </c>
      <c r="D232" s="196">
        <v>8</v>
      </c>
      <c r="E232" s="196">
        <v>9</v>
      </c>
      <c r="F232" s="196">
        <v>9</v>
      </c>
      <c r="G232" s="196">
        <v>13</v>
      </c>
      <c r="H232" s="196">
        <v>7</v>
      </c>
      <c r="I232" s="196">
        <v>13</v>
      </c>
      <c r="J232" s="196">
        <v>29</v>
      </c>
      <c r="K232" s="196">
        <v>1683</v>
      </c>
      <c r="L232" s="196">
        <v>49</v>
      </c>
      <c r="M232" s="196">
        <v>101</v>
      </c>
      <c r="N232" s="196">
        <v>97</v>
      </c>
      <c r="O232" s="196">
        <v>157</v>
      </c>
      <c r="P232" s="196">
        <v>132</v>
      </c>
      <c r="Q232" s="196">
        <v>184</v>
      </c>
      <c r="R232" s="196">
        <v>51</v>
      </c>
    </row>
    <row r="233" spans="2:18" ht="12.75" customHeight="1" x14ac:dyDescent="0.2">
      <c r="B233" s="23" t="s">
        <v>241</v>
      </c>
      <c r="C233" s="196">
        <v>26620</v>
      </c>
      <c r="D233" s="196">
        <v>34282</v>
      </c>
      <c r="E233" s="196">
        <v>48857</v>
      </c>
      <c r="F233" s="196">
        <v>76334</v>
      </c>
      <c r="G233" s="196">
        <v>88915</v>
      </c>
      <c r="H233" s="196">
        <v>112358</v>
      </c>
      <c r="I233" s="196">
        <v>114390</v>
      </c>
      <c r="J233" s="196">
        <v>137476</v>
      </c>
      <c r="K233" s="196">
        <v>135168</v>
      </c>
      <c r="L233" s="196">
        <v>148709</v>
      </c>
      <c r="M233" s="196">
        <v>180395</v>
      </c>
      <c r="N233" s="196">
        <v>174330</v>
      </c>
      <c r="O233" s="196">
        <v>165762</v>
      </c>
      <c r="P233" s="196">
        <v>230881</v>
      </c>
      <c r="Q233" s="196">
        <v>252911</v>
      </c>
      <c r="R233" s="196">
        <v>297706</v>
      </c>
    </row>
    <row r="234" spans="2:18" ht="12.75" customHeight="1" x14ac:dyDescent="0.2">
      <c r="B234" s="23" t="s">
        <v>242</v>
      </c>
      <c r="C234" s="196">
        <v>180</v>
      </c>
      <c r="D234" s="196">
        <v>241</v>
      </c>
      <c r="E234" s="196">
        <v>373</v>
      </c>
      <c r="F234" s="196">
        <v>2251</v>
      </c>
      <c r="G234" s="196">
        <v>385</v>
      </c>
      <c r="H234" s="196">
        <v>599</v>
      </c>
      <c r="I234" s="196">
        <v>785</v>
      </c>
      <c r="J234" s="196">
        <v>1445</v>
      </c>
      <c r="K234" s="196">
        <v>1895</v>
      </c>
      <c r="L234" s="196">
        <v>2914</v>
      </c>
      <c r="M234" s="196">
        <v>3419</v>
      </c>
      <c r="N234" s="196">
        <v>2980</v>
      </c>
      <c r="O234" s="196">
        <v>3044</v>
      </c>
      <c r="P234" s="196">
        <v>3252</v>
      </c>
      <c r="Q234" s="196">
        <v>3751</v>
      </c>
      <c r="R234" s="196">
        <v>5664</v>
      </c>
    </row>
    <row r="235" spans="2:18" ht="12.75" customHeight="1" x14ac:dyDescent="0.2">
      <c r="B235" s="23" t="s">
        <v>243</v>
      </c>
      <c r="C235" s="196">
        <v>293459</v>
      </c>
      <c r="D235" s="196">
        <v>380397</v>
      </c>
      <c r="E235" s="196">
        <v>487917</v>
      </c>
      <c r="F235" s="196">
        <v>593302</v>
      </c>
      <c r="G235" s="196">
        <v>730689</v>
      </c>
      <c r="H235" s="196">
        <v>574700</v>
      </c>
      <c r="I235" s="196">
        <v>568227</v>
      </c>
      <c r="J235" s="196">
        <v>602404</v>
      </c>
      <c r="K235" s="196">
        <v>634663</v>
      </c>
      <c r="L235" s="196">
        <v>756187</v>
      </c>
      <c r="M235" s="196">
        <v>657051</v>
      </c>
      <c r="N235" s="196">
        <v>706551</v>
      </c>
      <c r="O235" s="196">
        <v>1045043</v>
      </c>
      <c r="P235" s="196">
        <v>1284735</v>
      </c>
      <c r="Q235" s="196">
        <v>1386934</v>
      </c>
      <c r="R235" s="196">
        <v>1547996</v>
      </c>
    </row>
    <row r="236" spans="2:18" ht="12.75" customHeight="1" x14ac:dyDescent="0.2">
      <c r="B236" s="23" t="s">
        <v>244</v>
      </c>
      <c r="C236" s="196">
        <v>944</v>
      </c>
      <c r="D236" s="196">
        <v>763</v>
      </c>
      <c r="E236" s="196">
        <v>233</v>
      </c>
      <c r="F236" s="196">
        <v>399</v>
      </c>
      <c r="G236" s="196">
        <v>5904</v>
      </c>
      <c r="H236" s="196">
        <v>5203</v>
      </c>
      <c r="I236" s="196">
        <v>5408</v>
      </c>
      <c r="J236" s="196">
        <v>5998</v>
      </c>
      <c r="K236" s="196">
        <v>7959</v>
      </c>
      <c r="L236" s="196">
        <v>8956</v>
      </c>
      <c r="M236" s="196">
        <v>14283</v>
      </c>
      <c r="N236" s="196">
        <v>18787</v>
      </c>
      <c r="O236" s="196">
        <v>13891</v>
      </c>
      <c r="P236" s="196">
        <v>25234</v>
      </c>
      <c r="Q236" s="196">
        <v>53230</v>
      </c>
      <c r="R236" s="196">
        <v>88378</v>
      </c>
    </row>
    <row r="237" spans="2:18" ht="12.75" customHeight="1" x14ac:dyDescent="0.2">
      <c r="B237" s="23" t="s">
        <v>245</v>
      </c>
      <c r="C237" s="196">
        <v>1110</v>
      </c>
      <c r="D237" s="196">
        <v>1396</v>
      </c>
      <c r="E237" s="196">
        <v>1819</v>
      </c>
      <c r="F237" s="196">
        <v>2070</v>
      </c>
      <c r="G237" s="196">
        <v>2481</v>
      </c>
      <c r="H237" s="196">
        <v>4246</v>
      </c>
      <c r="I237" s="196">
        <v>2903</v>
      </c>
      <c r="J237" s="196">
        <v>3735</v>
      </c>
      <c r="K237" s="196">
        <v>3592</v>
      </c>
      <c r="L237" s="196">
        <v>4834</v>
      </c>
      <c r="M237" s="196">
        <v>5218</v>
      </c>
      <c r="N237" s="196">
        <v>6334</v>
      </c>
      <c r="O237" s="196">
        <v>2577</v>
      </c>
      <c r="P237" s="196">
        <v>2536</v>
      </c>
      <c r="Q237" s="196">
        <v>4625</v>
      </c>
      <c r="R237" s="196">
        <v>7191</v>
      </c>
    </row>
    <row r="238" spans="2:18" ht="12.75" customHeight="1" x14ac:dyDescent="0.2">
      <c r="B238" s="23" t="s">
        <v>246</v>
      </c>
      <c r="C238" s="196">
        <v>39985</v>
      </c>
      <c r="D238" s="196">
        <v>43700</v>
      </c>
      <c r="E238" s="196">
        <v>46518</v>
      </c>
      <c r="F238" s="196">
        <v>61002</v>
      </c>
      <c r="G238" s="196">
        <v>74340</v>
      </c>
      <c r="H238" s="196">
        <v>87694</v>
      </c>
      <c r="I238" s="196">
        <v>96562</v>
      </c>
      <c r="J238" s="196">
        <v>94914</v>
      </c>
      <c r="K238" s="196">
        <v>102154</v>
      </c>
      <c r="L238" s="196">
        <v>102871</v>
      </c>
      <c r="M238" s="196">
        <v>131329</v>
      </c>
      <c r="N238" s="196">
        <v>162866</v>
      </c>
      <c r="O238" s="196">
        <v>203179</v>
      </c>
      <c r="P238" s="196">
        <v>277729</v>
      </c>
      <c r="Q238" s="196">
        <v>406469</v>
      </c>
      <c r="R238" s="196">
        <v>474874</v>
      </c>
    </row>
    <row r="239" spans="2:18" ht="12.75" customHeight="1" x14ac:dyDescent="0.2">
      <c r="B239" s="23" t="s">
        <v>247</v>
      </c>
      <c r="C239" s="196">
        <v>5</v>
      </c>
      <c r="D239" s="196">
        <v>21</v>
      </c>
      <c r="E239" s="196">
        <v>2</v>
      </c>
      <c r="F239" s="196">
        <v>37</v>
      </c>
      <c r="G239" s="196">
        <v>12</v>
      </c>
      <c r="H239" s="196">
        <v>6</v>
      </c>
      <c r="I239" s="196">
        <v>676</v>
      </c>
      <c r="J239" s="196">
        <v>11</v>
      </c>
      <c r="K239" s="196">
        <v>4</v>
      </c>
      <c r="L239" s="196">
        <v>35</v>
      </c>
      <c r="M239" s="196">
        <v>13</v>
      </c>
      <c r="N239" s="196">
        <v>7</v>
      </c>
      <c r="O239" s="196">
        <v>23</v>
      </c>
      <c r="P239" s="196">
        <v>41</v>
      </c>
      <c r="Q239" s="196">
        <v>56</v>
      </c>
      <c r="R239" s="196">
        <v>76</v>
      </c>
    </row>
    <row r="240" spans="2:18" ht="12.75" customHeight="1" x14ac:dyDescent="0.2">
      <c r="B240" s="23" t="s">
        <v>248</v>
      </c>
      <c r="C240" s="196">
        <v>41</v>
      </c>
      <c r="D240" s="196">
        <v>36</v>
      </c>
      <c r="E240" s="196">
        <v>99</v>
      </c>
      <c r="F240" s="196">
        <v>49</v>
      </c>
      <c r="G240" s="196">
        <v>36</v>
      </c>
      <c r="H240" s="196">
        <v>38</v>
      </c>
      <c r="I240" s="196">
        <v>25</v>
      </c>
      <c r="J240" s="196">
        <v>16</v>
      </c>
      <c r="K240" s="196">
        <v>26</v>
      </c>
      <c r="L240" s="196">
        <v>26</v>
      </c>
      <c r="M240" s="196">
        <v>51</v>
      </c>
      <c r="N240" s="196">
        <v>19</v>
      </c>
      <c r="O240" s="196">
        <v>40</v>
      </c>
      <c r="P240" s="196">
        <v>16</v>
      </c>
      <c r="Q240" s="196">
        <v>28</v>
      </c>
      <c r="R240" s="196">
        <v>33</v>
      </c>
    </row>
    <row r="241" spans="2:18" ht="12.75" customHeight="1" x14ac:dyDescent="0.2">
      <c r="B241" s="23" t="s">
        <v>249</v>
      </c>
      <c r="C241" s="196">
        <v>1680</v>
      </c>
      <c r="D241" s="196">
        <v>3202</v>
      </c>
      <c r="E241" s="196">
        <v>4545</v>
      </c>
      <c r="F241" s="196">
        <v>6604</v>
      </c>
      <c r="G241" s="196">
        <v>9604</v>
      </c>
      <c r="H241" s="196">
        <v>9284</v>
      </c>
      <c r="I241" s="196">
        <v>6769</v>
      </c>
      <c r="J241" s="196">
        <v>8557</v>
      </c>
      <c r="K241" s="196">
        <v>9600</v>
      </c>
      <c r="L241" s="196">
        <v>11271</v>
      </c>
      <c r="M241" s="196">
        <v>6975</v>
      </c>
      <c r="N241" s="196">
        <v>6435</v>
      </c>
      <c r="O241" s="196">
        <v>5035</v>
      </c>
      <c r="P241" s="196">
        <v>6956</v>
      </c>
      <c r="Q241" s="196">
        <v>9246</v>
      </c>
      <c r="R241" s="196">
        <v>11738</v>
      </c>
    </row>
    <row r="242" spans="2:18" ht="12.75" customHeight="1" x14ac:dyDescent="0.2">
      <c r="B242" s="23" t="s">
        <v>250</v>
      </c>
      <c r="C242" s="196">
        <v>4657</v>
      </c>
      <c r="D242" s="196">
        <v>4297</v>
      </c>
      <c r="E242" s="196">
        <v>4387</v>
      </c>
      <c r="F242" s="196">
        <v>4504</v>
      </c>
      <c r="G242" s="196">
        <v>4742</v>
      </c>
      <c r="H242" s="196">
        <v>4750</v>
      </c>
      <c r="I242" s="196">
        <v>3428</v>
      </c>
      <c r="J242" s="196">
        <v>5266</v>
      </c>
      <c r="K242" s="196">
        <v>3674</v>
      </c>
      <c r="L242" s="196">
        <v>4618</v>
      </c>
      <c r="M242" s="196">
        <v>5679</v>
      </c>
      <c r="N242" s="196">
        <v>6399</v>
      </c>
      <c r="O242" s="196">
        <v>3293</v>
      </c>
      <c r="P242" s="196">
        <v>4947</v>
      </c>
      <c r="Q242" s="196">
        <v>9622</v>
      </c>
      <c r="R242" s="196">
        <v>13194</v>
      </c>
    </row>
    <row r="243" spans="2:18" ht="12.75" customHeight="1" x14ac:dyDescent="0.2">
      <c r="B243" s="23" t="s">
        <v>251</v>
      </c>
      <c r="C243" s="196" t="s">
        <v>585</v>
      </c>
      <c r="D243" s="196" t="s">
        <v>585</v>
      </c>
      <c r="E243" s="196" t="s">
        <v>585</v>
      </c>
      <c r="F243" s="196" t="s">
        <v>585</v>
      </c>
      <c r="G243" s="196" t="s">
        <v>585</v>
      </c>
      <c r="H243" s="196" t="s">
        <v>585</v>
      </c>
      <c r="I243" s="196" t="s">
        <v>585</v>
      </c>
      <c r="J243" s="196" t="s">
        <v>585</v>
      </c>
      <c r="K243" s="196" t="s">
        <v>585</v>
      </c>
      <c r="L243" s="196" t="s">
        <v>585</v>
      </c>
      <c r="M243" s="196" t="s">
        <v>585</v>
      </c>
      <c r="N243" s="196" t="s">
        <v>585</v>
      </c>
      <c r="O243" s="196">
        <v>38</v>
      </c>
      <c r="P243" s="196">
        <v>38</v>
      </c>
      <c r="Q243" s="196" t="s">
        <v>585</v>
      </c>
      <c r="R243" s="196" t="s">
        <v>585</v>
      </c>
    </row>
    <row r="244" spans="2:18" ht="12.75" customHeight="1" x14ac:dyDescent="0.2">
      <c r="B244" s="23" t="s">
        <v>252</v>
      </c>
      <c r="C244" s="196" t="s">
        <v>585</v>
      </c>
      <c r="D244" s="196" t="s">
        <v>585</v>
      </c>
      <c r="E244" s="196" t="s">
        <v>585</v>
      </c>
      <c r="F244" s="196" t="s">
        <v>585</v>
      </c>
      <c r="G244" s="196" t="s">
        <v>585</v>
      </c>
      <c r="H244" s="196" t="s">
        <v>585</v>
      </c>
      <c r="I244" s="196" t="s">
        <v>585</v>
      </c>
      <c r="J244" s="196" t="s">
        <v>585</v>
      </c>
      <c r="K244" s="196" t="s">
        <v>585</v>
      </c>
      <c r="L244" s="196" t="s">
        <v>585</v>
      </c>
      <c r="M244" s="196" t="s">
        <v>585</v>
      </c>
      <c r="N244" s="196" t="s">
        <v>585</v>
      </c>
      <c r="O244" s="196" t="s">
        <v>585</v>
      </c>
      <c r="P244" s="196">
        <v>3</v>
      </c>
      <c r="Q244" s="196" t="s">
        <v>585</v>
      </c>
      <c r="R244" s="196" t="s">
        <v>585</v>
      </c>
    </row>
    <row r="245" spans="2:18" ht="12.75" customHeight="1" x14ac:dyDescent="0.2">
      <c r="B245" s="23" t="s">
        <v>253</v>
      </c>
      <c r="C245" s="196">
        <v>2221</v>
      </c>
      <c r="D245" s="196">
        <v>2529</v>
      </c>
      <c r="E245" s="196">
        <v>2931</v>
      </c>
      <c r="F245" s="196">
        <v>4027</v>
      </c>
      <c r="G245" s="196">
        <v>4971</v>
      </c>
      <c r="H245" s="196">
        <v>6181</v>
      </c>
      <c r="I245" s="196">
        <v>6344</v>
      </c>
      <c r="J245" s="196">
        <v>8066</v>
      </c>
      <c r="K245" s="196">
        <v>11826</v>
      </c>
      <c r="L245" s="196">
        <v>17354</v>
      </c>
      <c r="M245" s="196">
        <v>26033</v>
      </c>
      <c r="N245" s="196">
        <v>24237</v>
      </c>
      <c r="O245" s="196">
        <v>25325</v>
      </c>
      <c r="P245" s="196">
        <v>28491</v>
      </c>
      <c r="Q245" s="196">
        <v>39545</v>
      </c>
      <c r="R245" s="196">
        <v>41673</v>
      </c>
    </row>
    <row r="246" spans="2:18" ht="12.75" customHeight="1" x14ac:dyDescent="0.2">
      <c r="B246" s="23" t="s">
        <v>254</v>
      </c>
      <c r="C246" s="196" t="s">
        <v>585</v>
      </c>
      <c r="D246" s="196" t="s">
        <v>585</v>
      </c>
      <c r="E246" s="196" t="s">
        <v>585</v>
      </c>
      <c r="F246" s="196" t="s">
        <v>585</v>
      </c>
      <c r="G246" s="196" t="s">
        <v>585</v>
      </c>
      <c r="H246" s="196" t="s">
        <v>585</v>
      </c>
      <c r="I246" s="196">
        <v>14</v>
      </c>
      <c r="J246" s="196" t="s">
        <v>585</v>
      </c>
      <c r="K246" s="196" t="s">
        <v>585</v>
      </c>
      <c r="L246" s="196" t="s">
        <v>585</v>
      </c>
      <c r="M246" s="196" t="s">
        <v>585</v>
      </c>
      <c r="N246" s="196">
        <v>14</v>
      </c>
      <c r="O246" s="196" t="s">
        <v>585</v>
      </c>
      <c r="P246" s="196" t="s">
        <v>585</v>
      </c>
      <c r="Q246" s="196" t="s">
        <v>585</v>
      </c>
      <c r="R246" s="196" t="s">
        <v>585</v>
      </c>
    </row>
    <row r="247" spans="2:18" ht="12.75" customHeight="1" x14ac:dyDescent="0.2">
      <c r="B247" s="23" t="s">
        <v>255</v>
      </c>
      <c r="C247" s="196">
        <v>12552</v>
      </c>
      <c r="D247" s="196">
        <v>17616</v>
      </c>
      <c r="E247" s="196">
        <v>17868</v>
      </c>
      <c r="F247" s="196">
        <v>21058</v>
      </c>
      <c r="G247" s="196">
        <v>23466</v>
      </c>
      <c r="H247" s="196">
        <v>23898</v>
      </c>
      <c r="I247" s="196">
        <v>24636</v>
      </c>
      <c r="J247" s="196">
        <v>26709</v>
      </c>
      <c r="K247" s="196">
        <v>28278</v>
      </c>
      <c r="L247" s="196">
        <v>30667</v>
      </c>
      <c r="M247" s="196">
        <v>32933</v>
      </c>
      <c r="N247" s="196">
        <v>36915</v>
      </c>
      <c r="O247" s="196">
        <v>15287</v>
      </c>
      <c r="P247" s="196">
        <v>11362</v>
      </c>
      <c r="Q247" s="196">
        <v>16174</v>
      </c>
      <c r="R247" s="196">
        <v>20912</v>
      </c>
    </row>
    <row r="248" spans="2:18" x14ac:dyDescent="0.2">
      <c r="B248" s="23" t="s">
        <v>256</v>
      </c>
      <c r="C248" s="196">
        <v>54</v>
      </c>
      <c r="D248" s="196">
        <v>167</v>
      </c>
      <c r="E248" s="196">
        <v>408</v>
      </c>
      <c r="F248" s="196">
        <v>56</v>
      </c>
      <c r="G248" s="196">
        <v>79</v>
      </c>
      <c r="H248" s="196">
        <v>116</v>
      </c>
      <c r="I248" s="196">
        <v>77</v>
      </c>
      <c r="J248" s="196">
        <v>84</v>
      </c>
      <c r="K248" s="196">
        <v>128</v>
      </c>
      <c r="L248" s="196">
        <v>88</v>
      </c>
      <c r="M248" s="196">
        <v>145</v>
      </c>
      <c r="N248" s="196">
        <v>131</v>
      </c>
      <c r="O248" s="196">
        <v>77</v>
      </c>
      <c r="P248" s="196">
        <v>71</v>
      </c>
      <c r="Q248" s="196">
        <v>143</v>
      </c>
      <c r="R248" s="196">
        <v>223</v>
      </c>
    </row>
    <row r="249" spans="2:18" x14ac:dyDescent="0.2">
      <c r="B249" s="240" t="s">
        <v>257</v>
      </c>
      <c r="C249" s="420">
        <v>485417</v>
      </c>
      <c r="D249" s="420">
        <v>584840</v>
      </c>
      <c r="E249" s="420">
        <v>413162</v>
      </c>
      <c r="F249" s="420">
        <v>447950</v>
      </c>
      <c r="G249" s="420">
        <v>572212</v>
      </c>
      <c r="H249" s="420">
        <v>616489</v>
      </c>
      <c r="I249" s="420">
        <v>670297</v>
      </c>
      <c r="J249" s="420">
        <v>702017</v>
      </c>
      <c r="K249" s="420">
        <v>669823</v>
      </c>
      <c r="L249" s="420">
        <v>703168</v>
      </c>
      <c r="M249" s="420">
        <v>830841</v>
      </c>
      <c r="N249" s="420">
        <v>755414</v>
      </c>
      <c r="O249" s="420">
        <v>593150</v>
      </c>
      <c r="P249" s="420">
        <v>623705</v>
      </c>
      <c r="Q249" s="420">
        <v>686891</v>
      </c>
      <c r="R249" s="420">
        <v>836882</v>
      </c>
    </row>
    <row r="250" spans="2:18" x14ac:dyDescent="0.2">
      <c r="B250" s="240" t="s">
        <v>258</v>
      </c>
      <c r="C250" s="420">
        <v>129</v>
      </c>
      <c r="D250" s="420">
        <v>146</v>
      </c>
      <c r="E250" s="420">
        <v>223</v>
      </c>
      <c r="F250" s="420">
        <v>218</v>
      </c>
      <c r="G250" s="420">
        <v>280</v>
      </c>
      <c r="H250" s="420">
        <v>7193</v>
      </c>
      <c r="I250" s="420">
        <v>269</v>
      </c>
      <c r="J250" s="420">
        <v>339</v>
      </c>
      <c r="K250" s="420">
        <v>457</v>
      </c>
      <c r="L250" s="420">
        <v>683</v>
      </c>
      <c r="M250" s="420">
        <v>787</v>
      </c>
      <c r="N250" s="420">
        <v>883</v>
      </c>
      <c r="O250" s="420">
        <v>809</v>
      </c>
      <c r="P250" s="420">
        <v>819</v>
      </c>
      <c r="Q250" s="420">
        <v>1021</v>
      </c>
      <c r="R250" s="420">
        <v>1444</v>
      </c>
    </row>
    <row r="251" spans="2:18" x14ac:dyDescent="0.2">
      <c r="B251" s="240" t="s">
        <v>259</v>
      </c>
      <c r="C251" s="420">
        <v>141</v>
      </c>
      <c r="D251" s="420">
        <v>162</v>
      </c>
      <c r="E251" s="420">
        <v>265</v>
      </c>
      <c r="F251" s="420">
        <v>251</v>
      </c>
      <c r="G251" s="420">
        <v>286</v>
      </c>
      <c r="H251" s="420">
        <v>251</v>
      </c>
      <c r="I251" s="420">
        <v>274</v>
      </c>
      <c r="J251" s="420">
        <v>379</v>
      </c>
      <c r="K251" s="420">
        <v>515</v>
      </c>
      <c r="L251" s="420">
        <v>753</v>
      </c>
      <c r="M251" s="420">
        <v>1174</v>
      </c>
      <c r="N251" s="420">
        <v>1678</v>
      </c>
      <c r="O251" s="420">
        <v>1699</v>
      </c>
      <c r="P251" s="420">
        <v>1842</v>
      </c>
      <c r="Q251" s="420">
        <v>2349</v>
      </c>
      <c r="R251" s="420">
        <v>2716</v>
      </c>
    </row>
  </sheetData>
  <mergeCells count="1">
    <mergeCell ref="B1:Q1"/>
  </mergeCells>
  <printOptions horizontalCentered="1"/>
  <pageMargins left="0.19685039370078741" right="0.19685039370078741" top="0.19685039370078741" bottom="0.15748031496062992" header="0.15748031496062992" footer="0.15748031496062992"/>
  <pageSetup paperSize="9" scale="7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31</vt:i4>
      </vt:variant>
      <vt:variant>
        <vt:lpstr>Adlandırılmış Aralıklar</vt:lpstr>
      </vt:variant>
      <vt:variant>
        <vt:i4>36</vt:i4>
      </vt:variant>
    </vt:vector>
  </HeadingPairs>
  <TitlesOfParts>
    <vt:vector size="67" baseType="lpstr">
      <vt:lpstr>Kapak</vt:lpstr>
      <vt:lpstr>Kişiler</vt:lpstr>
      <vt:lpstr>Açıklamalar-Yöntem</vt:lpstr>
      <vt:lpstr>Önsöz</vt:lpstr>
      <vt:lpstr>Kavramlar-Tanımlar</vt:lpstr>
      <vt:lpstr>İçindekiler</vt:lpstr>
      <vt:lpstr>A-Yıl-Aya Göre G. Ziyaretçi</vt:lpstr>
      <vt:lpstr>B-Yıl-Ay Göre Günübirlikçi</vt:lpstr>
      <vt:lpstr>C-Mil Göre G.Yabancı</vt:lpstr>
      <vt:lpstr>G1-G.Y.Ziyaretçi</vt:lpstr>
      <vt:lpstr>G2-Ç.Y.Ziyaretçi</vt:lpstr>
      <vt:lpstr>G3-Aya Göre G.Ziyaretçi</vt:lpstr>
      <vt:lpstr>G4-Aya Göre Günübirlikçi</vt:lpstr>
      <vt:lpstr>G5-Milliyete Göre G.Yabancı</vt:lpstr>
      <vt:lpstr>T1-Yıl-Aya Göre G. Yabancı</vt:lpstr>
      <vt:lpstr>T2-Mil-TaşıtA. Göre G.Yabancı</vt:lpstr>
      <vt:lpstr>T3-Ay-TaşıtA. Göre G.Yabancı</vt:lpstr>
      <vt:lpstr>T4-İl-TaşıtA. Göre G.Yabancı</vt:lpstr>
      <vt:lpstr>T5-SınırK.-Ay Göre G.Yabancı</vt:lpstr>
      <vt:lpstr>T6-Mil-Yıl Göre G.Yabancı</vt:lpstr>
      <vt:lpstr>T7-Mil-Ay Göre G.Yabancı</vt:lpstr>
      <vt:lpstr>T8-Mil-SınırK Göre G.Yabancı</vt:lpstr>
      <vt:lpstr>T9-Ay-Yıl Göre Y.Günübirlikçi</vt:lpstr>
      <vt:lpstr>T10-SınırK. Ay Göre Y.Günübirl.</vt:lpstr>
      <vt:lpstr>T11-GirişK-Ay Göre Y.Günübirl.</vt:lpstr>
      <vt:lpstr>T12-SınırK.-Yıl Göre Y.Günübir.</vt:lpstr>
      <vt:lpstr>T13-Yıl-Ay Göre Ç.Ziyaretçi</vt:lpstr>
      <vt:lpstr>T14-Mil-TaşıtA. Göre Ç.Yabancı</vt:lpstr>
      <vt:lpstr>T15-Ay-TaşıtA. Göre Ç Yabancı</vt:lpstr>
      <vt:lpstr>T16-SınırK.-TaşıtA Göre Ç.Yab.</vt:lpstr>
      <vt:lpstr>T17-SınırK.-Ay Göre Ç.Yabancı</vt:lpstr>
      <vt:lpstr>'Açıklamalar-Yöntem'!Yazdırma_Alanı</vt:lpstr>
      <vt:lpstr>'A-Yıl-Aya Göre G. Ziyaretçi'!Yazdırma_Alanı</vt:lpstr>
      <vt:lpstr>'B-Yıl-Ay Göre Günübirlikçi'!Yazdırma_Alanı</vt:lpstr>
      <vt:lpstr>'C-Mil Göre G.Yabancı'!Yazdırma_Alanı</vt:lpstr>
      <vt:lpstr>'G1-G.Y.Ziyaretçi'!Yazdırma_Alanı</vt:lpstr>
      <vt:lpstr>'G2-Ç.Y.Ziyaretçi'!Yazdırma_Alanı</vt:lpstr>
      <vt:lpstr>'G3-Aya Göre G.Ziyaretçi'!Yazdırma_Alanı</vt:lpstr>
      <vt:lpstr>'G4-Aya Göre Günübirlikçi'!Yazdırma_Alanı</vt:lpstr>
      <vt:lpstr>'G5-Milliyete Göre G.Yabancı'!Yazdırma_Alanı</vt:lpstr>
      <vt:lpstr>İçindekiler!Yazdırma_Alanı</vt:lpstr>
      <vt:lpstr>Kapak!Yazdırma_Alanı</vt:lpstr>
      <vt:lpstr>'Kavramlar-Tanımlar'!Yazdırma_Alanı</vt:lpstr>
      <vt:lpstr>Kişiler!Yazdırma_Alanı</vt:lpstr>
      <vt:lpstr>Önsöz!Yazdırma_Alanı</vt:lpstr>
      <vt:lpstr>'T10-SınırK. Ay Göre Y.Günübirl.'!Yazdırma_Alanı</vt:lpstr>
      <vt:lpstr>'T11-GirişK-Ay Göre Y.Günübirl.'!Yazdırma_Alanı</vt:lpstr>
      <vt:lpstr>'T12-SınırK.-Yıl Göre Y.Günübir.'!Yazdırma_Alanı</vt:lpstr>
      <vt:lpstr>'T13-Yıl-Ay Göre Ç.Ziyaretçi'!Yazdırma_Alanı</vt:lpstr>
      <vt:lpstr>'T14-Mil-TaşıtA. Göre Ç.Yabancı'!Yazdırma_Alanı</vt:lpstr>
      <vt:lpstr>'T15-Ay-TaşıtA. Göre Ç Yabancı'!Yazdırma_Alanı</vt:lpstr>
      <vt:lpstr>'T16-SınırK.-TaşıtA Göre Ç.Yab.'!Yazdırma_Alanı</vt:lpstr>
      <vt:lpstr>'T17-SınırK.-Ay Göre Ç.Yabancı'!Yazdırma_Alanı</vt:lpstr>
      <vt:lpstr>'T1-Yıl-Aya Göre G. Yabancı'!Yazdırma_Alanı</vt:lpstr>
      <vt:lpstr>'T2-Mil-TaşıtA. Göre G.Yabancı'!Yazdırma_Alanı</vt:lpstr>
      <vt:lpstr>'T3-Ay-TaşıtA. Göre G.Yabancı'!Yazdırma_Alanı</vt:lpstr>
      <vt:lpstr>'T4-İl-TaşıtA. Göre G.Yabancı'!Yazdırma_Alanı</vt:lpstr>
      <vt:lpstr>'T5-SınırK.-Ay Göre G.Yabancı'!Yazdırma_Alanı</vt:lpstr>
      <vt:lpstr>'T6-Mil-Yıl Göre G.Yabancı'!Yazdırma_Alanı</vt:lpstr>
      <vt:lpstr>'T7-Mil-Ay Göre G.Yabancı'!Yazdırma_Alanı</vt:lpstr>
      <vt:lpstr>'T8-Mil-SınırK Göre G.Yabancı'!Yazdırma_Alanı</vt:lpstr>
      <vt:lpstr>'T9-Ay-Yıl Göre Y.Günübirlikçi'!Yazdırma_Alanı</vt:lpstr>
      <vt:lpstr>'C-Mil Göre G.Yabancı'!Yazdırma_Başlıkları</vt:lpstr>
      <vt:lpstr>'T11-GirişK-Ay Göre Y.Günübirl.'!Yazdırma_Başlıkları</vt:lpstr>
      <vt:lpstr>'T17-SınırK.-Ay Göre Ç.Yabancı'!Yazdırma_Başlıkları</vt:lpstr>
      <vt:lpstr>'T5-SınırK.-Ay Göre G.Yabancı'!Yazdırma_Başlıkları</vt:lpstr>
      <vt:lpstr>'T8-Mil-SınırK Göre G.Yabancı'!Yazdırma_Başlıkları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Hüdaverdi ARIK</dc:creator>
  <cp:lastModifiedBy>win10</cp:lastModifiedBy>
  <cp:lastPrinted>2020-03-24T10:40:54Z</cp:lastPrinted>
  <dcterms:created xsi:type="dcterms:W3CDTF">2018-03-01T11:01:19Z</dcterms:created>
  <dcterms:modified xsi:type="dcterms:W3CDTF">2020-03-25T12:25:50Z</dcterms:modified>
</cp:coreProperties>
</file>