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10305" yWindow="-15" windowWidth="10200" windowHeight="8985"/>
  </bookViews>
  <sheets>
    <sheet name="Kapak" sheetId="33" r:id="rId1"/>
    <sheet name="Toplam Ziyaretçi Sayısı" sheetId="32" r:id="rId2"/>
    <sheet name="Kişiler" sheetId="31" r:id="rId3"/>
    <sheet name="Açıklamalar-Yöntem" sheetId="30" r:id="rId4"/>
    <sheet name="Önsöz" sheetId="29" r:id="rId5"/>
    <sheet name="Kavramlar-Tanımlar" sheetId="28" r:id="rId6"/>
    <sheet name="İçindekiler" sheetId="1" r:id="rId7"/>
    <sheet name="A-Yıl-Aya Göre G. Ziyaretçi" sheetId="2" r:id="rId8"/>
    <sheet name="B-Yıl-Ay Göre Günübirlikçi" sheetId="3" r:id="rId9"/>
    <sheet name="C-Mil Göre G.Yabancı" sheetId="4" r:id="rId10"/>
    <sheet name="T1-Yıl-Aya Göre G. Yabancı" sheetId="10" r:id="rId11"/>
    <sheet name="T2-Mil-TaşıtA. Göre G.Yabancı" sheetId="11" r:id="rId12"/>
    <sheet name="T3-Ay-TaşıtA. Göre G.Yabancı" sheetId="12" r:id="rId13"/>
    <sheet name="T4-İl-TaşıtA. Göre G.Yabancı" sheetId="13" r:id="rId14"/>
    <sheet name="T5-SınırK.-Ay Göre G.Yabancı" sheetId="14" r:id="rId15"/>
    <sheet name="T6-Mil-Yıl Göre G.Yabancı" sheetId="15" r:id="rId16"/>
    <sheet name="T7-Mil-Ay Göre G.Yabancı" sheetId="16" r:id="rId17"/>
    <sheet name="T8-Mil-SınırK Göre G.Yabancı" sheetId="34" r:id="rId18"/>
    <sheet name="T9-Ay-Yıl Göre Y.Günübirlikçi" sheetId="18" r:id="rId19"/>
    <sheet name="T10-SınırK. Ay Göre Y.Günübirl." sheetId="19" r:id="rId20"/>
    <sheet name="T11-GirişK-Mil.GöreY.Günübirl." sheetId="35" r:id="rId21"/>
    <sheet name="T12-SınırK.-Yıl Göre Y.Günübir." sheetId="21" r:id="rId22"/>
    <sheet name="T13-Yıl-Ay Göre Ç.Ziyaretçi" sheetId="22" r:id="rId23"/>
    <sheet name="T14-Mil-TaşıtA. Göre Ç.Yabancı" sheetId="23" r:id="rId24"/>
    <sheet name="T15-Ay-TaşıtA. Göre Ç Yabancı" sheetId="24" r:id="rId25"/>
    <sheet name="T16-SınırK.-TaşıtA Göre Ç.Yab." sheetId="25" r:id="rId26"/>
    <sheet name="T17-SınırK.-Ay Göre Ç.Yabancı" sheetId="26" r:id="rId27"/>
  </sheets>
  <definedNames>
    <definedName name="_xlnm.Print_Area" localSheetId="3">'Açıklamalar-Yöntem'!$A$1:$A$19</definedName>
    <definedName name="_xlnm.Print_Area" localSheetId="7">'A-Yıl-Aya Göre G. Ziyaretçi'!$B$1:$Q$52</definedName>
    <definedName name="_xlnm.Print_Area" localSheetId="8">'B-Yıl-Ay Göre Günübirlikçi'!$B$1:$L$19</definedName>
    <definedName name="_xlnm.Print_Area" localSheetId="9">'C-Mil Göre G.Yabancı'!$B$1:$R$251</definedName>
    <definedName name="_xlnm.Print_Area" localSheetId="6">İçindekiler!$A$1:$O$21</definedName>
    <definedName name="_xlnm.Print_Area" localSheetId="0">Kapak!$A$1:$L$58</definedName>
    <definedName name="_xlnm.Print_Area" localSheetId="5">'Kavramlar-Tanımlar'!$A$1:$A$29</definedName>
    <definedName name="_xlnm.Print_Area" localSheetId="2">Kişiler!$A$1:$K$67</definedName>
    <definedName name="_xlnm.Print_Area" localSheetId="4">Önsöz!$A$1:$A$19</definedName>
    <definedName name="_xlnm.Print_Area" localSheetId="19">'T10-SınırK. Ay Göre Y.Günübirl.'!$B$1:$Q$46</definedName>
    <definedName name="_xlnm.Print_Area" localSheetId="20">'T11-GirişK-Mil.GöreY.Günübirl.'!$B$1:$DF$114</definedName>
    <definedName name="_xlnm.Print_Area" localSheetId="21">'T12-SınırK.-Yıl Göre Y.Günübir.'!$B$1:$L$72</definedName>
    <definedName name="_xlnm.Print_Area" localSheetId="22">'T13-Yıl-Ay Göre Ç.Ziyaretçi'!$B$1:$G$18</definedName>
    <definedName name="_xlnm.Print_Area" localSheetId="23">'T14-Mil-TaşıtA. Göre Ç.Yabancı'!$B$1:$H$119</definedName>
    <definedName name="_xlnm.Print_Area" localSheetId="24">'T15-Ay-TaşıtA. Göre Ç Yabancı'!$B$1:$H$18</definedName>
    <definedName name="_xlnm.Print_Area" localSheetId="25">'T16-SınırK.-TaşıtA Göre Ç.Yab.'!$B$1:$H$66</definedName>
    <definedName name="_xlnm.Print_Area" localSheetId="26">'T17-SınırK.-Ay Göre Ç.Yabancı'!$B$1:$Q$227</definedName>
    <definedName name="_xlnm.Print_Area" localSheetId="10">'T1-Yıl-Aya Göre G. Yabancı'!$B$1:$G$17</definedName>
    <definedName name="_xlnm.Print_Area" localSheetId="11">'T2-Mil-TaşıtA. Göre G.Yabancı'!$B$1:$H$115</definedName>
    <definedName name="_xlnm.Print_Area" localSheetId="12">'T3-Ay-TaşıtA. Göre G.Yabancı'!$B$1:$H$17</definedName>
    <definedName name="_xlnm.Print_Area" localSheetId="13">'T4-İl-TaşıtA. Göre G.Yabancı'!$B$1:$H$65</definedName>
    <definedName name="_xlnm.Print_Area" localSheetId="14">'T5-SınırK.-Ay Göre G.Yabancı'!$B$1:$Q$199</definedName>
    <definedName name="_xlnm.Print_Area" localSheetId="15">'T6-Mil-Yıl Göre G.Yabancı'!$B$1:$J$119</definedName>
    <definedName name="_xlnm.Print_Area" localSheetId="16">'T7-Mil-Ay Göre G.Yabancı'!$B$1:$O$119</definedName>
    <definedName name="_xlnm.Print_Area" localSheetId="17">'T8-Mil-SınırK Göre G.Yabancı'!$B$1:$GS$114</definedName>
    <definedName name="_xlnm.Print_Area" localSheetId="18">'T9-Ay-Yıl Göre Y.Günübirlikçi'!$B$1:$G$17</definedName>
    <definedName name="_xlnm.Print_Area" localSheetId="1">'Toplam Ziyaretçi Sayısı'!$D$1:$G$20</definedName>
    <definedName name="_xlnm.Print_Titles" localSheetId="9">'C-Mil Göre G.Yabancı'!$1:$3</definedName>
    <definedName name="_xlnm.Print_Titles" localSheetId="20">'T11-GirişK-Mil.GöreY.Günübirl.'!$B:$B,'T11-GirişK-Mil.GöreY.Günübirl.'!$1:$3</definedName>
    <definedName name="_xlnm.Print_Titles" localSheetId="26">'T17-SınırK.-Ay Göre Ç.Yabancı'!$1:$3</definedName>
    <definedName name="_xlnm.Print_Titles" localSheetId="11">'T2-Mil-TaşıtA. Göre G.Yabancı'!$1:$4</definedName>
    <definedName name="_xlnm.Print_Titles" localSheetId="14">'T5-SınırK.-Ay Göre G.Yabancı'!$1:$3</definedName>
    <definedName name="_xlnm.Print_Titles" localSheetId="17">'T8-Mil-SınırK Göre G.Yabancı'!$B:$B,'T8-Mil-SınırK Göre G.Yabancı'!$1:$3</definedName>
  </definedNames>
  <calcPr calcId="191029"/>
</workbook>
</file>

<file path=xl/calcChain.xml><?xml version="1.0" encoding="utf-8"?>
<calcChain xmlns="http://schemas.openxmlformats.org/spreadsheetml/2006/main">
  <c r="DF114" i="35" l="1"/>
  <c r="DF113" i="35"/>
  <c r="DF112" i="35"/>
  <c r="DF111" i="35"/>
  <c r="DF110" i="35"/>
  <c r="DF109" i="35"/>
  <c r="DF108" i="35"/>
  <c r="DF107" i="35"/>
  <c r="DF106" i="35"/>
  <c r="DF105" i="35"/>
  <c r="DF104" i="35"/>
  <c r="DF103" i="35"/>
  <c r="DF102" i="35"/>
  <c r="DF101" i="35"/>
  <c r="DF100" i="35"/>
  <c r="DF99" i="35"/>
  <c r="DF98" i="35"/>
  <c r="DF97" i="35"/>
  <c r="DF96" i="35"/>
  <c r="DF95" i="35"/>
  <c r="DF94" i="35"/>
  <c r="DF93" i="35"/>
  <c r="DF92" i="35"/>
  <c r="DF91" i="35"/>
  <c r="DF90" i="35"/>
  <c r="DF89" i="35"/>
  <c r="DF88" i="35"/>
  <c r="DF87" i="35"/>
  <c r="DF86" i="35"/>
  <c r="DF85" i="35"/>
  <c r="DF84" i="35"/>
  <c r="DF83" i="35"/>
  <c r="DF82" i="35"/>
  <c r="DF81" i="35"/>
  <c r="DF80" i="35"/>
  <c r="DF79" i="35"/>
  <c r="DF78" i="35"/>
  <c r="DF77" i="35"/>
  <c r="DF76" i="35"/>
  <c r="DF75" i="35"/>
  <c r="DF74" i="35"/>
  <c r="DF73" i="35"/>
  <c r="DF72" i="35"/>
  <c r="DF70" i="35"/>
  <c r="DF69" i="35"/>
  <c r="DF68" i="35"/>
  <c r="DF67" i="35"/>
  <c r="DF66" i="35"/>
  <c r="DF65" i="35"/>
  <c r="DF64" i="35"/>
  <c r="DF63" i="35"/>
  <c r="DF62" i="35"/>
  <c r="DF61" i="35"/>
  <c r="DF60" i="35"/>
  <c r="DF59" i="35"/>
  <c r="DF58" i="35"/>
  <c r="DF57" i="35"/>
  <c r="DF56" i="35"/>
  <c r="DF55" i="35"/>
  <c r="DF54" i="35"/>
  <c r="DF53" i="35"/>
  <c r="DF52" i="35"/>
  <c r="DF51" i="35"/>
  <c r="DF50" i="35"/>
  <c r="DF49" i="35"/>
  <c r="DF48" i="35"/>
  <c r="DF47" i="35"/>
  <c r="DF46" i="35"/>
  <c r="DF45" i="35"/>
  <c r="DF44" i="35"/>
  <c r="DF43" i="35"/>
  <c r="DF42" i="35"/>
  <c r="DF41" i="35"/>
  <c r="DF40" i="35"/>
  <c r="DF39" i="35"/>
  <c r="DF38" i="35"/>
  <c r="DF37" i="35"/>
  <c r="DF36" i="35"/>
  <c r="DF35" i="35"/>
  <c r="DF34" i="35"/>
  <c r="DF33" i="35"/>
  <c r="DF32" i="35"/>
  <c r="DF31" i="35"/>
  <c r="DF30" i="35"/>
  <c r="DF29" i="35"/>
  <c r="DF28" i="35"/>
  <c r="DF27" i="35"/>
  <c r="DF26" i="35"/>
  <c r="DF25" i="35"/>
  <c r="DF24" i="35"/>
  <c r="DF23" i="35"/>
  <c r="DF22" i="35"/>
  <c r="DF21" i="35"/>
  <c r="DF20" i="35"/>
  <c r="DF19" i="35"/>
  <c r="DF18" i="35"/>
  <c r="DF17" i="35"/>
  <c r="DF16" i="35"/>
  <c r="DF15" i="35"/>
  <c r="DF14" i="35"/>
  <c r="DF13" i="35"/>
  <c r="DF12" i="35"/>
  <c r="DF11" i="35"/>
  <c r="DF10" i="35"/>
  <c r="DF9" i="35"/>
  <c r="DF8" i="35"/>
  <c r="DF7" i="35"/>
  <c r="DF6" i="35"/>
  <c r="DF5" i="35"/>
  <c r="DF4" i="35"/>
  <c r="GS114" i="34"/>
  <c r="GS113" i="34"/>
  <c r="GS112" i="34"/>
  <c r="GS111" i="34"/>
  <c r="GS110" i="34"/>
  <c r="GS109" i="34"/>
  <c r="GS108" i="34"/>
  <c r="GS107" i="34"/>
  <c r="GS106" i="34"/>
  <c r="GS105" i="34"/>
  <c r="GS104" i="34"/>
  <c r="GS103" i="34"/>
  <c r="GS102" i="34"/>
  <c r="GS101" i="34"/>
  <c r="GS100" i="34"/>
  <c r="GS99" i="34"/>
  <c r="GS98" i="34"/>
  <c r="GS97" i="34"/>
  <c r="GS96" i="34"/>
  <c r="GS95" i="34"/>
  <c r="GS94" i="34"/>
  <c r="GS93" i="34"/>
  <c r="GS92" i="34"/>
  <c r="GS91" i="34"/>
  <c r="GS90" i="34"/>
  <c r="GS89" i="34"/>
  <c r="GS88" i="34"/>
  <c r="GS87" i="34"/>
  <c r="GS86" i="34"/>
  <c r="GS85" i="34"/>
  <c r="GS84" i="34"/>
  <c r="GS83" i="34"/>
  <c r="GS82" i="34"/>
  <c r="GS81" i="34"/>
  <c r="GS80" i="34"/>
  <c r="GS79" i="34"/>
  <c r="GS78" i="34"/>
  <c r="GS77" i="34"/>
  <c r="GS76" i="34"/>
  <c r="GS75" i="34"/>
  <c r="GS74" i="34"/>
  <c r="GS73" i="34"/>
  <c r="GS72" i="34"/>
  <c r="GS70" i="34"/>
  <c r="GS69" i="34"/>
  <c r="GS68" i="34"/>
  <c r="GS67" i="34"/>
  <c r="GS66" i="34"/>
  <c r="GS65" i="34"/>
  <c r="GS64" i="34"/>
  <c r="GS63" i="34"/>
  <c r="GS62" i="34"/>
  <c r="GS61" i="34"/>
  <c r="GS60" i="34"/>
  <c r="GS59" i="34"/>
  <c r="GS58" i="34"/>
  <c r="GS57" i="34"/>
  <c r="GS56" i="34"/>
  <c r="GS55" i="34"/>
  <c r="GS54" i="34"/>
  <c r="GS53" i="34"/>
  <c r="GS52" i="34"/>
  <c r="GS51" i="34"/>
  <c r="GS50" i="34"/>
  <c r="GS49" i="34"/>
  <c r="GS48" i="34"/>
  <c r="GS47" i="34"/>
  <c r="GS46" i="34"/>
  <c r="GS45" i="34"/>
  <c r="GS44" i="34"/>
  <c r="GS43" i="34"/>
  <c r="GS42" i="34"/>
  <c r="GS41" i="34"/>
  <c r="GS40" i="34"/>
  <c r="GS39" i="34"/>
  <c r="GS38" i="34"/>
  <c r="GS37" i="34"/>
  <c r="GS36" i="34"/>
  <c r="GS35" i="34"/>
  <c r="GS34" i="34"/>
  <c r="GS33" i="34"/>
  <c r="GS32" i="34"/>
  <c r="GS31" i="34"/>
  <c r="GS30" i="34"/>
  <c r="GS29" i="34"/>
  <c r="GS28" i="34"/>
  <c r="GS27" i="34"/>
  <c r="GS26" i="34"/>
  <c r="GS25" i="34"/>
  <c r="GS24" i="34"/>
  <c r="GS23" i="34"/>
  <c r="GS22" i="34"/>
  <c r="GS21" i="34"/>
  <c r="GS20" i="34"/>
  <c r="GS19" i="34"/>
  <c r="GS18" i="34"/>
  <c r="GS17" i="34"/>
  <c r="GS16" i="34"/>
  <c r="GS15" i="34"/>
  <c r="GS14" i="34"/>
  <c r="GS13" i="34"/>
  <c r="GS12" i="34"/>
  <c r="GS11" i="34"/>
  <c r="GS10" i="34"/>
  <c r="GS9" i="34"/>
  <c r="GS8" i="34"/>
  <c r="GS7" i="34"/>
  <c r="GS6" i="34"/>
  <c r="GS5" i="34"/>
  <c r="GS4" i="34"/>
</calcChain>
</file>

<file path=xl/sharedStrings.xml><?xml version="1.0" encoding="utf-8"?>
<sst xmlns="http://schemas.openxmlformats.org/spreadsheetml/2006/main" count="2928" uniqueCount="646">
  <si>
    <t xml:space="preserve"> </t>
  </si>
  <si>
    <t>YILLAR</t>
  </si>
  <si>
    <t>Yabancı</t>
  </si>
  <si>
    <t>Vatandaş (Yurtdışı İkametli)</t>
  </si>
  <si>
    <t>Toplam</t>
  </si>
  <si>
    <t>OCAK</t>
  </si>
  <si>
    <t>ŞUBAT</t>
  </si>
  <si>
    <t>MART</t>
  </si>
  <si>
    <t>NİSAN</t>
  </si>
  <si>
    <t>MAYIS</t>
  </si>
  <si>
    <t>HAZİRAN</t>
  </si>
  <si>
    <t>TEMMUZ</t>
  </si>
  <si>
    <t>AĞUSTOS</t>
  </si>
  <si>
    <t>EYLÜL</t>
  </si>
  <si>
    <t>EKİM</t>
  </si>
  <si>
    <t>KASIM</t>
  </si>
  <si>
    <t>ARALIK</t>
  </si>
  <si>
    <t>TOPLAM</t>
  </si>
  <si>
    <t>NOT: T.C. Kültür ve Turizm Bakanlığı ile Türkiye İstatistik Kurumu Başkanlığı verilerinden derlenmiştir.</t>
  </si>
  <si>
    <t>(*) : Ziyaretçi = Yabancı Ziyaretçi + Yurtdışı İkametli Vatandaş Ziyaretçi</t>
  </si>
  <si>
    <t>ABD Virjin Adaları</t>
  </si>
  <si>
    <t>Afganistan</t>
  </si>
  <si>
    <t>Almanya</t>
  </si>
  <si>
    <t>Amerika Birleşik Devletleri</t>
  </si>
  <si>
    <t>Amerikan Samoası</t>
  </si>
  <si>
    <t>Andorra</t>
  </si>
  <si>
    <t>Angola</t>
  </si>
  <si>
    <t>Anguilla</t>
  </si>
  <si>
    <t>Antigua ve Barbuda</t>
  </si>
  <si>
    <t>Arjantin</t>
  </si>
  <si>
    <t>Arnavutluk</t>
  </si>
  <si>
    <t>Aruba</t>
  </si>
  <si>
    <t>Avrupa Birliği</t>
  </si>
  <si>
    <t>Avustralya</t>
  </si>
  <si>
    <t>Avusturya</t>
  </si>
  <si>
    <t>Azerbaycan</t>
  </si>
  <si>
    <t>Bahama Adaları</t>
  </si>
  <si>
    <t>Bahreyn</t>
  </si>
  <si>
    <t>Bangladeş</t>
  </si>
  <si>
    <t>Barbados</t>
  </si>
  <si>
    <t>Batı Sahra</t>
  </si>
  <si>
    <t>Batı Samoa</t>
  </si>
  <si>
    <t>Batı Timor</t>
  </si>
  <si>
    <t>Belçika</t>
  </si>
  <si>
    <t>Belize</t>
  </si>
  <si>
    <t>Benin</t>
  </si>
  <si>
    <t>Bermuda</t>
  </si>
  <si>
    <t>Beyaz Rusya (Belarus)</t>
  </si>
  <si>
    <t>Bhutan</t>
  </si>
  <si>
    <t>Birleşik Arap Emirlikleri</t>
  </si>
  <si>
    <t>Birleşmiş Milletler</t>
  </si>
  <si>
    <t>Birleşmiş Milletler Örgütü</t>
  </si>
  <si>
    <t>Bolivya</t>
  </si>
  <si>
    <t>Bosna Hersek</t>
  </si>
  <si>
    <t>Botsvana</t>
  </si>
  <si>
    <t>Bouvet Adası</t>
  </si>
  <si>
    <t>Brezilya</t>
  </si>
  <si>
    <t>Brunei</t>
  </si>
  <si>
    <t>Bulgaristan</t>
  </si>
  <si>
    <t>Burkina Faso</t>
  </si>
  <si>
    <t>Burundi</t>
  </si>
  <si>
    <t>Cayman Adaları</t>
  </si>
  <si>
    <t>Cebelitarık</t>
  </si>
  <si>
    <t>Cezayir</t>
  </si>
  <si>
    <t>Cibuti</t>
  </si>
  <si>
    <t>Cocos (Keeling) Adaları</t>
  </si>
  <si>
    <t>Cook Adaları</t>
  </si>
  <si>
    <t>Çad</t>
  </si>
  <si>
    <t>Çek Cumhuriyeti (Çekya)</t>
  </si>
  <si>
    <t>Çin Halk Cumhuriyeti</t>
  </si>
  <si>
    <t>Danimarka</t>
  </si>
  <si>
    <t>Demokratik Kongo Cumhuriyeti (Zaire)</t>
  </si>
  <si>
    <t>Doğu Timor</t>
  </si>
  <si>
    <t>Dominik Cumhuriyeti</t>
  </si>
  <si>
    <t>Dominika</t>
  </si>
  <si>
    <t>Ekvador</t>
  </si>
  <si>
    <t>Ekvator Ginesi</t>
  </si>
  <si>
    <t>El Salvador</t>
  </si>
  <si>
    <t>Endonezya</t>
  </si>
  <si>
    <t>Eritre</t>
  </si>
  <si>
    <t>Ermenistan</t>
  </si>
  <si>
    <t>Estonya</t>
  </si>
  <si>
    <t>Etiyopya (Habeşistan)</t>
  </si>
  <si>
    <t>Falkland Adaları</t>
  </si>
  <si>
    <t>Faroe Adaları</t>
  </si>
  <si>
    <t>Fas</t>
  </si>
  <si>
    <t>Fiji</t>
  </si>
  <si>
    <t>Fildişi Sahilleri (Cote d’Ivoire)</t>
  </si>
  <si>
    <t>Filipinler</t>
  </si>
  <si>
    <t>Filistin</t>
  </si>
  <si>
    <t>Finlandiya</t>
  </si>
  <si>
    <t>Fransa</t>
  </si>
  <si>
    <t>Fransız Guyanası</t>
  </si>
  <si>
    <t>Gabon</t>
  </si>
  <si>
    <t>Gambiya</t>
  </si>
  <si>
    <t>Gana</t>
  </si>
  <si>
    <t>Gayrı Muntazam</t>
  </si>
  <si>
    <t>Gine</t>
  </si>
  <si>
    <t>Gine Bissau</t>
  </si>
  <si>
    <t>Grenada</t>
  </si>
  <si>
    <t>Grönland</t>
  </si>
  <si>
    <t>Guadeloupe</t>
  </si>
  <si>
    <t>Guam</t>
  </si>
  <si>
    <t>Guatemala</t>
  </si>
  <si>
    <t>Guyana</t>
  </si>
  <si>
    <t>Güney Afrika Cumhuriyeti</t>
  </si>
  <si>
    <t>Güney Kıbrıs Rum Kesimi</t>
  </si>
  <si>
    <t>Güney Kore</t>
  </si>
  <si>
    <t>Güney Sudan</t>
  </si>
  <si>
    <t>Gürcistan</t>
  </si>
  <si>
    <t>Haiti</t>
  </si>
  <si>
    <t>Hırvatistan</t>
  </si>
  <si>
    <t>Hindistan</t>
  </si>
  <si>
    <t>Hollanda</t>
  </si>
  <si>
    <t>Honduras</t>
  </si>
  <si>
    <t>Hong Kong</t>
  </si>
  <si>
    <t>Irak</t>
  </si>
  <si>
    <t>Iskat</t>
  </si>
  <si>
    <t>İngiltere (Birleşik Krallık)</t>
  </si>
  <si>
    <t>İran</t>
  </si>
  <si>
    <t>İrlanda</t>
  </si>
  <si>
    <t>İspanya</t>
  </si>
  <si>
    <t>İsrail</t>
  </si>
  <si>
    <t>İsveç</t>
  </si>
  <si>
    <t>İsviçre</t>
  </si>
  <si>
    <t>İtalya</t>
  </si>
  <si>
    <t>İzlanda</t>
  </si>
  <si>
    <t>Jamaika</t>
  </si>
  <si>
    <t>Jan Mayen Adası</t>
  </si>
  <si>
    <t>Japonya</t>
  </si>
  <si>
    <t>Kamboçya</t>
  </si>
  <si>
    <t>Kamerun</t>
  </si>
  <si>
    <t>Kanada</t>
  </si>
  <si>
    <t>Karadağ</t>
  </si>
  <si>
    <t>Katar</t>
  </si>
  <si>
    <t>Kayman Adaları</t>
  </si>
  <si>
    <t>Kazakistan</t>
  </si>
  <si>
    <t>Kenya</t>
  </si>
  <si>
    <t>Kırgızistan</t>
  </si>
  <si>
    <t>Kiribati (Gilbert Adaları)</t>
  </si>
  <si>
    <t>Kolombiya</t>
  </si>
  <si>
    <t>Komorlar</t>
  </si>
  <si>
    <t>Kongo Cumhuriyeti</t>
  </si>
  <si>
    <t>Kosova</t>
  </si>
  <si>
    <t>Kosta Rika</t>
  </si>
  <si>
    <t>Kuveyt</t>
  </si>
  <si>
    <t>Kuzey Kıbrıs Türk Cumhuriyeti</t>
  </si>
  <si>
    <t>Kuzey Kore</t>
  </si>
  <si>
    <t>Kuzey Makedonya Cumhuriyeti</t>
  </si>
  <si>
    <t>Kuzey Mariana Adaları</t>
  </si>
  <si>
    <t>Küba</t>
  </si>
  <si>
    <t>Laos</t>
  </si>
  <si>
    <t>Lesoto</t>
  </si>
  <si>
    <t>Letonya</t>
  </si>
  <si>
    <t>Liberya</t>
  </si>
  <si>
    <t>Libya</t>
  </si>
  <si>
    <t>Lihtenştayn</t>
  </si>
  <si>
    <t>Litvanya</t>
  </si>
  <si>
    <t>Lübnan</t>
  </si>
  <si>
    <t>Lüksemburg</t>
  </si>
  <si>
    <t>Macaristan</t>
  </si>
  <si>
    <t>Madagaskar (Malagazi)</t>
  </si>
  <si>
    <t>Makao</t>
  </si>
  <si>
    <t>Malavi</t>
  </si>
  <si>
    <t>Maldivler</t>
  </si>
  <si>
    <t>Malezya</t>
  </si>
  <si>
    <t>Mali</t>
  </si>
  <si>
    <t>Malta</t>
  </si>
  <si>
    <t>Man Adası</t>
  </si>
  <si>
    <t>Marshall Adaları</t>
  </si>
  <si>
    <t>Mauritius</t>
  </si>
  <si>
    <t>Mayotte</t>
  </si>
  <si>
    <t>Meksika</t>
  </si>
  <si>
    <t>Mısır</t>
  </si>
  <si>
    <t>Midway Adası</t>
  </si>
  <si>
    <t>Mikronezya Federe Devletleri</t>
  </si>
  <si>
    <t>Milliyetsiz (Haymatlos)</t>
  </si>
  <si>
    <t>Moğolistan</t>
  </si>
  <si>
    <t>Moldova</t>
  </si>
  <si>
    <t>Monako</t>
  </si>
  <si>
    <t>Montserrat</t>
  </si>
  <si>
    <t>Moritanya</t>
  </si>
  <si>
    <t>Mozambik</t>
  </si>
  <si>
    <t>Myanmar (Burma)</t>
  </si>
  <si>
    <t>Namibya</t>
  </si>
  <si>
    <t>Nauru</t>
  </si>
  <si>
    <t>Nepal</t>
  </si>
  <si>
    <t>Nijer</t>
  </si>
  <si>
    <t>Nijerya</t>
  </si>
  <si>
    <t>Nikaragua</t>
  </si>
  <si>
    <t>Niue</t>
  </si>
  <si>
    <t>Norveç</t>
  </si>
  <si>
    <t>Orta Afrika Cumhuriyeti</t>
  </si>
  <si>
    <t>Özbekistan</t>
  </si>
  <si>
    <t>Pakistan</t>
  </si>
  <si>
    <t>Palau</t>
  </si>
  <si>
    <t>Panama</t>
  </si>
  <si>
    <t>Papua Yeni Gine</t>
  </si>
  <si>
    <t>Paraguay</t>
  </si>
  <si>
    <t>Peru</t>
  </si>
  <si>
    <t>Pitcairn Adaları</t>
  </si>
  <si>
    <t>Polonya</t>
  </si>
  <si>
    <t>Portekiz</t>
  </si>
  <si>
    <t>Porto Riko</t>
  </si>
  <si>
    <t>Reunion</t>
  </si>
  <si>
    <t>Romanya</t>
  </si>
  <si>
    <t>Ruanda</t>
  </si>
  <si>
    <t>Rusya Fed.</t>
  </si>
  <si>
    <t>Saint Helena (St. Helen)</t>
  </si>
  <si>
    <t>Saint Kitts ve Nevis (St. Kitts)</t>
  </si>
  <si>
    <t>Saint Lucia (St. Lucia)</t>
  </si>
  <si>
    <t>Saint Pierre ve Miquelon (St. Pierre)</t>
  </si>
  <si>
    <t>Saint Vincent ve Grenadinler (St. Vincent)</t>
  </si>
  <si>
    <t>Samoa</t>
  </si>
  <si>
    <t>San Marino</t>
  </si>
  <si>
    <t>Sao Tome ve Principe</t>
  </si>
  <si>
    <t>Senegal</t>
  </si>
  <si>
    <t>Seyşeller</t>
  </si>
  <si>
    <t>Sırbistan</t>
  </si>
  <si>
    <t>Sierra Leone</t>
  </si>
  <si>
    <t>Singapur</t>
  </si>
  <si>
    <t>Slovakya</t>
  </si>
  <si>
    <t>Slovenya</t>
  </si>
  <si>
    <t>Solomon Adaları</t>
  </si>
  <si>
    <t>Somali</t>
  </si>
  <si>
    <t>Somaliland</t>
  </si>
  <si>
    <t>Sri Lanka</t>
  </si>
  <si>
    <t>Sudan</t>
  </si>
  <si>
    <t>Surinam</t>
  </si>
  <si>
    <t>Suriye</t>
  </si>
  <si>
    <t>Suudi Arabistan</t>
  </si>
  <si>
    <t>Svalbard ve Jan Mayen Adaları</t>
  </si>
  <si>
    <t>Svaziland</t>
  </si>
  <si>
    <t>Şili</t>
  </si>
  <si>
    <t>Tacikistan</t>
  </si>
  <si>
    <t>Tahiti</t>
  </si>
  <si>
    <t>Tanzanya</t>
  </si>
  <si>
    <t>Tayland</t>
  </si>
  <si>
    <t>Tayvan</t>
  </si>
  <si>
    <t>Togo</t>
  </si>
  <si>
    <t>Tokelau</t>
  </si>
  <si>
    <t>Tonga</t>
  </si>
  <si>
    <t>Trinidad ve Tobago</t>
  </si>
  <si>
    <t>Tunus</t>
  </si>
  <si>
    <t>Tuvalu</t>
  </si>
  <si>
    <t>Türkmenistan</t>
  </si>
  <si>
    <t>Uganda</t>
  </si>
  <si>
    <t>Ukrayna</t>
  </si>
  <si>
    <t>Umman</t>
  </si>
  <si>
    <t>Uruguay</t>
  </si>
  <si>
    <t>Ürdün</t>
  </si>
  <si>
    <t>Vanuatu</t>
  </si>
  <si>
    <t>Vatikan</t>
  </si>
  <si>
    <t>Venezuela</t>
  </si>
  <si>
    <t>Vietnam</t>
  </si>
  <si>
    <t>Wake Adası</t>
  </si>
  <si>
    <t>Wallis Futuna</t>
  </si>
  <si>
    <t>Yemen</t>
  </si>
  <si>
    <t>Yeni Kaledonya</t>
  </si>
  <si>
    <t>Yeni Zelanda</t>
  </si>
  <si>
    <t>Yeşil Burun Adaları (Cape Verde)</t>
  </si>
  <si>
    <t>Yunanistan</t>
  </si>
  <si>
    <t>Zambiya</t>
  </si>
  <si>
    <t>Zimbabve</t>
  </si>
  <si>
    <t/>
  </si>
  <si>
    <t>AYLAR</t>
  </si>
  <si>
    <t>% DEĞİŞİM ORANI</t>
  </si>
  <si>
    <t>MİLLİYET</t>
  </si>
  <si>
    <t>TAŞIT ARACI</t>
  </si>
  <si>
    <t>Deniz</t>
  </si>
  <si>
    <t>Hava</t>
  </si>
  <si>
    <t>Kara</t>
  </si>
  <si>
    <t>Tren</t>
  </si>
  <si>
    <t>MİL.PAYI %</t>
  </si>
  <si>
    <t>DİĞ.  AFRİKA  ÜLKELERİ</t>
  </si>
  <si>
    <t>TOPLAM AFRİKA</t>
  </si>
  <si>
    <t>DİĞ.  GÜNEY AMERİKA  ÜLKELERİ</t>
  </si>
  <si>
    <t>TOPLAM GÜNEY AMERİKA</t>
  </si>
  <si>
    <t>TOPLAM KUZEY AMERİKA</t>
  </si>
  <si>
    <t>TOPLAM ORTA AMERİKA</t>
  </si>
  <si>
    <t>TOPLAM AMERİKA</t>
  </si>
  <si>
    <t>DİĞ.  BATI ASYA  ÜLKELERİ</t>
  </si>
  <si>
    <t>TOPLAM BATI ASYA</t>
  </si>
  <si>
    <t>DİĞ.  GÜNEY ASYA  ÜLKELERİ</t>
  </si>
  <si>
    <t>TOPLAM GÜNEY ASYA</t>
  </si>
  <si>
    <t>TOPLAM ASYA</t>
  </si>
  <si>
    <t>TOPLAM AVRUPA OECD</t>
  </si>
  <si>
    <t>DİĞ.  AVRUPA OECD DIŞI  ÜLKELERİ</t>
  </si>
  <si>
    <t>TOPLAM AVRUPA OECD DIŞI</t>
  </si>
  <si>
    <t>TOPLAM AVRUPA</t>
  </si>
  <si>
    <t>TOPLAM B.D.T.</t>
  </si>
  <si>
    <t>TOPLAM DİĞER OECD</t>
  </si>
  <si>
    <t>TOPLAM MİLLİYETSİZ</t>
  </si>
  <si>
    <t>TOPLAM OKYANUSYA</t>
  </si>
  <si>
    <t>YABANCI TOPLAM</t>
  </si>
  <si>
    <t>%ORANI</t>
  </si>
  <si>
    <t>DENİZ</t>
  </si>
  <si>
    <t>HAVA</t>
  </si>
  <si>
    <t>KARA</t>
  </si>
  <si>
    <t>TREN</t>
  </si>
  <si>
    <t>İLLER</t>
  </si>
  <si>
    <t>Adana</t>
  </si>
  <si>
    <t>Adıyaman</t>
  </si>
  <si>
    <t>Ağrı</t>
  </si>
  <si>
    <t>Amasya</t>
  </si>
  <si>
    <t>Ankara</t>
  </si>
  <si>
    <t>Antalya</t>
  </si>
  <si>
    <t>Ardahan</t>
  </si>
  <si>
    <t>Artvin</t>
  </si>
  <si>
    <t>Aydın</t>
  </si>
  <si>
    <t>Balıkesir</t>
  </si>
  <si>
    <t>Bartın</t>
  </si>
  <si>
    <t>Batman</t>
  </si>
  <si>
    <t>Bursa</t>
  </si>
  <si>
    <t>Çanakkale</t>
  </si>
  <si>
    <t>Denizli</t>
  </si>
  <si>
    <t>Diyarbakır</t>
  </si>
  <si>
    <t>Edirne</t>
  </si>
  <si>
    <t>Elazığ</t>
  </si>
  <si>
    <t>Erzincan</t>
  </si>
  <si>
    <t>Erzurum</t>
  </si>
  <si>
    <t>Eskişehir</t>
  </si>
  <si>
    <t>Gaziantep</t>
  </si>
  <si>
    <t>Giresun</t>
  </si>
  <si>
    <t>Hakkari</t>
  </si>
  <si>
    <t>Hatay</t>
  </si>
  <si>
    <t>Iğdır</t>
  </si>
  <si>
    <t>Isparta</t>
  </si>
  <si>
    <t>İstanbul</t>
  </si>
  <si>
    <t>İzmir</t>
  </si>
  <si>
    <t>Kahramanmaraş</t>
  </si>
  <si>
    <t>Kars</t>
  </si>
  <si>
    <t>Kastamonu</t>
  </si>
  <si>
    <t>Kayseri</t>
  </si>
  <si>
    <t>Kırklareli</t>
  </si>
  <si>
    <t>Kilis</t>
  </si>
  <si>
    <t>Kocaeli</t>
  </si>
  <si>
    <t>Konya</t>
  </si>
  <si>
    <t>Kütahya</t>
  </si>
  <si>
    <t>Malatya</t>
  </si>
  <si>
    <t>Mardin</t>
  </si>
  <si>
    <t>Mersin</t>
  </si>
  <si>
    <t>Muğla</t>
  </si>
  <si>
    <t>Nevşehir</t>
  </si>
  <si>
    <t>Ordu</t>
  </si>
  <si>
    <t>Rize</t>
  </si>
  <si>
    <t>Sakarya</t>
  </si>
  <si>
    <t>Samsun</t>
  </si>
  <si>
    <t>Sinop</t>
  </si>
  <si>
    <t>Sivas</t>
  </si>
  <si>
    <t>Şanlıurfa</t>
  </si>
  <si>
    <t>Şırnak</t>
  </si>
  <si>
    <t>Tekirdağ</t>
  </si>
  <si>
    <t>Trabzon</t>
  </si>
  <si>
    <t>Uşak</t>
  </si>
  <si>
    <t>Van</t>
  </si>
  <si>
    <t>Yalova</t>
  </si>
  <si>
    <t>Zonguldak</t>
  </si>
  <si>
    <t>Toros Tarım Limanı (D)</t>
  </si>
  <si>
    <t>Şakirpaşa (H)</t>
  </si>
  <si>
    <t>Botaş (D)</t>
  </si>
  <si>
    <t>Sanko (D)</t>
  </si>
  <si>
    <t>Adıyaman Merkez (H)</t>
  </si>
  <si>
    <t>Gürbulak (K)</t>
  </si>
  <si>
    <t>Merzifon (H)</t>
  </si>
  <si>
    <t>Esenboğa (H)</t>
  </si>
  <si>
    <t>Alanya (D)</t>
  </si>
  <si>
    <t>Kaş (D)</t>
  </si>
  <si>
    <t>Finike (D)</t>
  </si>
  <si>
    <t>Antalya Merkez (D)</t>
  </si>
  <si>
    <t>Gazipaşa (H)</t>
  </si>
  <si>
    <t>Antalya Merkez (H)</t>
  </si>
  <si>
    <t>Kemer (D)</t>
  </si>
  <si>
    <t>Hopa (D)</t>
  </si>
  <si>
    <t>Sarp (K)</t>
  </si>
  <si>
    <t>Didim Yat Limanı (D)</t>
  </si>
  <si>
    <t>Kuşadası (D)</t>
  </si>
  <si>
    <t>Bağfaş (D)</t>
  </si>
  <si>
    <t>Bandırma (D)</t>
  </si>
  <si>
    <t>Ayvalık (D)</t>
  </si>
  <si>
    <t>Koca Seyit (H)</t>
  </si>
  <si>
    <t>Yenişehir (H)</t>
  </si>
  <si>
    <t>Gemlik (D)</t>
  </si>
  <si>
    <t>Çanakkale İçdaş-2 (D)</t>
  </si>
  <si>
    <t>Cenal Karabiga (D)</t>
  </si>
  <si>
    <t>Kepez (D)</t>
  </si>
  <si>
    <t>Belediye Yat Limanı (D)</t>
  </si>
  <si>
    <t>Karabiga (D)</t>
  </si>
  <si>
    <t>İçdaş (D)</t>
  </si>
  <si>
    <t>Bozcaada Limanı (D)</t>
  </si>
  <si>
    <t>Çanakkale Merkez (H)</t>
  </si>
  <si>
    <t>Çardak (H)</t>
  </si>
  <si>
    <t>Diyarbakır Merkez (H)</t>
  </si>
  <si>
    <t>Hamzabeyli (K)</t>
  </si>
  <si>
    <t>İpsala (K)</t>
  </si>
  <si>
    <t>Kapıkule (K)</t>
  </si>
  <si>
    <t>Kapıkule (T)</t>
  </si>
  <si>
    <t>Pazarkule (K)</t>
  </si>
  <si>
    <t>Elazığ Merkez (H)</t>
  </si>
  <si>
    <t>Erzincan Merkez (H)</t>
  </si>
  <si>
    <t>Erzurum Merkez (H)</t>
  </si>
  <si>
    <t>Eskişehir Hasan Polatkan (H)</t>
  </si>
  <si>
    <t>Karkamış (K)</t>
  </si>
  <si>
    <t>Gaziantep Merkez (H)</t>
  </si>
  <si>
    <t>Giresun Merkez (D)</t>
  </si>
  <si>
    <t>Esendere (K)</t>
  </si>
  <si>
    <t>Çukurca/Üzümlü (K)</t>
  </si>
  <si>
    <t>Kumlu (K)</t>
  </si>
  <si>
    <t>Deltarubis Petrol (D)</t>
  </si>
  <si>
    <t>Assan Limanı (D)</t>
  </si>
  <si>
    <t>Botaş Limanı (D)</t>
  </si>
  <si>
    <t>Cilvegözü (K)</t>
  </si>
  <si>
    <t>Ekinci İskelesi (D)</t>
  </si>
  <si>
    <t>İsdemir Limanı (D)</t>
  </si>
  <si>
    <t>Tosyalı Limanı (D)</t>
  </si>
  <si>
    <t>Yayladağ (K)</t>
  </si>
  <si>
    <t>Atakaş Limanı (D)</t>
  </si>
  <si>
    <t>Hatay Merkez (H)</t>
  </si>
  <si>
    <t>Gübretaş Limanı (D)</t>
  </si>
  <si>
    <t>MMK Metalurji Limanı (D)</t>
  </si>
  <si>
    <t>Yazıcı Limanı (D)</t>
  </si>
  <si>
    <t>İskenderun (D)</t>
  </si>
  <si>
    <t>S. Demirel (H)</t>
  </si>
  <si>
    <t>Taşucu Seka (D)</t>
  </si>
  <si>
    <t>Mersin Merkez (D)</t>
  </si>
  <si>
    <t>Yeşilovacık (D)</t>
  </si>
  <si>
    <t>Erdemli Kumkuyu Yat Limanı (D)</t>
  </si>
  <si>
    <t>Taşucu (D)</t>
  </si>
  <si>
    <t>Zeytinburnu (D)</t>
  </si>
  <si>
    <t>A.H.L. (H)</t>
  </si>
  <si>
    <t>Pendik (D)</t>
  </si>
  <si>
    <t>S. Gökçen (H)</t>
  </si>
  <si>
    <t>İstanbul Yeni Havalimanı (H)</t>
  </si>
  <si>
    <t>Ambarlı (D)</t>
  </si>
  <si>
    <t>Tuzla (D)</t>
  </si>
  <si>
    <t>Haydarpaşa (D)</t>
  </si>
  <si>
    <t>Marmara (D)</t>
  </si>
  <si>
    <t>Sarayburnu (D)</t>
  </si>
  <si>
    <t>Karaköy (D)</t>
  </si>
  <si>
    <t>Çeşme (D)</t>
  </si>
  <si>
    <t>İzmir Merkez (D)</t>
  </si>
  <si>
    <t>Aliağa (D)</t>
  </si>
  <si>
    <t>A. Menderes (H)</t>
  </si>
  <si>
    <t>Dikili (D)</t>
  </si>
  <si>
    <t>Foça (D)</t>
  </si>
  <si>
    <t>Seferihisar (D)</t>
  </si>
  <si>
    <t>Harakani (H)</t>
  </si>
  <si>
    <t>İnebolu (D)</t>
  </si>
  <si>
    <t>Kastamonu Merkez (H)</t>
  </si>
  <si>
    <t>Erkilet (H)</t>
  </si>
  <si>
    <t>Dereköy (K)</t>
  </si>
  <si>
    <t>Derince (D)</t>
  </si>
  <si>
    <t>Cengiz Topel (H)</t>
  </si>
  <si>
    <t>Konya Merkez (H)</t>
  </si>
  <si>
    <t>Zafer Bölgesel (H)</t>
  </si>
  <si>
    <t>Erhaç (H)</t>
  </si>
  <si>
    <t>Kahramanmaraş Merkez (H)</t>
  </si>
  <si>
    <t>Mardin Merkez (H)</t>
  </si>
  <si>
    <t>Bodrum (D)</t>
  </si>
  <si>
    <t>Turgutreis (D)</t>
  </si>
  <si>
    <t>Yolcu İskelesi (Mantar Burnu) (D)</t>
  </si>
  <si>
    <t>Dalaman (H)</t>
  </si>
  <si>
    <t>Göcek  (D)</t>
  </si>
  <si>
    <t>Milas-Bodrum (H)</t>
  </si>
  <si>
    <t>Marmaris (D)</t>
  </si>
  <si>
    <t>Fethiye (D)</t>
  </si>
  <si>
    <t>Mandalya Deniz  Kapısı (D)</t>
  </si>
  <si>
    <t>Datça (D)</t>
  </si>
  <si>
    <t>Güllük (D)</t>
  </si>
  <si>
    <t>Yalıkavak (D)</t>
  </si>
  <si>
    <t>Kapadokya (H)</t>
  </si>
  <si>
    <t>Fatsa (D)</t>
  </si>
  <si>
    <t>Ünye (D)</t>
  </si>
  <si>
    <t>Ordu-Giresun (H)</t>
  </si>
  <si>
    <t>Rize Merkez (D)</t>
  </si>
  <si>
    <t>Karasu Liman (D)</t>
  </si>
  <si>
    <t>Yeşilyurt Kıyı Tesisi (D)</t>
  </si>
  <si>
    <t>Samsun Merkez (D)</t>
  </si>
  <si>
    <t>Samsun Merkez (H)</t>
  </si>
  <si>
    <t>Sinop Merkez (D)</t>
  </si>
  <si>
    <t>Sinop Merkez (H)</t>
  </si>
  <si>
    <t>Sivas Merkez (H)</t>
  </si>
  <si>
    <t>Çorlu (H)</t>
  </si>
  <si>
    <t>Asyaport Liman Tesisi (D)</t>
  </si>
  <si>
    <t>Tekirdağ Martaş Marmara Liman Tesisi (D)</t>
  </si>
  <si>
    <t>Tekirdağ Merkez (D)</t>
  </si>
  <si>
    <t>Trabzon Merkez (D)</t>
  </si>
  <si>
    <t>Trabzon Merkez (H)</t>
  </si>
  <si>
    <t>Akçakale (K)</t>
  </si>
  <si>
    <t>GAP (H)</t>
  </si>
  <si>
    <t>Uşak Merkez (H)</t>
  </si>
  <si>
    <t>Kapıköy (T)</t>
  </si>
  <si>
    <t>Kapıköy (K)</t>
  </si>
  <si>
    <t>Van Merkez (H)</t>
  </si>
  <si>
    <t>Zonguldak Merkez (D)</t>
  </si>
  <si>
    <t>Eren (D)</t>
  </si>
  <si>
    <t>Karadeniz Ereğli (D)</t>
  </si>
  <si>
    <t>Çaycuma (H)</t>
  </si>
  <si>
    <t>Habur (K)</t>
  </si>
  <si>
    <t>Bartın Merkez (D)</t>
  </si>
  <si>
    <t>Posof-Türközü (K)</t>
  </si>
  <si>
    <t>Çıldır-Aktaş (K)</t>
  </si>
  <si>
    <t>Dilucu (K)</t>
  </si>
  <si>
    <t>RO-RO Terminal (D)</t>
  </si>
  <si>
    <t>Öncüpınar (K)</t>
  </si>
  <si>
    <t>Çobanbey (T)</t>
  </si>
  <si>
    <t>MİLLİYET PAYI (%)</t>
  </si>
  <si>
    <t>Batman Merkez (H)</t>
  </si>
  <si>
    <t>Iğdır Havalimanı (H)</t>
  </si>
  <si>
    <t>Adana Toplam</t>
  </si>
  <si>
    <t>Antalya Toplam</t>
  </si>
  <si>
    <t>Ardahan Toplam</t>
  </si>
  <si>
    <t>Artvin Toplam</t>
  </si>
  <si>
    <t>Aydın Toplam</t>
  </si>
  <si>
    <t>Balıkesir Toplam</t>
  </si>
  <si>
    <t>Bursa Toplam</t>
  </si>
  <si>
    <t>Çanakkale Toplam</t>
  </si>
  <si>
    <t>Edirne Toplam</t>
  </si>
  <si>
    <t>Gaziantep Toplam</t>
  </si>
  <si>
    <t>Hakkari Toplam</t>
  </si>
  <si>
    <t>Hatay Toplam</t>
  </si>
  <si>
    <t>Iğdır Toplam</t>
  </si>
  <si>
    <t>İstanbul Toplam</t>
  </si>
  <si>
    <t>İzmir Toplam</t>
  </si>
  <si>
    <t>Kastamonu Toplam</t>
  </si>
  <si>
    <t>Kilis Toplam</t>
  </si>
  <si>
    <t>Kocaeli Toplam</t>
  </si>
  <si>
    <t>Mersin Toplam</t>
  </si>
  <si>
    <t>Muğla Toplam</t>
  </si>
  <si>
    <t>Ordu Toplam</t>
  </si>
  <si>
    <t>Samsun Toplam</t>
  </si>
  <si>
    <t>Şanlıurfa Toplam</t>
  </si>
  <si>
    <t>Sinop Toplam</t>
  </si>
  <si>
    <t>Tekirdağ Toplam</t>
  </si>
  <si>
    <t>Trabzon Toplam</t>
  </si>
  <si>
    <t>Van Toplam</t>
  </si>
  <si>
    <t>Zonguldak Toplam</t>
  </si>
  <si>
    <t>Genel Toplam</t>
  </si>
  <si>
    <t>% ORANI</t>
  </si>
  <si>
    <t>Afrika Toplam</t>
  </si>
  <si>
    <t>Güney Amerika Toplam</t>
  </si>
  <si>
    <t>Kuzey Amerika Toplam</t>
  </si>
  <si>
    <t>Orta Amerika Toplam</t>
  </si>
  <si>
    <t>Amerika Toplam</t>
  </si>
  <si>
    <t>Batı Asya Toplam</t>
  </si>
  <si>
    <t>Güney Asya Toplam</t>
  </si>
  <si>
    <t>Asya Toplam</t>
  </si>
  <si>
    <t>Avrupa OECD Toplam</t>
  </si>
  <si>
    <t>Avrupa OECD Dışı Toplam</t>
  </si>
  <si>
    <t>Avrupa Toplam</t>
  </si>
  <si>
    <t>B.D.T. Toplam</t>
  </si>
  <si>
    <t>Diğer OECD Toplam</t>
  </si>
  <si>
    <t>Milliyetsiz Toplam</t>
  </si>
  <si>
    <t>Okyanusya Toplam</t>
  </si>
  <si>
    <t>Diğer Toplam</t>
  </si>
  <si>
    <t>İçindekiler</t>
  </si>
  <si>
    <t>SINIR KAPILARI VE VASITA CİNSİ</t>
  </si>
  <si>
    <t xml:space="preserve"> SINIR KAPILARI VE VASITA CİNSİ</t>
  </si>
  <si>
    <t xml:space="preserve">DENİZ </t>
  </si>
  <si>
    <t>KAVRAM VE TANIMLAR</t>
  </si>
  <si>
    <t>TURİZM</t>
  </si>
  <si>
    <t>Kişilerin ikamet ettiği yer dışındaki bir yere bir yılı aşmamak üzere, boş zaman değerlendirme, iş ve diğer benzeri amaçlarla yaptıkları seyahatlerdir.</t>
  </si>
  <si>
    <t>ULUSLARARASI ZİYARETÇİ</t>
  </si>
  <si>
    <t>Daimi ikametgâhı ve yaşadığı çevrenin dışındaki bir ülkeyi, 12 ayı aşmayan süreyle ve o ülkede para karşılığı bir iş yapmak dışında bir amaçla ziyaret eden kişidir.</t>
  </si>
  <si>
    <t>TURİST</t>
  </si>
  <si>
    <t>Ziyaret edilen ülkedeki özel (İkinci konut, arkadaş ve akraba evi vb. ) veya kamuya açık konaklama tesislerinde en az bir gece kalan ziyaretçidir.</t>
  </si>
  <si>
    <t>GÜNÜBİRLİKÇİ</t>
  </si>
  <si>
    <t>* Ziyaret edilen ülkede özel veya kamuya açık konaklama tesislerinde geceleme yapmayan ziyaretçi</t>
  </si>
  <si>
    <t>*  o ülkeye gemi ile gelen ve geceleme yapmak üzere geldiği gemiye (gemi o  limanda birden fazla gün kalsa bile) geri dönen yolcular</t>
  </si>
  <si>
    <t>*  trenle grup halinde yolculuk eden ve trende geceleyen yolcular</t>
  </si>
  <si>
    <t>*  o ülkede ikamet etmeyen ve gün boyu o  ülkede kalan mürettebat bu tanıma dahildir.</t>
  </si>
  <si>
    <t>KISALTMALAR</t>
  </si>
  <si>
    <t>TUİK : Türkiye İstatistik Kurumu</t>
  </si>
  <si>
    <t>: Türkiye İstatistik Kurumu</t>
  </si>
  <si>
    <t>MB    : Merkez Bankası</t>
  </si>
  <si>
    <t>: Merkez Bankası</t>
  </si>
  <si>
    <t>ÖZEL İŞARETLER:</t>
  </si>
  <si>
    <t>- :Bilgi yoktur.</t>
  </si>
  <si>
    <t>ÖNSÖZ</t>
  </si>
  <si>
    <t xml:space="preserve">Bakanlığımızca 1972 yılından bu yana yayınlanmakta olan bu kitap,  turizm alanında çalışma yapmak isteyen tüm kullanıcılar için temel kaynak niteliğindedir. </t>
  </si>
  <si>
    <t xml:space="preserve">Kitabımızda Ülkemize giriş-çıkış yapan, yabancı ziyaretçiler ile günübirlikçilere ilişkin ay-milliyet-giriş-çıkış yapılan sınır kapısı-kullanılan vasıta bazında bilgiler bulunmaktadır. </t>
  </si>
  <si>
    <t>KÜLTÜR VE TURİZM BAKANLIĞI</t>
  </si>
  <si>
    <t>AÇIKLAMALAR</t>
  </si>
  <si>
    <t>Turizm Bakanlığı, 1972 yılından itibaren, Ülkemize giriş-çıkış yapan yabancı ziyaretçi sayılarına ilişkin verileri sınır kapılarımızda Emniyet Genel Müdürlüğü’ne bağlı Pasaport Polisi’nin tuttuğu milliyet bazındaki kayıtlardan elde etmektedir. Yabancı ziyaretçi sayılarına günübirlikçi sayıları da dâhildir. Ziyaretçi sayıları ise yabancı ziyaretçi sayıları ile yurt dışında ikamet eden vatandaş sayıları toplamından elde edilmektedir.</t>
  </si>
  <si>
    <t>YÖNTEM</t>
  </si>
  <si>
    <t>Giriş yapan ziyaretçilere ve yurt dışında ikamet eden vatandaşlara, giriş-çıkış yapan yabancı ziyaretçilere ve günübirlikçilere ait istatistikler Emniyet Genel Müdürlüğü Pasaport Polisi kayıtları ile Türkiye İstatistik Kurumu Vatandaş Giriş Anketi bilgileri derlenerek elde edilmektedir. Emniyet Genel Müdürlüğü veri tabanı kayıtları aylık olarak Bakanlığımız veri tabanına aktarılmaktadır. Türkiye İstatistik Kurumu verileri ise dört çeyreklik (üçer aylık) dönemlerde yayınlanan Turizm İstatistikleri Haber Bülteni yayınını takiben Bakanlık istatistiklerine dâhil edilmektedir. Her yılın ilk yarısının sonunda önceki yıla ait tüm veriler değerlendirilerek “Sınır İstatistikleri” adı altında yayınlanır.</t>
  </si>
  <si>
    <t>Hollanda Antilleri</t>
  </si>
  <si>
    <t>İngiltere National</t>
  </si>
  <si>
    <t>Portekiz ve Azor Adası</t>
  </si>
  <si>
    <t>2022/2021</t>
  </si>
  <si>
    <t>DİĞ.  AVRUPA OECD  ÜLKELERİ</t>
  </si>
  <si>
    <t>Bingöl</t>
  </si>
  <si>
    <t>Muş</t>
  </si>
  <si>
    <t>Tokat</t>
  </si>
  <si>
    <t>Ağrı Merkez  (H)</t>
  </si>
  <si>
    <t>Kaş Setur Marina (D)</t>
  </si>
  <si>
    <t>Bingöl  Merkez (H)</t>
  </si>
  <si>
    <t>Çanakkale Merkez (D)</t>
  </si>
  <si>
    <t>Aydıncık (D)</t>
  </si>
  <si>
    <t>Bozburun (D)</t>
  </si>
  <si>
    <t>Muş Merkez (H)</t>
  </si>
  <si>
    <t>Amasra Deniz Kapıs(D)</t>
  </si>
  <si>
    <t>Tokat (H)</t>
  </si>
  <si>
    <t>Bartın Toplam</t>
  </si>
  <si>
    <t>Amasra Deniz Kapısı (D)</t>
  </si>
  <si>
    <t>Ağrı Toplam</t>
  </si>
  <si>
    <t>B-GÜNÜBİRLİKÇİLERİN YILLARA VE AYLARA GÖRE DAĞILIMI (2014 - 2023)</t>
  </si>
  <si>
    <t>2023/2022</t>
  </si>
  <si>
    <t>2- TÜRKİYE'YE GELEN YABANCI ZİYARETÇİLERİN MİLLİYETLERİNE VE TAŞIT ARAÇLARINA GÖRE DAĞILIMI - 2023</t>
  </si>
  <si>
    <t>3- TÜRKİYE'YE GELEN YABANCI ZİYARETÇİLERİN AYLARA VE TAŞIT ARACINA GÖRE DAĞILIMI 2023</t>
  </si>
  <si>
    <t>4- TÜRKİYE'YE GELEN YABANCI ZİYARETÇİLERİN SINIR KAPILARININ BAĞLI OLDUĞU İLLERE VE TAŞIT ARAÇLARINA GÖRE DAĞILIMI - 2023</t>
  </si>
  <si>
    <t>5- TÜRKİYE'YE GELEN YABANCI ZİYARETÇİLERİN SINIR KAPILARINA VE AYLARA GÖRE DAĞILIMI 2023</t>
  </si>
  <si>
    <t>SINIR KAPILARI</t>
  </si>
  <si>
    <t>VASITA CİNSİ</t>
  </si>
  <si>
    <t>Adana Toros Tarım Limanı (D)</t>
  </si>
  <si>
    <t>Didim (D)</t>
  </si>
  <si>
    <t>Mudanya (D)</t>
  </si>
  <si>
    <t>Saroz Geçici Deniz (D)</t>
  </si>
  <si>
    <t>Derecik (K)</t>
  </si>
  <si>
    <t>Anamur (D)</t>
  </si>
  <si>
    <t>İğneada Limanı (D)</t>
  </si>
  <si>
    <t>7- TÜRKİYE'YE GELEN YABANCI ZİYARETÇİLERİN MİLLİYETLERE VE AYLARA GÖRE DAĞILIMI - 2023</t>
  </si>
  <si>
    <t>8- TÜRKİYE'YE GELEN YABANCI ZİYARETÇİLERİN MİLLİYETLERİNE VE SINIR KAPILARINA GÖRE DAĞILIMI - 2023</t>
  </si>
  <si>
    <t>Kırklareli Toplam</t>
  </si>
  <si>
    <t>Şırnak Toplam</t>
  </si>
  <si>
    <t>Şerafettin Elçi (H)</t>
  </si>
  <si>
    <t>9- YABANCI GÜNÜBİRLİKÇİLERİN YILLARA VE AYLARA GÖRE DAĞILIMI - 2023</t>
  </si>
  <si>
    <t>10- TÜRKİYE'YE GELEN  YABANCI GÜNÜBİRLİKÇİLERİN SINIR KAPILARINA VE AYLARA GÖRE DAĞILIMI - 2023</t>
  </si>
  <si>
    <t>11- YABANCI GÜNÜBİRLİKÇİLERİN MİLLİYETLERE VE SINIR KAPILARINA GÖRE DAĞILIMI - 2023</t>
  </si>
  <si>
    <t>12- 2021 - 2023 YILLARINDA YABANCI GÜNÜBİRLİKÇİLERİN SINIR KAPILARINA VE YILLARA GÖRE KARŞILAŞTIRILMASI</t>
  </si>
  <si>
    <t>13- TÜRKİYE'DEN ÇIKAN YABANCI ZİYARETÇİLERİN YILLARA VE AYLARA GÖRE DAĞILIMI (2021-2023)</t>
  </si>
  <si>
    <t>14- TÜRKİYE'DEN ÇIKAN YABANCI ZİYARETÇİLERİN MİLLİYETLERİNE VE TAŞIT ARAÇLARINA GÖRE DAĞILIMI - 2023</t>
  </si>
  <si>
    <t>15- TÜRKİYE'DEN ÇIKAN YABANCI ZİYARETÇİLERİN AYLARA VE TAŞIT ARAÇLARINA GÖRE DAĞILIMI - 2023</t>
  </si>
  <si>
    <t>16- TÜRKİYE'DEN ÇIKAN YABANCI ZİYARETÇİLERİN SINIR KAPILARININ BAĞLI OLDUĞU İLLERE VE TAŞIT ARAÇLARINA GÖRE DAĞILIMI - 2023</t>
  </si>
  <si>
    <t>17-TÜRKİYE'DEN ÇIKAN YABANCI ZİYARETÇİLERİN SINIR KAPILARINA VE AYLARA GÖRE DAĞILIMI - 2023</t>
  </si>
  <si>
    <t xml:space="preserve">Elinizdeki Turizm İstatistikleri Bülteni, 2023 yılında sınır kapılarımızda gerçekleşen turizm hareketlerine ilişkin aylık bazda son üç yılı karşılaştırmalı istatistik bilgiler içeren Bakanlığımız yayınıdır. </t>
  </si>
  <si>
    <t xml:space="preserve">2023 yılı Sınır İstatistikleri Bülteni’nin, turizm konusunda çalışma yapan herkese yararlı olacağını ümit ederiz.  </t>
  </si>
  <si>
    <t>A-TÜRKİYE'YE GELEN ZİYARETÇİLERİN YILLARA VE AYLARA GÖRE DAĞILIMI (2014 - 2023)</t>
  </si>
  <si>
    <t>C-ÜLKEMİZE GELEN YABANCI ZİYARETÇİLERİN MİLLİYETLERİNE GÖRE DAĞILIMI (2008 - 2023)</t>
  </si>
  <si>
    <t>1- TÜRKİYE'YE GELEN YABANCI ZİYARETÇİLERİN YILLARA VE AYLARA GÖRE DAĞILIMI (2021-2023)</t>
  </si>
  <si>
    <t xml:space="preserve">6- ÜLKEMİZE GELEN YABANCI ZİYARETÇİLERİN MİLLİYETLERİNE GÖRE KARŞILAŞTIRILMASI (2021-2023) </t>
  </si>
  <si>
    <t>TÜRKİYE GELEN ZİYARETÇİLERİN AYLARA GÖRE DAĞILIMI (2023)</t>
  </si>
  <si>
    <t>A-TÜRKİYE'YE GELEN ZİYARETÇİLERİN YILLARA VE AYLARA GÖRE DAĞILIMI ( 2014 - 2023)</t>
  </si>
  <si>
    <t>1- TÜRKİYE'YE GELEN YABANCI ZİYARETÇİLERİN YILLARA VE AYLARA GÖRE DAĞILIMI (2021 - 2023)</t>
  </si>
  <si>
    <t>6- ÜLKEMİZE GELEN YABANCI ZİYARETÇİLERİN MİLLİYETLERİNE GÖRE KARŞILAŞTIRILMASI (2021 - 2023)</t>
  </si>
  <si>
    <t>13- TÜRKİYE'DEN ÇIKAN YABANCI ZİYARETÇİLERİN YILLARA VE AYLARA GÖRE DAĞILIMI (2021 - 2023)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</si>
</sst>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 &quot;₺&quot;_-;\-* #,##0\ &quot;₺&quot;_-;_-* &quot;-&quot;\ &quot;₺&quot;_-;_-@_-"/>
    <numFmt numFmtId="165" formatCode="_-* #,##0\ _₺_-;\-* #,##0\ _₺_-;_-* &quot;-&quot;\ _₺_-;_-@_-"/>
    <numFmt numFmtId="166" formatCode="_-* #,##0.00\ &quot;₺&quot;_-;\-* #,##0.00\ &quot;₺&quot;_-;_-* &quot;-&quot;??\ &quot;₺&quot;_-;_-@_-"/>
    <numFmt numFmtId="167" formatCode="_-* #,##0.00\ _₺_-;\-* #,##0.00\ _₺_-;_-* &quot;-&quot;??\ _₺_-;_-@_-"/>
    <numFmt numFmtId="168" formatCode="###\ ###\ ###"/>
    <numFmt numFmtId="169" formatCode="_-* #,##0\ &quot;TL&quot;_-;\-* #,##0\ &quot;TL&quot;_-;_-* &quot;-&quot;\ &quot;TL&quot;_-;_-@_-"/>
    <numFmt numFmtId="170" formatCode="_-* #,##0\ _T_L_-;\-* #,##0\ _T_L_-;_-* &quot;-&quot;\ _T_L_-;_-@_-"/>
    <numFmt numFmtId="171" formatCode="_-* #,##0.00\ &quot;TL&quot;_-;\-* #,##0.00\ &quot;TL&quot;_-;_-* &quot;-&quot;??\ &quot;TL&quot;_-;_-@_-"/>
    <numFmt numFmtId="172" formatCode="_-* #,##0.00\ _T_L_-;\-* #,##0.00\ _T_L_-;_-* &quot;-&quot;??\ _T_L_-;_-@_-"/>
  </numFmts>
  <fonts count="40" x14ac:knownFonts="1">
    <font>
      <sz val="10"/>
      <name val="Arial"/>
      <family val="2"/>
    </font>
    <font>
      <sz val="11"/>
      <color theme="1"/>
      <name val="Calibri"/>
      <family val="2"/>
      <charset val="162"/>
      <scheme val="minor"/>
    </font>
    <font>
      <b/>
      <sz val="10"/>
      <name val="Arial"/>
      <family val="2"/>
    </font>
    <font>
      <sz val="10"/>
      <name val="Arial"/>
      <family val="2"/>
    </font>
    <font>
      <b/>
      <sz val="11"/>
      <name val="Arial"/>
      <family val="2"/>
    </font>
    <font>
      <sz val="11"/>
      <name val="Arial"/>
      <family val="2"/>
    </font>
    <font>
      <b/>
      <sz val="11"/>
      <color rgb="FF0000FF"/>
      <name val="Arial"/>
      <family val="2"/>
      <charset val="162"/>
    </font>
    <font>
      <b/>
      <sz val="16"/>
      <name val="Arial"/>
      <family val="2"/>
    </font>
    <font>
      <b/>
      <sz val="18"/>
      <name val="Arial"/>
      <family val="2"/>
    </font>
    <font>
      <b/>
      <sz val="12"/>
      <color rgb="FF0000FF"/>
      <name val="Arial"/>
      <family val="2"/>
    </font>
    <font>
      <b/>
      <sz val="12"/>
      <name val="Arial"/>
      <family val="2"/>
    </font>
    <font>
      <b/>
      <sz val="11"/>
      <name val="Arial"/>
      <family val="2"/>
      <charset val="162"/>
    </font>
    <font>
      <b/>
      <sz val="16"/>
      <name val="Arial"/>
      <family val="2"/>
      <charset val="162"/>
    </font>
    <font>
      <b/>
      <sz val="14"/>
      <name val="Arial"/>
      <family val="2"/>
    </font>
    <font>
      <b/>
      <sz val="10"/>
      <name val="Arial"/>
      <family val="2"/>
      <charset val="162"/>
    </font>
    <font>
      <b/>
      <sz val="10"/>
      <color rgb="FF0000FF"/>
      <name val="Arial"/>
      <family val="2"/>
      <charset val="162"/>
    </font>
    <font>
      <b/>
      <sz val="9"/>
      <name val="Arial"/>
      <family val="2"/>
    </font>
    <font>
      <sz val="9"/>
      <name val="Arial"/>
      <family val="2"/>
    </font>
    <font>
      <b/>
      <sz val="9"/>
      <color rgb="FF0000FF"/>
      <name val="Arial"/>
      <family val="2"/>
      <charset val="162"/>
    </font>
    <font>
      <b/>
      <sz val="9"/>
      <color rgb="FF0000FF"/>
      <name val="Arial"/>
      <family val="2"/>
    </font>
    <font>
      <b/>
      <sz val="10"/>
      <color rgb="FF0000FF"/>
      <name val="Arial"/>
      <family val="2"/>
    </font>
    <font>
      <sz val="10"/>
      <color rgb="FF0000FF"/>
      <name val="Arial"/>
      <family val="2"/>
    </font>
    <font>
      <sz val="10"/>
      <name val="Arial"/>
      <family val="2"/>
      <charset val="162"/>
    </font>
    <font>
      <b/>
      <sz val="9"/>
      <name val="Arial"/>
      <family val="2"/>
      <charset val="162"/>
    </font>
    <font>
      <sz val="9"/>
      <color rgb="FF0000FF"/>
      <name val="Arial"/>
      <family val="2"/>
    </font>
    <font>
      <u/>
      <sz val="10"/>
      <color theme="10"/>
      <name val="Arial"/>
      <family val="2"/>
    </font>
    <font>
      <b/>
      <sz val="16"/>
      <name val="Times New Roman"/>
      <family val="1"/>
      <charset val="162"/>
    </font>
    <font>
      <sz val="12"/>
      <name val="Times New Roman"/>
      <family val="1"/>
      <charset val="162"/>
    </font>
    <font>
      <b/>
      <sz val="12"/>
      <name val="Times New Roman"/>
      <family val="1"/>
      <charset val="162"/>
    </font>
    <font>
      <sz val="11"/>
      <name val="Times New Roman"/>
      <family val="1"/>
      <charset val="162"/>
    </font>
    <font>
      <b/>
      <sz val="14"/>
      <name val="Times New Roman"/>
      <family val="1"/>
      <charset val="162"/>
    </font>
    <font>
      <sz val="14"/>
      <name val="Times New Roman"/>
      <family val="1"/>
      <charset val="162"/>
    </font>
    <font>
      <b/>
      <sz val="11"/>
      <name val="Times New Roman"/>
      <family val="1"/>
      <charset val="162"/>
    </font>
    <font>
      <sz val="10"/>
      <name val="Times New Roman"/>
      <family val="1"/>
      <charset val="162"/>
    </font>
    <font>
      <b/>
      <sz val="9"/>
      <name val="Times New Roman"/>
      <family val="1"/>
      <charset val="162"/>
    </font>
    <font>
      <b/>
      <sz val="10"/>
      <name val="Times New Roman"/>
      <family val="1"/>
      <charset val="162"/>
    </font>
    <font>
      <b/>
      <sz val="12"/>
      <name val="Arial"/>
      <family val="2"/>
      <charset val="162"/>
    </font>
    <font>
      <b/>
      <sz val="26"/>
      <name val="Arial"/>
      <family val="2"/>
      <charset val="162"/>
    </font>
    <font>
      <b/>
      <sz val="10"/>
      <color rgb="FF0000CC"/>
      <name val="Arial"/>
      <family val="2"/>
    </font>
    <font>
      <sz val="10"/>
      <color rgb="FF0000CC"/>
      <name val="Arial"/>
      <family val="2"/>
    </font>
  </fonts>
  <fills count="3">
    <fill>
      <patternFill patternType="none"/>
    </fill>
    <fill>
      <patternFill patternType="gray125"/>
    </fill>
    <fill>
      <patternFill patternType="solid">
        <fgColor theme="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auto="1"/>
      </top>
      <bottom style="medium">
        <color auto="1"/>
      </bottom>
      <diagonal/>
    </border>
    <border>
      <left/>
      <right/>
      <top style="medium">
        <color auto="1"/>
      </top>
      <bottom/>
      <diagonal/>
    </border>
    <border>
      <left/>
      <right/>
      <top/>
      <bottom style="medium">
        <color auto="1"/>
      </bottom>
      <diagonal/>
    </border>
    <border>
      <left/>
      <right/>
      <top style="medium">
        <color auto="1"/>
      </top>
      <bottom style="thin">
        <color auto="1"/>
      </bottom>
      <diagonal/>
    </border>
    <border>
      <left/>
      <right/>
      <top style="thin">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auto="1"/>
      </left>
      <right/>
      <top style="medium">
        <color auto="1"/>
      </top>
      <bottom/>
      <diagonal/>
    </border>
    <border>
      <left/>
      <right style="medium">
        <color indexed="64"/>
      </right>
      <top style="medium">
        <color indexed="64"/>
      </top>
      <bottom/>
      <diagonal/>
    </border>
    <border>
      <left style="medium">
        <color auto="1"/>
      </left>
      <right/>
      <top/>
      <bottom/>
      <diagonal/>
    </border>
    <border>
      <left/>
      <right style="medium">
        <color indexed="64"/>
      </right>
      <top/>
      <bottom/>
      <diagonal/>
    </border>
    <border>
      <left style="thin">
        <color auto="1"/>
      </left>
      <right/>
      <top/>
      <bottom/>
      <diagonal/>
    </border>
    <border>
      <left/>
      <right style="thin">
        <color auto="1"/>
      </right>
      <top/>
      <bottom/>
      <diagonal/>
    </border>
    <border>
      <left style="thick">
        <color auto="1"/>
      </left>
      <right/>
      <top/>
      <bottom/>
      <diagonal/>
    </border>
    <border>
      <left style="thin">
        <color auto="1"/>
      </left>
      <right style="thin">
        <color auto="1"/>
      </right>
      <top/>
      <bottom style="medium">
        <color auto="1"/>
      </bottom>
      <diagonal/>
    </border>
    <border>
      <left style="thin">
        <color auto="1"/>
      </left>
      <right style="thin">
        <color auto="1"/>
      </right>
      <top style="medium">
        <color auto="1"/>
      </top>
      <bottom/>
      <diagonal/>
    </border>
    <border>
      <left/>
      <right style="medium">
        <color indexed="64"/>
      </right>
      <top/>
      <bottom style="medium">
        <color indexed="64"/>
      </bottom>
      <diagonal/>
    </border>
    <border>
      <left style="medium">
        <color auto="1"/>
      </left>
      <right style="medium">
        <color auto="1"/>
      </right>
      <top/>
      <bottom/>
      <diagonal/>
    </border>
    <border>
      <left/>
      <right style="medium">
        <color auto="1"/>
      </right>
      <top style="thin">
        <color auto="1"/>
      </top>
      <bottom style="thin">
        <color auto="1"/>
      </bottom>
      <diagonal/>
    </border>
    <border>
      <left style="medium">
        <color auto="1"/>
      </left>
      <right/>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right style="medium">
        <color indexed="64"/>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indexed="64"/>
      </left>
      <right/>
      <top style="thin">
        <color indexed="64"/>
      </top>
      <bottom/>
      <diagonal/>
    </border>
    <border>
      <left/>
      <right style="medium">
        <color auto="1"/>
      </right>
      <top style="thin">
        <color auto="1"/>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right style="medium">
        <color auto="1"/>
      </right>
      <top/>
      <bottom style="thin">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auto="1"/>
      </top>
      <bottom style="thin">
        <color auto="1"/>
      </bottom>
      <diagonal/>
    </border>
  </borders>
  <cellStyleXfs count="22">
    <xf numFmtId="0" fontId="0" fillId="0" borderId="0"/>
    <xf numFmtId="9" fontId="3" fillId="0" borderId="0" applyFont="0" applyFill="0" applyBorder="0" applyAlignment="0" applyProtection="0"/>
    <xf numFmtId="166" fontId="3" fillId="0" borderId="0" applyFont="0" applyFill="0" applyBorder="0" applyAlignment="0" applyProtection="0"/>
    <xf numFmtId="164" fontId="3" fillId="0" borderId="0" applyFont="0" applyFill="0" applyBorder="0" applyAlignment="0" applyProtection="0"/>
    <xf numFmtId="167" fontId="3" fillId="0" borderId="0" applyFont="0" applyFill="0" applyBorder="0" applyAlignment="0" applyProtection="0"/>
    <xf numFmtId="165" fontId="3" fillId="0" borderId="0" applyFont="0" applyFill="0" applyBorder="0" applyAlignment="0" applyProtection="0"/>
    <xf numFmtId="0" fontId="25" fillId="0" borderId="0" applyNumberFormat="0" applyFill="0" applyBorder="0" applyAlignment="0" applyProtection="0"/>
    <xf numFmtId="171" fontId="3" fillId="0" borderId="0" applyFont="0" applyFill="0" applyBorder="0" applyAlignment="0" applyProtection="0"/>
    <xf numFmtId="169" fontId="3" fillId="0" borderId="0" applyFont="0" applyFill="0" applyBorder="0" applyAlignment="0" applyProtection="0"/>
    <xf numFmtId="172"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172" fontId="3" fillId="0" borderId="0" applyFont="0" applyFill="0" applyBorder="0" applyAlignment="0" applyProtection="0"/>
    <xf numFmtId="0" fontId="25" fillId="0" borderId="0" applyNumberFormat="0" applyFill="0" applyBorder="0" applyAlignment="0" applyProtection="0"/>
    <xf numFmtId="0" fontId="1" fillId="0" borderId="0"/>
    <xf numFmtId="0" fontId="3" fillId="0" borderId="0"/>
    <xf numFmtId="44"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cellStyleXfs>
  <cellXfs count="499">
    <xf numFmtId="0" fontId="0" fillId="0" borderId="0" xfId="0"/>
    <xf numFmtId="168" fontId="0" fillId="0" borderId="0" xfId="0" applyNumberFormat="1" applyFont="1" applyAlignment="1">
      <alignment wrapText="1"/>
    </xf>
    <xf numFmtId="0" fontId="0" fillId="0" borderId="0" xfId="0" applyNumberFormat="1" applyFont="1" applyAlignment="1">
      <alignment wrapText="1"/>
    </xf>
    <xf numFmtId="2" fontId="0" fillId="0" borderId="0" xfId="0" applyNumberFormat="1" applyFont="1" applyAlignment="1">
      <alignment wrapText="1"/>
    </xf>
    <xf numFmtId="0" fontId="0" fillId="0" borderId="0" xfId="0" applyAlignment="1">
      <alignment vertical="center"/>
    </xf>
    <xf numFmtId="0" fontId="2" fillId="0" borderId="0" xfId="0" applyNumberFormat="1" applyFont="1" applyAlignment="1">
      <alignment horizontal="left" vertical="center" wrapText="1"/>
    </xf>
    <xf numFmtId="0" fontId="0" fillId="0" borderId="0" xfId="0" applyAlignment="1">
      <alignment horizontal="left"/>
    </xf>
    <xf numFmtId="0" fontId="5" fillId="0" borderId="0" xfId="0" applyFont="1"/>
    <xf numFmtId="0" fontId="5" fillId="0" borderId="0" xfId="0" applyFont="1" applyAlignment="1">
      <alignment horizontal="center" vertical="center"/>
    </xf>
    <xf numFmtId="0" fontId="5" fillId="0" borderId="0" xfId="0" applyFont="1" applyAlignment="1">
      <alignment wrapText="1"/>
    </xf>
    <xf numFmtId="0" fontId="5" fillId="0" borderId="0" xfId="0" applyFont="1" applyAlignment="1">
      <alignment horizontal="left"/>
    </xf>
    <xf numFmtId="0" fontId="4" fillId="0" borderId="1" xfId="0" applyNumberFormat="1" applyFont="1" applyBorder="1" applyAlignment="1">
      <alignment horizontal="center" vertical="center" wrapText="1"/>
    </xf>
    <xf numFmtId="0" fontId="4" fillId="0" borderId="1" xfId="0" applyNumberFormat="1" applyFont="1" applyBorder="1" applyAlignment="1">
      <alignment horizontal="left" vertical="center" wrapText="1"/>
    </xf>
    <xf numFmtId="0" fontId="5" fillId="0" borderId="0" xfId="0" applyFont="1" applyAlignment="1">
      <alignment vertical="center"/>
    </xf>
    <xf numFmtId="0" fontId="4" fillId="0" borderId="0" xfId="0" applyNumberFormat="1" applyFont="1" applyBorder="1" applyAlignment="1">
      <alignment horizontal="left" vertical="center" wrapText="1"/>
    </xf>
    <xf numFmtId="168" fontId="6" fillId="0" borderId="0" xfId="0" applyNumberFormat="1" applyFont="1" applyBorder="1" applyAlignment="1">
      <alignment vertical="center" wrapText="1"/>
    </xf>
    <xf numFmtId="0" fontId="0" fillId="0" borderId="0" xfId="0"/>
    <xf numFmtId="0" fontId="5" fillId="0" borderId="0" xfId="0" applyFont="1" applyAlignment="1">
      <alignment wrapText="1"/>
    </xf>
    <xf numFmtId="0" fontId="5" fillId="0" borderId="0" xfId="0" applyFont="1"/>
    <xf numFmtId="0" fontId="0" fillId="0" borderId="0" xfId="0"/>
    <xf numFmtId="0" fontId="2" fillId="0" borderId="0" xfId="0" applyFont="1" applyAlignment="1">
      <alignment horizontal="center" wrapText="1"/>
    </xf>
    <xf numFmtId="0" fontId="10" fillId="0" borderId="1" xfId="0" applyNumberFormat="1" applyFont="1" applyBorder="1" applyAlignment="1">
      <alignment horizontal="center" vertical="center" wrapText="1"/>
    </xf>
    <xf numFmtId="0" fontId="12" fillId="0" borderId="5" xfId="0" applyFont="1" applyBorder="1" applyAlignment="1">
      <alignment horizontal="center" vertical="center" wrapText="1"/>
    </xf>
    <xf numFmtId="0" fontId="12" fillId="0" borderId="5" xfId="0" applyFont="1" applyBorder="1" applyAlignment="1">
      <alignment vertical="center"/>
    </xf>
    <xf numFmtId="0" fontId="11" fillId="0" borderId="1" xfId="0" applyNumberFormat="1" applyFont="1" applyBorder="1" applyAlignment="1">
      <alignment horizontal="left" vertical="center" wrapText="1"/>
    </xf>
    <xf numFmtId="0" fontId="0" fillId="0" borderId="0" xfId="0"/>
    <xf numFmtId="0" fontId="2" fillId="0" borderId="0" xfId="0" applyFont="1" applyAlignment="1">
      <alignment horizontal="center" wrapText="1"/>
    </xf>
    <xf numFmtId="0" fontId="2" fillId="0" borderId="1" xfId="0" applyNumberFormat="1" applyFont="1" applyBorder="1" applyAlignment="1">
      <alignment horizontal="left" wrapText="1"/>
    </xf>
    <xf numFmtId="0" fontId="2" fillId="0" borderId="1" xfId="0" applyNumberFormat="1" applyFont="1" applyBorder="1" applyAlignment="1">
      <alignment wrapText="1"/>
    </xf>
    <xf numFmtId="0" fontId="2" fillId="0" borderId="1" xfId="0" applyNumberFormat="1" applyFont="1" applyBorder="1" applyAlignment="1">
      <alignment horizontal="left" vertical="center" wrapText="1"/>
    </xf>
    <xf numFmtId="168" fontId="0" fillId="0" borderId="1" xfId="0" applyNumberFormat="1" applyFont="1" applyBorder="1" applyAlignment="1">
      <alignment wrapText="1"/>
    </xf>
    <xf numFmtId="0" fontId="14" fillId="0" borderId="1" xfId="0" applyFont="1" applyBorder="1" applyAlignment="1">
      <alignment horizontal="left"/>
    </xf>
    <xf numFmtId="168" fontId="14" fillId="0" borderId="1" xfId="0" applyNumberFormat="1" applyFont="1" applyBorder="1"/>
    <xf numFmtId="0" fontId="2" fillId="0" borderId="11" xfId="0" applyNumberFormat="1" applyFont="1" applyBorder="1" applyAlignment="1">
      <alignment horizontal="left" wrapText="1"/>
    </xf>
    <xf numFmtId="0" fontId="2" fillId="0" borderId="9" xfId="0" applyNumberFormat="1" applyFont="1" applyBorder="1" applyAlignment="1">
      <alignment horizontal="center" wrapText="1"/>
    </xf>
    <xf numFmtId="0" fontId="2" fillId="0" borderId="11" xfId="0" applyFont="1" applyBorder="1" applyAlignment="1">
      <alignment horizontal="center" vertical="center" wrapText="1"/>
    </xf>
    <xf numFmtId="0" fontId="0" fillId="0" borderId="11" xfId="0" applyBorder="1" applyAlignment="1">
      <alignment vertical="center"/>
    </xf>
    <xf numFmtId="0" fontId="2" fillId="0" borderId="10" xfId="0" applyNumberFormat="1" applyFont="1" applyBorder="1" applyAlignment="1">
      <alignment horizontal="left" wrapText="1"/>
    </xf>
    <xf numFmtId="0" fontId="15" fillId="0" borderId="9" xfId="0" applyNumberFormat="1" applyFont="1" applyBorder="1" applyAlignment="1">
      <alignment horizontal="left" vertical="center" wrapText="1"/>
    </xf>
    <xf numFmtId="168" fontId="0" fillId="0" borderId="0" xfId="0" applyNumberFormat="1" applyFont="1" applyAlignment="1">
      <alignment horizontal="right" wrapText="1" indent="2"/>
    </xf>
    <xf numFmtId="168" fontId="15" fillId="0" borderId="9" xfId="0" applyNumberFormat="1" applyFont="1" applyBorder="1" applyAlignment="1">
      <alignment horizontal="right" wrapText="1" indent="2"/>
    </xf>
    <xf numFmtId="168" fontId="0" fillId="0" borderId="1" xfId="0" applyNumberFormat="1" applyFont="1" applyBorder="1" applyAlignment="1">
      <alignment horizontal="right" vertical="center" wrapText="1" indent="2"/>
    </xf>
    <xf numFmtId="168" fontId="6" fillId="0" borderId="1" xfId="0" applyNumberFormat="1" applyFont="1" applyBorder="1" applyAlignment="1">
      <alignment horizontal="right" vertical="center" wrapText="1" indent="2"/>
    </xf>
    <xf numFmtId="168" fontId="5" fillId="0" borderId="1" xfId="0" applyNumberFormat="1" applyFont="1" applyBorder="1" applyAlignment="1">
      <alignment horizontal="right" vertical="center" wrapText="1" indent="1"/>
    </xf>
    <xf numFmtId="168" fontId="6" fillId="0" borderId="1" xfId="0" applyNumberFormat="1" applyFont="1" applyBorder="1" applyAlignment="1">
      <alignment horizontal="right" vertical="center" wrapText="1" indent="1"/>
    </xf>
    <xf numFmtId="0" fontId="0" fillId="0" borderId="0" xfId="0"/>
    <xf numFmtId="0" fontId="16" fillId="0" borderId="0" xfId="0" applyNumberFormat="1" applyFont="1" applyAlignment="1">
      <alignment horizontal="left" vertical="center" wrapText="1"/>
    </xf>
    <xf numFmtId="168" fontId="17" fillId="0" borderId="0" xfId="0" applyNumberFormat="1" applyFont="1" applyAlignment="1">
      <alignment wrapText="1"/>
    </xf>
    <xf numFmtId="2" fontId="17" fillId="0" borderId="0" xfId="0" applyNumberFormat="1" applyFont="1" applyAlignment="1">
      <alignment wrapText="1"/>
    </xf>
    <xf numFmtId="0" fontId="17" fillId="0" borderId="0" xfId="0" applyNumberFormat="1" applyFont="1" applyAlignment="1">
      <alignment wrapText="1"/>
    </xf>
    <xf numFmtId="0" fontId="16" fillId="0" borderId="10" xfId="0" applyNumberFormat="1" applyFont="1" applyBorder="1" applyAlignment="1">
      <alignment horizontal="left" vertical="center" wrapText="1"/>
    </xf>
    <xf numFmtId="0" fontId="16" fillId="0" borderId="13" xfId="0" applyNumberFormat="1" applyFont="1" applyBorder="1" applyAlignment="1">
      <alignment horizontal="right" wrapText="1"/>
    </xf>
    <xf numFmtId="0" fontId="16" fillId="0" borderId="9" xfId="0" applyNumberFormat="1" applyFont="1" applyBorder="1" applyAlignment="1">
      <alignment horizontal="left" vertical="center" wrapText="1"/>
    </xf>
    <xf numFmtId="168" fontId="17" fillId="0" borderId="9" xfId="0" applyNumberFormat="1" applyFont="1" applyBorder="1" applyAlignment="1">
      <alignment wrapText="1"/>
    </xf>
    <xf numFmtId="2" fontId="17" fillId="0" borderId="9" xfId="0" applyNumberFormat="1" applyFont="1" applyBorder="1" applyAlignment="1">
      <alignment wrapText="1"/>
    </xf>
    <xf numFmtId="0" fontId="17" fillId="0" borderId="9" xfId="0" applyNumberFormat="1" applyFont="1" applyBorder="1" applyAlignment="1">
      <alignment wrapText="1"/>
    </xf>
    <xf numFmtId="0" fontId="18" fillId="0" borderId="9" xfId="0" applyNumberFormat="1" applyFont="1" applyBorder="1" applyAlignment="1">
      <alignment horizontal="left" vertical="center" wrapText="1"/>
    </xf>
    <xf numFmtId="168" fontId="18" fillId="0" borderId="9" xfId="0" applyNumberFormat="1" applyFont="1" applyBorder="1" applyAlignment="1">
      <alignment wrapText="1"/>
    </xf>
    <xf numFmtId="2" fontId="18" fillId="0" borderId="9" xfId="0" applyNumberFormat="1" applyFont="1" applyBorder="1" applyAlignment="1">
      <alignment wrapText="1"/>
    </xf>
    <xf numFmtId="168" fontId="19" fillId="0" borderId="9" xfId="0" applyNumberFormat="1" applyFont="1" applyBorder="1" applyAlignment="1">
      <alignment wrapText="1"/>
    </xf>
    <xf numFmtId="168" fontId="18" fillId="0" borderId="0" xfId="0" applyNumberFormat="1" applyFont="1" applyAlignment="1">
      <alignment wrapText="1"/>
    </xf>
    <xf numFmtId="168" fontId="0" fillId="0" borderId="0" xfId="0" applyNumberFormat="1" applyFont="1" applyAlignment="1">
      <alignment horizontal="right" wrapText="1" indent="1"/>
    </xf>
    <xf numFmtId="168" fontId="15" fillId="0" borderId="0" xfId="0" applyNumberFormat="1" applyFont="1" applyAlignment="1">
      <alignment horizontal="right" wrapText="1" indent="1"/>
    </xf>
    <xf numFmtId="2" fontId="0" fillId="0" borderId="0" xfId="0" applyNumberFormat="1" applyFont="1" applyAlignment="1">
      <alignment horizontal="right" wrapText="1" indent="2"/>
    </xf>
    <xf numFmtId="0" fontId="2" fillId="0" borderId="9" xfId="0" applyNumberFormat="1" applyFont="1" applyBorder="1" applyAlignment="1">
      <alignment horizontal="left" vertical="center" wrapText="1"/>
    </xf>
    <xf numFmtId="168" fontId="15" fillId="0" borderId="9" xfId="0" applyNumberFormat="1" applyFont="1" applyBorder="1" applyAlignment="1">
      <alignment horizontal="right" wrapText="1" indent="1"/>
    </xf>
    <xf numFmtId="2" fontId="0" fillId="0" borderId="9" xfId="0" applyNumberFormat="1" applyFont="1" applyBorder="1" applyAlignment="1">
      <alignment horizontal="right" wrapText="1" indent="2"/>
    </xf>
    <xf numFmtId="2" fontId="0" fillId="0" borderId="9" xfId="0" applyNumberFormat="1" applyFont="1" applyBorder="1" applyAlignment="1">
      <alignment horizontal="right" wrapText="1" indent="1"/>
    </xf>
    <xf numFmtId="0" fontId="0" fillId="0" borderId="9" xfId="0" applyNumberFormat="1" applyFont="1" applyBorder="1" applyAlignment="1">
      <alignment horizontal="right" wrapText="1" indent="2"/>
    </xf>
    <xf numFmtId="0" fontId="16" fillId="0" borderId="10" xfId="0" applyNumberFormat="1" applyFont="1" applyBorder="1" applyAlignment="1">
      <alignment horizontal="left" wrapText="1"/>
    </xf>
    <xf numFmtId="0" fontId="16" fillId="0" borderId="0" xfId="0" applyNumberFormat="1" applyFont="1" applyBorder="1" applyAlignment="1">
      <alignment horizontal="left" vertical="center" wrapText="1"/>
    </xf>
    <xf numFmtId="0" fontId="16" fillId="0" borderId="9" xfId="0" applyNumberFormat="1" applyFont="1" applyBorder="1" applyAlignment="1">
      <alignment horizontal="right" vertical="center" wrapText="1"/>
    </xf>
    <xf numFmtId="0" fontId="16" fillId="0" borderId="0" xfId="0" applyNumberFormat="1" applyFont="1" applyBorder="1" applyAlignment="1">
      <alignment horizontal="right" vertical="center" wrapText="1"/>
    </xf>
    <xf numFmtId="168" fontId="17" fillId="0" borderId="10" xfId="0" applyNumberFormat="1" applyFont="1" applyBorder="1" applyAlignment="1">
      <alignment vertical="center" wrapText="1"/>
    </xf>
    <xf numFmtId="0" fontId="17" fillId="0" borderId="10" xfId="0" applyNumberFormat="1" applyFont="1" applyBorder="1" applyAlignment="1">
      <alignment vertical="center" wrapText="1"/>
    </xf>
    <xf numFmtId="168" fontId="19" fillId="0" borderId="10" xfId="0" applyNumberFormat="1" applyFont="1" applyBorder="1" applyAlignment="1">
      <alignment vertical="center" wrapText="1"/>
    </xf>
    <xf numFmtId="2" fontId="17" fillId="0" borderId="10" xfId="0" applyNumberFormat="1" applyFont="1" applyBorder="1" applyAlignment="1">
      <alignment vertical="center" wrapText="1"/>
    </xf>
    <xf numFmtId="0" fontId="17" fillId="0" borderId="0" xfId="0" applyNumberFormat="1" applyFont="1" applyAlignment="1">
      <alignment vertical="center" wrapText="1"/>
    </xf>
    <xf numFmtId="168" fontId="17" fillId="0" borderId="0" xfId="0" applyNumberFormat="1" applyFont="1" applyAlignment="1">
      <alignment vertical="center" wrapText="1"/>
    </xf>
    <xf numFmtId="168" fontId="19" fillId="0" borderId="0" xfId="0" applyNumberFormat="1" applyFont="1" applyAlignment="1">
      <alignment vertical="center" wrapText="1"/>
    </xf>
    <xf numFmtId="2" fontId="17" fillId="0" borderId="0" xfId="0" applyNumberFormat="1" applyFont="1" applyAlignment="1">
      <alignment vertical="center" wrapText="1"/>
    </xf>
    <xf numFmtId="168" fontId="19" fillId="0" borderId="9" xfId="0" applyNumberFormat="1" applyFont="1" applyBorder="1" applyAlignment="1">
      <alignment vertical="center" wrapText="1"/>
    </xf>
    <xf numFmtId="2" fontId="17" fillId="0" borderId="9" xfId="0" applyNumberFormat="1" applyFont="1" applyBorder="1" applyAlignment="1">
      <alignment vertical="center" wrapText="1"/>
    </xf>
    <xf numFmtId="0" fontId="17" fillId="0" borderId="9" xfId="0" applyNumberFormat="1" applyFont="1" applyBorder="1" applyAlignment="1">
      <alignment vertical="center" wrapText="1"/>
    </xf>
    <xf numFmtId="0" fontId="22" fillId="0" borderId="0" xfId="0" applyNumberFormat="1" applyFont="1" applyAlignment="1">
      <alignment horizontal="left" vertical="center" wrapText="1"/>
    </xf>
    <xf numFmtId="0" fontId="14" fillId="0" borderId="0" xfId="0" applyNumberFormat="1" applyFont="1" applyAlignment="1">
      <alignment horizontal="center" vertical="center" wrapText="1"/>
    </xf>
    <xf numFmtId="0" fontId="14" fillId="0" borderId="0" xfId="0" applyFont="1"/>
    <xf numFmtId="0" fontId="14" fillId="0" borderId="9" xfId="0" applyNumberFormat="1" applyFont="1" applyBorder="1" applyAlignment="1">
      <alignment horizontal="center" vertical="center" wrapText="1"/>
    </xf>
    <xf numFmtId="0" fontId="2" fillId="0" borderId="9" xfId="0" applyNumberFormat="1" applyFont="1" applyBorder="1" applyAlignment="1">
      <alignment horizontal="center" vertical="center" wrapText="1"/>
    </xf>
    <xf numFmtId="0" fontId="22" fillId="0" borderId="10" xfId="0" applyNumberFormat="1" applyFont="1" applyBorder="1" applyAlignment="1">
      <alignment horizontal="left" vertical="center" wrapText="1"/>
    </xf>
    <xf numFmtId="0" fontId="22" fillId="0" borderId="0" xfId="0" applyNumberFormat="1" applyFont="1" applyBorder="1" applyAlignment="1">
      <alignment horizontal="left" vertical="center" wrapText="1"/>
    </xf>
    <xf numFmtId="0" fontId="14" fillId="0" borderId="9" xfId="0" applyNumberFormat="1" applyFont="1" applyBorder="1" applyAlignment="1">
      <alignment horizontal="left" vertical="center" wrapText="1"/>
    </xf>
    <xf numFmtId="0" fontId="14" fillId="0" borderId="11" xfId="0" applyNumberFormat="1" applyFont="1" applyBorder="1" applyAlignment="1">
      <alignment horizontal="center" vertical="center" wrapText="1"/>
    </xf>
    <xf numFmtId="0" fontId="2" fillId="0" borderId="9" xfId="0" applyNumberFormat="1" applyFont="1" applyBorder="1" applyAlignment="1">
      <alignment vertical="center" wrapText="1"/>
    </xf>
    <xf numFmtId="0" fontId="17" fillId="0" borderId="0" xfId="0" applyFont="1"/>
    <xf numFmtId="0" fontId="16" fillId="0" borderId="11" xfId="0" applyNumberFormat="1" applyFont="1" applyBorder="1" applyAlignment="1">
      <alignment horizontal="left" wrapText="1"/>
    </xf>
    <xf numFmtId="0" fontId="17" fillId="0" borderId="0" xfId="0" applyFont="1" applyAlignment="1">
      <alignment horizontal="left"/>
    </xf>
    <xf numFmtId="0" fontId="16" fillId="0" borderId="5" xfId="0" applyNumberFormat="1" applyFont="1" applyBorder="1" applyAlignment="1">
      <alignment horizontal="left" vertical="center" wrapText="1"/>
    </xf>
    <xf numFmtId="168" fontId="17" fillId="0" borderId="5" xfId="0" applyNumberFormat="1" applyFont="1" applyBorder="1" applyAlignment="1">
      <alignment wrapText="1"/>
    </xf>
    <xf numFmtId="2" fontId="17" fillId="0" borderId="5" xfId="0" applyNumberFormat="1" applyFont="1" applyBorder="1" applyAlignment="1">
      <alignment wrapText="1"/>
    </xf>
    <xf numFmtId="168" fontId="23" fillId="0" borderId="9" xfId="0" applyNumberFormat="1" applyFont="1" applyBorder="1" applyAlignment="1">
      <alignment wrapText="1"/>
    </xf>
    <xf numFmtId="2" fontId="23" fillId="0" borderId="9" xfId="0" applyNumberFormat="1" applyFont="1" applyBorder="1" applyAlignment="1">
      <alignment wrapText="1"/>
    </xf>
    <xf numFmtId="0" fontId="16" fillId="0" borderId="13" xfId="0" applyNumberFormat="1" applyFont="1" applyBorder="1" applyAlignment="1">
      <alignment vertical="center" wrapText="1"/>
    </xf>
    <xf numFmtId="0" fontId="16" fillId="0" borderId="13" xfId="0" applyNumberFormat="1" applyFont="1" applyBorder="1" applyAlignment="1">
      <alignment horizontal="center" vertical="center" wrapText="1"/>
    </xf>
    <xf numFmtId="0" fontId="23" fillId="0" borderId="9" xfId="0" applyNumberFormat="1" applyFont="1" applyBorder="1" applyAlignment="1">
      <alignment horizontal="left" vertical="center" wrapText="1"/>
    </xf>
    <xf numFmtId="168" fontId="23" fillId="0" borderId="9" xfId="0" applyNumberFormat="1" applyFont="1" applyBorder="1" applyAlignment="1">
      <alignment vertical="center" wrapText="1"/>
    </xf>
    <xf numFmtId="0" fontId="19" fillId="0" borderId="9" xfId="0" applyNumberFormat="1" applyFont="1" applyBorder="1" applyAlignment="1">
      <alignment horizontal="right" vertical="center" wrapText="1"/>
    </xf>
    <xf numFmtId="168" fontId="24" fillId="0" borderId="0" xfId="0" applyNumberFormat="1" applyFont="1" applyAlignment="1">
      <alignment wrapText="1"/>
    </xf>
    <xf numFmtId="168" fontId="24" fillId="0" borderId="5" xfId="0" applyNumberFormat="1" applyFont="1" applyBorder="1" applyAlignment="1">
      <alignment wrapText="1"/>
    </xf>
    <xf numFmtId="168" fontId="24" fillId="0" borderId="0" xfId="0" applyNumberFormat="1" applyFont="1" applyAlignment="1">
      <alignment vertical="center" wrapText="1"/>
    </xf>
    <xf numFmtId="0" fontId="0" fillId="0" borderId="0" xfId="0"/>
    <xf numFmtId="0" fontId="2" fillId="0" borderId="0" xfId="0" applyFont="1" applyAlignment="1">
      <alignment horizontal="center" vertical="center" wrapText="1"/>
    </xf>
    <xf numFmtId="0" fontId="0" fillId="0" borderId="0" xfId="0" applyAlignment="1">
      <alignment vertical="center"/>
    </xf>
    <xf numFmtId="0" fontId="2" fillId="0" borderId="0" xfId="0" applyNumberFormat="1" applyFont="1" applyAlignment="1">
      <alignment horizontal="left" vertical="center" wrapText="1"/>
    </xf>
    <xf numFmtId="0" fontId="2" fillId="0" borderId="11" xfId="0" applyNumberFormat="1" applyFont="1" applyBorder="1" applyAlignment="1">
      <alignment horizontal="left" vertical="center" wrapText="1"/>
    </xf>
    <xf numFmtId="168" fontId="17" fillId="0" borderId="1" xfId="0" applyNumberFormat="1" applyFont="1" applyBorder="1"/>
    <xf numFmtId="168" fontId="17" fillId="0" borderId="19" xfId="0" applyNumberFormat="1" applyFont="1" applyBorder="1"/>
    <xf numFmtId="168" fontId="17" fillId="0" borderId="7" xfId="0" applyNumberFormat="1" applyFont="1" applyBorder="1"/>
    <xf numFmtId="2" fontId="15" fillId="0" borderId="9" xfId="0" applyNumberFormat="1" applyFont="1" applyBorder="1" applyAlignment="1">
      <alignment horizontal="right" wrapText="1" indent="2"/>
    </xf>
    <xf numFmtId="0" fontId="0" fillId="0" borderId="0" xfId="0"/>
    <xf numFmtId="2" fontId="0" fillId="0" borderId="0" xfId="0" applyNumberFormat="1" applyFont="1" applyAlignment="1">
      <alignment horizontal="right" vertical="center" wrapText="1" indent="3"/>
    </xf>
    <xf numFmtId="168" fontId="0" fillId="0" borderId="0" xfId="0" applyNumberFormat="1" applyFont="1" applyAlignment="1">
      <alignment horizontal="right" vertical="center" wrapText="1" indent="2"/>
    </xf>
    <xf numFmtId="0" fontId="2" fillId="0" borderId="10" xfId="0" applyNumberFormat="1" applyFont="1" applyBorder="1" applyAlignment="1">
      <alignment wrapText="1"/>
    </xf>
    <xf numFmtId="0" fontId="2" fillId="0" borderId="9" xfId="0" applyNumberFormat="1" applyFont="1" applyBorder="1" applyAlignment="1">
      <alignment horizontal="right" vertical="center" wrapText="1" indent="2"/>
    </xf>
    <xf numFmtId="2" fontId="15" fillId="0" borderId="9" xfId="0" applyNumberFormat="1" applyFont="1" applyBorder="1" applyAlignment="1">
      <alignment horizontal="right" vertical="center" wrapText="1" indent="3"/>
    </xf>
    <xf numFmtId="0" fontId="23" fillId="0" borderId="9" xfId="0" applyNumberFormat="1" applyFont="1" applyBorder="1" applyAlignment="1">
      <alignment wrapText="1"/>
    </xf>
    <xf numFmtId="0" fontId="14" fillId="0" borderId="11" xfId="0" applyNumberFormat="1" applyFont="1" applyBorder="1" applyAlignment="1">
      <alignment horizontal="left" vertical="center" wrapText="1"/>
    </xf>
    <xf numFmtId="168" fontId="14" fillId="0" borderId="0" xfId="0" applyNumberFormat="1" applyFont="1" applyAlignment="1">
      <alignment wrapText="1"/>
    </xf>
    <xf numFmtId="2" fontId="14" fillId="0" borderId="0" xfId="0" applyNumberFormat="1" applyFont="1" applyAlignment="1">
      <alignment wrapText="1"/>
    </xf>
    <xf numFmtId="0" fontId="0" fillId="0" borderId="0" xfId="0"/>
    <xf numFmtId="0" fontId="2" fillId="0" borderId="0" xfId="0" applyNumberFormat="1" applyFont="1" applyAlignment="1">
      <alignment horizontal="left" vertical="center" wrapText="1"/>
    </xf>
    <xf numFmtId="0" fontId="2" fillId="0" borderId="10" xfId="0" applyNumberFormat="1" applyFont="1" applyBorder="1" applyAlignment="1">
      <alignment horizontal="left" vertical="center" wrapText="1"/>
    </xf>
    <xf numFmtId="0" fontId="2" fillId="0" borderId="11" xfId="0" applyNumberFormat="1" applyFont="1" applyBorder="1" applyAlignment="1">
      <alignment horizontal="left" vertical="center" wrapText="1"/>
    </xf>
    <xf numFmtId="0" fontId="2" fillId="0" borderId="0" xfId="0" applyFont="1" applyAlignment="1">
      <alignment horizontal="center" wrapText="1"/>
    </xf>
    <xf numFmtId="0" fontId="14" fillId="0" borderId="0" xfId="0" applyFont="1" applyAlignment="1">
      <alignment horizontal="center" vertical="center"/>
    </xf>
    <xf numFmtId="168" fontId="0" fillId="0" borderId="1" xfId="0" applyNumberFormat="1" applyBorder="1"/>
    <xf numFmtId="168" fontId="14" fillId="0" borderId="14" xfId="0" applyNumberFormat="1" applyFont="1" applyBorder="1"/>
    <xf numFmtId="0" fontId="14" fillId="0" borderId="15" xfId="0" applyFont="1" applyBorder="1" applyAlignment="1">
      <alignment horizontal="center" vertical="center" wrapText="1"/>
    </xf>
    <xf numFmtId="0" fontId="0" fillId="0" borderId="29" xfId="0" applyBorder="1"/>
    <xf numFmtId="0" fontId="14" fillId="0" borderId="26" xfId="0" applyFont="1" applyBorder="1"/>
    <xf numFmtId="168" fontId="0" fillId="0" borderId="19" xfId="0" applyNumberFormat="1" applyBorder="1"/>
    <xf numFmtId="168" fontId="14" fillId="0" borderId="20" xfId="0" applyNumberFormat="1" applyFont="1" applyBorder="1"/>
    <xf numFmtId="0" fontId="14" fillId="0" borderId="13" xfId="0" applyFont="1" applyBorder="1" applyAlignment="1">
      <alignment horizontal="center" vertical="center" wrapText="1"/>
    </xf>
    <xf numFmtId="168" fontId="0" fillId="0" borderId="7" xfId="0" applyNumberFormat="1" applyBorder="1"/>
    <xf numFmtId="168" fontId="14" fillId="0" borderId="9" xfId="0" applyNumberFormat="1" applyFont="1" applyBorder="1"/>
    <xf numFmtId="0" fontId="14" fillId="0" borderId="0" xfId="0" applyNumberFormat="1" applyFont="1" applyAlignment="1">
      <alignment wrapText="1"/>
    </xf>
    <xf numFmtId="0" fontId="14" fillId="0" borderId="0" xfId="0" applyNumberFormat="1" applyFont="1" applyAlignment="1">
      <alignment vertical="center" wrapText="1"/>
    </xf>
    <xf numFmtId="168" fontId="0" fillId="0" borderId="10" xfId="0" applyNumberFormat="1" applyFont="1" applyBorder="1" applyAlignment="1">
      <alignment wrapText="1"/>
    </xf>
    <xf numFmtId="0" fontId="0" fillId="0" borderId="10" xfId="0" applyNumberFormat="1" applyFont="1" applyBorder="1" applyAlignment="1">
      <alignment wrapText="1"/>
    </xf>
    <xf numFmtId="2" fontId="0" fillId="0" borderId="10" xfId="0" applyNumberFormat="1" applyFont="1" applyBorder="1" applyAlignment="1">
      <alignment wrapText="1"/>
    </xf>
    <xf numFmtId="168" fontId="0" fillId="0" borderId="0" xfId="0" applyNumberFormat="1" applyFont="1" applyBorder="1" applyAlignment="1">
      <alignment wrapText="1"/>
    </xf>
    <xf numFmtId="0" fontId="0" fillId="0" borderId="0" xfId="0" applyNumberFormat="1" applyFont="1" applyBorder="1" applyAlignment="1">
      <alignment wrapText="1"/>
    </xf>
    <xf numFmtId="2" fontId="0" fillId="0" borderId="0" xfId="0" applyNumberFormat="1" applyFont="1" applyBorder="1" applyAlignment="1">
      <alignment wrapText="1"/>
    </xf>
    <xf numFmtId="168" fontId="14" fillId="0" borderId="11" xfId="0" applyNumberFormat="1" applyFont="1" applyBorder="1" applyAlignment="1">
      <alignment wrapText="1"/>
    </xf>
    <xf numFmtId="0" fontId="14" fillId="0" borderId="11" xfId="0" applyNumberFormat="1" applyFont="1" applyBorder="1" applyAlignment="1">
      <alignment wrapText="1"/>
    </xf>
    <xf numFmtId="2" fontId="14" fillId="0" borderId="11" xfId="0" applyNumberFormat="1" applyFont="1" applyBorder="1" applyAlignment="1">
      <alignment wrapText="1"/>
    </xf>
    <xf numFmtId="168" fontId="14" fillId="0" borderId="9" xfId="0" applyNumberFormat="1" applyFont="1" applyBorder="1" applyAlignment="1">
      <alignment wrapText="1"/>
    </xf>
    <xf numFmtId="2" fontId="14" fillId="0" borderId="9" xfId="0" applyNumberFormat="1" applyFont="1" applyBorder="1" applyAlignment="1">
      <alignment wrapText="1"/>
    </xf>
    <xf numFmtId="0" fontId="14" fillId="0" borderId="9" xfId="0" applyNumberFormat="1" applyFont="1" applyBorder="1" applyAlignment="1">
      <alignment vertical="center" wrapText="1"/>
    </xf>
    <xf numFmtId="0" fontId="0" fillId="0" borderId="0" xfId="0"/>
    <xf numFmtId="0" fontId="0" fillId="0" borderId="0" xfId="0" applyAlignment="1">
      <alignment vertical="center"/>
    </xf>
    <xf numFmtId="0" fontId="2" fillId="0" borderId="0" xfId="0" applyNumberFormat="1" applyFont="1" applyAlignment="1">
      <alignment horizontal="left" vertical="center" wrapText="1"/>
    </xf>
    <xf numFmtId="0" fontId="2" fillId="0" borderId="11" xfId="0" applyNumberFormat="1" applyFont="1" applyBorder="1" applyAlignment="1">
      <alignment horizontal="left" vertical="center" wrapText="1"/>
    </xf>
    <xf numFmtId="0" fontId="16" fillId="0" borderId="11" xfId="0" applyNumberFormat="1" applyFont="1" applyBorder="1" applyAlignment="1">
      <alignment horizontal="left" wrapText="1"/>
    </xf>
    <xf numFmtId="0" fontId="2" fillId="0" borderId="0" xfId="0" applyFont="1" applyAlignment="1">
      <alignment horizontal="center" wrapText="1"/>
    </xf>
    <xf numFmtId="168" fontId="0" fillId="0" borderId="0" xfId="0" applyNumberFormat="1" applyFont="1" applyAlignment="1">
      <alignment vertical="center" wrapText="1"/>
    </xf>
    <xf numFmtId="0" fontId="20" fillId="0" borderId="9" xfId="0" applyNumberFormat="1" applyFont="1" applyBorder="1" applyAlignment="1">
      <alignment horizontal="left" vertical="center" wrapText="1"/>
    </xf>
    <xf numFmtId="168" fontId="15" fillId="0" borderId="9" xfId="0" applyNumberFormat="1" applyFont="1" applyBorder="1" applyAlignment="1">
      <alignment vertical="center" wrapText="1"/>
    </xf>
    <xf numFmtId="0" fontId="17" fillId="0" borderId="0" xfId="0" applyFont="1"/>
    <xf numFmtId="0" fontId="16" fillId="0" borderId="0" xfId="0" applyFont="1" applyAlignment="1">
      <alignment horizontal="center" wrapText="1"/>
    </xf>
    <xf numFmtId="2" fontId="0" fillId="0" borderId="0" xfId="0" applyNumberFormat="1" applyFont="1" applyAlignment="1">
      <alignment horizontal="right" vertical="center" wrapText="1" indent="2"/>
    </xf>
    <xf numFmtId="2" fontId="15" fillId="0" borderId="9" xfId="0" applyNumberFormat="1" applyFont="1" applyBorder="1" applyAlignment="1">
      <alignment horizontal="right" vertical="center" wrapText="1" indent="2"/>
    </xf>
    <xf numFmtId="0" fontId="0" fillId="0" borderId="0" xfId="0"/>
    <xf numFmtId="0" fontId="2" fillId="0" borderId="0" xfId="0" applyNumberFormat="1" applyFont="1" applyAlignment="1">
      <alignment horizontal="left" vertical="center" wrapText="1"/>
    </xf>
    <xf numFmtId="0" fontId="2" fillId="0" borderId="10" xfId="0" applyNumberFormat="1" applyFont="1" applyBorder="1" applyAlignment="1">
      <alignment horizontal="left" vertical="center" wrapText="1"/>
    </xf>
    <xf numFmtId="0" fontId="2" fillId="0" borderId="11" xfId="0" applyNumberFormat="1" applyFont="1" applyBorder="1" applyAlignment="1">
      <alignment horizontal="left" vertical="center" wrapText="1"/>
    </xf>
    <xf numFmtId="0" fontId="2" fillId="0" borderId="0" xfId="0" applyFont="1" applyAlignment="1">
      <alignment horizontal="center" wrapText="1"/>
    </xf>
    <xf numFmtId="0" fontId="16" fillId="0" borderId="9" xfId="0" applyNumberFormat="1" applyFont="1" applyBorder="1" applyAlignment="1">
      <alignment horizontal="right" wrapText="1"/>
    </xf>
    <xf numFmtId="0" fontId="2" fillId="0" borderId="13" xfId="0" applyNumberFormat="1" applyFont="1" applyBorder="1" applyAlignment="1">
      <alignment horizontal="right" vertical="center" wrapText="1" indent="1"/>
    </xf>
    <xf numFmtId="2" fontId="14" fillId="0" borderId="9" xfId="0" applyNumberFormat="1" applyFont="1" applyBorder="1" applyAlignment="1">
      <alignment horizontal="right" wrapText="1" indent="1"/>
    </xf>
    <xf numFmtId="168" fontId="15" fillId="0" borderId="10" xfId="0" applyNumberFormat="1" applyFont="1" applyBorder="1" applyAlignment="1">
      <alignment horizontal="right" wrapText="1" indent="1"/>
    </xf>
    <xf numFmtId="0" fontId="15" fillId="0" borderId="10" xfId="0" applyNumberFormat="1" applyFont="1" applyBorder="1" applyAlignment="1">
      <alignment horizontal="left" vertical="center" wrapText="1"/>
    </xf>
    <xf numFmtId="0" fontId="0" fillId="0" borderId="0" xfId="0"/>
    <xf numFmtId="0" fontId="14" fillId="0" borderId="0" xfId="0" applyFont="1"/>
    <xf numFmtId="168" fontId="0" fillId="0" borderId="0" xfId="0" applyNumberFormat="1" applyFont="1" applyAlignment="1">
      <alignment horizontal="right" vertical="center" wrapText="1" indent="1"/>
    </xf>
    <xf numFmtId="0" fontId="0" fillId="0" borderId="0" xfId="0" applyNumberFormat="1" applyFont="1" applyAlignment="1">
      <alignment horizontal="right" vertical="center" wrapText="1" indent="1"/>
    </xf>
    <xf numFmtId="168" fontId="15" fillId="0" borderId="9" xfId="0" applyNumberFormat="1" applyFont="1" applyBorder="1" applyAlignment="1">
      <alignment horizontal="right" vertical="center" wrapText="1" indent="1"/>
    </xf>
    <xf numFmtId="0" fontId="15" fillId="0" borderId="13" xfId="0" applyNumberFormat="1" applyFont="1" applyBorder="1" applyAlignment="1">
      <alignment horizontal="right" vertical="center" wrapText="1" indent="1"/>
    </xf>
    <xf numFmtId="168" fontId="15" fillId="0" borderId="0" xfId="0" applyNumberFormat="1" applyFont="1" applyAlignment="1">
      <alignment horizontal="right" vertical="center" wrapText="1" indent="1"/>
    </xf>
    <xf numFmtId="0" fontId="0" fillId="0" borderId="9" xfId="0" applyNumberFormat="1" applyFont="1" applyBorder="1" applyAlignment="1">
      <alignment horizontal="right" vertical="center" wrapText="1" indent="1"/>
    </xf>
    <xf numFmtId="168" fontId="21" fillId="0" borderId="0" xfId="0" applyNumberFormat="1" applyFont="1" applyAlignment="1">
      <alignment wrapText="1"/>
    </xf>
    <xf numFmtId="168" fontId="20" fillId="0" borderId="0" xfId="0" applyNumberFormat="1" applyFont="1" applyAlignment="1">
      <alignment wrapText="1"/>
    </xf>
    <xf numFmtId="0" fontId="2" fillId="0" borderId="9" xfId="0" applyNumberFormat="1" applyFont="1" applyBorder="1" applyAlignment="1">
      <alignment wrapText="1"/>
    </xf>
    <xf numFmtId="0" fontId="14" fillId="0" borderId="9" xfId="0" applyNumberFormat="1" applyFont="1" applyBorder="1" applyAlignment="1">
      <alignment horizontal="right" vertical="center" wrapText="1"/>
    </xf>
    <xf numFmtId="0" fontId="2" fillId="0" borderId="9" xfId="0" applyNumberFormat="1" applyFont="1" applyBorder="1" applyAlignment="1">
      <alignment horizontal="right" vertical="center" wrapText="1"/>
    </xf>
    <xf numFmtId="0" fontId="20" fillId="0" borderId="9" xfId="0" applyNumberFormat="1" applyFont="1" applyBorder="1" applyAlignment="1">
      <alignment horizontal="right" vertical="center" wrapText="1"/>
    </xf>
    <xf numFmtId="168" fontId="21" fillId="0" borderId="10" xfId="0" applyNumberFormat="1" applyFont="1" applyBorder="1" applyAlignment="1">
      <alignment wrapText="1"/>
    </xf>
    <xf numFmtId="168" fontId="20" fillId="0" borderId="11" xfId="0" applyNumberFormat="1" applyFont="1" applyBorder="1" applyAlignment="1">
      <alignment wrapText="1"/>
    </xf>
    <xf numFmtId="168" fontId="21" fillId="0" borderId="0" xfId="0" applyNumberFormat="1" applyFont="1" applyBorder="1" applyAlignment="1">
      <alignment wrapText="1"/>
    </xf>
    <xf numFmtId="0" fontId="0" fillId="0" borderId="0" xfId="0"/>
    <xf numFmtId="0" fontId="0" fillId="0" borderId="0" xfId="0" applyAlignment="1">
      <alignment vertical="center"/>
    </xf>
    <xf numFmtId="0" fontId="2" fillId="0" borderId="0" xfId="0" applyNumberFormat="1" applyFont="1" applyAlignment="1">
      <alignment horizontal="left" vertical="center" wrapText="1"/>
    </xf>
    <xf numFmtId="0" fontId="17" fillId="0" borderId="0" xfId="0" applyFont="1"/>
    <xf numFmtId="0" fontId="26" fillId="0" borderId="0" xfId="0" applyFont="1" applyAlignment="1">
      <alignment horizontal="left" vertical="center"/>
    </xf>
    <xf numFmtId="0" fontId="27" fillId="2" borderId="0" xfId="0" applyFont="1" applyFill="1" applyAlignment="1">
      <alignment horizontal="left" vertical="center"/>
    </xf>
    <xf numFmtId="0" fontId="28" fillId="2" borderId="0" xfId="0" applyFont="1" applyFill="1" applyAlignment="1">
      <alignment horizontal="left" vertical="center"/>
    </xf>
    <xf numFmtId="0" fontId="27" fillId="2" borderId="0" xfId="0" applyFont="1" applyFill="1" applyAlignment="1">
      <alignment horizontal="justify" vertical="center" wrapText="1"/>
    </xf>
    <xf numFmtId="0" fontId="29" fillId="0" borderId="0" xfId="0" applyFont="1" applyAlignment="1">
      <alignment horizontal="left" vertical="center"/>
    </xf>
    <xf numFmtId="0" fontId="29" fillId="2" borderId="0" xfId="0" applyFont="1" applyFill="1" applyAlignment="1">
      <alignment horizontal="justify" vertical="center"/>
    </xf>
    <xf numFmtId="0" fontId="31" fillId="2" borderId="0" xfId="0" applyFont="1" applyFill="1" applyAlignment="1">
      <alignment horizontal="justify" vertical="top"/>
    </xf>
    <xf numFmtId="0" fontId="31" fillId="2" borderId="0" xfId="0" applyFont="1" applyFill="1" applyAlignment="1">
      <alignment horizontal="justify" vertical="center"/>
    </xf>
    <xf numFmtId="0" fontId="32" fillId="2" borderId="0" xfId="0" applyFont="1" applyFill="1" applyAlignment="1">
      <alignment horizontal="justify" vertical="center"/>
    </xf>
    <xf numFmtId="0" fontId="32" fillId="2" borderId="0" xfId="0" applyFont="1" applyFill="1" applyAlignment="1">
      <alignment horizontal="right" vertical="center"/>
    </xf>
    <xf numFmtId="0" fontId="0" fillId="2" borderId="0" xfId="0" applyFill="1"/>
    <xf numFmtId="0" fontId="30" fillId="2" borderId="0" xfId="0" applyFont="1" applyFill="1" applyAlignment="1">
      <alignment horizontal="justify" vertical="center"/>
    </xf>
    <xf numFmtId="0" fontId="33" fillId="0" borderId="0" xfId="0" applyFont="1" applyAlignment="1">
      <alignment vertical="center"/>
    </xf>
    <xf numFmtId="0" fontId="34" fillId="0" borderId="0" xfId="0" applyFont="1" applyAlignment="1">
      <alignment vertical="center"/>
    </xf>
    <xf numFmtId="0" fontId="35" fillId="0" borderId="0" xfId="0" applyFont="1" applyAlignment="1">
      <alignment vertical="center"/>
    </xf>
    <xf numFmtId="0" fontId="23" fillId="0" borderId="0" xfId="0" applyFont="1" applyAlignment="1">
      <alignment vertical="center"/>
    </xf>
    <xf numFmtId="0" fontId="10" fillId="0" borderId="1" xfId="0" applyNumberFormat="1" applyFont="1" applyBorder="1" applyAlignment="1">
      <alignment horizontal="left" vertical="center" wrapText="1"/>
    </xf>
    <xf numFmtId="168" fontId="9" fillId="0" borderId="1" xfId="0" applyNumberFormat="1" applyFont="1" applyBorder="1" applyAlignment="1">
      <alignment horizontal="right" vertical="center" wrapText="1" indent="1"/>
    </xf>
    <xf numFmtId="0" fontId="0" fillId="2" borderId="30" xfId="0" applyFill="1" applyBorder="1"/>
    <xf numFmtId="0" fontId="0" fillId="2" borderId="10" xfId="0" applyFill="1" applyBorder="1"/>
    <xf numFmtId="0" fontId="0" fillId="2" borderId="12" xfId="0" applyFill="1" applyBorder="1"/>
    <xf numFmtId="0" fontId="0" fillId="2" borderId="31" xfId="0" applyFill="1" applyBorder="1"/>
    <xf numFmtId="0" fontId="0" fillId="2" borderId="32" xfId="0" applyFill="1" applyBorder="1"/>
    <xf numFmtId="0" fontId="0" fillId="2" borderId="24" xfId="0" applyFill="1" applyBorder="1"/>
    <xf numFmtId="0" fontId="0" fillId="2" borderId="25" xfId="0" applyFill="1" applyBorder="1"/>
    <xf numFmtId="0" fontId="0" fillId="2" borderId="17" xfId="0" applyFill="1" applyBorder="1"/>
    <xf numFmtId="0" fontId="0" fillId="2" borderId="33" xfId="0" applyFill="1" applyBorder="1"/>
    <xf numFmtId="0" fontId="0" fillId="0" borderId="34" xfId="0" applyBorder="1"/>
    <xf numFmtId="0" fontId="0" fillId="2" borderId="0" xfId="0" applyFill="1" applyBorder="1"/>
    <xf numFmtId="0" fontId="0" fillId="2" borderId="35" xfId="0" applyFill="1" applyBorder="1"/>
    <xf numFmtId="0" fontId="0" fillId="2" borderId="34" xfId="0" applyFill="1" applyBorder="1"/>
    <xf numFmtId="0" fontId="36" fillId="2" borderId="34" xfId="0" applyFont="1" applyFill="1" applyBorder="1" applyAlignment="1">
      <alignment horizontal="center"/>
    </xf>
    <xf numFmtId="0" fontId="36" fillId="2" borderId="0" xfId="0" applyFont="1" applyFill="1" applyBorder="1" applyAlignment="1">
      <alignment horizontal="left"/>
    </xf>
    <xf numFmtId="0" fontId="36" fillId="2" borderId="0" xfId="0" applyFont="1" applyFill="1" applyBorder="1" applyAlignment="1">
      <alignment horizontal="center"/>
    </xf>
    <xf numFmtId="0" fontId="36" fillId="2" borderId="36" xfId="0" applyFont="1" applyFill="1" applyBorder="1" applyAlignment="1">
      <alignment horizontal="center"/>
    </xf>
    <xf numFmtId="0" fontId="0" fillId="2" borderId="3" xfId="0" applyFill="1" applyBorder="1"/>
    <xf numFmtId="0" fontId="0" fillId="2" borderId="4" xfId="0" applyFill="1" applyBorder="1"/>
    <xf numFmtId="0" fontId="0" fillId="2" borderId="37" xfId="0" applyFill="1" applyBorder="1"/>
    <xf numFmtId="0" fontId="0" fillId="2" borderId="38" xfId="0" applyFill="1" applyBorder="1"/>
    <xf numFmtId="0" fontId="0" fillId="2" borderId="2" xfId="0" applyFill="1" applyBorder="1"/>
    <xf numFmtId="0" fontId="0" fillId="2" borderId="32" xfId="0" applyFill="1" applyBorder="1" applyAlignment="1">
      <alignment vertical="center"/>
    </xf>
    <xf numFmtId="0" fontId="0" fillId="0" borderId="23" xfId="0" applyBorder="1" applyAlignment="1">
      <alignment vertical="center"/>
    </xf>
    <xf numFmtId="0" fontId="0" fillId="0" borderId="5" xfId="0" applyBorder="1" applyAlignment="1">
      <alignment vertical="center"/>
    </xf>
    <xf numFmtId="0" fontId="0" fillId="0" borderId="18" xfId="0" applyBorder="1" applyAlignment="1">
      <alignment vertical="center"/>
    </xf>
    <xf numFmtId="0" fontId="0" fillId="2" borderId="33" xfId="0" applyFill="1" applyBorder="1" applyAlignment="1">
      <alignment vertical="center"/>
    </xf>
    <xf numFmtId="0" fontId="0" fillId="0" borderId="32" xfId="0" applyBorder="1"/>
    <xf numFmtId="0" fontId="0" fillId="0" borderId="11" xfId="0" applyBorder="1"/>
    <xf numFmtId="0" fontId="0" fillId="0" borderId="39" xfId="0" applyBorder="1"/>
    <xf numFmtId="0" fontId="0" fillId="0" borderId="0" xfId="0" applyBorder="1"/>
    <xf numFmtId="168" fontId="15" fillId="0" borderId="9" xfId="0" applyNumberFormat="1" applyFont="1" applyBorder="1" applyAlignment="1">
      <alignment horizontal="right" vertical="center" wrapText="1" indent="2"/>
    </xf>
    <xf numFmtId="2" fontId="14" fillId="0" borderId="9" xfId="0" applyNumberFormat="1" applyFont="1" applyBorder="1" applyAlignment="1">
      <alignment horizontal="right" wrapText="1" indent="2"/>
    </xf>
    <xf numFmtId="0" fontId="16" fillId="0" borderId="13" xfId="0" applyNumberFormat="1" applyFont="1" applyBorder="1" applyAlignment="1">
      <alignment horizontal="right" vertical="center" wrapText="1"/>
    </xf>
    <xf numFmtId="0" fontId="17" fillId="0" borderId="0" xfId="0" applyFont="1"/>
    <xf numFmtId="0" fontId="2" fillId="0" borderId="0" xfId="0" applyNumberFormat="1" applyFont="1" applyAlignment="1">
      <alignment wrapText="1"/>
    </xf>
    <xf numFmtId="168" fontId="17" fillId="0" borderId="41" xfId="0" applyNumberFormat="1" applyFont="1" applyBorder="1"/>
    <xf numFmtId="168" fontId="17" fillId="0" borderId="29" xfId="0" applyNumberFormat="1" applyFont="1" applyBorder="1"/>
    <xf numFmtId="0" fontId="17" fillId="0" borderId="29" xfId="0" applyFont="1" applyBorder="1"/>
    <xf numFmtId="0" fontId="17" fillId="0" borderId="0" xfId="0" applyFont="1" applyAlignment="1">
      <alignment horizontal="center" vertical="center"/>
    </xf>
    <xf numFmtId="0" fontId="0" fillId="0" borderId="0" xfId="0" applyAlignment="1">
      <alignment horizontal="center" vertical="center"/>
    </xf>
    <xf numFmtId="0" fontId="2" fillId="0" borderId="0" xfId="0" applyNumberFormat="1" applyFont="1" applyAlignment="1">
      <alignment horizontal="left" wrapText="1"/>
    </xf>
    <xf numFmtId="0" fontId="20" fillId="0" borderId="9" xfId="0" applyNumberFormat="1" applyFont="1" applyBorder="1" applyAlignment="1">
      <alignment vertical="center" wrapText="1"/>
    </xf>
    <xf numFmtId="0" fontId="19" fillId="0" borderId="0" xfId="0" applyNumberFormat="1" applyFont="1" applyAlignment="1">
      <alignment horizontal="right" wrapText="1"/>
    </xf>
    <xf numFmtId="0" fontId="0" fillId="0" borderId="0" xfId="0"/>
    <xf numFmtId="0" fontId="2" fillId="0" borderId="0" xfId="0" applyFont="1" applyAlignment="1">
      <alignment horizontal="center" wrapText="1"/>
    </xf>
    <xf numFmtId="0" fontId="14" fillId="0" borderId="16" xfId="0" applyFont="1" applyBorder="1" applyAlignment="1">
      <alignment horizontal="center" vertical="center" wrapText="1"/>
    </xf>
    <xf numFmtId="0" fontId="14" fillId="0" borderId="42" xfId="0" applyFont="1" applyBorder="1"/>
    <xf numFmtId="168" fontId="14" fillId="0" borderId="27" xfId="0" applyNumberFormat="1" applyFont="1" applyBorder="1"/>
    <xf numFmtId="168" fontId="14" fillId="0" borderId="26" xfId="0" applyNumberFormat="1" applyFont="1" applyBorder="1"/>
    <xf numFmtId="168" fontId="0" fillId="0" borderId="40" xfId="0" applyNumberFormat="1" applyBorder="1"/>
    <xf numFmtId="168" fontId="0" fillId="0" borderId="33" xfId="0" applyNumberFormat="1" applyBorder="1"/>
    <xf numFmtId="168" fontId="0" fillId="0" borderId="3" xfId="0" applyNumberFormat="1" applyBorder="1"/>
    <xf numFmtId="168" fontId="0" fillId="0" borderId="32" xfId="0" applyNumberFormat="1" applyBorder="1"/>
    <xf numFmtId="168" fontId="0" fillId="0" borderId="0" xfId="0" applyNumberFormat="1" applyBorder="1"/>
    <xf numFmtId="168" fontId="0" fillId="0" borderId="41" xfId="0" applyNumberFormat="1" applyBorder="1"/>
    <xf numFmtId="168" fontId="0" fillId="0" borderId="29" xfId="0" applyNumberFormat="1" applyBorder="1"/>
    <xf numFmtId="0" fontId="14" fillId="0" borderId="43" xfId="0" applyFont="1" applyBorder="1" applyAlignment="1">
      <alignment horizontal="center" vertical="center" wrapText="1"/>
    </xf>
    <xf numFmtId="0" fontId="14" fillId="0" borderId="28" xfId="0" applyFont="1" applyBorder="1" applyAlignment="1">
      <alignment horizontal="center" vertical="center" wrapText="1"/>
    </xf>
    <xf numFmtId="0" fontId="22" fillId="0" borderId="0" xfId="0" applyFont="1"/>
    <xf numFmtId="0" fontId="22" fillId="0" borderId="10" xfId="0" applyNumberFormat="1" applyFont="1" applyBorder="1" applyAlignment="1">
      <alignment horizontal="left" wrapText="1"/>
    </xf>
    <xf numFmtId="0" fontId="2" fillId="0" borderId="10" xfId="0" applyNumberFormat="1" applyFont="1" applyBorder="1" applyAlignment="1">
      <alignment horizontal="center" wrapText="1"/>
    </xf>
    <xf numFmtId="0" fontId="14" fillId="0" borderId="9" xfId="0" applyNumberFormat="1" applyFont="1" applyBorder="1" applyAlignment="1">
      <alignment wrapText="1"/>
    </xf>
    <xf numFmtId="168" fontId="0" fillId="0" borderId="0" xfId="0" applyNumberFormat="1" applyFont="1" applyAlignment="1">
      <alignment wrapText="1"/>
    </xf>
    <xf numFmtId="0" fontId="2" fillId="0" borderId="0" xfId="0" applyNumberFormat="1" applyFont="1" applyAlignment="1">
      <alignment horizontal="left" vertical="center" wrapText="1"/>
    </xf>
    <xf numFmtId="2" fontId="14" fillId="0" borderId="9" xfId="0" applyNumberFormat="1" applyFont="1" applyBorder="1" applyAlignment="1">
      <alignment horizontal="right" vertical="center" wrapText="1" indent="1"/>
    </xf>
    <xf numFmtId="2" fontId="14" fillId="0" borderId="0" xfId="0" applyNumberFormat="1" applyFont="1" applyAlignment="1">
      <alignment horizontal="right" vertical="center" wrapText="1" indent="1"/>
    </xf>
    <xf numFmtId="168" fontId="20" fillId="0" borderId="9" xfId="0" applyNumberFormat="1" applyFont="1" applyBorder="1" applyAlignment="1">
      <alignment wrapText="1"/>
    </xf>
    <xf numFmtId="0" fontId="25" fillId="0" borderId="0" xfId="6" applyAlignment="1">
      <alignment vertical="center"/>
    </xf>
    <xf numFmtId="0" fontId="0" fillId="0" borderId="0" xfId="0" applyAlignment="1"/>
    <xf numFmtId="0" fontId="25" fillId="0" borderId="0" xfId="6" applyAlignment="1"/>
    <xf numFmtId="0" fontId="2" fillId="0" borderId="13" xfId="0" applyNumberFormat="1" applyFont="1" applyBorder="1" applyAlignment="1">
      <alignment horizontal="right" wrapText="1" indent="1"/>
    </xf>
    <xf numFmtId="0" fontId="0" fillId="0" borderId="0" xfId="0"/>
    <xf numFmtId="10" fontId="0" fillId="0" borderId="0" xfId="0" applyNumberFormat="1"/>
    <xf numFmtId="0" fontId="2" fillId="0" borderId="0" xfId="0" applyNumberFormat="1" applyFont="1" applyAlignment="1">
      <alignment wrapText="1"/>
    </xf>
    <xf numFmtId="0" fontId="22" fillId="0" borderId="0" xfId="0" applyNumberFormat="1" applyFont="1" applyAlignment="1">
      <alignment horizontal="center" vertical="center" wrapText="1"/>
    </xf>
    <xf numFmtId="0" fontId="22" fillId="0" borderId="10" xfId="0" applyNumberFormat="1" applyFont="1" applyBorder="1" applyAlignment="1">
      <alignment horizontal="center" vertical="center" wrapText="1"/>
    </xf>
    <xf numFmtId="0" fontId="22" fillId="0" borderId="0" xfId="0" applyNumberFormat="1" applyFont="1" applyBorder="1" applyAlignment="1">
      <alignment horizontal="center" vertical="center" wrapText="1"/>
    </xf>
    <xf numFmtId="0" fontId="2" fillId="0" borderId="0" xfId="0" applyNumberFormat="1" applyFont="1" applyAlignment="1">
      <alignment vertical="center" wrapText="1"/>
    </xf>
    <xf numFmtId="0" fontId="14" fillId="0" borderId="0" xfId="0" applyNumberFormat="1" applyFont="1" applyAlignment="1">
      <alignment horizontal="left" vertical="center" wrapText="1"/>
    </xf>
    <xf numFmtId="0" fontId="22" fillId="0" borderId="9" xfId="0" applyNumberFormat="1" applyFont="1" applyBorder="1" applyAlignment="1">
      <alignment horizontal="left" vertical="center" wrapText="1"/>
    </xf>
    <xf numFmtId="0" fontId="22" fillId="0" borderId="9" xfId="0" applyNumberFormat="1" applyFont="1" applyBorder="1" applyAlignment="1">
      <alignment horizontal="center" vertical="center" wrapText="1"/>
    </xf>
    <xf numFmtId="0" fontId="0" fillId="0" borderId="9" xfId="0" applyBorder="1"/>
    <xf numFmtId="168" fontId="22" fillId="0" borderId="10" xfId="0" applyNumberFormat="1" applyFont="1" applyBorder="1" applyAlignment="1">
      <alignment wrapText="1"/>
    </xf>
    <xf numFmtId="0" fontId="0" fillId="0" borderId="0" xfId="0"/>
    <xf numFmtId="0" fontId="22" fillId="0" borderId="0" xfId="0" applyNumberFormat="1" applyFont="1" applyAlignment="1">
      <alignment vertical="center" wrapText="1"/>
    </xf>
    <xf numFmtId="0" fontId="22" fillId="0" borderId="10" xfId="0" applyNumberFormat="1" applyFont="1" applyBorder="1" applyAlignment="1">
      <alignment vertical="center" wrapText="1"/>
    </xf>
    <xf numFmtId="0" fontId="22" fillId="0" borderId="0" xfId="0" applyNumberFormat="1" applyFont="1" applyBorder="1" applyAlignment="1">
      <alignment vertical="center" wrapText="1"/>
    </xf>
    <xf numFmtId="0" fontId="14" fillId="0" borderId="11" xfId="0" applyNumberFormat="1" applyFont="1" applyBorder="1" applyAlignment="1">
      <alignment vertical="center" wrapText="1"/>
    </xf>
    <xf numFmtId="0" fontId="16" fillId="0" borderId="12" xfId="0" applyNumberFormat="1" applyFont="1" applyBorder="1" applyAlignment="1">
      <alignment horizontal="center" vertical="center"/>
    </xf>
    <xf numFmtId="0" fontId="16" fillId="0" borderId="46" xfId="0" applyNumberFormat="1" applyFont="1" applyBorder="1" applyAlignment="1">
      <alignment horizontal="center" vertical="center"/>
    </xf>
    <xf numFmtId="0" fontId="16" fillId="0" borderId="32"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40" xfId="0" applyFont="1" applyBorder="1" applyAlignment="1">
      <alignment horizontal="center" vertical="center" wrapText="1"/>
    </xf>
    <xf numFmtId="0" fontId="17" fillId="0" borderId="44" xfId="0" applyFont="1" applyBorder="1"/>
    <xf numFmtId="168" fontId="17" fillId="0" borderId="44" xfId="0" applyNumberFormat="1" applyFont="1" applyBorder="1"/>
    <xf numFmtId="168" fontId="17" fillId="0" borderId="53" xfId="0" applyNumberFormat="1" applyFont="1" applyBorder="1"/>
    <xf numFmtId="168" fontId="17" fillId="0" borderId="45" xfId="0" applyNumberFormat="1" applyFont="1" applyBorder="1"/>
    <xf numFmtId="168" fontId="17" fillId="0" borderId="12" xfId="0" applyNumberFormat="1" applyFont="1" applyBorder="1"/>
    <xf numFmtId="168" fontId="17" fillId="0" borderId="46" xfId="0" applyNumberFormat="1" applyFont="1" applyBorder="1"/>
    <xf numFmtId="10" fontId="17" fillId="0" borderId="46" xfId="0" applyNumberFormat="1" applyFont="1" applyBorder="1"/>
    <xf numFmtId="10" fontId="17" fillId="0" borderId="19" xfId="0" applyNumberFormat="1" applyFont="1" applyBorder="1"/>
    <xf numFmtId="0" fontId="17" fillId="0" borderId="47" xfId="0" applyFont="1" applyBorder="1"/>
    <xf numFmtId="168" fontId="17" fillId="0" borderId="47" xfId="0" applyNumberFormat="1" applyFont="1" applyBorder="1"/>
    <xf numFmtId="168" fontId="17" fillId="0" borderId="2" xfId="0" applyNumberFormat="1" applyFont="1" applyBorder="1"/>
    <xf numFmtId="168" fontId="17" fillId="0" borderId="48" xfId="0" applyNumberFormat="1" applyFont="1" applyBorder="1"/>
    <xf numFmtId="168" fontId="17" fillId="0" borderId="25" xfId="0" applyNumberFormat="1" applyFont="1" applyBorder="1"/>
    <xf numFmtId="168" fontId="17" fillId="0" borderId="49" xfId="0" applyNumberFormat="1" applyFont="1" applyBorder="1"/>
    <xf numFmtId="10" fontId="17" fillId="0" borderId="49" xfId="0" applyNumberFormat="1" applyFont="1" applyBorder="1"/>
    <xf numFmtId="0" fontId="16" fillId="0" borderId="26" xfId="0" applyFont="1" applyBorder="1"/>
    <xf numFmtId="168" fontId="16" fillId="0" borderId="26" xfId="0" applyNumberFormat="1" applyFont="1" applyBorder="1"/>
    <xf numFmtId="168" fontId="16" fillId="0" borderId="14" xfId="0" applyNumberFormat="1" applyFont="1" applyBorder="1"/>
    <xf numFmtId="168" fontId="16" fillId="0" borderId="27" xfId="0" applyNumberFormat="1" applyFont="1" applyBorder="1"/>
    <xf numFmtId="168" fontId="16" fillId="0" borderId="9" xfId="0" applyNumberFormat="1" applyFont="1" applyBorder="1"/>
    <xf numFmtId="168" fontId="16" fillId="0" borderId="20" xfId="0" applyNumberFormat="1" applyFont="1" applyBorder="1"/>
    <xf numFmtId="10" fontId="16" fillId="0" borderId="20" xfId="0" applyNumberFormat="1" applyFont="1" applyBorder="1"/>
    <xf numFmtId="0" fontId="17" fillId="0" borderId="50" xfId="0" applyFont="1" applyBorder="1"/>
    <xf numFmtId="168" fontId="17" fillId="0" borderId="50" xfId="0" applyNumberFormat="1" applyFont="1" applyBorder="1"/>
    <xf numFmtId="168" fontId="17" fillId="0" borderId="4" xfId="0" applyNumberFormat="1" applyFont="1" applyBorder="1"/>
    <xf numFmtId="168" fontId="17" fillId="0" borderId="51" xfId="0" applyNumberFormat="1" applyFont="1" applyBorder="1"/>
    <xf numFmtId="168" fontId="17" fillId="0" borderId="5" xfId="0" applyNumberFormat="1" applyFont="1" applyBorder="1"/>
    <xf numFmtId="168" fontId="17" fillId="0" borderId="52" xfId="0" applyNumberFormat="1" applyFont="1" applyBorder="1"/>
    <xf numFmtId="10" fontId="17" fillId="0" borderId="52" xfId="0" applyNumberFormat="1" applyFont="1" applyBorder="1"/>
    <xf numFmtId="0" fontId="16" fillId="0" borderId="42" xfId="0" applyFont="1" applyBorder="1"/>
    <xf numFmtId="168" fontId="16" fillId="0" borderId="42" xfId="0" applyNumberFormat="1" applyFont="1" applyBorder="1"/>
    <xf numFmtId="168" fontId="16" fillId="0" borderId="37" xfId="0" applyNumberFormat="1" applyFont="1" applyBorder="1"/>
    <xf numFmtId="168" fontId="16" fillId="0" borderId="39" xfId="0" applyNumberFormat="1" applyFont="1" applyBorder="1"/>
    <xf numFmtId="168" fontId="16" fillId="0" borderId="11" xfId="0" applyNumberFormat="1" applyFont="1" applyBorder="1"/>
    <xf numFmtId="168" fontId="16" fillId="0" borderId="22" xfId="0" applyNumberFormat="1" applyFont="1" applyBorder="1"/>
    <xf numFmtId="10" fontId="16" fillId="0" borderId="22" xfId="0" applyNumberFormat="1" applyFont="1" applyBorder="1"/>
    <xf numFmtId="0" fontId="14" fillId="0" borderId="30" xfId="0" applyFont="1" applyBorder="1"/>
    <xf numFmtId="10" fontId="0" fillId="0" borderId="33" xfId="0" applyNumberFormat="1" applyBorder="1"/>
    <xf numFmtId="10" fontId="14" fillId="0" borderId="27" xfId="0" applyNumberFormat="1" applyFont="1" applyBorder="1"/>
    <xf numFmtId="10" fontId="0" fillId="0" borderId="41" xfId="0" applyNumberFormat="1" applyBorder="1"/>
    <xf numFmtId="0" fontId="2" fillId="0" borderId="10" xfId="0" applyNumberFormat="1" applyFont="1" applyBorder="1" applyAlignment="1">
      <alignment horizontal="center" vertical="center" wrapText="1"/>
    </xf>
    <xf numFmtId="0" fontId="14" fillId="0" borderId="11" xfId="0" applyNumberFormat="1" applyFont="1" applyBorder="1" applyAlignment="1">
      <alignment horizontal="left" vertical="center" wrapText="1"/>
    </xf>
    <xf numFmtId="0" fontId="14" fillId="0" borderId="0" xfId="0" applyNumberFormat="1" applyFont="1" applyAlignment="1">
      <alignment horizontal="left" vertical="center" wrapText="1"/>
    </xf>
    <xf numFmtId="0" fontId="2" fillId="0" borderId="0" xfId="0" applyNumberFormat="1" applyFont="1" applyBorder="1" applyAlignment="1">
      <alignment horizontal="center" vertical="center" wrapText="1"/>
    </xf>
    <xf numFmtId="0" fontId="2" fillId="0" borderId="0" xfId="0" applyNumberFormat="1" applyFont="1" applyAlignment="1">
      <alignment horizontal="center" vertical="center" wrapText="1"/>
    </xf>
    <xf numFmtId="0" fontId="14" fillId="0" borderId="28" xfId="0" applyNumberFormat="1" applyFont="1" applyBorder="1" applyAlignment="1">
      <alignment horizontal="center" vertical="center" wrapText="1"/>
    </xf>
    <xf numFmtId="0" fontId="14" fillId="0" borderId="43" xfId="0" applyNumberFormat="1" applyFont="1" applyBorder="1" applyAlignment="1">
      <alignment horizontal="center" vertical="center" wrapText="1"/>
    </xf>
    <xf numFmtId="0" fontId="0" fillId="0" borderId="32" xfId="0" applyNumberFormat="1" applyBorder="1"/>
    <xf numFmtId="0" fontId="0" fillId="0" borderId="33" xfId="0" applyNumberFormat="1" applyBorder="1"/>
    <xf numFmtId="0" fontId="0" fillId="0" borderId="29" xfId="0" applyNumberFormat="1" applyBorder="1"/>
    <xf numFmtId="0" fontId="0" fillId="0" borderId="41" xfId="0" applyNumberFormat="1" applyBorder="1"/>
    <xf numFmtId="0" fontId="14" fillId="0" borderId="26" xfId="0" applyNumberFormat="1" applyFont="1" applyBorder="1"/>
    <xf numFmtId="0" fontId="14" fillId="0" borderId="27" xfId="0" applyNumberFormat="1" applyFont="1" applyBorder="1"/>
    <xf numFmtId="0" fontId="14" fillId="0" borderId="21" xfId="0" applyFont="1" applyBorder="1" applyAlignment="1">
      <alignment vertical="center"/>
    </xf>
    <xf numFmtId="0" fontId="14" fillId="0" borderId="10" xfId="0" applyFont="1" applyBorder="1" applyAlignment="1">
      <alignment vertical="center"/>
    </xf>
    <xf numFmtId="0" fontId="14" fillId="0" borderId="15" xfId="0" applyNumberFormat="1" applyFont="1" applyBorder="1" applyAlignment="1">
      <alignment horizontal="center" vertical="center" wrapText="1"/>
    </xf>
    <xf numFmtId="0" fontId="0" fillId="0" borderId="3" xfId="0" applyNumberFormat="1" applyBorder="1"/>
    <xf numFmtId="0" fontId="0" fillId="0" borderId="1" xfId="0" applyNumberFormat="1" applyBorder="1"/>
    <xf numFmtId="0" fontId="14" fillId="0" borderId="14" xfId="0" applyNumberFormat="1" applyFont="1" applyBorder="1"/>
    <xf numFmtId="0" fontId="14" fillId="0" borderId="21" xfId="0" applyFont="1" applyBorder="1" applyAlignment="1">
      <alignment horizontal="center" vertical="center"/>
    </xf>
    <xf numFmtId="0" fontId="2" fillId="0" borderId="11" xfId="0" applyNumberFormat="1" applyFont="1" applyBorder="1" applyAlignment="1">
      <alignment wrapText="1"/>
    </xf>
    <xf numFmtId="168" fontId="39" fillId="0" borderId="10" xfId="0" applyNumberFormat="1" applyFont="1" applyBorder="1" applyAlignment="1">
      <alignment wrapText="1"/>
    </xf>
    <xf numFmtId="168" fontId="39" fillId="0" borderId="0" xfId="0" applyNumberFormat="1" applyFont="1" applyBorder="1" applyAlignment="1">
      <alignment wrapText="1"/>
    </xf>
    <xf numFmtId="168" fontId="38" fillId="0" borderId="11" xfId="0" applyNumberFormat="1" applyFont="1" applyBorder="1" applyAlignment="1">
      <alignment wrapText="1"/>
    </xf>
    <xf numFmtId="168" fontId="39" fillId="0" borderId="0" xfId="0" applyNumberFormat="1" applyFont="1" applyAlignment="1">
      <alignment wrapText="1"/>
    </xf>
    <xf numFmtId="168" fontId="38" fillId="0" borderId="0" xfId="0" applyNumberFormat="1" applyFont="1" applyAlignment="1">
      <alignment wrapText="1"/>
    </xf>
    <xf numFmtId="168" fontId="38" fillId="0" borderId="9" xfId="0" applyNumberFormat="1" applyFont="1" applyBorder="1" applyAlignment="1">
      <alignment wrapText="1"/>
    </xf>
    <xf numFmtId="0" fontId="38" fillId="0" borderId="9" xfId="0" applyNumberFormat="1" applyFont="1" applyBorder="1" applyAlignment="1">
      <alignment horizontal="left" vertical="center" wrapText="1"/>
    </xf>
    <xf numFmtId="0" fontId="38" fillId="0" borderId="9" xfId="0" applyNumberFormat="1" applyFont="1" applyBorder="1" applyAlignment="1">
      <alignment vertical="center" wrapText="1"/>
    </xf>
    <xf numFmtId="0" fontId="36" fillId="2" borderId="34" xfId="0" applyFont="1" applyFill="1" applyBorder="1" applyAlignment="1">
      <alignment horizontal="center"/>
    </xf>
    <xf numFmtId="0" fontId="36" fillId="2" borderId="0" xfId="0" applyFont="1" applyFill="1" applyBorder="1" applyAlignment="1">
      <alignment horizontal="center"/>
    </xf>
    <xf numFmtId="0" fontId="36" fillId="2" borderId="35" xfId="0" applyFont="1" applyFill="1" applyBorder="1" applyAlignment="1">
      <alignment horizontal="center"/>
    </xf>
    <xf numFmtId="0" fontId="36" fillId="2" borderId="34" xfId="0" applyFont="1" applyFill="1" applyBorder="1" applyAlignment="1">
      <alignment horizontal="center" vertical="center"/>
    </xf>
    <xf numFmtId="0" fontId="36" fillId="2" borderId="0" xfId="0" applyFont="1" applyFill="1" applyBorder="1" applyAlignment="1">
      <alignment horizontal="center" vertical="center"/>
    </xf>
    <xf numFmtId="0" fontId="36" fillId="2" borderId="35" xfId="0" applyFont="1" applyFill="1" applyBorder="1" applyAlignment="1">
      <alignment horizontal="center" vertical="center"/>
    </xf>
    <xf numFmtId="0" fontId="36" fillId="2" borderId="0" xfId="0" applyFont="1" applyFill="1" applyBorder="1" applyAlignment="1">
      <alignment horizontal="right"/>
    </xf>
    <xf numFmtId="0" fontId="37" fillId="2" borderId="0" xfId="0" applyFont="1" applyFill="1" applyBorder="1" applyAlignment="1">
      <alignment horizontal="right"/>
    </xf>
    <xf numFmtId="49" fontId="11" fillId="2" borderId="34" xfId="0" applyNumberFormat="1" applyFont="1" applyFill="1" applyBorder="1" applyAlignment="1">
      <alignment horizontal="center"/>
    </xf>
    <xf numFmtId="49" fontId="11" fillId="2" borderId="0" xfId="0" applyNumberFormat="1" applyFont="1" applyFill="1" applyBorder="1" applyAlignment="1">
      <alignment horizontal="center"/>
    </xf>
    <xf numFmtId="49" fontId="11" fillId="2" borderId="35" xfId="0" applyNumberFormat="1" applyFont="1" applyFill="1" applyBorder="1" applyAlignment="1">
      <alignment horizontal="center"/>
    </xf>
    <xf numFmtId="0" fontId="36" fillId="2" borderId="3" xfId="0" applyFont="1" applyFill="1" applyBorder="1" applyAlignment="1">
      <alignment horizontal="center"/>
    </xf>
    <xf numFmtId="0" fontId="7" fillId="0" borderId="0" xfId="0" applyFont="1" applyAlignment="1">
      <alignment horizontal="center" vertical="center" wrapText="1"/>
    </xf>
    <xf numFmtId="0" fontId="5" fillId="0" borderId="0" xfId="0" applyFont="1" applyAlignment="1">
      <alignment wrapText="1"/>
    </xf>
    <xf numFmtId="0" fontId="5" fillId="0" borderId="0" xfId="0" applyFont="1"/>
    <xf numFmtId="0" fontId="31" fillId="2" borderId="0" xfId="0" applyFont="1" applyFill="1" applyAlignment="1">
      <alignment horizontal="justify" vertical="top" wrapText="1"/>
    </xf>
    <xf numFmtId="0" fontId="30" fillId="2" borderId="0" xfId="0" applyFont="1" applyFill="1" applyAlignment="1">
      <alignment horizontal="center" vertical="center"/>
    </xf>
    <xf numFmtId="0" fontId="25" fillId="0" borderId="0" xfId="6" applyAlignment="1">
      <alignment horizontal="left" vertical="center"/>
    </xf>
    <xf numFmtId="0" fontId="0" fillId="0" borderId="0" xfId="0" applyAlignment="1">
      <alignment horizontal="left"/>
    </xf>
    <xf numFmtId="0" fontId="9" fillId="0" borderId="1" xfId="0" applyNumberFormat="1" applyFont="1" applyBorder="1" applyAlignment="1">
      <alignment horizontal="center" wrapText="1"/>
    </xf>
    <xf numFmtId="0" fontId="7" fillId="0" borderId="1" xfId="0" applyNumberFormat="1" applyFont="1" applyBorder="1" applyAlignment="1">
      <alignment horizontal="center" wrapText="1"/>
    </xf>
    <xf numFmtId="0" fontId="4" fillId="0" borderId="2" xfId="0" applyNumberFormat="1" applyFont="1" applyBorder="1" applyAlignment="1">
      <alignment horizontal="left" vertical="center" wrapText="1"/>
    </xf>
    <xf numFmtId="0" fontId="4" fillId="0" borderId="3"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8" fillId="0" borderId="1" xfId="0" applyNumberFormat="1" applyFont="1" applyBorder="1" applyAlignment="1">
      <alignment horizontal="center" wrapText="1"/>
    </xf>
    <xf numFmtId="0" fontId="12" fillId="0" borderId="0" xfId="0" applyFont="1" applyBorder="1" applyAlignment="1">
      <alignment horizontal="center" vertical="center" wrapText="1"/>
    </xf>
    <xf numFmtId="0" fontId="12" fillId="0" borderId="0" xfId="0" applyFont="1" applyBorder="1" applyAlignment="1">
      <alignment vertical="center"/>
    </xf>
    <xf numFmtId="0" fontId="10" fillId="0" borderId="6" xfId="0" applyNumberFormat="1" applyFont="1" applyBorder="1" applyAlignment="1">
      <alignment horizontal="center" vertical="center" wrapText="1"/>
    </xf>
    <xf numFmtId="0" fontId="10" fillId="0" borderId="7" xfId="0" applyNumberFormat="1" applyFont="1" applyBorder="1" applyAlignment="1">
      <alignment horizontal="center" vertical="center" wrapText="1"/>
    </xf>
    <xf numFmtId="0" fontId="10" fillId="0" borderId="8" xfId="0" applyNumberFormat="1" applyFont="1" applyBorder="1" applyAlignment="1">
      <alignment horizontal="center" vertical="center" wrapText="1"/>
    </xf>
    <xf numFmtId="0" fontId="11" fillId="0" borderId="0" xfId="0" applyFont="1" applyAlignment="1">
      <alignment wrapText="1"/>
    </xf>
    <xf numFmtId="0" fontId="11" fillId="0" borderId="0" xfId="0" applyFont="1"/>
    <xf numFmtId="0" fontId="13" fillId="0" borderId="0" xfId="0" applyFont="1" applyAlignment="1">
      <alignment horizontal="center" wrapText="1"/>
    </xf>
    <xf numFmtId="0" fontId="2" fillId="0" borderId="0" xfId="0" applyFont="1" applyAlignment="1">
      <alignment horizontal="center" vertical="center" wrapText="1"/>
    </xf>
    <xf numFmtId="0" fontId="0" fillId="0" borderId="0" xfId="0" applyAlignment="1">
      <alignment vertical="center"/>
    </xf>
    <xf numFmtId="0" fontId="2" fillId="0" borderId="9" xfId="0" applyNumberFormat="1" applyFont="1" applyBorder="1" applyAlignment="1">
      <alignment horizontal="center" wrapText="1"/>
    </xf>
    <xf numFmtId="0" fontId="16" fillId="0" borderId="0" xfId="0" applyFont="1" applyAlignment="1">
      <alignment horizontal="center" vertical="center" wrapText="1"/>
    </xf>
    <xf numFmtId="0" fontId="17" fillId="0" borderId="0" xfId="0" applyFont="1" applyAlignment="1">
      <alignment vertical="center"/>
    </xf>
    <xf numFmtId="0" fontId="16" fillId="0" borderId="12" xfId="0" applyNumberFormat="1" applyFont="1" applyBorder="1" applyAlignment="1">
      <alignment horizontal="center" vertical="center" wrapText="1"/>
    </xf>
    <xf numFmtId="0" fontId="16" fillId="0" borderId="10" xfId="0" applyNumberFormat="1" applyFont="1" applyBorder="1" applyAlignment="1">
      <alignment horizontal="left" vertical="center" wrapText="1"/>
    </xf>
    <xf numFmtId="0" fontId="16" fillId="0" borderId="11" xfId="0" applyNumberFormat="1" applyFont="1" applyBorder="1" applyAlignment="1">
      <alignment horizontal="left" vertical="center" wrapText="1"/>
    </xf>
    <xf numFmtId="0" fontId="19" fillId="0" borderId="10" xfId="0" applyNumberFormat="1" applyFont="1" applyBorder="1" applyAlignment="1">
      <alignment horizontal="center" vertical="center" wrapText="1"/>
    </xf>
    <xf numFmtId="0" fontId="19" fillId="0" borderId="11" xfId="0" applyNumberFormat="1" applyFont="1" applyBorder="1" applyAlignment="1">
      <alignment horizontal="center" vertical="center" wrapText="1"/>
    </xf>
    <xf numFmtId="0" fontId="16" fillId="0" borderId="10" xfId="0" applyNumberFormat="1" applyFont="1" applyBorder="1" applyAlignment="1">
      <alignment horizontal="center" vertical="center" wrapText="1"/>
    </xf>
    <xf numFmtId="0" fontId="16" fillId="0" borderId="11" xfId="0" applyNumberFormat="1" applyFont="1" applyBorder="1" applyAlignment="1">
      <alignment horizontal="center" vertical="center" wrapText="1"/>
    </xf>
    <xf numFmtId="0" fontId="20" fillId="0" borderId="11" xfId="0" applyFont="1" applyBorder="1" applyAlignment="1">
      <alignment horizontal="center" vertical="center" wrapText="1"/>
    </xf>
    <xf numFmtId="0" fontId="21" fillId="0" borderId="11" xfId="0" applyFont="1" applyBorder="1" applyAlignment="1">
      <alignment vertical="center"/>
    </xf>
    <xf numFmtId="0" fontId="2" fillId="0" borderId="12" xfId="0" applyNumberFormat="1" applyFont="1" applyBorder="1" applyAlignment="1">
      <alignment horizontal="center" wrapText="1"/>
    </xf>
    <xf numFmtId="0" fontId="2" fillId="0" borderId="10" xfId="0" applyNumberFormat="1" applyFont="1" applyBorder="1" applyAlignment="1">
      <alignment horizontal="center" vertical="center" wrapText="1"/>
    </xf>
    <xf numFmtId="0" fontId="2" fillId="0" borderId="11" xfId="0" applyNumberFormat="1" applyFont="1" applyBorder="1" applyAlignment="1">
      <alignment horizontal="center" vertical="center" wrapText="1"/>
    </xf>
    <xf numFmtId="0" fontId="16" fillId="0" borderId="11" xfId="0" applyFont="1" applyBorder="1" applyAlignment="1">
      <alignment horizontal="center" vertical="center" wrapText="1"/>
    </xf>
    <xf numFmtId="0" fontId="17" fillId="0" borderId="11" xfId="0" applyFont="1" applyBorder="1" applyAlignment="1">
      <alignment vertical="center"/>
    </xf>
    <xf numFmtId="0" fontId="16" fillId="0" borderId="9" xfId="0" applyNumberFormat="1" applyFont="1" applyBorder="1" applyAlignment="1">
      <alignment horizontal="center" wrapText="1"/>
    </xf>
    <xf numFmtId="0" fontId="16" fillId="0" borderId="10" xfId="0" applyNumberFormat="1" applyFont="1" applyBorder="1" applyAlignment="1">
      <alignment wrapText="1"/>
    </xf>
    <xf numFmtId="0" fontId="22" fillId="0" borderId="0" xfId="0" applyNumberFormat="1" applyFont="1" applyBorder="1" applyAlignment="1">
      <alignment horizontal="center" vertical="center" wrapText="1"/>
    </xf>
    <xf numFmtId="0" fontId="14" fillId="0" borderId="10" xfId="0" applyNumberFormat="1" applyFont="1" applyBorder="1" applyAlignment="1">
      <alignment horizontal="left" vertical="center" wrapText="1"/>
    </xf>
    <xf numFmtId="0" fontId="14" fillId="0" borderId="0" xfId="0" applyNumberFormat="1" applyFont="1" applyBorder="1" applyAlignment="1">
      <alignment horizontal="left" vertical="center" wrapText="1"/>
    </xf>
    <xf numFmtId="0" fontId="14" fillId="0" borderId="11" xfId="0" applyNumberFormat="1" applyFont="1" applyBorder="1" applyAlignment="1">
      <alignment horizontal="left" vertical="center" wrapText="1"/>
    </xf>
    <xf numFmtId="0" fontId="22" fillId="0" borderId="10" xfId="0" applyNumberFormat="1" applyFont="1" applyBorder="1" applyAlignment="1">
      <alignment horizontal="center" vertical="center" wrapText="1"/>
    </xf>
    <xf numFmtId="0" fontId="22" fillId="0" borderId="0" xfId="0" applyNumberFormat="1" applyFont="1" applyAlignment="1">
      <alignment horizontal="center" vertical="center" wrapText="1"/>
    </xf>
    <xf numFmtId="0" fontId="14" fillId="0" borderId="0" xfId="0" applyNumberFormat="1" applyFont="1" applyAlignment="1">
      <alignment horizontal="left" vertical="center" wrapText="1"/>
    </xf>
    <xf numFmtId="0" fontId="2" fillId="0" borderId="10" xfId="0" applyNumberFormat="1" applyFont="1" applyBorder="1" applyAlignment="1">
      <alignment horizontal="left" vertical="center" wrapText="1"/>
    </xf>
    <xf numFmtId="0" fontId="2" fillId="0" borderId="0" xfId="0" applyNumberFormat="1" applyFont="1" applyBorder="1" applyAlignment="1">
      <alignment horizontal="left" vertical="center" wrapText="1"/>
    </xf>
    <xf numFmtId="0" fontId="2" fillId="0" borderId="11" xfId="0" applyNumberFormat="1" applyFont="1" applyBorder="1" applyAlignment="1">
      <alignment horizontal="left" vertical="center" wrapText="1"/>
    </xf>
    <xf numFmtId="0" fontId="14" fillId="0" borderId="0" xfId="0" applyNumberFormat="1" applyFont="1" applyBorder="1" applyAlignment="1">
      <alignment horizontal="center" vertical="center" wrapText="1"/>
    </xf>
    <xf numFmtId="0" fontId="2" fillId="0" borderId="0" xfId="0" applyNumberFormat="1" applyFont="1" applyAlignment="1">
      <alignment horizontal="left" vertical="center" wrapText="1"/>
    </xf>
    <xf numFmtId="0" fontId="16" fillId="0" borderId="9" xfId="0" applyNumberFormat="1" applyFont="1" applyBorder="1" applyAlignment="1">
      <alignment horizontal="center" vertical="center" wrapText="1"/>
    </xf>
    <xf numFmtId="0" fontId="16" fillId="0" borderId="12" xfId="0" applyNumberFormat="1" applyFont="1" applyBorder="1" applyAlignment="1">
      <alignment horizontal="center" vertical="center"/>
    </xf>
    <xf numFmtId="0" fontId="16" fillId="0" borderId="44" xfId="0" applyNumberFormat="1" applyFont="1" applyBorder="1" applyAlignment="1">
      <alignment horizontal="center" vertical="center"/>
    </xf>
    <xf numFmtId="0" fontId="16" fillId="0" borderId="45" xfId="0" applyNumberFormat="1" applyFont="1" applyBorder="1" applyAlignment="1">
      <alignment horizontal="center" vertical="center"/>
    </xf>
    <xf numFmtId="0" fontId="16" fillId="0" borderId="21" xfId="0" applyFont="1" applyBorder="1" applyAlignment="1">
      <alignment horizontal="center" vertical="center"/>
    </xf>
    <xf numFmtId="0" fontId="16" fillId="0" borderId="40" xfId="0" applyFont="1" applyBorder="1" applyAlignment="1">
      <alignment horizontal="center" vertical="center"/>
    </xf>
    <xf numFmtId="0" fontId="16" fillId="0" borderId="10" xfId="0" applyFont="1" applyBorder="1" applyAlignment="1">
      <alignment horizontal="center" vertical="center"/>
    </xf>
    <xf numFmtId="0" fontId="16" fillId="0" borderId="0" xfId="0" applyFont="1" applyBorder="1" applyAlignment="1">
      <alignment horizontal="center" vertical="center"/>
    </xf>
    <xf numFmtId="0" fontId="2" fillId="0" borderId="11" xfId="0" applyFont="1" applyBorder="1" applyAlignment="1">
      <alignment horizontal="center" vertical="center" wrapText="1"/>
    </xf>
    <xf numFmtId="0" fontId="16" fillId="0" borderId="30" xfId="0" applyFont="1" applyBorder="1" applyAlignment="1">
      <alignment horizontal="center" vertical="center"/>
    </xf>
    <xf numFmtId="0" fontId="16" fillId="0" borderId="32" xfId="0" applyFont="1" applyBorder="1" applyAlignment="1">
      <alignment horizontal="center" vertical="center"/>
    </xf>
    <xf numFmtId="0" fontId="2" fillId="0" borderId="9" xfId="0" applyFont="1" applyBorder="1" applyAlignment="1">
      <alignment horizontal="center" vertical="center" wrapText="1"/>
    </xf>
    <xf numFmtId="0" fontId="0" fillId="0" borderId="9" xfId="0" applyBorder="1" applyAlignment="1">
      <alignment vertical="center"/>
    </xf>
    <xf numFmtId="0" fontId="2" fillId="0" borderId="0" xfId="0" applyNumberFormat="1" applyFont="1" applyAlignment="1">
      <alignment horizontal="center" wrapText="1"/>
    </xf>
    <xf numFmtId="0" fontId="2" fillId="0" borderId="10" xfId="0" applyNumberFormat="1" applyFont="1" applyBorder="1" applyAlignment="1">
      <alignment vertical="center" wrapText="1"/>
    </xf>
    <xf numFmtId="0" fontId="2" fillId="0" borderId="0" xfId="0" applyNumberFormat="1" applyFont="1" applyBorder="1" applyAlignment="1">
      <alignment vertical="center" wrapText="1"/>
    </xf>
    <xf numFmtId="0" fontId="2" fillId="0" borderId="11" xfId="0" applyNumberFormat="1" applyFont="1" applyBorder="1" applyAlignment="1">
      <alignment vertical="center" wrapText="1"/>
    </xf>
    <xf numFmtId="0" fontId="2" fillId="0" borderId="0" xfId="0" applyNumberFormat="1" applyFont="1" applyBorder="1" applyAlignment="1">
      <alignment horizontal="center" vertical="center" wrapText="1"/>
    </xf>
    <xf numFmtId="0" fontId="16" fillId="0" borderId="0" xfId="0" applyNumberFormat="1" applyFont="1" applyAlignment="1">
      <alignment horizontal="left" wrapText="1"/>
    </xf>
    <xf numFmtId="0" fontId="2" fillId="0" borderId="0" xfId="0" applyNumberFormat="1" applyFont="1" applyAlignment="1">
      <alignment vertical="center" wrapText="1"/>
    </xf>
    <xf numFmtId="0" fontId="2" fillId="0" borderId="0" xfId="0" applyNumberFormat="1" applyFont="1" applyAlignment="1">
      <alignment horizontal="center" vertical="center" wrapText="1"/>
    </xf>
    <xf numFmtId="0" fontId="14" fillId="0" borderId="11" xfId="0" applyFont="1" applyBorder="1" applyAlignment="1">
      <alignment horizontal="center" vertical="center"/>
    </xf>
    <xf numFmtId="0" fontId="14" fillId="0" borderId="30" xfId="0" applyFont="1" applyBorder="1" applyAlignment="1">
      <alignment horizontal="center" vertical="center"/>
    </xf>
    <xf numFmtId="0" fontId="14" fillId="0" borderId="10" xfId="0" applyFont="1" applyBorder="1" applyAlignment="1">
      <alignment horizontal="center" vertical="center"/>
    </xf>
    <xf numFmtId="0" fontId="14" fillId="0" borderId="31" xfId="0" applyFont="1" applyBorder="1" applyAlignment="1">
      <alignment horizontal="center" vertical="center"/>
    </xf>
    <xf numFmtId="0" fontId="14" fillId="0" borderId="30" xfId="0" applyNumberFormat="1" applyFont="1" applyBorder="1" applyAlignment="1">
      <alignment horizontal="center" vertical="center"/>
    </xf>
    <xf numFmtId="0" fontId="14" fillId="0" borderId="10" xfId="0" applyNumberFormat="1" applyFont="1" applyBorder="1" applyAlignment="1">
      <alignment horizontal="center" vertical="center"/>
    </xf>
    <xf numFmtId="0" fontId="14" fillId="0" borderId="31" xfId="0" applyNumberFormat="1" applyFont="1" applyBorder="1" applyAlignment="1">
      <alignment horizontal="center" vertical="center"/>
    </xf>
    <xf numFmtId="0" fontId="14" fillId="0" borderId="39" xfId="0" applyFont="1" applyBorder="1" applyAlignment="1">
      <alignment horizontal="center" vertical="center"/>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2" fillId="0" borderId="0" xfId="0" applyFont="1" applyAlignment="1">
      <alignment horizontal="center" wrapText="1"/>
    </xf>
    <xf numFmtId="0" fontId="2" fillId="0" borderId="12" xfId="0" applyNumberFormat="1" applyFont="1" applyBorder="1" applyAlignment="1">
      <alignment horizontal="center" vertical="center" wrapText="1"/>
    </xf>
    <xf numFmtId="0" fontId="0" fillId="0" borderId="0" xfId="0"/>
    <xf numFmtId="0" fontId="2" fillId="0" borderId="9" xfId="0" applyNumberFormat="1" applyFont="1" applyBorder="1" applyAlignment="1">
      <alignment horizontal="center" vertical="center" wrapText="1"/>
    </xf>
    <xf numFmtId="0" fontId="19" fillId="0" borderId="10" xfId="0" applyNumberFormat="1" applyFont="1" applyBorder="1" applyAlignment="1">
      <alignment horizontal="right" vertical="center" wrapText="1"/>
    </xf>
    <xf numFmtId="0" fontId="19" fillId="0" borderId="11" xfId="0" applyNumberFormat="1" applyFont="1" applyBorder="1" applyAlignment="1">
      <alignment horizontal="right" vertical="center" wrapText="1"/>
    </xf>
    <xf numFmtId="0" fontId="16" fillId="0" borderId="10" xfId="0" applyNumberFormat="1" applyFont="1" applyBorder="1" applyAlignment="1">
      <alignment horizontal="right" vertical="center" wrapText="1"/>
    </xf>
    <xf numFmtId="0" fontId="16" fillId="0" borderId="11" xfId="0" applyNumberFormat="1" applyFont="1" applyBorder="1" applyAlignment="1">
      <alignment horizontal="right" vertical="center" wrapText="1"/>
    </xf>
    <xf numFmtId="0" fontId="16" fillId="0" borderId="0" xfId="0" applyFont="1" applyAlignment="1">
      <alignment horizontal="center" wrapText="1"/>
    </xf>
    <xf numFmtId="0" fontId="17" fillId="0" borderId="0" xfId="0" applyFont="1"/>
    <xf numFmtId="0" fontId="19" fillId="0" borderId="9" xfId="0" applyNumberFormat="1" applyFont="1" applyBorder="1" applyAlignment="1">
      <alignment horizontal="right" vertical="center" wrapText="1"/>
    </xf>
    <xf numFmtId="0" fontId="16" fillId="0" borderId="9" xfId="0" applyNumberFormat="1" applyFont="1" applyBorder="1" applyAlignment="1">
      <alignment horizontal="right" vertical="center" wrapText="1"/>
    </xf>
    <xf numFmtId="0" fontId="15" fillId="0" borderId="10" xfId="0" applyNumberFormat="1" applyFont="1" applyBorder="1" applyAlignment="1">
      <alignment horizontal="center" vertical="center" wrapText="1"/>
    </xf>
    <xf numFmtId="0" fontId="15" fillId="0" borderId="11" xfId="0" applyNumberFormat="1" applyFont="1" applyBorder="1" applyAlignment="1">
      <alignment horizontal="center" vertical="center" wrapText="1"/>
    </xf>
    <xf numFmtId="0" fontId="2" fillId="0" borderId="12" xfId="0" applyNumberFormat="1" applyFont="1" applyBorder="1" applyAlignment="1">
      <alignment vertical="center" wrapText="1"/>
    </xf>
    <xf numFmtId="0" fontId="0" fillId="0" borderId="11" xfId="0" applyBorder="1" applyAlignment="1">
      <alignment vertical="center"/>
    </xf>
  </cellXfs>
  <cellStyles count="22">
    <cellStyle name="Comma" xfId="4"/>
    <cellStyle name="Comma [0]" xfId="5"/>
    <cellStyle name="Comma [0] 2" xfId="10"/>
    <cellStyle name="Comma [0] 3" xfId="19"/>
    <cellStyle name="Comma 2" xfId="9"/>
    <cellStyle name="Comma 3" xfId="12"/>
    <cellStyle name="Comma 4" xfId="18"/>
    <cellStyle name="Comma 5" xfId="21"/>
    <cellStyle name="Currency" xfId="2"/>
    <cellStyle name="Currency [0]" xfId="3"/>
    <cellStyle name="Currency [0] 2" xfId="8"/>
    <cellStyle name="Currency [0] 3" xfId="17"/>
    <cellStyle name="Currency 2" xfId="7"/>
    <cellStyle name="Currency 3" xfId="11"/>
    <cellStyle name="Currency 4" xfId="16"/>
    <cellStyle name="Currency 5" xfId="20"/>
    <cellStyle name="Köprü" xfId="6" builtinId="8"/>
    <cellStyle name="Köprü 2" xfId="13"/>
    <cellStyle name="Normal" xfId="0" builtinId="0"/>
    <cellStyle name="Normal 2" xfId="15"/>
    <cellStyle name="Normal 3" xfId="14"/>
    <cellStyle name="Percent" xfId="1"/>
  </cellStyles>
  <dxfs count="0"/>
  <tableStyles count="0" defaultTableStyle="TableStyleMedium2" defaultPivotStyle="PivotStyleLight16"/>
  <colors>
    <mruColors>
      <color rgb="FF0000CC"/>
      <color rgb="FF0000FF"/>
      <color rgb="FF66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11</xdr:col>
      <xdr:colOff>40821</xdr:colOff>
      <xdr:row>57</xdr:row>
      <xdr:rowOff>40822</xdr:rowOff>
    </xdr:to>
    <xdr:pic>
      <xdr:nvPicPr>
        <xdr:cNvPr id="3" name="Resim 2">
          <a:extLst>
            <a:ext uri="{FF2B5EF4-FFF2-40B4-BE49-F238E27FC236}">
              <a16:creationId xmlns:a16="http://schemas.microsoft.com/office/drawing/2014/main" xmlns="" id="{8E9A6C86-9013-4085-B1EF-5EE25C9F1A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6232071" cy="94977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76201</xdr:colOff>
      <xdr:row>0</xdr:row>
      <xdr:rowOff>85724</xdr:rowOff>
    </xdr:from>
    <xdr:to>
      <xdr:col>10</xdr:col>
      <xdr:colOff>544286</xdr:colOff>
      <xdr:row>5</xdr:row>
      <xdr:rowOff>95250</xdr:rowOff>
    </xdr:to>
    <xdr:sp macro="" textlink="">
      <xdr:nvSpPr>
        <xdr:cNvPr id="2" name="Rectangle 20">
          <a:extLst>
            <a:ext uri="{FF2B5EF4-FFF2-40B4-BE49-F238E27FC236}">
              <a16:creationId xmlns:a16="http://schemas.microsoft.com/office/drawing/2014/main" xmlns="" id="{00000000-0008-0000-0200-000002000000}"/>
            </a:ext>
          </a:extLst>
        </xdr:cNvPr>
        <xdr:cNvSpPr>
          <a:spLocks noChangeArrowheads="1"/>
        </xdr:cNvSpPr>
      </xdr:nvSpPr>
      <xdr:spPr bwMode="auto">
        <a:xfrm>
          <a:off x="76201" y="85724"/>
          <a:ext cx="6564085" cy="819151"/>
        </a:xfrm>
        <a:prstGeom prst="rect">
          <a:avLst/>
        </a:prstGeom>
        <a:solidFill>
          <a:srgbClr val="FFFFFF"/>
        </a:solidFill>
        <a:ln w="57150" cmpd="thinThick">
          <a:solidFill>
            <a:srgbClr val="000000"/>
          </a:solidFill>
          <a:miter lim="800000"/>
          <a:headEnd/>
          <a:tailEnd/>
        </a:ln>
      </xdr:spPr>
      <xdr:txBody>
        <a:bodyPr vertOverflow="clip" wrap="square" lIns="91440" tIns="45720" rIns="91440" bIns="45720" anchor="t" upright="1"/>
        <a:lstStyle/>
        <a:p>
          <a:pPr algn="just" rtl="0">
            <a:defRPr sz="1000"/>
          </a:pPr>
          <a:r>
            <a:rPr lang="tr-TR" sz="1300" b="1" i="0" u="none" strike="noStrike" baseline="0">
              <a:solidFill>
                <a:srgbClr val="000000"/>
              </a:solidFill>
              <a:latin typeface="Times New Roman"/>
              <a:cs typeface="Times New Roman"/>
            </a:rPr>
            <a:t>BU YAYININ 5846 SAYILI FİKİR VE SANAT ESERLERİ KANUNU’NA GÖRE HER HAKKI  T.C. KÜLTÜR VE TURİZM BAKANLIĞI’NA AİTTİR. GERÇEK VE TÜZEL KİŞİLER TARAFINDAN İZİNSİZ ÇOĞALTILAMAZ VE DAĞITILAMAZ.</a:t>
          </a:r>
        </a:p>
      </xdr:txBody>
    </xdr:sp>
    <xdr:clientData/>
  </xdr:twoCellAnchor>
  <xdr:twoCellAnchor>
    <xdr:from>
      <xdr:col>0</xdr:col>
      <xdr:colOff>81644</xdr:colOff>
      <xdr:row>6</xdr:row>
      <xdr:rowOff>44451</xdr:rowOff>
    </xdr:from>
    <xdr:to>
      <xdr:col>5</xdr:col>
      <xdr:colOff>222251</xdr:colOff>
      <xdr:row>8</xdr:row>
      <xdr:rowOff>127001</xdr:rowOff>
    </xdr:to>
    <xdr:sp macro="" textlink="">
      <xdr:nvSpPr>
        <xdr:cNvPr id="3" name="Rectangle 18">
          <a:extLst>
            <a:ext uri="{FF2B5EF4-FFF2-40B4-BE49-F238E27FC236}">
              <a16:creationId xmlns:a16="http://schemas.microsoft.com/office/drawing/2014/main" xmlns="" id="{00000000-0008-0000-0200-000003000000}"/>
            </a:ext>
          </a:extLst>
        </xdr:cNvPr>
        <xdr:cNvSpPr>
          <a:spLocks noChangeArrowheads="1"/>
        </xdr:cNvSpPr>
      </xdr:nvSpPr>
      <xdr:spPr bwMode="auto">
        <a:xfrm>
          <a:off x="81644" y="1016001"/>
          <a:ext cx="3188607" cy="406400"/>
        </a:xfrm>
        <a:prstGeom prst="rect">
          <a:avLst/>
        </a:prstGeom>
        <a:solidFill>
          <a:srgbClr val="FFFFFF"/>
        </a:solidFill>
        <a:ln w="57150" cmpd="thinThick">
          <a:solidFill>
            <a:srgbClr val="000000"/>
          </a:solidFill>
          <a:miter lim="800000"/>
          <a:headEnd/>
          <a:tailEnd/>
        </a:ln>
      </xdr:spPr>
      <xdr:txBody>
        <a:bodyPr vertOverflow="clip" wrap="square" lIns="91440" tIns="45720" rIns="91440" bIns="45720" anchor="t" upright="1"/>
        <a:lstStyle/>
        <a:p>
          <a:pPr algn="l" rtl="0">
            <a:defRPr sz="1000"/>
          </a:pPr>
          <a:r>
            <a:rPr lang="tr-TR" sz="1600" b="1" i="0" u="none" strike="noStrike" baseline="0">
              <a:solidFill>
                <a:srgbClr val="000000"/>
              </a:solidFill>
              <a:latin typeface="Times New Roman"/>
              <a:cs typeface="Times New Roman"/>
            </a:rPr>
            <a:t>YAYIN NO   :   </a:t>
          </a:r>
          <a:r>
            <a:rPr lang="tr-TR" sz="1600" b="1" i="0" u="none" strike="noStrike" baseline="0">
              <a:solidFill>
                <a:srgbClr val="FF0000"/>
              </a:solidFill>
              <a:latin typeface="Times New Roman"/>
              <a:cs typeface="Times New Roman"/>
            </a:rPr>
            <a:t>2024 /4</a:t>
          </a:r>
          <a:endParaRPr lang="tr-TR" sz="1600" b="0" i="0" u="none" strike="noStrike" baseline="0">
            <a:solidFill>
              <a:srgbClr val="FF0000"/>
            </a:solidFill>
            <a:latin typeface="Times New Roman"/>
            <a:cs typeface="Times New Roman"/>
          </a:endParaRPr>
        </a:p>
        <a:p>
          <a:pPr algn="l" rtl="0">
            <a:defRPr sz="1000"/>
          </a:pPr>
          <a:r>
            <a:rPr lang="tr-TR" sz="600" b="0" i="0" u="none" strike="noStrike" baseline="0">
              <a:solidFill>
                <a:srgbClr val="000000"/>
              </a:solidFill>
              <a:latin typeface="Times New Roman"/>
              <a:cs typeface="Times New Roman"/>
            </a:rPr>
            <a:t> </a:t>
          </a:r>
        </a:p>
      </xdr:txBody>
    </xdr:sp>
    <xdr:clientData/>
  </xdr:twoCellAnchor>
  <xdr:twoCellAnchor>
    <xdr:from>
      <xdr:col>5</xdr:col>
      <xdr:colOff>403226</xdr:colOff>
      <xdr:row>6</xdr:row>
      <xdr:rowOff>42334</xdr:rowOff>
    </xdr:from>
    <xdr:to>
      <xdr:col>10</xdr:col>
      <xdr:colOff>539750</xdr:colOff>
      <xdr:row>8</xdr:row>
      <xdr:rowOff>126999</xdr:rowOff>
    </xdr:to>
    <xdr:sp macro="" textlink="">
      <xdr:nvSpPr>
        <xdr:cNvPr id="4" name="Rectangle 17">
          <a:extLst>
            <a:ext uri="{FF2B5EF4-FFF2-40B4-BE49-F238E27FC236}">
              <a16:creationId xmlns:a16="http://schemas.microsoft.com/office/drawing/2014/main" xmlns="" id="{00000000-0008-0000-0200-000004000000}"/>
            </a:ext>
          </a:extLst>
        </xdr:cNvPr>
        <xdr:cNvSpPr>
          <a:spLocks noChangeArrowheads="1"/>
        </xdr:cNvSpPr>
      </xdr:nvSpPr>
      <xdr:spPr bwMode="auto">
        <a:xfrm>
          <a:off x="3451226" y="1013884"/>
          <a:ext cx="3184524" cy="408515"/>
        </a:xfrm>
        <a:prstGeom prst="rect">
          <a:avLst/>
        </a:prstGeom>
        <a:solidFill>
          <a:srgbClr val="FFFFFF"/>
        </a:solidFill>
        <a:ln w="57150" cmpd="thinThick">
          <a:solidFill>
            <a:srgbClr val="000000"/>
          </a:solidFill>
          <a:miter lim="800000"/>
          <a:headEnd/>
          <a:tailEnd/>
        </a:ln>
      </xdr:spPr>
      <xdr:txBody>
        <a:bodyPr vertOverflow="clip" wrap="square" lIns="91440" tIns="45720" rIns="91440" bIns="45720" anchor="t" upright="1"/>
        <a:lstStyle/>
        <a:p>
          <a:pPr algn="l" rtl="0">
            <a:defRPr sz="1000"/>
          </a:pPr>
          <a:r>
            <a:rPr lang="tr-TR" sz="1200" b="1" i="0" u="none" strike="noStrike" baseline="0">
              <a:solidFill>
                <a:srgbClr val="000000"/>
              </a:solidFill>
              <a:latin typeface="Arial"/>
              <a:cs typeface="Arial"/>
            </a:rPr>
            <a:t>       </a:t>
          </a:r>
          <a:r>
            <a:rPr lang="tr-TR" sz="1400" b="1" i="0" u="none" strike="noStrike" baseline="0">
              <a:solidFill>
                <a:srgbClr val="000000"/>
              </a:solidFill>
              <a:latin typeface="Times New Roman"/>
              <a:cs typeface="Times New Roman"/>
            </a:rPr>
            <a:t>  ISSN – 1300 - 6932</a:t>
          </a:r>
          <a:endParaRPr lang="tr-TR" sz="1400" b="0" i="0" u="none" strike="noStrike" baseline="0">
            <a:solidFill>
              <a:srgbClr val="000000"/>
            </a:solidFill>
            <a:latin typeface="Times New Roman"/>
            <a:cs typeface="Times New Roman"/>
          </a:endParaRPr>
        </a:p>
        <a:p>
          <a:pPr algn="l" rtl="0">
            <a:defRPr sz="1000"/>
          </a:pPr>
          <a:r>
            <a:rPr lang="tr-TR" sz="1000" b="0" i="0" u="none" strike="noStrike" baseline="0">
              <a:solidFill>
                <a:srgbClr val="000000"/>
              </a:solidFill>
              <a:latin typeface="Times New Roman"/>
              <a:cs typeface="Times New Roman"/>
            </a:rPr>
            <a:t>    </a:t>
          </a:r>
        </a:p>
      </xdr:txBody>
    </xdr:sp>
    <xdr:clientData/>
  </xdr:twoCellAnchor>
  <xdr:twoCellAnchor>
    <xdr:from>
      <xdr:col>0</xdr:col>
      <xdr:colOff>81643</xdr:colOff>
      <xdr:row>9</xdr:row>
      <xdr:rowOff>38554</xdr:rowOff>
    </xdr:from>
    <xdr:to>
      <xdr:col>10</xdr:col>
      <xdr:colOff>542018</xdr:colOff>
      <xdr:row>32</xdr:row>
      <xdr:rowOff>95705</xdr:rowOff>
    </xdr:to>
    <xdr:sp macro="" textlink="">
      <xdr:nvSpPr>
        <xdr:cNvPr id="5" name="Rectangle 16">
          <a:extLst>
            <a:ext uri="{FF2B5EF4-FFF2-40B4-BE49-F238E27FC236}">
              <a16:creationId xmlns:a16="http://schemas.microsoft.com/office/drawing/2014/main" xmlns="" id="{00000000-0008-0000-0200-000005000000}"/>
            </a:ext>
          </a:extLst>
        </xdr:cNvPr>
        <xdr:cNvSpPr>
          <a:spLocks noChangeArrowheads="1"/>
        </xdr:cNvSpPr>
      </xdr:nvSpPr>
      <xdr:spPr bwMode="auto">
        <a:xfrm>
          <a:off x="81643" y="1495879"/>
          <a:ext cx="6556375" cy="3781426"/>
        </a:xfrm>
        <a:prstGeom prst="rect">
          <a:avLst/>
        </a:prstGeom>
        <a:solidFill>
          <a:srgbClr val="FFFFFF"/>
        </a:solidFill>
        <a:ln w="57150" cmpd="thinThick">
          <a:solidFill>
            <a:srgbClr val="000000"/>
          </a:solidFill>
          <a:miter lim="800000"/>
          <a:headEnd/>
          <a:tailEnd/>
        </a:ln>
      </xdr:spPr>
      <xdr:txBody>
        <a:bodyPr vertOverflow="clip" wrap="square" lIns="91440" tIns="45720" rIns="91440" bIns="45720" anchor="t" upright="1"/>
        <a:lstStyle/>
        <a:p>
          <a:pPr algn="l" rtl="0">
            <a:defRPr sz="1000"/>
          </a:pPr>
          <a:r>
            <a:rPr lang="tr-TR" sz="1000" b="1" i="0" u="none" strike="noStrike" baseline="0">
              <a:solidFill>
                <a:srgbClr val="000000"/>
              </a:solidFill>
              <a:latin typeface="Times New Roman"/>
              <a:cs typeface="Times New Roman"/>
            </a:rPr>
            <a:t>    </a:t>
          </a:r>
        </a:p>
        <a:p>
          <a:pPr algn="l" rtl="0">
            <a:defRPr sz="1000"/>
          </a:pPr>
          <a:r>
            <a:rPr lang="tr-TR" sz="1000" b="1" i="0" u="none" strike="noStrike" baseline="0">
              <a:solidFill>
                <a:srgbClr val="000000"/>
              </a:solidFill>
              <a:latin typeface="Times New Roman"/>
              <a:cs typeface="Times New Roman"/>
            </a:rPr>
            <a:t>                                                 </a:t>
          </a:r>
          <a:r>
            <a:rPr lang="tr-TR" sz="1800" b="1" i="0" u="none" strike="noStrike" baseline="0">
              <a:solidFill>
                <a:srgbClr val="000000"/>
              </a:solidFill>
              <a:latin typeface="Times New Roman"/>
              <a:cs typeface="Times New Roman"/>
            </a:rPr>
            <a:t> BİLGİ TALEPLERİ İÇİN </a:t>
          </a:r>
        </a:p>
        <a:p>
          <a:pPr algn="l" rtl="0">
            <a:defRPr sz="1000"/>
          </a:pPr>
          <a:endParaRPr lang="tr-TR" sz="1000" b="1" i="0" u="none" strike="noStrike" baseline="0">
            <a:solidFill>
              <a:srgbClr val="000000"/>
            </a:solidFill>
            <a:latin typeface="Times New Roman"/>
            <a:cs typeface="Times New Roman"/>
          </a:endParaRPr>
        </a:p>
        <a:p>
          <a:pPr algn="l" rtl="0">
            <a:defRPr sz="1000"/>
          </a:pPr>
          <a:r>
            <a:rPr lang="tr-TR" sz="1800" b="1" i="0" u="sng" strike="noStrike" baseline="0">
              <a:solidFill>
                <a:srgbClr val="000000"/>
              </a:solidFill>
              <a:latin typeface="Times New Roman"/>
              <a:cs typeface="Times New Roman"/>
            </a:rPr>
            <a:t>ADRES :</a:t>
          </a:r>
          <a:r>
            <a:rPr lang="tr-TR" sz="1200" b="1" i="0" u="sng" strike="noStrike" baseline="0">
              <a:solidFill>
                <a:srgbClr val="000000"/>
              </a:solidFill>
              <a:latin typeface="Times New Roman"/>
              <a:cs typeface="Times New Roman"/>
            </a:rPr>
            <a:t> </a:t>
          </a:r>
          <a:r>
            <a:rPr lang="tr-TR" sz="1200" b="1" i="0" u="none" strike="noStrike" baseline="0">
              <a:solidFill>
                <a:srgbClr val="000000"/>
              </a:solidFill>
              <a:latin typeface="Times New Roman"/>
              <a:cs typeface="Times New Roman"/>
            </a:rPr>
            <a:t>                                           </a:t>
          </a:r>
          <a:endParaRPr lang="tr-TR" sz="1200" b="1" i="0" u="sng" strike="noStrike" baseline="0">
            <a:solidFill>
              <a:srgbClr val="000000"/>
            </a:solidFill>
            <a:latin typeface="Times New Roman"/>
            <a:cs typeface="Times New Roman"/>
          </a:endParaRPr>
        </a:p>
        <a:p>
          <a:pPr algn="l" rtl="0">
            <a:defRPr sz="1000"/>
          </a:pPr>
          <a:r>
            <a:rPr lang="tr-TR" sz="1400" b="1" i="0" u="none" strike="noStrike" baseline="0">
              <a:solidFill>
                <a:srgbClr val="000000"/>
              </a:solidFill>
              <a:latin typeface="Times New Roman"/>
              <a:cs typeface="Times New Roman"/>
            </a:rPr>
            <a:t>T.C. KÜLTÜR  VE TURİZM BAKANLIĞI</a:t>
          </a:r>
        </a:p>
        <a:p>
          <a:pPr algn="l" rtl="0">
            <a:defRPr sz="1000"/>
          </a:pPr>
          <a:r>
            <a:rPr lang="tr-TR" sz="1400" b="1" i="0" u="none" strike="noStrike" baseline="0">
              <a:solidFill>
                <a:srgbClr val="000000"/>
              </a:solidFill>
              <a:latin typeface="Times New Roman"/>
              <a:cs typeface="Times New Roman"/>
            </a:rPr>
            <a:t>YATIRIM VE İŞLETMELER GENEL MÜDÜRLÜĞÜ</a:t>
          </a:r>
        </a:p>
        <a:p>
          <a:pPr algn="l" rtl="0">
            <a:defRPr sz="1000"/>
          </a:pPr>
          <a:r>
            <a:rPr lang="tr-TR" sz="1400" b="1" i="0" u="none" strike="noStrike" baseline="0">
              <a:solidFill>
                <a:srgbClr val="000000"/>
              </a:solidFill>
              <a:latin typeface="Times New Roman"/>
              <a:cs typeface="Times New Roman"/>
            </a:rPr>
            <a:t>ARAŞTIRMA VE DEĞERLENDİRME DAİRE BAŞKANLIĞI</a:t>
          </a:r>
        </a:p>
        <a:p>
          <a:pPr algn="l" rtl="0">
            <a:defRPr sz="1000"/>
          </a:pPr>
          <a:r>
            <a:rPr lang="tr-TR" sz="1400" b="1" i="0" u="none" strike="noStrike" baseline="0">
              <a:solidFill>
                <a:srgbClr val="000000"/>
              </a:solidFill>
              <a:latin typeface="Times New Roman"/>
              <a:cs typeface="Times New Roman"/>
            </a:rPr>
            <a:t>İSMET İNÖNÜ BULVARI       NO :  32</a:t>
          </a:r>
        </a:p>
        <a:p>
          <a:pPr algn="l" rtl="0">
            <a:defRPr sz="1000"/>
          </a:pPr>
          <a:endParaRPr lang="tr-TR" sz="1400" b="1" i="0" u="none" strike="noStrike" baseline="0">
            <a:solidFill>
              <a:srgbClr val="000000"/>
            </a:solidFill>
            <a:latin typeface="Times New Roman"/>
            <a:cs typeface="Times New Roman"/>
          </a:endParaRPr>
        </a:p>
        <a:p>
          <a:pPr algn="l" rtl="0">
            <a:defRPr sz="1000"/>
          </a:pPr>
          <a:r>
            <a:rPr lang="tr-TR" sz="1400" b="1" i="0" u="none" strike="noStrike" baseline="0">
              <a:solidFill>
                <a:srgbClr val="000000"/>
              </a:solidFill>
              <a:latin typeface="Times New Roman"/>
              <a:cs typeface="Times New Roman"/>
            </a:rPr>
            <a:t>                                                                              EMEK/ANKARA</a:t>
          </a:r>
        </a:p>
        <a:p>
          <a:pPr algn="l" rtl="0">
            <a:defRPr sz="1000"/>
          </a:pPr>
          <a:endParaRPr lang="tr-TR" sz="1200" b="1" i="0" u="sng" strike="noStrike" baseline="0">
            <a:solidFill>
              <a:srgbClr val="000000"/>
            </a:solidFill>
            <a:latin typeface="Times New Roman"/>
            <a:cs typeface="Times New Roman"/>
          </a:endParaRPr>
        </a:p>
        <a:p>
          <a:pPr algn="l" rtl="0">
            <a:defRPr sz="1000"/>
          </a:pPr>
          <a:r>
            <a:rPr lang="tr-TR" sz="1600" b="1" i="0" u="sng" strike="noStrike" baseline="0">
              <a:solidFill>
                <a:srgbClr val="000000"/>
              </a:solidFill>
              <a:latin typeface="Times New Roman"/>
              <a:cs typeface="Times New Roman"/>
            </a:rPr>
            <a:t>TELEFON </a:t>
          </a:r>
          <a:r>
            <a:rPr lang="tr-TR" sz="1000" b="1" i="0" u="sng" strike="noStrike" baseline="0">
              <a:solidFill>
                <a:srgbClr val="000000"/>
              </a:solidFill>
              <a:latin typeface="Times New Roman"/>
              <a:cs typeface="Times New Roman"/>
            </a:rPr>
            <a:t>:  </a:t>
          </a:r>
        </a:p>
        <a:p>
          <a:pPr algn="l" rtl="0">
            <a:defRPr sz="1000"/>
          </a:pPr>
          <a:r>
            <a:rPr lang="tr-TR" sz="1600" b="1" i="0" u="none" strike="noStrike" baseline="0">
              <a:solidFill>
                <a:srgbClr val="000000"/>
              </a:solidFill>
              <a:latin typeface="Times New Roman"/>
              <a:cs typeface="Times New Roman"/>
            </a:rPr>
            <a:t>+ (312) 470 71 17          + (312) 470 71 38        + (312) 470 80 00</a:t>
          </a:r>
        </a:p>
        <a:p>
          <a:pPr algn="l" rtl="0">
            <a:defRPr sz="1000"/>
          </a:pPr>
          <a:endParaRPr lang="tr-TR" sz="1600" b="1" i="0" u="none" strike="noStrike" baseline="0">
            <a:solidFill>
              <a:srgbClr val="000000"/>
            </a:solidFill>
            <a:latin typeface="Times New Roman"/>
            <a:cs typeface="Times New Roman"/>
          </a:endParaRPr>
        </a:p>
        <a:p>
          <a:pPr algn="l" rtl="0">
            <a:defRPr sz="1000"/>
          </a:pPr>
          <a:r>
            <a:rPr lang="tr-TR" sz="1600" b="1" i="0" u="none" strike="noStrike" baseline="0">
              <a:solidFill>
                <a:srgbClr val="000000"/>
              </a:solidFill>
              <a:latin typeface="Times New Roman"/>
              <a:cs typeface="Times New Roman"/>
            </a:rPr>
            <a:t>FAKS :</a:t>
          </a:r>
        </a:p>
        <a:p>
          <a:pPr algn="l" rtl="0">
            <a:defRPr sz="1000"/>
          </a:pPr>
          <a:r>
            <a:rPr lang="tr-TR" sz="1600" b="1" i="0" u="none" strike="noStrike" baseline="0">
              <a:solidFill>
                <a:srgbClr val="000000"/>
              </a:solidFill>
              <a:latin typeface="Times New Roman"/>
              <a:cs typeface="Times New Roman"/>
            </a:rPr>
            <a:t>+ (312) 212 20 05                         </a:t>
          </a:r>
        </a:p>
      </xdr:txBody>
    </xdr:sp>
    <xdr:clientData/>
  </xdr:twoCellAnchor>
  <xdr:twoCellAnchor>
    <xdr:from>
      <xdr:col>0</xdr:col>
      <xdr:colOff>79375</xdr:colOff>
      <xdr:row>34</xdr:row>
      <xdr:rowOff>59267</xdr:rowOff>
    </xdr:from>
    <xdr:to>
      <xdr:col>10</xdr:col>
      <xdr:colOff>544286</xdr:colOff>
      <xdr:row>37</xdr:row>
      <xdr:rowOff>68792</xdr:rowOff>
    </xdr:to>
    <xdr:sp macro="" textlink="">
      <xdr:nvSpPr>
        <xdr:cNvPr id="6" name="Rectangle 15">
          <a:extLst>
            <a:ext uri="{FF2B5EF4-FFF2-40B4-BE49-F238E27FC236}">
              <a16:creationId xmlns:a16="http://schemas.microsoft.com/office/drawing/2014/main" xmlns="" id="{00000000-0008-0000-0200-000006000000}"/>
            </a:ext>
          </a:extLst>
        </xdr:cNvPr>
        <xdr:cNvSpPr>
          <a:spLocks noChangeArrowheads="1"/>
        </xdr:cNvSpPr>
      </xdr:nvSpPr>
      <xdr:spPr bwMode="auto">
        <a:xfrm>
          <a:off x="79375" y="5564717"/>
          <a:ext cx="6560911" cy="495300"/>
        </a:xfrm>
        <a:prstGeom prst="rect">
          <a:avLst/>
        </a:prstGeom>
        <a:solidFill>
          <a:srgbClr val="FFFFFF"/>
        </a:solidFill>
        <a:ln w="57150" cmpd="thinThick">
          <a:solidFill>
            <a:srgbClr val="000000"/>
          </a:solidFill>
          <a:miter lim="800000"/>
          <a:headEnd/>
          <a:tailEnd/>
        </a:ln>
      </xdr:spPr>
      <xdr:txBody>
        <a:bodyPr vertOverflow="clip" wrap="square" lIns="91440" tIns="45720" rIns="91440" bIns="45720" anchor="t" upright="1"/>
        <a:lstStyle/>
        <a:p>
          <a:pPr algn="l" rtl="0">
            <a:defRPr sz="1000"/>
          </a:pPr>
          <a:r>
            <a:rPr lang="tr-TR" sz="500" b="0" i="0" u="none" strike="noStrike" baseline="0">
              <a:solidFill>
                <a:srgbClr val="000000"/>
              </a:solidFill>
              <a:latin typeface="Times New Roman"/>
              <a:cs typeface="Times New Roman"/>
            </a:rPr>
            <a:t> </a:t>
          </a:r>
          <a:endParaRPr lang="tr-TR" sz="1000" b="0" i="0" u="none" strike="noStrike" baseline="0">
            <a:solidFill>
              <a:srgbClr val="000000"/>
            </a:solidFill>
            <a:latin typeface="Times New Roman"/>
            <a:cs typeface="Times New Roman"/>
          </a:endParaRPr>
        </a:p>
        <a:p>
          <a:pPr algn="l" rtl="0">
            <a:defRPr sz="1000"/>
          </a:pPr>
          <a:r>
            <a:rPr lang="tr-TR" sz="1200" b="1" i="0" u="none" strike="noStrike" baseline="0">
              <a:solidFill>
                <a:srgbClr val="000000"/>
              </a:solidFill>
              <a:latin typeface="Times New Roman"/>
              <a:cs typeface="Times New Roman"/>
            </a:rPr>
            <a:t>E- Posta</a:t>
          </a:r>
          <a:r>
            <a:rPr lang="tr-TR" sz="1200" b="0" i="0" u="none" strike="noStrike" baseline="0">
              <a:solidFill>
                <a:srgbClr val="000000"/>
              </a:solidFill>
              <a:latin typeface="Times New Roman"/>
              <a:cs typeface="Times New Roman"/>
            </a:rPr>
            <a:t> :   </a:t>
          </a:r>
          <a:r>
            <a:rPr lang="tr-TR" sz="1200" b="1" i="0" u="none" strike="noStrike" baseline="0">
              <a:solidFill>
                <a:srgbClr val="000000"/>
              </a:solidFill>
              <a:latin typeface="Times New Roman"/>
              <a:cs typeface="Times New Roman"/>
            </a:rPr>
            <a:t>istatistik@ktb.gov.tr                    Internet Web  :  http:// www.ktb.gov.tr</a:t>
          </a:r>
        </a:p>
      </xdr:txBody>
    </xdr:sp>
    <xdr:clientData/>
  </xdr:twoCellAnchor>
  <xdr:twoCellAnchor>
    <xdr:from>
      <xdr:col>0</xdr:col>
      <xdr:colOff>63500</xdr:colOff>
      <xdr:row>38</xdr:row>
      <xdr:rowOff>142876</xdr:rowOff>
    </xdr:from>
    <xdr:to>
      <xdr:col>10</xdr:col>
      <xdr:colOff>539750</xdr:colOff>
      <xdr:row>66</xdr:row>
      <xdr:rowOff>105834</xdr:rowOff>
    </xdr:to>
    <xdr:sp macro="" textlink="">
      <xdr:nvSpPr>
        <xdr:cNvPr id="7" name="Rectangle 14">
          <a:extLst>
            <a:ext uri="{FF2B5EF4-FFF2-40B4-BE49-F238E27FC236}">
              <a16:creationId xmlns:a16="http://schemas.microsoft.com/office/drawing/2014/main" xmlns="" id="{00000000-0008-0000-0200-000007000000}"/>
            </a:ext>
          </a:extLst>
        </xdr:cNvPr>
        <xdr:cNvSpPr>
          <a:spLocks noChangeArrowheads="1"/>
        </xdr:cNvSpPr>
      </xdr:nvSpPr>
      <xdr:spPr bwMode="auto">
        <a:xfrm>
          <a:off x="63500" y="6296026"/>
          <a:ext cx="6572250" cy="4496858"/>
        </a:xfrm>
        <a:prstGeom prst="rect">
          <a:avLst/>
        </a:prstGeom>
        <a:solidFill>
          <a:srgbClr val="FFFFFF"/>
        </a:solidFill>
        <a:ln w="57150" cmpd="thinThick">
          <a:solidFill>
            <a:srgbClr val="000000"/>
          </a:solidFill>
          <a:miter lim="800000"/>
          <a:headEnd/>
          <a:tailEnd/>
        </a:ln>
      </xdr:spPr>
      <xdr:txBody>
        <a:bodyPr vertOverflow="clip" wrap="square" lIns="91440" tIns="45720" rIns="91440" bIns="45720" anchor="t" upright="1"/>
        <a:lstStyle/>
        <a:p>
          <a:pPr algn="l" rtl="0">
            <a:defRPr sz="1000"/>
          </a:pPr>
          <a:endParaRPr lang="tr-TR" sz="1600" b="1" i="0" u="none" strike="noStrike" baseline="0">
            <a:solidFill>
              <a:srgbClr val="000000"/>
            </a:solidFill>
            <a:latin typeface="Times New Roman"/>
            <a:cs typeface="Times New Roman"/>
          </a:endParaRPr>
        </a:p>
        <a:p>
          <a:pPr algn="l" rtl="0">
            <a:defRPr sz="1000"/>
          </a:pPr>
          <a:r>
            <a:rPr lang="tr-TR" sz="1600" b="1" i="0" u="none" strike="noStrike" baseline="0">
              <a:solidFill>
                <a:srgbClr val="000000"/>
              </a:solidFill>
              <a:latin typeface="Times New Roman"/>
              <a:cs typeface="Times New Roman"/>
            </a:rPr>
            <a:t>YÖNETİM</a:t>
          </a:r>
          <a:r>
            <a:rPr lang="tr-TR" sz="1600" b="0" i="0" u="none" strike="noStrike" baseline="0">
              <a:solidFill>
                <a:srgbClr val="000000"/>
              </a:solidFill>
              <a:latin typeface="Times New Roman"/>
              <a:cs typeface="Times New Roman"/>
            </a:rPr>
            <a:t> </a:t>
          </a:r>
          <a:r>
            <a:rPr lang="tr-TR" sz="1600" b="0" i="0" u="none" strike="noStrike" baseline="0">
              <a:solidFill>
                <a:srgbClr val="000000"/>
              </a:solidFill>
              <a:latin typeface="Arial"/>
              <a:cs typeface="Arial"/>
            </a:rPr>
            <a:t> </a:t>
          </a:r>
          <a:endParaRPr lang="tr-TR" sz="1200" b="0" i="0" u="none" strike="noStrike" baseline="0">
            <a:solidFill>
              <a:srgbClr val="000000"/>
            </a:solidFill>
            <a:latin typeface="Times New Roman"/>
            <a:cs typeface="Times New Roman"/>
          </a:endParaRPr>
        </a:p>
        <a:p>
          <a:pPr algn="l" rtl="0">
            <a:defRPr sz="1000"/>
          </a:pPr>
          <a:r>
            <a:rPr lang="tr-TR" sz="1600" b="0" i="0" u="none" strike="noStrike" baseline="0">
              <a:solidFill>
                <a:srgbClr val="000000"/>
              </a:solidFill>
              <a:latin typeface="Arial"/>
              <a:cs typeface="Arial"/>
            </a:rPr>
            <a:t> </a:t>
          </a:r>
          <a:endParaRPr lang="tr-TR" sz="12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1"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1"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400" b="1" i="0" u="none" strike="noStrike" baseline="0">
              <a:solidFill>
                <a:srgbClr val="000000"/>
              </a:solidFill>
              <a:latin typeface="Arial"/>
              <a:cs typeface="Arial"/>
            </a:rPr>
            <a:t> </a:t>
          </a:r>
          <a:r>
            <a:rPr lang="tr-TR" sz="1100" b="1" i="0" u="none" strike="noStrike" baseline="0">
              <a:solidFill>
                <a:srgbClr val="000000"/>
              </a:solidFill>
              <a:latin typeface="Times New Roman"/>
              <a:cs typeface="Times New Roman"/>
            </a:rPr>
            <a:t> </a:t>
          </a:r>
        </a:p>
        <a:p>
          <a:pPr algn="l" rtl="0">
            <a:defRPr sz="1000"/>
          </a:pPr>
          <a:endParaRPr lang="tr-TR" sz="1600" b="1" i="0" u="none" strike="noStrike" baseline="0">
            <a:solidFill>
              <a:srgbClr val="000000"/>
            </a:solidFill>
            <a:latin typeface="Times New Roman"/>
            <a:cs typeface="Times New Roman"/>
          </a:endParaRPr>
        </a:p>
        <a:p>
          <a:pPr algn="l" rtl="0">
            <a:defRPr sz="1000"/>
          </a:pPr>
          <a:r>
            <a:rPr lang="tr-TR" sz="1600" b="1" i="0" u="none" strike="noStrike" baseline="0">
              <a:solidFill>
                <a:srgbClr val="000000"/>
              </a:solidFill>
              <a:latin typeface="Times New Roman"/>
              <a:cs typeface="Times New Roman"/>
            </a:rPr>
            <a:t>VERİ HAZIRLAMA VE DEĞERLENDİRME</a:t>
          </a:r>
          <a:r>
            <a:rPr lang="tr-TR" sz="1600" b="0" i="0" u="none" strike="noStrike" baseline="0">
              <a:solidFill>
                <a:srgbClr val="000000"/>
              </a:solidFill>
              <a:latin typeface="Times New Roman"/>
              <a:cs typeface="Times New Roman"/>
            </a:rPr>
            <a:t>  </a:t>
          </a:r>
          <a:endParaRPr lang="tr-TR" sz="12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0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000" b="1"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defRPr sz="1000"/>
          </a:pPr>
          <a:r>
            <a:rPr lang="tr-TR" sz="1100" b="0" i="0" u="none" strike="noStrike" baseline="0">
              <a:solidFill>
                <a:srgbClr val="000000"/>
              </a:solidFill>
              <a:latin typeface="Arial"/>
              <a:cs typeface="Arial"/>
            </a:rPr>
            <a:t> </a:t>
          </a:r>
        </a:p>
      </xdr:txBody>
    </xdr:sp>
    <xdr:clientData/>
  </xdr:twoCellAnchor>
  <xdr:twoCellAnchor>
    <xdr:from>
      <xdr:col>0</xdr:col>
      <xdr:colOff>145595</xdr:colOff>
      <xdr:row>42</xdr:row>
      <xdr:rowOff>57151</xdr:rowOff>
    </xdr:from>
    <xdr:to>
      <xdr:col>10</xdr:col>
      <xdr:colOff>454024</xdr:colOff>
      <xdr:row>50</xdr:row>
      <xdr:rowOff>76201</xdr:rowOff>
    </xdr:to>
    <xdr:sp macro="" textlink="">
      <xdr:nvSpPr>
        <xdr:cNvPr id="8" name="Rectangle 13">
          <a:extLst>
            <a:ext uri="{FF2B5EF4-FFF2-40B4-BE49-F238E27FC236}">
              <a16:creationId xmlns:a16="http://schemas.microsoft.com/office/drawing/2014/main" xmlns="" id="{00000000-0008-0000-0200-000008000000}"/>
            </a:ext>
          </a:extLst>
        </xdr:cNvPr>
        <xdr:cNvSpPr>
          <a:spLocks noChangeArrowheads="1"/>
        </xdr:cNvSpPr>
      </xdr:nvSpPr>
      <xdr:spPr bwMode="auto">
        <a:xfrm>
          <a:off x="145595" y="6858001"/>
          <a:ext cx="6404429" cy="1314450"/>
        </a:xfrm>
        <a:prstGeom prst="rect">
          <a:avLst/>
        </a:prstGeom>
        <a:solidFill>
          <a:srgbClr val="FFFFFF"/>
        </a:solidFill>
        <a:ln w="19050">
          <a:solidFill>
            <a:srgbClr val="000000"/>
          </a:solidFill>
          <a:miter lim="800000"/>
          <a:headEnd/>
          <a:tailEnd/>
        </a:ln>
      </xdr:spPr>
      <xdr:txBody>
        <a:bodyPr vertOverflow="clip" wrap="square" lIns="91440" tIns="45720" rIns="91440" bIns="45720" anchor="t" upright="1"/>
        <a:lstStyle/>
        <a:p>
          <a:pPr algn="l" rtl="0">
            <a:lnSpc>
              <a:spcPts val="1000"/>
            </a:lnSpc>
            <a:defRPr sz="1000"/>
          </a:pPr>
          <a:r>
            <a:rPr lang="tr-TR" sz="1000" b="1" i="0" u="none" strike="noStrike" baseline="0">
              <a:solidFill>
                <a:srgbClr val="000000"/>
              </a:solidFill>
              <a:latin typeface="Arial"/>
              <a:cs typeface="Arial"/>
            </a:rPr>
            <a:t> </a:t>
          </a:r>
          <a:endParaRPr lang="tr-TR" sz="1000" b="0" i="0" u="none" strike="noStrike" baseline="0">
            <a:solidFill>
              <a:srgbClr val="000000"/>
            </a:solidFill>
            <a:latin typeface="Times New Roman"/>
            <a:cs typeface="Times New Roman"/>
          </a:endParaRPr>
        </a:p>
        <a:p>
          <a:pPr algn="l" rtl="0">
            <a:lnSpc>
              <a:spcPts val="1100"/>
            </a:lnSpc>
            <a:defRPr sz="1000"/>
          </a:pPr>
          <a:r>
            <a:rPr lang="tr-TR" sz="1400" b="1" i="0" u="none" strike="noStrike" baseline="0">
              <a:solidFill>
                <a:srgbClr val="000000"/>
              </a:solidFill>
              <a:latin typeface="Times New Roman"/>
              <a:cs typeface="Times New Roman"/>
            </a:rPr>
            <a:t>GENEL MÜDÜR                                                   :  NEŞE ÇILDIK</a:t>
          </a:r>
        </a:p>
        <a:p>
          <a:pPr algn="l" rtl="0">
            <a:lnSpc>
              <a:spcPts val="1100"/>
            </a:lnSpc>
            <a:defRPr sz="1000"/>
          </a:pPr>
          <a:endParaRPr lang="tr-TR" sz="1400" b="1" i="0" u="none" strike="noStrike" baseline="0">
            <a:solidFill>
              <a:srgbClr val="000000"/>
            </a:solidFill>
            <a:latin typeface="Times New Roman"/>
            <a:cs typeface="Times New Roman"/>
          </a:endParaRPr>
        </a:p>
        <a:p>
          <a:pPr algn="l" rtl="0">
            <a:lnSpc>
              <a:spcPts val="1100"/>
            </a:lnSpc>
            <a:defRPr sz="1000"/>
          </a:pPr>
          <a:r>
            <a:rPr lang="tr-TR" sz="1400" b="1" i="0" u="none" strike="noStrike" baseline="0">
              <a:solidFill>
                <a:srgbClr val="000000"/>
              </a:solidFill>
              <a:latin typeface="Times New Roman"/>
              <a:cs typeface="Times New Roman"/>
            </a:rPr>
            <a:t>GENEL MÜDÜR YARDIMCISI                         :  LEVENT KIRCAN</a:t>
          </a:r>
        </a:p>
        <a:p>
          <a:pPr algn="l" rtl="0">
            <a:lnSpc>
              <a:spcPts val="1100"/>
            </a:lnSpc>
            <a:defRPr sz="1000"/>
          </a:pPr>
          <a:endParaRPr lang="tr-TR" sz="1400" b="1" i="0" u="none" strike="noStrike" baseline="0">
            <a:solidFill>
              <a:srgbClr val="000000"/>
            </a:solidFill>
            <a:latin typeface="Times New Roman"/>
            <a:cs typeface="Times New Roman"/>
          </a:endParaRPr>
        </a:p>
        <a:p>
          <a:pPr algn="l" rtl="0">
            <a:lnSpc>
              <a:spcPts val="1100"/>
            </a:lnSpc>
            <a:defRPr sz="1000"/>
          </a:pPr>
          <a:r>
            <a:rPr lang="tr-TR" sz="1400" b="1" i="0" u="none" strike="noStrike" baseline="0">
              <a:solidFill>
                <a:srgbClr val="000000"/>
              </a:solidFill>
              <a:latin typeface="Times New Roman"/>
              <a:cs typeface="Times New Roman"/>
            </a:rPr>
            <a:t>DAİRE BAŞKANI 		                    :  HALİL SAĞKURT</a:t>
          </a:r>
        </a:p>
        <a:p>
          <a:pPr algn="l" rtl="0">
            <a:lnSpc>
              <a:spcPts val="1100"/>
            </a:lnSpc>
            <a:defRPr sz="1000"/>
          </a:pPr>
          <a:endParaRPr lang="tr-TR" sz="1400" b="1" i="0" u="none" strike="noStrike" baseline="0">
            <a:solidFill>
              <a:srgbClr val="000000"/>
            </a:solidFill>
            <a:latin typeface="Times New Roman"/>
            <a:cs typeface="Times New Roman"/>
          </a:endParaRPr>
        </a:p>
        <a:p>
          <a:pPr algn="l" rtl="0">
            <a:lnSpc>
              <a:spcPts val="1100"/>
            </a:lnSpc>
            <a:defRPr sz="1000"/>
          </a:pPr>
          <a:r>
            <a:rPr lang="tr-TR" sz="1400" b="1" i="0" u="none" strike="noStrike" baseline="0">
              <a:solidFill>
                <a:srgbClr val="000000"/>
              </a:solidFill>
              <a:latin typeface="Times New Roman"/>
              <a:cs typeface="Times New Roman"/>
            </a:rPr>
            <a:t>GRUP SORUMLUSU		                    :  SERPİL GÜNEY AKKOYUN</a:t>
          </a:r>
        </a:p>
        <a:p>
          <a:pPr algn="l" rtl="0">
            <a:lnSpc>
              <a:spcPts val="1100"/>
            </a:lnSpc>
            <a:defRPr sz="1000"/>
          </a:pPr>
          <a:endParaRPr lang="tr-TR" sz="1400" b="1" i="0" u="none" strike="noStrike" baseline="0">
            <a:solidFill>
              <a:srgbClr val="000000"/>
            </a:solidFill>
            <a:latin typeface="Times New Roman"/>
            <a:cs typeface="Times New Roman"/>
          </a:endParaRPr>
        </a:p>
      </xdr:txBody>
    </xdr:sp>
    <xdr:clientData/>
  </xdr:twoCellAnchor>
  <xdr:twoCellAnchor>
    <xdr:from>
      <xdr:col>0</xdr:col>
      <xdr:colOff>142875</xdr:colOff>
      <xdr:row>55</xdr:row>
      <xdr:rowOff>136526</xdr:rowOff>
    </xdr:from>
    <xdr:to>
      <xdr:col>10</xdr:col>
      <xdr:colOff>458562</xdr:colOff>
      <xdr:row>65</xdr:row>
      <xdr:rowOff>9526</xdr:rowOff>
    </xdr:to>
    <xdr:sp macro="" textlink="">
      <xdr:nvSpPr>
        <xdr:cNvPr id="9" name="Rectangle 13">
          <a:extLst>
            <a:ext uri="{FF2B5EF4-FFF2-40B4-BE49-F238E27FC236}">
              <a16:creationId xmlns:a16="http://schemas.microsoft.com/office/drawing/2014/main" xmlns="" id="{00000000-0008-0000-0200-000009000000}"/>
            </a:ext>
          </a:extLst>
        </xdr:cNvPr>
        <xdr:cNvSpPr>
          <a:spLocks noChangeArrowheads="1"/>
        </xdr:cNvSpPr>
      </xdr:nvSpPr>
      <xdr:spPr bwMode="auto">
        <a:xfrm>
          <a:off x="142875" y="9042401"/>
          <a:ext cx="6411687" cy="1492250"/>
        </a:xfrm>
        <a:prstGeom prst="rect">
          <a:avLst/>
        </a:prstGeom>
        <a:solidFill>
          <a:srgbClr val="FFFFFF"/>
        </a:solidFill>
        <a:ln w="19050">
          <a:solidFill>
            <a:srgbClr val="000000"/>
          </a:solidFill>
          <a:miter lim="800000"/>
          <a:headEnd/>
          <a:tailEnd/>
        </a:ln>
      </xdr:spPr>
      <xdr:txBody>
        <a:bodyPr vertOverflow="clip" wrap="square" lIns="91440" tIns="45720" rIns="91440" bIns="45720" anchor="t" upright="1"/>
        <a:lstStyle/>
        <a:p>
          <a:pPr algn="l" rtl="0">
            <a:lnSpc>
              <a:spcPts val="1000"/>
            </a:lnSpc>
            <a:defRPr sz="1000"/>
          </a:pPr>
          <a:r>
            <a:rPr lang="tr-TR" sz="1000" b="1" i="0" u="none" strike="noStrike" baseline="0">
              <a:solidFill>
                <a:srgbClr val="000000"/>
              </a:solidFill>
              <a:latin typeface="Arial"/>
              <a:cs typeface="Arial"/>
            </a:rPr>
            <a:t> </a:t>
          </a:r>
        </a:p>
        <a:p>
          <a:pPr algn="l" rtl="0">
            <a:lnSpc>
              <a:spcPts val="1000"/>
            </a:lnSpc>
            <a:defRPr sz="1000"/>
          </a:pPr>
          <a:endParaRPr lang="tr-TR" sz="1000" b="1" i="0" u="none" strike="noStrike" baseline="0">
            <a:solidFill>
              <a:srgbClr val="000000"/>
            </a:solidFill>
            <a:latin typeface="Arial"/>
            <a:cs typeface="Arial"/>
          </a:endParaRPr>
        </a:p>
        <a:p>
          <a:pPr algn="l" rtl="0">
            <a:lnSpc>
              <a:spcPts val="1000"/>
            </a:lnSpc>
            <a:defRPr sz="1000"/>
          </a:pPr>
          <a:r>
            <a:rPr lang="tr-TR" sz="1200" b="1" i="0" u="none" strike="noStrike" baseline="0">
              <a:solidFill>
                <a:srgbClr val="000000"/>
              </a:solidFill>
              <a:latin typeface="Times New Roman"/>
              <a:cs typeface="Times New Roman"/>
            </a:rPr>
            <a:t>VERİ  DEĞERLENDİRME                               :  Hüdaverdi ARIK                 İstatistikçi                                                                                   </a:t>
          </a:r>
        </a:p>
        <a:p>
          <a:pPr marL="0" marR="0" indent="0" algn="l" defTabSz="914400" rtl="0" eaLnBrk="1" fontAlgn="auto" latinLnBrk="0" hangingPunct="1">
            <a:lnSpc>
              <a:spcPts val="1100"/>
            </a:lnSpc>
            <a:spcBef>
              <a:spcPts val="0"/>
            </a:spcBef>
            <a:spcAft>
              <a:spcPts val="0"/>
            </a:spcAft>
            <a:buClrTx/>
            <a:buSzTx/>
            <a:buFontTx/>
            <a:buNone/>
            <a:tabLst/>
            <a:defRPr sz="1000"/>
          </a:pPr>
          <a:endParaRPr lang="tr-TR" sz="1200" b="1" i="0" u="none" strike="noStrike" baseline="0">
            <a:solidFill>
              <a:srgbClr val="000000"/>
            </a:solidFill>
            <a:latin typeface="Times New Roman"/>
            <a:cs typeface="Times New Roman"/>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tr-TR" sz="1200" b="1" i="0" u="none" strike="noStrike" baseline="0">
              <a:solidFill>
                <a:srgbClr val="000000"/>
              </a:solidFill>
              <a:latin typeface="Times New Roman"/>
              <a:cs typeface="Times New Roman"/>
            </a:rPr>
            <a:t>VERİ HAZIRLAMA                                           :  Hüdaverdi ARIK                 İstatistikçi                                                                                   			           Mukaddes GÜLEÇ	         Şef  </a:t>
          </a:r>
        </a:p>
        <a:p>
          <a:pPr marL="0" marR="0" indent="0" algn="l" defTabSz="914400" rtl="0" eaLnBrk="1" fontAlgn="auto" latinLnBrk="0" hangingPunct="1">
            <a:lnSpc>
              <a:spcPts val="1100"/>
            </a:lnSpc>
            <a:spcBef>
              <a:spcPts val="0"/>
            </a:spcBef>
            <a:spcAft>
              <a:spcPts val="0"/>
            </a:spcAft>
            <a:buClrTx/>
            <a:buSzTx/>
            <a:buFontTx/>
            <a:buNone/>
            <a:tabLst/>
            <a:defRPr sz="1000"/>
          </a:pPr>
          <a:r>
            <a:rPr lang="tr-TR" sz="1200" b="1" i="0" u="none" strike="noStrike" baseline="0">
              <a:solidFill>
                <a:srgbClr val="000000"/>
              </a:solidFill>
              <a:latin typeface="Times New Roman"/>
              <a:cs typeface="Times New Roman"/>
            </a:rPr>
            <a:t>			           H.Avni ALTINDAL	         İşçi</a:t>
          </a:r>
        </a:p>
        <a:p>
          <a:pPr marL="0" marR="0" indent="0" algn="l" defTabSz="914400" rtl="0" eaLnBrk="1" fontAlgn="auto" latinLnBrk="0" hangingPunct="1">
            <a:lnSpc>
              <a:spcPts val="1100"/>
            </a:lnSpc>
            <a:spcBef>
              <a:spcPts val="0"/>
            </a:spcBef>
            <a:spcAft>
              <a:spcPts val="0"/>
            </a:spcAft>
            <a:buClrTx/>
            <a:buSzTx/>
            <a:buFontTx/>
            <a:buNone/>
            <a:tabLst/>
            <a:defRPr sz="1000"/>
          </a:pPr>
          <a:endParaRPr lang="tr-TR" sz="1200" b="1"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tabSelected="1" showWhiteSpace="0" view="pageBreakPreview" zoomScale="70" zoomScaleNormal="70" zoomScaleSheetLayoutView="70" workbookViewId="0">
      <selection activeCell="M2" sqref="M2"/>
    </sheetView>
  </sheetViews>
  <sheetFormatPr defaultRowHeight="12.75" x14ac:dyDescent="0.2"/>
  <cols>
    <col min="1" max="1" width="1" style="199" customWidth="1"/>
    <col min="2" max="7" width="9.140625" style="199"/>
    <col min="8" max="10" width="9.140625" style="199" customWidth="1"/>
    <col min="11" max="11" width="9.140625" style="199"/>
    <col min="12" max="12" width="0.85546875" style="199" customWidth="1"/>
    <col min="13" max="16384" width="9.140625" style="199"/>
  </cols>
  <sheetData>
    <row r="1" spans="1:12" ht="3.75" customHeight="1" x14ac:dyDescent="0.2">
      <c r="A1" s="221"/>
      <c r="B1" s="222"/>
      <c r="C1" s="222"/>
      <c r="D1" s="222"/>
      <c r="E1" s="222"/>
      <c r="F1" s="222"/>
      <c r="G1" s="222"/>
      <c r="H1" s="222"/>
      <c r="I1" s="222"/>
      <c r="J1" s="223"/>
      <c r="K1" s="222"/>
      <c r="L1" s="224"/>
    </row>
    <row r="2" spans="1:12" x14ac:dyDescent="0.2">
      <c r="A2" s="225"/>
      <c r="B2" s="226"/>
      <c r="C2" s="227"/>
      <c r="D2" s="227"/>
      <c r="E2" s="227"/>
      <c r="F2" s="227"/>
      <c r="G2" s="227"/>
      <c r="H2" s="227"/>
      <c r="I2" s="227"/>
      <c r="J2" s="227"/>
      <c r="K2" s="228"/>
      <c r="L2" s="229"/>
    </row>
    <row r="3" spans="1:12" x14ac:dyDescent="0.2">
      <c r="A3" s="225"/>
      <c r="B3" s="230"/>
      <c r="C3" s="231"/>
      <c r="D3" s="231"/>
      <c r="E3" s="231"/>
      <c r="F3" s="231"/>
      <c r="G3" s="231"/>
      <c r="H3" s="231"/>
      <c r="J3" s="231"/>
      <c r="K3" s="232"/>
      <c r="L3" s="229"/>
    </row>
    <row r="4" spans="1:12" x14ac:dyDescent="0.2">
      <c r="A4" s="225"/>
      <c r="B4" s="233"/>
      <c r="C4" s="231"/>
      <c r="D4" s="231"/>
      <c r="E4" s="231"/>
      <c r="F4" s="231"/>
      <c r="G4" s="231"/>
      <c r="H4" s="231"/>
      <c r="I4" s="231"/>
      <c r="J4" s="231"/>
      <c r="K4" s="232"/>
      <c r="L4" s="229"/>
    </row>
    <row r="5" spans="1:12" x14ac:dyDescent="0.2">
      <c r="A5" s="225"/>
      <c r="B5" s="233"/>
      <c r="C5" s="231"/>
      <c r="D5" s="231"/>
      <c r="E5" s="231"/>
      <c r="F5" s="231"/>
      <c r="G5" s="231"/>
      <c r="H5" s="231"/>
      <c r="I5" s="231"/>
      <c r="J5" s="231"/>
      <c r="K5" s="232"/>
      <c r="L5" s="229"/>
    </row>
    <row r="6" spans="1:12" x14ac:dyDescent="0.2">
      <c r="A6" s="225"/>
      <c r="B6" s="233"/>
      <c r="C6" s="231"/>
      <c r="D6" s="231"/>
      <c r="E6" s="231"/>
      <c r="F6" s="231"/>
      <c r="G6" s="231"/>
      <c r="H6" s="231"/>
      <c r="I6" s="231"/>
      <c r="J6" s="231"/>
      <c r="K6" s="232"/>
      <c r="L6" s="229"/>
    </row>
    <row r="7" spans="1:12" x14ac:dyDescent="0.2">
      <c r="A7" s="225"/>
      <c r="B7" s="233"/>
      <c r="C7" s="231"/>
      <c r="D7" s="231"/>
      <c r="E7" s="231"/>
      <c r="F7" s="231"/>
      <c r="G7" s="231"/>
      <c r="H7" s="231"/>
      <c r="I7" s="231"/>
      <c r="J7" s="231"/>
      <c r="K7" s="232"/>
      <c r="L7" s="229"/>
    </row>
    <row r="8" spans="1:12" ht="15.75" x14ac:dyDescent="0.25">
      <c r="A8" s="225"/>
      <c r="B8" s="234"/>
      <c r="C8" s="235"/>
      <c r="D8" s="236"/>
      <c r="E8" s="237"/>
      <c r="F8" s="231"/>
      <c r="G8" s="392"/>
      <c r="H8" s="392"/>
      <c r="I8" s="392"/>
      <c r="J8" s="392"/>
      <c r="K8" s="232"/>
      <c r="L8" s="229"/>
    </row>
    <row r="9" spans="1:12" x14ac:dyDescent="0.2">
      <c r="A9" s="225"/>
      <c r="B9" s="233"/>
      <c r="C9" s="231"/>
      <c r="D9" s="231"/>
      <c r="E9" s="231"/>
      <c r="F9" s="231"/>
      <c r="G9" s="231"/>
      <c r="H9" s="231"/>
      <c r="I9" s="231"/>
      <c r="J9" s="231"/>
      <c r="K9" s="232"/>
      <c r="L9" s="229"/>
    </row>
    <row r="10" spans="1:12" x14ac:dyDescent="0.2">
      <c r="A10" s="225"/>
      <c r="B10" s="233"/>
      <c r="C10" s="231"/>
      <c r="D10" s="231"/>
      <c r="E10" s="231"/>
      <c r="F10" s="231"/>
      <c r="G10" s="231"/>
      <c r="H10" s="231"/>
      <c r="I10" s="231"/>
      <c r="J10" s="231"/>
      <c r="K10" s="232"/>
      <c r="L10" s="229"/>
    </row>
    <row r="11" spans="1:12" x14ac:dyDescent="0.2">
      <c r="A11" s="225"/>
      <c r="B11" s="233"/>
      <c r="C11" s="231"/>
      <c r="D11" s="231"/>
      <c r="E11" s="231"/>
      <c r="F11" s="231"/>
      <c r="G11" s="231"/>
      <c r="H11" s="231"/>
      <c r="I11" s="231"/>
      <c r="J11" s="231"/>
      <c r="K11" s="232"/>
      <c r="L11" s="229"/>
    </row>
    <row r="12" spans="1:12" x14ac:dyDescent="0.2">
      <c r="A12" s="225"/>
      <c r="B12" s="233"/>
      <c r="C12" s="231"/>
      <c r="D12" s="231"/>
      <c r="E12" s="231"/>
      <c r="F12" s="231"/>
      <c r="G12" s="231"/>
      <c r="H12" s="231"/>
      <c r="I12" s="231"/>
      <c r="J12" s="231"/>
      <c r="K12" s="232"/>
      <c r="L12" s="229"/>
    </row>
    <row r="13" spans="1:12" x14ac:dyDescent="0.2">
      <c r="A13" s="225"/>
      <c r="B13" s="233"/>
      <c r="C13" s="231"/>
      <c r="D13" s="231"/>
      <c r="E13" s="231"/>
      <c r="F13" s="231"/>
      <c r="G13" s="231"/>
      <c r="H13" s="231"/>
      <c r="I13" s="231"/>
      <c r="J13" s="231"/>
      <c r="K13" s="232"/>
      <c r="L13" s="229"/>
    </row>
    <row r="14" spans="1:12" x14ac:dyDescent="0.2">
      <c r="A14" s="225"/>
      <c r="B14" s="233"/>
      <c r="C14" s="231"/>
      <c r="D14" s="231"/>
      <c r="E14" s="231"/>
      <c r="F14" s="231"/>
      <c r="G14" s="231"/>
      <c r="H14" s="231"/>
      <c r="I14" s="231"/>
      <c r="J14" s="231"/>
      <c r="K14" s="232"/>
      <c r="L14" s="229"/>
    </row>
    <row r="15" spans="1:12" x14ac:dyDescent="0.2">
      <c r="A15" s="225"/>
      <c r="B15" s="233"/>
      <c r="C15" s="231"/>
      <c r="D15" s="231"/>
      <c r="E15" s="231"/>
      <c r="F15" s="231"/>
      <c r="G15" s="231"/>
      <c r="H15" s="231"/>
      <c r="I15" s="231"/>
      <c r="J15" s="231"/>
      <c r="K15" s="232"/>
      <c r="L15" s="229"/>
    </row>
    <row r="16" spans="1:12" x14ac:dyDescent="0.2">
      <c r="A16" s="225"/>
      <c r="B16" s="233"/>
      <c r="C16" s="231"/>
      <c r="D16" s="231"/>
      <c r="E16" s="231"/>
      <c r="F16" s="231"/>
      <c r="G16" s="231"/>
      <c r="H16" s="231"/>
      <c r="I16" s="231"/>
      <c r="J16" s="231"/>
      <c r="K16" s="232"/>
      <c r="L16" s="229"/>
    </row>
    <row r="17" spans="1:12" x14ac:dyDescent="0.2">
      <c r="A17" s="225"/>
      <c r="B17" s="233"/>
      <c r="C17" s="231"/>
      <c r="D17" s="231"/>
      <c r="E17" s="231"/>
      <c r="F17" s="231"/>
      <c r="G17" s="231"/>
      <c r="H17" s="231"/>
      <c r="I17" s="231"/>
      <c r="J17" s="231"/>
      <c r="K17" s="232"/>
      <c r="L17" s="229"/>
    </row>
    <row r="18" spans="1:12" x14ac:dyDescent="0.2">
      <c r="A18" s="225"/>
      <c r="B18" s="233"/>
      <c r="C18" s="231"/>
      <c r="D18" s="231"/>
      <c r="E18" s="231"/>
      <c r="F18" s="231"/>
      <c r="G18" s="231"/>
      <c r="H18" s="231"/>
      <c r="I18" s="231"/>
      <c r="J18" s="231"/>
      <c r="K18" s="232"/>
      <c r="L18" s="229"/>
    </row>
    <row r="19" spans="1:12" x14ac:dyDescent="0.2">
      <c r="A19" s="225"/>
      <c r="B19" s="233"/>
      <c r="C19" s="231"/>
      <c r="D19" s="231"/>
      <c r="E19" s="231"/>
      <c r="F19" s="231"/>
      <c r="G19" s="231"/>
      <c r="H19" s="231"/>
      <c r="I19" s="231"/>
      <c r="J19" s="231"/>
      <c r="K19" s="232"/>
      <c r="L19" s="229"/>
    </row>
    <row r="20" spans="1:12" x14ac:dyDescent="0.2">
      <c r="A20" s="225"/>
      <c r="B20" s="233"/>
      <c r="C20" s="231"/>
      <c r="D20" s="231"/>
      <c r="E20" s="231"/>
      <c r="F20" s="231"/>
      <c r="G20" s="231"/>
      <c r="H20" s="231"/>
      <c r="I20" s="231"/>
      <c r="J20" s="231"/>
      <c r="K20" s="232"/>
      <c r="L20" s="229"/>
    </row>
    <row r="21" spans="1:12" x14ac:dyDescent="0.2">
      <c r="A21" s="225"/>
      <c r="B21" s="233"/>
      <c r="C21" s="231"/>
      <c r="D21" s="231"/>
      <c r="E21" s="231"/>
      <c r="F21" s="231"/>
      <c r="G21" s="231"/>
      <c r="H21" s="231"/>
      <c r="I21" s="231"/>
      <c r="J21" s="231"/>
      <c r="K21" s="232"/>
      <c r="L21" s="229"/>
    </row>
    <row r="22" spans="1:12" x14ac:dyDescent="0.2">
      <c r="A22" s="225"/>
      <c r="B22" s="233"/>
      <c r="C22" s="231"/>
      <c r="D22" s="231"/>
      <c r="E22" s="231"/>
      <c r="F22" s="231"/>
      <c r="G22" s="231"/>
      <c r="H22" s="231"/>
      <c r="I22" s="231"/>
      <c r="J22" s="231"/>
      <c r="K22" s="232"/>
      <c r="L22" s="229"/>
    </row>
    <row r="23" spans="1:12" x14ac:dyDescent="0.2">
      <c r="A23" s="225"/>
      <c r="B23" s="233"/>
      <c r="C23" s="231"/>
      <c r="D23" s="231"/>
      <c r="E23" s="231"/>
      <c r="F23" s="231"/>
      <c r="G23" s="231"/>
      <c r="H23" s="231"/>
      <c r="I23" s="231"/>
      <c r="J23" s="231"/>
      <c r="K23" s="232"/>
      <c r="L23" s="229"/>
    </row>
    <row r="24" spans="1:12" x14ac:dyDescent="0.2">
      <c r="A24" s="225"/>
      <c r="B24" s="233"/>
      <c r="C24" s="231"/>
      <c r="D24" s="231"/>
      <c r="E24" s="231"/>
      <c r="F24" s="231"/>
      <c r="G24" s="231"/>
      <c r="H24" s="231"/>
      <c r="I24" s="231"/>
      <c r="J24" s="231"/>
      <c r="K24" s="232"/>
      <c r="L24" s="229"/>
    </row>
    <row r="25" spans="1:12" x14ac:dyDescent="0.2">
      <c r="A25" s="225"/>
      <c r="B25" s="233"/>
      <c r="C25" s="231"/>
      <c r="D25" s="231"/>
      <c r="E25" s="231"/>
      <c r="F25" s="231"/>
      <c r="G25" s="231"/>
      <c r="H25" s="231"/>
      <c r="I25" s="231"/>
      <c r="J25" s="231"/>
      <c r="K25" s="232"/>
      <c r="L25" s="229"/>
    </row>
    <row r="26" spans="1:12" x14ac:dyDescent="0.2">
      <c r="A26" s="225"/>
      <c r="B26" s="233"/>
      <c r="C26" s="231"/>
      <c r="D26" s="231"/>
      <c r="E26" s="231"/>
      <c r="F26" s="231"/>
      <c r="G26" s="231"/>
      <c r="H26" s="231"/>
      <c r="I26" s="231"/>
      <c r="J26" s="231"/>
      <c r="K26" s="232"/>
      <c r="L26" s="229"/>
    </row>
    <row r="27" spans="1:12" ht="33.75" x14ac:dyDescent="0.5">
      <c r="A27" s="225"/>
      <c r="B27" s="233"/>
      <c r="C27" s="231"/>
      <c r="D27" s="393"/>
      <c r="E27" s="393"/>
      <c r="F27" s="393"/>
      <c r="G27" s="393"/>
      <c r="H27" s="393"/>
      <c r="I27" s="393"/>
      <c r="J27" s="393"/>
      <c r="K27" s="232"/>
      <c r="L27" s="229"/>
    </row>
    <row r="28" spans="1:12" x14ac:dyDescent="0.2">
      <c r="A28" s="225"/>
      <c r="B28" s="233"/>
      <c r="C28" s="231"/>
      <c r="D28" s="231"/>
      <c r="E28" s="231"/>
      <c r="F28" s="231"/>
      <c r="G28" s="231"/>
      <c r="H28" s="231"/>
      <c r="I28" s="231"/>
      <c r="J28" s="231"/>
      <c r="K28" s="232"/>
      <c r="L28" s="229"/>
    </row>
    <row r="29" spans="1:12" ht="33.75" x14ac:dyDescent="0.5">
      <c r="A29" s="225"/>
      <c r="B29" s="233"/>
      <c r="C29" s="231"/>
      <c r="D29" s="231"/>
      <c r="E29" s="231"/>
      <c r="F29" s="231"/>
      <c r="G29" s="231"/>
      <c r="H29" s="393"/>
      <c r="I29" s="393"/>
      <c r="J29" s="393"/>
      <c r="K29" s="232"/>
      <c r="L29" s="229"/>
    </row>
    <row r="30" spans="1:12" x14ac:dyDescent="0.2">
      <c r="A30" s="225"/>
      <c r="B30" s="233"/>
      <c r="C30" s="231"/>
      <c r="D30" s="231"/>
      <c r="E30" s="231"/>
      <c r="F30" s="231"/>
      <c r="G30" s="231"/>
      <c r="H30" s="231"/>
      <c r="I30" s="231"/>
      <c r="J30" s="231"/>
      <c r="K30" s="232"/>
      <c r="L30" s="229"/>
    </row>
    <row r="31" spans="1:12" x14ac:dyDescent="0.2">
      <c r="A31" s="225"/>
      <c r="B31" s="233"/>
      <c r="C31" s="231"/>
      <c r="D31" s="231"/>
      <c r="E31" s="231"/>
      <c r="F31" s="231"/>
      <c r="G31" s="231"/>
      <c r="H31" s="231"/>
      <c r="I31" s="231"/>
      <c r="J31" s="231"/>
      <c r="K31" s="232"/>
      <c r="L31" s="229"/>
    </row>
    <row r="32" spans="1:12" x14ac:dyDescent="0.2">
      <c r="A32" s="225"/>
      <c r="B32" s="233"/>
      <c r="C32" s="231"/>
      <c r="D32" s="231"/>
      <c r="E32" s="231"/>
      <c r="F32" s="231"/>
      <c r="G32" s="231"/>
      <c r="H32" s="231"/>
      <c r="I32" s="231"/>
      <c r="J32" s="231"/>
      <c r="K32" s="232"/>
      <c r="L32" s="229"/>
    </row>
    <row r="33" spans="1:13" x14ac:dyDescent="0.2">
      <c r="A33" s="225"/>
      <c r="B33" s="233"/>
      <c r="C33" s="231"/>
      <c r="D33" s="231"/>
      <c r="E33" s="231"/>
      <c r="F33" s="231"/>
      <c r="G33" s="231"/>
      <c r="H33" s="231"/>
      <c r="I33" s="231"/>
      <c r="J33" s="231"/>
      <c r="K33" s="232"/>
      <c r="L33" s="229"/>
    </row>
    <row r="34" spans="1:13" x14ac:dyDescent="0.2">
      <c r="A34" s="225"/>
      <c r="B34" s="233"/>
      <c r="C34" s="231"/>
      <c r="D34" s="231"/>
      <c r="E34" s="231"/>
      <c r="F34" s="231"/>
      <c r="G34" s="231"/>
      <c r="H34" s="231"/>
      <c r="I34" s="231"/>
      <c r="J34" s="231"/>
      <c r="K34" s="232"/>
      <c r="L34" s="229"/>
    </row>
    <row r="35" spans="1:13" x14ac:dyDescent="0.2">
      <c r="A35" s="225"/>
      <c r="B35" s="233"/>
      <c r="C35" s="231"/>
      <c r="D35" s="231"/>
      <c r="E35" s="231"/>
      <c r="F35" s="231"/>
      <c r="G35" s="231"/>
      <c r="H35" s="231"/>
      <c r="I35" s="231"/>
      <c r="J35" s="231"/>
      <c r="K35" s="232"/>
      <c r="L35" s="229"/>
    </row>
    <row r="36" spans="1:13" x14ac:dyDescent="0.2">
      <c r="A36" s="225"/>
      <c r="B36" s="233"/>
      <c r="C36" s="231"/>
      <c r="D36" s="231"/>
      <c r="E36" s="231"/>
      <c r="F36" s="231"/>
      <c r="G36" s="231"/>
      <c r="H36" s="231"/>
      <c r="I36" s="231"/>
      <c r="J36" s="231"/>
      <c r="K36" s="232"/>
      <c r="L36" s="229"/>
    </row>
    <row r="37" spans="1:13" x14ac:dyDescent="0.2">
      <c r="A37" s="225"/>
      <c r="B37" s="233"/>
      <c r="C37" s="231"/>
      <c r="D37" s="231"/>
      <c r="E37" s="231"/>
      <c r="F37" s="231"/>
      <c r="G37" s="231"/>
      <c r="H37" s="231"/>
      <c r="I37" s="231"/>
      <c r="J37" s="231"/>
      <c r="K37" s="232"/>
      <c r="L37" s="229"/>
    </row>
    <row r="38" spans="1:13" x14ac:dyDescent="0.2">
      <c r="A38" s="225"/>
      <c r="B38" s="233"/>
      <c r="C38" s="231"/>
      <c r="D38" s="231"/>
      <c r="E38" s="231"/>
      <c r="F38" s="231"/>
      <c r="G38" s="231"/>
      <c r="H38" s="231"/>
      <c r="I38" s="231"/>
      <c r="J38" s="231"/>
      <c r="K38" s="232"/>
      <c r="L38" s="229"/>
    </row>
    <row r="39" spans="1:13" x14ac:dyDescent="0.2">
      <c r="A39" s="225"/>
      <c r="B39" s="233"/>
      <c r="C39" s="231"/>
      <c r="D39" s="231"/>
      <c r="E39" s="231"/>
      <c r="F39" s="231"/>
      <c r="G39" s="231"/>
      <c r="H39" s="231"/>
      <c r="I39" s="231"/>
      <c r="J39" s="231"/>
      <c r="K39" s="232"/>
      <c r="L39" s="229"/>
    </row>
    <row r="40" spans="1:13" x14ac:dyDescent="0.2">
      <c r="A40" s="225"/>
      <c r="B40" s="233"/>
      <c r="C40" s="231"/>
      <c r="D40" s="231"/>
      <c r="E40" s="231"/>
      <c r="F40" s="231"/>
      <c r="G40" s="231"/>
      <c r="H40" s="231"/>
      <c r="I40" s="231"/>
      <c r="J40" s="231"/>
      <c r="K40" s="232"/>
      <c r="L40" s="229"/>
    </row>
    <row r="41" spans="1:13" x14ac:dyDescent="0.2">
      <c r="A41" s="225"/>
      <c r="B41" s="233"/>
      <c r="C41" s="231"/>
      <c r="D41" s="231"/>
      <c r="E41" s="231"/>
      <c r="F41" s="231"/>
      <c r="G41" s="231"/>
      <c r="H41" s="231"/>
      <c r="I41" s="231"/>
      <c r="J41" s="231"/>
      <c r="K41" s="232"/>
      <c r="L41" s="229"/>
    </row>
    <row r="42" spans="1:13" x14ac:dyDescent="0.2">
      <c r="A42" s="225"/>
      <c r="B42" s="233"/>
      <c r="C42" s="231"/>
      <c r="D42" s="231"/>
      <c r="E42" s="231"/>
      <c r="F42" s="231"/>
      <c r="G42" s="231"/>
      <c r="H42" s="231"/>
      <c r="I42" s="231"/>
      <c r="J42" s="231"/>
      <c r="K42" s="232"/>
      <c r="L42" s="229"/>
    </row>
    <row r="43" spans="1:13" x14ac:dyDescent="0.2">
      <c r="A43" s="225"/>
      <c r="B43" s="233"/>
      <c r="C43" s="231"/>
      <c r="D43" s="231"/>
      <c r="E43" s="231"/>
      <c r="F43" s="231"/>
      <c r="G43" s="231"/>
      <c r="H43" s="231"/>
      <c r="I43" s="231"/>
      <c r="J43" s="231"/>
      <c r="K43" s="232"/>
      <c r="L43" s="229"/>
    </row>
    <row r="44" spans="1:13" x14ac:dyDescent="0.2">
      <c r="A44" s="225"/>
      <c r="B44" s="233"/>
      <c r="C44" s="231"/>
      <c r="D44" s="231"/>
      <c r="E44" s="231"/>
      <c r="F44" s="231"/>
      <c r="G44" s="231"/>
      <c r="H44" s="231"/>
      <c r="I44" s="231"/>
      <c r="J44" s="231"/>
      <c r="K44" s="232"/>
      <c r="L44" s="229"/>
    </row>
    <row r="45" spans="1:13" x14ac:dyDescent="0.2">
      <c r="A45" s="225"/>
      <c r="B45" s="233"/>
      <c r="C45" s="231"/>
      <c r="D45" s="231"/>
      <c r="E45" s="231"/>
      <c r="F45" s="231"/>
      <c r="G45" s="231"/>
      <c r="H45" s="231"/>
      <c r="I45" s="231"/>
      <c r="J45" s="231"/>
      <c r="K45" s="232"/>
      <c r="L45" s="229"/>
    </row>
    <row r="46" spans="1:13" ht="15" x14ac:dyDescent="0.25">
      <c r="A46" s="225"/>
      <c r="B46" s="394"/>
      <c r="C46" s="395"/>
      <c r="D46" s="395"/>
      <c r="E46" s="395"/>
      <c r="F46" s="395"/>
      <c r="G46" s="395"/>
      <c r="H46" s="395"/>
      <c r="I46" s="395"/>
      <c r="J46" s="395"/>
      <c r="K46" s="396"/>
      <c r="L46" s="229"/>
    </row>
    <row r="47" spans="1:13" x14ac:dyDescent="0.2">
      <c r="A47" s="238"/>
      <c r="B47" s="239"/>
      <c r="C47" s="239"/>
      <c r="D47" s="239"/>
      <c r="E47" s="239"/>
      <c r="F47" s="239"/>
      <c r="G47" s="239"/>
      <c r="H47" s="239"/>
      <c r="I47" s="239"/>
      <c r="J47" s="239"/>
      <c r="K47" s="239"/>
      <c r="L47" s="238"/>
      <c r="M47" s="230"/>
    </row>
    <row r="48" spans="1:13" ht="5.0999999999999996" customHeight="1" thickBot="1" x14ac:dyDescent="0.25">
      <c r="A48" s="238"/>
      <c r="B48" s="240"/>
      <c r="C48" s="240"/>
      <c r="D48" s="240"/>
      <c r="E48" s="240"/>
      <c r="F48" s="240"/>
      <c r="G48" s="240"/>
      <c r="H48" s="240"/>
      <c r="I48" s="240"/>
      <c r="J48" s="240"/>
      <c r="K48" s="240"/>
      <c r="L48" s="240"/>
      <c r="M48" s="230"/>
    </row>
    <row r="49" spans="1:13" ht="5.0999999999999996" customHeight="1" thickBot="1" x14ac:dyDescent="0.25">
      <c r="A49" s="238"/>
      <c r="B49" s="238"/>
      <c r="C49" s="238"/>
      <c r="D49" s="238"/>
      <c r="E49" s="238"/>
      <c r="F49" s="238"/>
      <c r="G49" s="238"/>
      <c r="H49" s="238"/>
      <c r="I49" s="238"/>
      <c r="J49" s="238"/>
      <c r="K49" s="238"/>
      <c r="L49" s="238"/>
      <c r="M49" s="230"/>
    </row>
    <row r="50" spans="1:13" ht="6" customHeight="1" x14ac:dyDescent="0.2">
      <c r="A50" s="238"/>
      <c r="B50" s="241"/>
      <c r="C50" s="241"/>
      <c r="D50" s="241"/>
      <c r="E50" s="241"/>
      <c r="F50" s="241"/>
      <c r="G50" s="241"/>
      <c r="H50" s="241"/>
      <c r="I50" s="241"/>
      <c r="J50" s="241"/>
      <c r="K50" s="241"/>
      <c r="L50" s="241"/>
      <c r="M50" s="230"/>
    </row>
    <row r="51" spans="1:13" ht="3" customHeight="1" x14ac:dyDescent="0.2">
      <c r="A51" s="238"/>
      <c r="B51" s="242"/>
      <c r="C51" s="242"/>
      <c r="D51" s="242"/>
      <c r="E51" s="242"/>
      <c r="F51" s="242"/>
      <c r="G51" s="242"/>
      <c r="H51" s="242"/>
      <c r="I51" s="242"/>
      <c r="J51" s="242"/>
      <c r="K51" s="242"/>
      <c r="L51" s="238"/>
      <c r="M51" s="230"/>
    </row>
    <row r="52" spans="1:13" ht="5.25" customHeight="1" x14ac:dyDescent="0.2">
      <c r="A52" s="238"/>
      <c r="B52" s="238"/>
      <c r="C52" s="238"/>
      <c r="D52" s="238"/>
      <c r="E52" s="238"/>
      <c r="F52" s="238"/>
      <c r="G52" s="238"/>
      <c r="H52" s="238"/>
      <c r="I52" s="238"/>
      <c r="J52" s="238"/>
      <c r="K52" s="238"/>
      <c r="L52" s="238"/>
      <c r="M52" s="230"/>
    </row>
    <row r="53" spans="1:13" ht="15.75" x14ac:dyDescent="0.25">
      <c r="A53" s="238"/>
      <c r="B53" s="397"/>
      <c r="C53" s="397"/>
      <c r="D53" s="397"/>
      <c r="E53" s="397"/>
      <c r="F53" s="397"/>
      <c r="G53" s="397"/>
      <c r="H53" s="397"/>
      <c r="I53" s="397"/>
      <c r="J53" s="397"/>
      <c r="K53" s="397"/>
      <c r="L53" s="238"/>
      <c r="M53" s="230"/>
    </row>
    <row r="54" spans="1:13" ht="15.75" x14ac:dyDescent="0.25">
      <c r="A54" s="238"/>
      <c r="B54" s="397"/>
      <c r="C54" s="397"/>
      <c r="D54" s="397"/>
      <c r="E54" s="397"/>
      <c r="F54" s="397"/>
      <c r="G54" s="397"/>
      <c r="H54" s="397"/>
      <c r="I54" s="397"/>
      <c r="J54" s="397"/>
      <c r="K54" s="397"/>
      <c r="L54" s="238"/>
      <c r="M54" s="230"/>
    </row>
    <row r="55" spans="1:13" ht="15.75" x14ac:dyDescent="0.25">
      <c r="A55" s="225"/>
      <c r="B55" s="386"/>
      <c r="C55" s="387"/>
      <c r="D55" s="387"/>
      <c r="E55" s="387"/>
      <c r="F55" s="387"/>
      <c r="G55" s="387"/>
      <c r="H55" s="387"/>
      <c r="I55" s="387"/>
      <c r="J55" s="387"/>
      <c r="K55" s="388"/>
      <c r="L55" s="229"/>
    </row>
    <row r="56" spans="1:13" ht="15.75" x14ac:dyDescent="0.2">
      <c r="A56" s="225"/>
      <c r="B56" s="389"/>
      <c r="C56" s="390"/>
      <c r="D56" s="390"/>
      <c r="E56" s="390"/>
      <c r="F56" s="390"/>
      <c r="G56" s="390"/>
      <c r="H56" s="390"/>
      <c r="I56" s="390"/>
      <c r="J56" s="390"/>
      <c r="K56" s="391"/>
      <c r="L56" s="229"/>
    </row>
    <row r="57" spans="1:13" s="200" customFormat="1" ht="12.75" customHeight="1" x14ac:dyDescent="0.2">
      <c r="A57" s="243"/>
      <c r="B57" s="244"/>
      <c r="C57" s="245"/>
      <c r="D57" s="245"/>
      <c r="E57" s="245"/>
      <c r="F57" s="245"/>
      <c r="G57" s="245"/>
      <c r="H57" s="245"/>
      <c r="I57" s="245"/>
      <c r="J57" s="245"/>
      <c r="K57" s="246"/>
      <c r="L57" s="247"/>
    </row>
    <row r="58" spans="1:13" ht="5.0999999999999996" customHeight="1" thickBot="1" x14ac:dyDescent="0.25">
      <c r="A58" s="248"/>
      <c r="B58" s="249"/>
      <c r="C58" s="249"/>
      <c r="D58" s="249"/>
      <c r="E58" s="249"/>
      <c r="F58" s="249"/>
      <c r="G58" s="249"/>
      <c r="H58" s="249"/>
      <c r="I58" s="249"/>
      <c r="J58" s="249"/>
      <c r="K58" s="249"/>
      <c r="L58" s="250"/>
    </row>
    <row r="59" spans="1:13" x14ac:dyDescent="0.2">
      <c r="A59" s="251"/>
    </row>
  </sheetData>
  <mergeCells count="8">
    <mergeCell ref="B55:K55"/>
    <mergeCell ref="B56:K56"/>
    <mergeCell ref="G8:J8"/>
    <mergeCell ref="D27:J27"/>
    <mergeCell ref="H29:J29"/>
    <mergeCell ref="B46:K46"/>
    <mergeCell ref="B53:K53"/>
    <mergeCell ref="B54:K54"/>
  </mergeCells>
  <printOptions horizontalCentered="1"/>
  <pageMargins left="0.23622047244094491" right="0.23622047244094491" top="0.78740157480314965"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R251"/>
  <sheetViews>
    <sheetView view="pageBreakPreview" zoomScaleNormal="100" zoomScaleSheetLayoutView="100" workbookViewId="0"/>
  </sheetViews>
  <sheetFormatPr defaultColWidth="9.140625" defaultRowHeight="12.75" x14ac:dyDescent="0.2"/>
  <cols>
    <col min="1" max="1" width="9.140625" style="19"/>
    <col min="2" max="2" width="38.7109375" style="6" customWidth="1"/>
    <col min="3" max="18" width="10.140625" customWidth="1"/>
    <col min="19" max="19" width="9.140625" customWidth="1"/>
  </cols>
  <sheetData>
    <row r="1" spans="2:18" ht="16.5" customHeight="1" x14ac:dyDescent="0.25">
      <c r="B1" s="418" t="s">
        <v>638</v>
      </c>
      <c r="C1" s="418"/>
      <c r="D1" s="418"/>
      <c r="E1" s="418"/>
      <c r="F1" s="418"/>
      <c r="G1" s="418"/>
      <c r="H1" s="418"/>
      <c r="I1" s="418"/>
      <c r="J1" s="418"/>
      <c r="K1" s="418"/>
      <c r="L1" s="418"/>
      <c r="M1" s="418"/>
      <c r="N1" s="418"/>
      <c r="O1" s="418"/>
      <c r="P1" s="418"/>
      <c r="Q1" s="418"/>
      <c r="R1" s="418"/>
    </row>
    <row r="2" spans="2:18" s="19" customFormat="1" ht="6" customHeight="1" x14ac:dyDescent="0.2">
      <c r="B2" s="20"/>
    </row>
    <row r="3" spans="2:18" ht="12.75" customHeight="1" x14ac:dyDescent="0.2">
      <c r="B3" s="27" t="s">
        <v>267</v>
      </c>
      <c r="C3" s="28">
        <v>2008</v>
      </c>
      <c r="D3" s="28">
        <v>2009</v>
      </c>
      <c r="E3" s="28">
        <v>2010</v>
      </c>
      <c r="F3" s="28">
        <v>2011</v>
      </c>
      <c r="G3" s="28">
        <v>2012</v>
      </c>
      <c r="H3" s="28">
        <v>2013</v>
      </c>
      <c r="I3" s="28">
        <v>2014</v>
      </c>
      <c r="J3" s="28">
        <v>2015</v>
      </c>
      <c r="K3" s="28">
        <v>2016</v>
      </c>
      <c r="L3" s="28">
        <v>2017</v>
      </c>
      <c r="M3" s="28">
        <v>2018</v>
      </c>
      <c r="N3" s="28">
        <v>2019</v>
      </c>
      <c r="O3" s="28">
        <v>2020</v>
      </c>
      <c r="P3" s="28">
        <v>2021</v>
      </c>
      <c r="Q3" s="28">
        <v>2022</v>
      </c>
      <c r="R3" s="28">
        <v>2023</v>
      </c>
    </row>
    <row r="4" spans="2:18" ht="12.75" customHeight="1" x14ac:dyDescent="0.2">
      <c r="B4" s="29" t="s">
        <v>20</v>
      </c>
      <c r="C4" s="30"/>
      <c r="D4" s="30"/>
      <c r="E4" s="30"/>
      <c r="F4" s="30"/>
      <c r="G4" s="30"/>
      <c r="H4" s="30"/>
      <c r="I4" s="30"/>
      <c r="J4" s="30"/>
      <c r="K4" s="30"/>
      <c r="L4" s="30">
        <v>1</v>
      </c>
      <c r="M4" s="30"/>
      <c r="N4" s="30"/>
      <c r="O4" s="30">
        <v>0</v>
      </c>
      <c r="P4" s="30"/>
      <c r="Q4" s="30"/>
      <c r="R4" s="30"/>
    </row>
    <row r="5" spans="2:18" ht="12.75" customHeight="1" x14ac:dyDescent="0.2">
      <c r="B5" s="29" t="s">
        <v>21</v>
      </c>
      <c r="C5" s="30">
        <v>11473</v>
      </c>
      <c r="D5" s="30">
        <v>21508</v>
      </c>
      <c r="E5" s="30">
        <v>12511</v>
      </c>
      <c r="F5" s="30">
        <v>16395</v>
      </c>
      <c r="G5" s="30">
        <v>15373</v>
      </c>
      <c r="H5" s="30">
        <v>19704</v>
      </c>
      <c r="I5" s="30">
        <v>22599</v>
      </c>
      <c r="J5" s="30">
        <v>31983</v>
      </c>
      <c r="K5" s="30">
        <v>50197</v>
      </c>
      <c r="L5" s="30">
        <v>48668</v>
      </c>
      <c r="M5" s="30">
        <v>56543</v>
      </c>
      <c r="N5" s="30">
        <v>68681</v>
      </c>
      <c r="O5" s="30">
        <v>30020</v>
      </c>
      <c r="P5" s="30">
        <v>56300</v>
      </c>
      <c r="Q5" s="30">
        <v>57241</v>
      </c>
      <c r="R5" s="30">
        <v>63708</v>
      </c>
    </row>
    <row r="6" spans="2:18" ht="12.75" customHeight="1" x14ac:dyDescent="0.2">
      <c r="B6" s="29" t="s">
        <v>22</v>
      </c>
      <c r="C6" s="30">
        <v>4415525</v>
      </c>
      <c r="D6" s="30">
        <v>4488350</v>
      </c>
      <c r="E6" s="30">
        <v>4385263</v>
      </c>
      <c r="F6" s="30">
        <v>4826315</v>
      </c>
      <c r="G6" s="30">
        <v>5028745</v>
      </c>
      <c r="H6" s="30">
        <v>5041323</v>
      </c>
      <c r="I6" s="30">
        <v>5250036</v>
      </c>
      <c r="J6" s="30">
        <v>5580792</v>
      </c>
      <c r="K6" s="30">
        <v>3890074</v>
      </c>
      <c r="L6" s="30">
        <v>3584653</v>
      </c>
      <c r="M6" s="30">
        <v>4512360</v>
      </c>
      <c r="N6" s="30">
        <v>5027472</v>
      </c>
      <c r="O6" s="30">
        <v>1118932</v>
      </c>
      <c r="P6" s="30">
        <v>3085215</v>
      </c>
      <c r="Q6" s="30">
        <v>5679194</v>
      </c>
      <c r="R6" s="30">
        <v>6193259</v>
      </c>
    </row>
    <row r="7" spans="2:18" ht="12.75" customHeight="1" x14ac:dyDescent="0.2">
      <c r="B7" s="29" t="s">
        <v>23</v>
      </c>
      <c r="C7" s="30">
        <v>679445</v>
      </c>
      <c r="D7" s="30">
        <v>667159</v>
      </c>
      <c r="E7" s="30">
        <v>642768</v>
      </c>
      <c r="F7" s="30">
        <v>757143</v>
      </c>
      <c r="G7" s="30">
        <v>771837</v>
      </c>
      <c r="H7" s="30">
        <v>785971</v>
      </c>
      <c r="I7" s="30">
        <v>784917</v>
      </c>
      <c r="J7" s="30">
        <v>798787</v>
      </c>
      <c r="K7" s="30">
        <v>459493</v>
      </c>
      <c r="L7" s="30">
        <v>329257</v>
      </c>
      <c r="M7" s="30">
        <v>448327</v>
      </c>
      <c r="N7" s="30">
        <v>578074</v>
      </c>
      <c r="O7" s="30">
        <v>148937</v>
      </c>
      <c r="P7" s="30">
        <v>371759</v>
      </c>
      <c r="Q7" s="30">
        <v>1013478</v>
      </c>
      <c r="R7" s="30">
        <v>1334337</v>
      </c>
    </row>
    <row r="8" spans="2:18" ht="12.75" customHeight="1" x14ac:dyDescent="0.2">
      <c r="B8" s="29" t="s">
        <v>24</v>
      </c>
      <c r="C8" s="30"/>
      <c r="D8" s="30"/>
      <c r="E8" s="30"/>
      <c r="F8" s="30"/>
      <c r="G8" s="30">
        <v>2734</v>
      </c>
      <c r="H8" s="30">
        <v>120</v>
      </c>
      <c r="I8" s="30"/>
      <c r="J8" s="30"/>
      <c r="K8" s="30">
        <v>1</v>
      </c>
      <c r="L8" s="30">
        <v>12</v>
      </c>
      <c r="M8" s="30"/>
      <c r="N8" s="30"/>
      <c r="O8" s="30"/>
      <c r="P8" s="30"/>
      <c r="Q8" s="30"/>
      <c r="R8" s="30">
        <v>1</v>
      </c>
    </row>
    <row r="9" spans="2:18" ht="12.75" customHeight="1" x14ac:dyDescent="0.2">
      <c r="B9" s="29" t="s">
        <v>25</v>
      </c>
      <c r="C9" s="30">
        <v>340</v>
      </c>
      <c r="D9" s="30">
        <v>568</v>
      </c>
      <c r="E9" s="30">
        <v>498</v>
      </c>
      <c r="F9" s="30">
        <v>402</v>
      </c>
      <c r="G9" s="30">
        <v>356</v>
      </c>
      <c r="H9" s="30">
        <v>415</v>
      </c>
      <c r="I9" s="30">
        <v>421</v>
      </c>
      <c r="J9" s="30">
        <v>321</v>
      </c>
      <c r="K9" s="30">
        <v>126</v>
      </c>
      <c r="L9" s="30">
        <v>148</v>
      </c>
      <c r="M9" s="30">
        <v>317</v>
      </c>
      <c r="N9" s="30">
        <v>879</v>
      </c>
      <c r="O9" s="30">
        <v>102</v>
      </c>
      <c r="P9" s="30">
        <v>228</v>
      </c>
      <c r="Q9" s="30">
        <v>581</v>
      </c>
      <c r="R9" s="30">
        <v>496</v>
      </c>
    </row>
    <row r="10" spans="2:18" ht="12.75" customHeight="1" x14ac:dyDescent="0.2">
      <c r="B10" s="29" t="s">
        <v>26</v>
      </c>
      <c r="C10" s="30">
        <v>290</v>
      </c>
      <c r="D10" s="30">
        <v>391</v>
      </c>
      <c r="E10" s="30">
        <v>375</v>
      </c>
      <c r="F10" s="30">
        <v>796</v>
      </c>
      <c r="G10" s="30">
        <v>857</v>
      </c>
      <c r="H10" s="30">
        <v>1458</v>
      </c>
      <c r="I10" s="30">
        <v>2526</v>
      </c>
      <c r="J10" s="30">
        <v>2019</v>
      </c>
      <c r="K10" s="30">
        <v>1404</v>
      </c>
      <c r="L10" s="30">
        <v>2015</v>
      </c>
      <c r="M10" s="30">
        <v>3432</v>
      </c>
      <c r="N10" s="30">
        <v>7719</v>
      </c>
      <c r="O10" s="30">
        <v>1430</v>
      </c>
      <c r="P10" s="30">
        <v>3657</v>
      </c>
      <c r="Q10" s="30">
        <v>4974</v>
      </c>
      <c r="R10" s="30">
        <v>3581</v>
      </c>
    </row>
    <row r="11" spans="2:18" ht="12.75" customHeight="1" x14ac:dyDescent="0.2">
      <c r="B11" s="29" t="s">
        <v>27</v>
      </c>
      <c r="C11" s="30"/>
      <c r="D11" s="30"/>
      <c r="E11" s="30"/>
      <c r="F11" s="30"/>
      <c r="G11" s="30"/>
      <c r="H11" s="30"/>
      <c r="I11" s="30"/>
      <c r="J11" s="30"/>
      <c r="K11" s="30">
        <v>32</v>
      </c>
      <c r="L11" s="30">
        <v>12</v>
      </c>
      <c r="M11" s="30"/>
      <c r="N11" s="30"/>
      <c r="O11" s="30"/>
      <c r="P11" s="30"/>
      <c r="Q11" s="30"/>
      <c r="R11" s="30"/>
    </row>
    <row r="12" spans="2:18" ht="12.75" customHeight="1" x14ac:dyDescent="0.2">
      <c r="B12" s="29" t="s">
        <v>28</v>
      </c>
      <c r="C12" s="30">
        <v>68</v>
      </c>
      <c r="D12" s="30">
        <v>14</v>
      </c>
      <c r="E12" s="30">
        <v>27</v>
      </c>
      <c r="F12" s="30">
        <v>27</v>
      </c>
      <c r="G12" s="30">
        <v>45</v>
      </c>
      <c r="H12" s="30">
        <v>50</v>
      </c>
      <c r="I12" s="30">
        <v>59</v>
      </c>
      <c r="J12" s="30">
        <v>48</v>
      </c>
      <c r="K12" s="30">
        <v>197</v>
      </c>
      <c r="L12" s="30">
        <v>393</v>
      </c>
      <c r="M12" s="30">
        <v>494</v>
      </c>
      <c r="N12" s="30">
        <v>632</v>
      </c>
      <c r="O12" s="30">
        <v>332</v>
      </c>
      <c r="P12" s="30">
        <v>773</v>
      </c>
      <c r="Q12" s="30">
        <v>1208</v>
      </c>
      <c r="R12" s="30">
        <v>1288</v>
      </c>
    </row>
    <row r="13" spans="2:18" ht="12.75" customHeight="1" x14ac:dyDescent="0.2">
      <c r="B13" s="29" t="s">
        <v>29</v>
      </c>
      <c r="C13" s="30">
        <v>18599</v>
      </c>
      <c r="D13" s="30">
        <v>20578</v>
      </c>
      <c r="E13" s="30">
        <v>22255</v>
      </c>
      <c r="F13" s="30">
        <v>27136</v>
      </c>
      <c r="G13" s="30">
        <v>28559</v>
      </c>
      <c r="H13" s="30">
        <v>46729</v>
      </c>
      <c r="I13" s="30">
        <v>44407</v>
      </c>
      <c r="J13" s="30">
        <v>82977</v>
      </c>
      <c r="K13" s="30">
        <v>62394</v>
      </c>
      <c r="L13" s="30">
        <v>48280</v>
      </c>
      <c r="M13" s="30">
        <v>68668</v>
      </c>
      <c r="N13" s="30">
        <v>64483</v>
      </c>
      <c r="O13" s="30">
        <v>7228</v>
      </c>
      <c r="P13" s="30">
        <v>6992</v>
      </c>
      <c r="Q13" s="30">
        <v>41708</v>
      </c>
      <c r="R13" s="30">
        <v>48383</v>
      </c>
    </row>
    <row r="14" spans="2:18" ht="12.75" customHeight="1" x14ac:dyDescent="0.2">
      <c r="B14" s="29" t="s">
        <v>30</v>
      </c>
      <c r="C14" s="30">
        <v>63146</v>
      </c>
      <c r="D14" s="30">
        <v>59958</v>
      </c>
      <c r="E14" s="30">
        <v>49954</v>
      </c>
      <c r="F14" s="30">
        <v>53141</v>
      </c>
      <c r="G14" s="30">
        <v>59565</v>
      </c>
      <c r="H14" s="30">
        <v>65113</v>
      </c>
      <c r="I14" s="30">
        <v>76273</v>
      </c>
      <c r="J14" s="30">
        <v>80032</v>
      </c>
      <c r="K14" s="30">
        <v>83029</v>
      </c>
      <c r="L14" s="30">
        <v>103593</v>
      </c>
      <c r="M14" s="30">
        <v>125935</v>
      </c>
      <c r="N14" s="30">
        <v>134869</v>
      </c>
      <c r="O14" s="30">
        <v>49667</v>
      </c>
      <c r="P14" s="30">
        <v>89748</v>
      </c>
      <c r="Q14" s="30">
        <v>145032</v>
      </c>
      <c r="R14" s="30">
        <v>142482</v>
      </c>
    </row>
    <row r="15" spans="2:18" ht="12.75" customHeight="1" x14ac:dyDescent="0.2">
      <c r="B15" s="29" t="s">
        <v>31</v>
      </c>
      <c r="C15" s="30">
        <v>1</v>
      </c>
      <c r="D15" s="30"/>
      <c r="E15" s="30"/>
      <c r="F15" s="30"/>
      <c r="G15" s="30"/>
      <c r="H15" s="30"/>
      <c r="I15" s="30"/>
      <c r="J15" s="30">
        <v>8</v>
      </c>
      <c r="K15" s="30"/>
      <c r="L15" s="30"/>
      <c r="M15" s="30">
        <v>27</v>
      </c>
      <c r="N15" s="30">
        <v>4</v>
      </c>
      <c r="O15" s="30"/>
      <c r="P15" s="30"/>
      <c r="Q15" s="30"/>
      <c r="R15" s="30"/>
    </row>
    <row r="16" spans="2:18" ht="12.75" customHeight="1" x14ac:dyDescent="0.2">
      <c r="B16" s="29" t="s">
        <v>32</v>
      </c>
      <c r="C16" s="30"/>
      <c r="D16" s="30"/>
      <c r="E16" s="30"/>
      <c r="F16" s="30"/>
      <c r="G16" s="30"/>
      <c r="H16" s="30"/>
      <c r="I16" s="30"/>
      <c r="J16" s="30"/>
      <c r="K16" s="30"/>
      <c r="L16" s="30"/>
      <c r="M16" s="30"/>
      <c r="N16" s="30">
        <v>66</v>
      </c>
      <c r="O16" s="30">
        <v>29</v>
      </c>
      <c r="P16" s="30">
        <v>68</v>
      </c>
      <c r="Q16" s="30">
        <v>72</v>
      </c>
      <c r="R16" s="30">
        <v>83</v>
      </c>
    </row>
    <row r="17" spans="2:18" ht="12.75" customHeight="1" x14ac:dyDescent="0.2">
      <c r="B17" s="29" t="s">
        <v>33</v>
      </c>
      <c r="C17" s="30">
        <v>124400</v>
      </c>
      <c r="D17" s="30">
        <v>129642</v>
      </c>
      <c r="E17" s="30">
        <v>131685</v>
      </c>
      <c r="F17" s="30">
        <v>156009</v>
      </c>
      <c r="G17" s="30">
        <v>164899</v>
      </c>
      <c r="H17" s="30">
        <v>190457</v>
      </c>
      <c r="I17" s="30">
        <v>200730</v>
      </c>
      <c r="J17" s="30">
        <v>225762</v>
      </c>
      <c r="K17" s="30">
        <v>97626</v>
      </c>
      <c r="L17" s="30">
        <v>77153</v>
      </c>
      <c r="M17" s="30">
        <v>96488</v>
      </c>
      <c r="N17" s="30">
        <v>120837</v>
      </c>
      <c r="O17" s="30">
        <v>15109</v>
      </c>
      <c r="P17" s="30">
        <v>15674</v>
      </c>
      <c r="Q17" s="30">
        <v>118847</v>
      </c>
      <c r="R17" s="30">
        <v>192770</v>
      </c>
    </row>
    <row r="18" spans="2:18" ht="12.75" customHeight="1" x14ac:dyDescent="0.2">
      <c r="B18" s="29" t="s">
        <v>34</v>
      </c>
      <c r="C18" s="30">
        <v>520334</v>
      </c>
      <c r="D18" s="30">
        <v>548117</v>
      </c>
      <c r="E18" s="30">
        <v>500321</v>
      </c>
      <c r="F18" s="30">
        <v>528966</v>
      </c>
      <c r="G18" s="30">
        <v>505560</v>
      </c>
      <c r="H18" s="30">
        <v>518273</v>
      </c>
      <c r="I18" s="30">
        <v>512339</v>
      </c>
      <c r="J18" s="30">
        <v>486044</v>
      </c>
      <c r="K18" s="30">
        <v>310946</v>
      </c>
      <c r="L18" s="30">
        <v>287746</v>
      </c>
      <c r="M18" s="30">
        <v>353628</v>
      </c>
      <c r="N18" s="30">
        <v>401475</v>
      </c>
      <c r="O18" s="30">
        <v>112126</v>
      </c>
      <c r="P18" s="30">
        <v>284095</v>
      </c>
      <c r="Q18" s="30">
        <v>454638</v>
      </c>
      <c r="R18" s="30">
        <v>496482</v>
      </c>
    </row>
    <row r="19" spans="2:18" ht="12.75" customHeight="1" x14ac:dyDescent="0.2">
      <c r="B19" s="29" t="s">
        <v>35</v>
      </c>
      <c r="C19" s="30">
        <v>459593</v>
      </c>
      <c r="D19" s="30">
        <v>424155</v>
      </c>
      <c r="E19" s="30">
        <v>486381</v>
      </c>
      <c r="F19" s="30">
        <v>578685</v>
      </c>
      <c r="G19" s="30">
        <v>593238</v>
      </c>
      <c r="H19" s="30">
        <v>630754</v>
      </c>
      <c r="I19" s="30">
        <v>657684</v>
      </c>
      <c r="J19" s="30">
        <v>602488</v>
      </c>
      <c r="K19" s="30">
        <v>606223</v>
      </c>
      <c r="L19" s="30">
        <v>765514</v>
      </c>
      <c r="M19" s="30">
        <v>858506</v>
      </c>
      <c r="N19" s="30">
        <v>901723</v>
      </c>
      <c r="O19" s="30">
        <v>236797</v>
      </c>
      <c r="P19" s="30">
        <v>470618</v>
      </c>
      <c r="Q19" s="30">
        <v>683834</v>
      </c>
      <c r="R19" s="30">
        <v>855445</v>
      </c>
    </row>
    <row r="20" spans="2:18" ht="12.75" customHeight="1" x14ac:dyDescent="0.2">
      <c r="B20" s="29" t="s">
        <v>36</v>
      </c>
      <c r="C20" s="30">
        <v>189</v>
      </c>
      <c r="D20" s="30">
        <v>238</v>
      </c>
      <c r="E20" s="30">
        <v>205</v>
      </c>
      <c r="F20" s="30">
        <v>209</v>
      </c>
      <c r="G20" s="30">
        <v>138</v>
      </c>
      <c r="H20" s="30">
        <v>326</v>
      </c>
      <c r="I20" s="30">
        <v>485</v>
      </c>
      <c r="J20" s="30">
        <v>347</v>
      </c>
      <c r="K20" s="30">
        <v>240</v>
      </c>
      <c r="L20" s="30">
        <v>93</v>
      </c>
      <c r="M20" s="30">
        <v>139</v>
      </c>
      <c r="N20" s="30">
        <v>191</v>
      </c>
      <c r="O20" s="30">
        <v>51</v>
      </c>
      <c r="P20" s="30">
        <v>82</v>
      </c>
      <c r="Q20" s="30">
        <v>288</v>
      </c>
      <c r="R20" s="30">
        <v>624</v>
      </c>
    </row>
    <row r="21" spans="2:18" ht="12.75" customHeight="1" x14ac:dyDescent="0.2">
      <c r="B21" s="29" t="s">
        <v>37</v>
      </c>
      <c r="C21" s="30">
        <v>8081</v>
      </c>
      <c r="D21" s="30">
        <v>9090</v>
      </c>
      <c r="E21" s="30">
        <v>9375</v>
      </c>
      <c r="F21" s="30">
        <v>9712</v>
      </c>
      <c r="G21" s="30">
        <v>13342</v>
      </c>
      <c r="H21" s="30">
        <v>16230</v>
      </c>
      <c r="I21" s="30">
        <v>24305</v>
      </c>
      <c r="J21" s="30">
        <v>32476</v>
      </c>
      <c r="K21" s="30">
        <v>41505</v>
      </c>
      <c r="L21" s="30">
        <v>59442</v>
      </c>
      <c r="M21" s="30">
        <v>77075</v>
      </c>
      <c r="N21" s="30">
        <v>90299</v>
      </c>
      <c r="O21" s="30">
        <v>17852</v>
      </c>
      <c r="P21" s="30">
        <v>62730</v>
      </c>
      <c r="Q21" s="30">
        <v>98147</v>
      </c>
      <c r="R21" s="30">
        <v>64771</v>
      </c>
    </row>
    <row r="22" spans="2:18" ht="12.75" customHeight="1" x14ac:dyDescent="0.2">
      <c r="B22" s="29" t="s">
        <v>38</v>
      </c>
      <c r="C22" s="30">
        <v>2950</v>
      </c>
      <c r="D22" s="30">
        <v>3599</v>
      </c>
      <c r="E22" s="30">
        <v>2190</v>
      </c>
      <c r="F22" s="30">
        <v>6168</v>
      </c>
      <c r="G22" s="30">
        <v>6652</v>
      </c>
      <c r="H22" s="30">
        <v>8856</v>
      </c>
      <c r="I22" s="30">
        <v>12706</v>
      </c>
      <c r="J22" s="30">
        <v>12212</v>
      </c>
      <c r="K22" s="30">
        <v>8951</v>
      </c>
      <c r="L22" s="30">
        <v>11346</v>
      </c>
      <c r="M22" s="30">
        <v>17932</v>
      </c>
      <c r="N22" s="30">
        <v>20605</v>
      </c>
      <c r="O22" s="30">
        <v>5634</v>
      </c>
      <c r="P22" s="30">
        <v>8226</v>
      </c>
      <c r="Q22" s="30">
        <v>24335</v>
      </c>
      <c r="R22" s="30">
        <v>23651</v>
      </c>
    </row>
    <row r="23" spans="2:18" ht="12.75" customHeight="1" x14ac:dyDescent="0.2">
      <c r="B23" s="29" t="s">
        <v>39</v>
      </c>
      <c r="C23" s="30">
        <v>239</v>
      </c>
      <c r="D23" s="30">
        <v>195</v>
      </c>
      <c r="E23" s="30">
        <v>185</v>
      </c>
      <c r="F23" s="30">
        <v>203</v>
      </c>
      <c r="G23" s="30">
        <v>230</v>
      </c>
      <c r="H23" s="30">
        <v>182</v>
      </c>
      <c r="I23" s="30">
        <v>270</v>
      </c>
      <c r="J23" s="30">
        <v>201</v>
      </c>
      <c r="K23" s="30">
        <v>165</v>
      </c>
      <c r="L23" s="30">
        <v>124</v>
      </c>
      <c r="M23" s="30">
        <v>134</v>
      </c>
      <c r="N23" s="30">
        <v>179</v>
      </c>
      <c r="O23" s="30">
        <v>51</v>
      </c>
      <c r="P23" s="30">
        <v>135</v>
      </c>
      <c r="Q23" s="30">
        <v>438</v>
      </c>
      <c r="R23" s="30">
        <v>623</v>
      </c>
    </row>
    <row r="24" spans="2:18" ht="12.75" customHeight="1" x14ac:dyDescent="0.2">
      <c r="B24" s="29" t="s">
        <v>40</v>
      </c>
      <c r="C24" s="30"/>
      <c r="D24" s="30"/>
      <c r="E24" s="30"/>
      <c r="F24" s="30"/>
      <c r="G24" s="30"/>
      <c r="H24" s="30"/>
      <c r="I24" s="30"/>
      <c r="J24" s="30"/>
      <c r="K24" s="30"/>
      <c r="L24" s="30"/>
      <c r="M24" s="30"/>
      <c r="N24" s="30"/>
      <c r="O24" s="30"/>
      <c r="P24" s="30"/>
      <c r="Q24" s="30"/>
      <c r="R24" s="30"/>
    </row>
    <row r="25" spans="2:18" ht="12.75" customHeight="1" x14ac:dyDescent="0.2">
      <c r="B25" s="29" t="s">
        <v>41</v>
      </c>
      <c r="C25" s="30">
        <v>3</v>
      </c>
      <c r="D25" s="30">
        <v>10</v>
      </c>
      <c r="E25" s="30">
        <v>2075</v>
      </c>
      <c r="F25" s="30">
        <v>21</v>
      </c>
      <c r="G25" s="30"/>
      <c r="H25" s="30">
        <v>8</v>
      </c>
      <c r="I25" s="30">
        <v>7</v>
      </c>
      <c r="J25" s="30">
        <v>6</v>
      </c>
      <c r="K25" s="30">
        <v>17</v>
      </c>
      <c r="L25" s="30"/>
      <c r="M25" s="30"/>
      <c r="N25" s="30">
        <v>184</v>
      </c>
      <c r="O25" s="30"/>
      <c r="P25" s="30"/>
      <c r="Q25" s="30"/>
      <c r="R25" s="30">
        <v>1</v>
      </c>
    </row>
    <row r="26" spans="2:18" ht="12.75" customHeight="1" x14ac:dyDescent="0.2">
      <c r="B26" s="29" t="s">
        <v>42</v>
      </c>
      <c r="C26" s="30"/>
      <c r="D26" s="30"/>
      <c r="E26" s="30"/>
      <c r="F26" s="30"/>
      <c r="G26" s="30"/>
      <c r="H26" s="30"/>
      <c r="I26" s="30">
        <v>6</v>
      </c>
      <c r="J26" s="30"/>
      <c r="K26" s="30"/>
      <c r="L26" s="30"/>
      <c r="M26" s="30"/>
      <c r="N26" s="30"/>
      <c r="O26" s="30"/>
      <c r="P26" s="30"/>
      <c r="Q26" s="30"/>
      <c r="R26" s="30"/>
    </row>
    <row r="27" spans="2:18" ht="12.75" customHeight="1" x14ac:dyDescent="0.2">
      <c r="B27" s="29" t="s">
        <v>43</v>
      </c>
      <c r="C27" s="30">
        <v>596442</v>
      </c>
      <c r="D27" s="30">
        <v>592078</v>
      </c>
      <c r="E27" s="30">
        <v>543003</v>
      </c>
      <c r="F27" s="30">
        <v>585860</v>
      </c>
      <c r="G27" s="30">
        <v>608071</v>
      </c>
      <c r="H27" s="30">
        <v>651596</v>
      </c>
      <c r="I27" s="30">
        <v>660857</v>
      </c>
      <c r="J27" s="30">
        <v>617406</v>
      </c>
      <c r="K27" s="30">
        <v>413614</v>
      </c>
      <c r="L27" s="30">
        <v>419998</v>
      </c>
      <c r="M27" s="30">
        <v>511559</v>
      </c>
      <c r="N27" s="30">
        <v>557435</v>
      </c>
      <c r="O27" s="30">
        <v>138729</v>
      </c>
      <c r="P27" s="30">
        <v>339529</v>
      </c>
      <c r="Q27" s="30">
        <v>596173</v>
      </c>
      <c r="R27" s="30">
        <v>596355</v>
      </c>
    </row>
    <row r="28" spans="2:18" ht="12.75" customHeight="1" x14ac:dyDescent="0.2">
      <c r="B28" s="29" t="s">
        <v>44</v>
      </c>
      <c r="C28" s="30">
        <v>68</v>
      </c>
      <c r="D28" s="30">
        <v>56</v>
      </c>
      <c r="E28" s="30">
        <v>56</v>
      </c>
      <c r="F28" s="30">
        <v>69</v>
      </c>
      <c r="G28" s="30">
        <v>58</v>
      </c>
      <c r="H28" s="30">
        <v>90</v>
      </c>
      <c r="I28" s="30">
        <v>177</v>
      </c>
      <c r="J28" s="30">
        <v>200</v>
      </c>
      <c r="K28" s="30">
        <v>203</v>
      </c>
      <c r="L28" s="30">
        <v>239</v>
      </c>
      <c r="M28" s="30">
        <v>276</v>
      </c>
      <c r="N28" s="30">
        <v>292</v>
      </c>
      <c r="O28" s="30">
        <v>103</v>
      </c>
      <c r="P28" s="30">
        <v>228</v>
      </c>
      <c r="Q28" s="30">
        <v>303</v>
      </c>
      <c r="R28" s="30">
        <v>423</v>
      </c>
    </row>
    <row r="29" spans="2:18" ht="12.75" customHeight="1" x14ac:dyDescent="0.2">
      <c r="B29" s="29" t="s">
        <v>45</v>
      </c>
      <c r="C29" s="30">
        <v>145</v>
      </c>
      <c r="D29" s="30">
        <v>201</v>
      </c>
      <c r="E29" s="30">
        <v>155</v>
      </c>
      <c r="F29" s="30">
        <v>288</v>
      </c>
      <c r="G29" s="30">
        <v>339</v>
      </c>
      <c r="H29" s="30">
        <v>1577</v>
      </c>
      <c r="I29" s="30">
        <v>714</v>
      </c>
      <c r="J29" s="30">
        <v>818</v>
      </c>
      <c r="K29" s="30">
        <v>779</v>
      </c>
      <c r="L29" s="30">
        <v>851</v>
      </c>
      <c r="M29" s="30">
        <v>1028</v>
      </c>
      <c r="N29" s="30">
        <v>1351</v>
      </c>
      <c r="O29" s="30">
        <v>521</v>
      </c>
      <c r="P29" s="30">
        <v>1163</v>
      </c>
      <c r="Q29" s="30">
        <v>1777</v>
      </c>
      <c r="R29" s="30">
        <v>1493</v>
      </c>
    </row>
    <row r="30" spans="2:18" ht="12.75" customHeight="1" x14ac:dyDescent="0.2">
      <c r="B30" s="29" t="s">
        <v>46</v>
      </c>
      <c r="C30" s="30">
        <v>22</v>
      </c>
      <c r="D30" s="30">
        <v>3</v>
      </c>
      <c r="E30" s="30">
        <v>13</v>
      </c>
      <c r="F30" s="30">
        <v>4</v>
      </c>
      <c r="G30" s="30">
        <v>1</v>
      </c>
      <c r="H30" s="30">
        <v>5</v>
      </c>
      <c r="I30" s="30">
        <v>2</v>
      </c>
      <c r="J30" s="30">
        <v>1</v>
      </c>
      <c r="K30" s="30">
        <v>2</v>
      </c>
      <c r="L30" s="30"/>
      <c r="M30" s="30"/>
      <c r="N30" s="30"/>
      <c r="O30" s="30"/>
      <c r="P30" s="30"/>
      <c r="Q30" s="30"/>
      <c r="R30" s="30">
        <v>5</v>
      </c>
    </row>
    <row r="31" spans="2:18" ht="12.75" customHeight="1" x14ac:dyDescent="0.2">
      <c r="B31" s="29" t="s">
        <v>47</v>
      </c>
      <c r="C31" s="30">
        <v>152961</v>
      </c>
      <c r="D31" s="30">
        <v>142422</v>
      </c>
      <c r="E31" s="30">
        <v>152421</v>
      </c>
      <c r="F31" s="30">
        <v>123607</v>
      </c>
      <c r="G31" s="30">
        <v>138007</v>
      </c>
      <c r="H31" s="30">
        <v>200659</v>
      </c>
      <c r="I31" s="30">
        <v>223975</v>
      </c>
      <c r="J31" s="30">
        <v>204355</v>
      </c>
      <c r="K31" s="30">
        <v>113793</v>
      </c>
      <c r="L31" s="30">
        <v>229229</v>
      </c>
      <c r="M31" s="30">
        <v>245254</v>
      </c>
      <c r="N31" s="30">
        <v>258419</v>
      </c>
      <c r="O31" s="30">
        <v>106426</v>
      </c>
      <c r="P31" s="30">
        <v>220932</v>
      </c>
      <c r="Q31" s="30">
        <v>239966</v>
      </c>
      <c r="R31" s="30">
        <v>309216</v>
      </c>
    </row>
    <row r="32" spans="2:18" ht="12.75" customHeight="1" x14ac:dyDescent="0.2">
      <c r="B32" s="29" t="s">
        <v>48</v>
      </c>
      <c r="C32" s="30">
        <v>18</v>
      </c>
      <c r="D32" s="30">
        <v>34</v>
      </c>
      <c r="E32" s="30">
        <v>27</v>
      </c>
      <c r="F32" s="30">
        <v>40</v>
      </c>
      <c r="G32" s="30">
        <v>46</v>
      </c>
      <c r="H32" s="30">
        <v>40</v>
      </c>
      <c r="I32" s="30">
        <v>33</v>
      </c>
      <c r="J32" s="30">
        <v>55</v>
      </c>
      <c r="K32" s="30">
        <v>48</v>
      </c>
      <c r="L32" s="30">
        <v>36</v>
      </c>
      <c r="M32" s="30">
        <v>27</v>
      </c>
      <c r="N32" s="30">
        <v>79</v>
      </c>
      <c r="O32" s="30">
        <v>2</v>
      </c>
      <c r="P32" s="30">
        <v>18</v>
      </c>
      <c r="Q32" s="30">
        <v>42</v>
      </c>
      <c r="R32" s="30">
        <v>72</v>
      </c>
    </row>
    <row r="33" spans="2:18" ht="12.75" customHeight="1" x14ac:dyDescent="0.2">
      <c r="B33" s="29" t="s">
        <v>49</v>
      </c>
      <c r="C33" s="30">
        <v>19676</v>
      </c>
      <c r="D33" s="30">
        <v>22051</v>
      </c>
      <c r="E33" s="30">
        <v>30480</v>
      </c>
      <c r="F33" s="30">
        <v>35579</v>
      </c>
      <c r="G33" s="30">
        <v>48071</v>
      </c>
      <c r="H33" s="30">
        <v>52424</v>
      </c>
      <c r="I33" s="30">
        <v>53736</v>
      </c>
      <c r="J33" s="30">
        <v>51600</v>
      </c>
      <c r="K33" s="30">
        <v>38315</v>
      </c>
      <c r="L33" s="30">
        <v>49360</v>
      </c>
      <c r="M33" s="30">
        <v>43292</v>
      </c>
      <c r="N33" s="30">
        <v>37500</v>
      </c>
      <c r="O33" s="30">
        <v>3772</v>
      </c>
      <c r="P33" s="30">
        <v>52587</v>
      </c>
      <c r="Q33" s="30">
        <v>146438</v>
      </c>
      <c r="R33" s="30">
        <v>120819</v>
      </c>
    </row>
    <row r="34" spans="2:18" ht="12.75" customHeight="1" x14ac:dyDescent="0.2">
      <c r="B34" s="29" t="s">
        <v>50</v>
      </c>
      <c r="C34" s="30">
        <v>22790</v>
      </c>
      <c r="D34" s="30">
        <v>37313</v>
      </c>
      <c r="E34" s="30">
        <v>7516</v>
      </c>
      <c r="F34" s="30">
        <v>8201</v>
      </c>
      <c r="G34" s="30">
        <v>4920</v>
      </c>
      <c r="H34" s="30">
        <v>5205</v>
      </c>
      <c r="I34" s="30">
        <v>6437</v>
      </c>
      <c r="J34" s="30">
        <v>7911</v>
      </c>
      <c r="K34" s="30">
        <v>4716</v>
      </c>
      <c r="L34" s="30">
        <v>4811</v>
      </c>
      <c r="M34" s="30">
        <v>5441</v>
      </c>
      <c r="N34" s="30">
        <v>5015</v>
      </c>
      <c r="O34" s="30">
        <v>1224</v>
      </c>
      <c r="P34" s="30">
        <v>1328</v>
      </c>
      <c r="Q34" s="30">
        <v>3839</v>
      </c>
      <c r="R34" s="30">
        <v>5304</v>
      </c>
    </row>
    <row r="35" spans="2:18" ht="12.75" customHeight="1" x14ac:dyDescent="0.2">
      <c r="B35" s="29" t="s">
        <v>51</v>
      </c>
      <c r="C35" s="30"/>
      <c r="D35" s="30"/>
      <c r="E35" s="30"/>
      <c r="F35" s="30"/>
      <c r="G35" s="30"/>
      <c r="H35" s="30"/>
      <c r="I35" s="30"/>
      <c r="J35" s="30"/>
      <c r="K35" s="30"/>
      <c r="L35" s="30"/>
      <c r="M35" s="30"/>
      <c r="N35" s="30">
        <v>0</v>
      </c>
      <c r="O35" s="30"/>
      <c r="P35" s="30"/>
      <c r="Q35" s="30"/>
      <c r="R35" s="30"/>
    </row>
    <row r="36" spans="2:18" ht="12.75" customHeight="1" x14ac:dyDescent="0.2">
      <c r="B36" s="29" t="s">
        <v>52</v>
      </c>
      <c r="C36" s="30">
        <v>943</v>
      </c>
      <c r="D36" s="30">
        <v>896</v>
      </c>
      <c r="E36" s="30">
        <v>759</v>
      </c>
      <c r="F36" s="30">
        <v>968</v>
      </c>
      <c r="G36" s="30">
        <v>1145</v>
      </c>
      <c r="H36" s="30">
        <v>1029</v>
      </c>
      <c r="I36" s="30">
        <v>1356</v>
      </c>
      <c r="J36" s="30">
        <v>1555</v>
      </c>
      <c r="K36" s="30">
        <v>1282</v>
      </c>
      <c r="L36" s="30">
        <v>1264</v>
      </c>
      <c r="M36" s="30">
        <v>1780</v>
      </c>
      <c r="N36" s="30">
        <v>2491</v>
      </c>
      <c r="O36" s="30">
        <v>553</v>
      </c>
      <c r="P36" s="30">
        <v>947</v>
      </c>
      <c r="Q36" s="30">
        <v>3207</v>
      </c>
      <c r="R36" s="30">
        <v>3797</v>
      </c>
    </row>
    <row r="37" spans="2:18" ht="12.75" customHeight="1" x14ac:dyDescent="0.2">
      <c r="B37" s="29" t="s">
        <v>53</v>
      </c>
      <c r="C37" s="30">
        <v>58910</v>
      </c>
      <c r="D37" s="30">
        <v>52271</v>
      </c>
      <c r="E37" s="30">
        <v>47361</v>
      </c>
      <c r="F37" s="30">
        <v>56522</v>
      </c>
      <c r="G37" s="30">
        <v>61851</v>
      </c>
      <c r="H37" s="30">
        <v>72086</v>
      </c>
      <c r="I37" s="30">
        <v>83258</v>
      </c>
      <c r="J37" s="30">
        <v>85434</v>
      </c>
      <c r="K37" s="30">
        <v>66177</v>
      </c>
      <c r="L37" s="30">
        <v>90378</v>
      </c>
      <c r="M37" s="30">
        <v>120480</v>
      </c>
      <c r="N37" s="30">
        <v>144445</v>
      </c>
      <c r="O37" s="30">
        <v>61651</v>
      </c>
      <c r="P37" s="30">
        <v>131347</v>
      </c>
      <c r="Q37" s="30">
        <v>200698</v>
      </c>
      <c r="R37" s="30">
        <v>177893</v>
      </c>
    </row>
    <row r="38" spans="2:18" ht="12.75" customHeight="1" x14ac:dyDescent="0.2">
      <c r="B38" s="29" t="s">
        <v>54</v>
      </c>
      <c r="C38" s="30">
        <v>47</v>
      </c>
      <c r="D38" s="30">
        <v>110</v>
      </c>
      <c r="E38" s="30">
        <v>65</v>
      </c>
      <c r="F38" s="30">
        <v>102</v>
      </c>
      <c r="G38" s="30">
        <v>202</v>
      </c>
      <c r="H38" s="30">
        <v>168</v>
      </c>
      <c r="I38" s="30">
        <v>629</v>
      </c>
      <c r="J38" s="30">
        <v>188</v>
      </c>
      <c r="K38" s="30">
        <v>167</v>
      </c>
      <c r="L38" s="30">
        <v>168</v>
      </c>
      <c r="M38" s="30">
        <v>301</v>
      </c>
      <c r="N38" s="30">
        <v>417</v>
      </c>
      <c r="O38" s="30">
        <v>81</v>
      </c>
      <c r="P38" s="30">
        <v>186</v>
      </c>
      <c r="Q38" s="30">
        <v>461</v>
      </c>
      <c r="R38" s="30">
        <v>506</v>
      </c>
    </row>
    <row r="39" spans="2:18" ht="12.75" customHeight="1" x14ac:dyDescent="0.2">
      <c r="B39" s="29" t="s">
        <v>55</v>
      </c>
      <c r="C39" s="30"/>
      <c r="D39" s="30"/>
      <c r="E39" s="30"/>
      <c r="F39" s="30"/>
      <c r="G39" s="30"/>
      <c r="H39" s="30"/>
      <c r="I39" s="30"/>
      <c r="J39" s="30"/>
      <c r="K39" s="30"/>
      <c r="L39" s="30">
        <v>1</v>
      </c>
      <c r="M39" s="30"/>
      <c r="N39" s="30"/>
      <c r="O39" s="30"/>
      <c r="P39" s="30"/>
      <c r="Q39" s="30"/>
      <c r="R39" s="30"/>
    </row>
    <row r="40" spans="2:18" ht="12.75" customHeight="1" x14ac:dyDescent="0.2">
      <c r="B40" s="29" t="s">
        <v>56</v>
      </c>
      <c r="C40" s="30">
        <v>43647</v>
      </c>
      <c r="D40" s="30">
        <v>53574</v>
      </c>
      <c r="E40" s="30">
        <v>65246</v>
      </c>
      <c r="F40" s="30">
        <v>89442</v>
      </c>
      <c r="G40" s="30">
        <v>88903</v>
      </c>
      <c r="H40" s="30">
        <v>113433</v>
      </c>
      <c r="I40" s="30">
        <v>91627</v>
      </c>
      <c r="J40" s="30">
        <v>85473</v>
      </c>
      <c r="K40" s="30">
        <v>42530</v>
      </c>
      <c r="L40" s="30">
        <v>49754</v>
      </c>
      <c r="M40" s="30">
        <v>78691</v>
      </c>
      <c r="N40" s="30">
        <v>101164</v>
      </c>
      <c r="O40" s="30">
        <v>22722</v>
      </c>
      <c r="P40" s="30">
        <v>17788</v>
      </c>
      <c r="Q40" s="30">
        <v>84582</v>
      </c>
      <c r="R40" s="30">
        <v>106717</v>
      </c>
    </row>
    <row r="41" spans="2:18" ht="12.75" customHeight="1" x14ac:dyDescent="0.2">
      <c r="B41" s="29" t="s">
        <v>57</v>
      </c>
      <c r="C41" s="30">
        <v>134</v>
      </c>
      <c r="D41" s="30">
        <v>266</v>
      </c>
      <c r="E41" s="30">
        <v>315</v>
      </c>
      <c r="F41" s="30">
        <v>19504</v>
      </c>
      <c r="G41" s="30">
        <v>552</v>
      </c>
      <c r="H41" s="30">
        <v>634</v>
      </c>
      <c r="I41" s="30">
        <v>893</v>
      </c>
      <c r="J41" s="30">
        <v>909</v>
      </c>
      <c r="K41" s="30">
        <v>605</v>
      </c>
      <c r="L41" s="30">
        <v>554</v>
      </c>
      <c r="M41" s="30">
        <v>918</v>
      </c>
      <c r="N41" s="30">
        <v>1282</v>
      </c>
      <c r="O41" s="30">
        <v>158</v>
      </c>
      <c r="P41" s="30">
        <v>33</v>
      </c>
      <c r="Q41" s="30">
        <v>869</v>
      </c>
      <c r="R41" s="30">
        <v>1773</v>
      </c>
    </row>
    <row r="42" spans="2:18" ht="12.75" customHeight="1" x14ac:dyDescent="0.2">
      <c r="B42" s="29" t="s">
        <v>58</v>
      </c>
      <c r="C42" s="30">
        <v>1255343</v>
      </c>
      <c r="D42" s="30">
        <v>1406604</v>
      </c>
      <c r="E42" s="30">
        <v>1433970</v>
      </c>
      <c r="F42" s="30">
        <v>1491561</v>
      </c>
      <c r="G42" s="30">
        <v>1492073</v>
      </c>
      <c r="H42" s="30">
        <v>1582912</v>
      </c>
      <c r="I42" s="30">
        <v>1693591</v>
      </c>
      <c r="J42" s="30">
        <v>1821480</v>
      </c>
      <c r="K42" s="30">
        <v>1690766</v>
      </c>
      <c r="L42" s="30">
        <v>1852867</v>
      </c>
      <c r="M42" s="30">
        <v>2386885</v>
      </c>
      <c r="N42" s="30">
        <v>2713464</v>
      </c>
      <c r="O42" s="30">
        <v>1242961</v>
      </c>
      <c r="P42" s="30">
        <v>1402795</v>
      </c>
      <c r="Q42" s="30">
        <v>2882512</v>
      </c>
      <c r="R42" s="30">
        <v>2893092</v>
      </c>
    </row>
    <row r="43" spans="2:18" ht="12.75" customHeight="1" x14ac:dyDescent="0.2">
      <c r="B43" s="29" t="s">
        <v>59</v>
      </c>
      <c r="C43" s="30">
        <v>261</v>
      </c>
      <c r="D43" s="30">
        <v>326</v>
      </c>
      <c r="E43" s="30">
        <v>413</v>
      </c>
      <c r="F43" s="30">
        <v>506</v>
      </c>
      <c r="G43" s="30">
        <v>621</v>
      </c>
      <c r="H43" s="30">
        <v>1563</v>
      </c>
      <c r="I43" s="30">
        <v>2120</v>
      </c>
      <c r="J43" s="30">
        <v>2389</v>
      </c>
      <c r="K43" s="30">
        <v>1676</v>
      </c>
      <c r="L43" s="30">
        <v>2000</v>
      </c>
      <c r="M43" s="30">
        <v>2312</v>
      </c>
      <c r="N43" s="30">
        <v>2481</v>
      </c>
      <c r="O43" s="30">
        <v>985</v>
      </c>
      <c r="P43" s="30">
        <v>2466</v>
      </c>
      <c r="Q43" s="30">
        <v>3254</v>
      </c>
      <c r="R43" s="30">
        <v>3462</v>
      </c>
    </row>
    <row r="44" spans="2:18" ht="12.75" customHeight="1" x14ac:dyDescent="0.2">
      <c r="B44" s="29" t="s">
        <v>60</v>
      </c>
      <c r="C44" s="30">
        <v>76</v>
      </c>
      <c r="D44" s="30">
        <v>95</v>
      </c>
      <c r="E44" s="30">
        <v>93</v>
      </c>
      <c r="F44" s="30">
        <v>119</v>
      </c>
      <c r="G44" s="30">
        <v>178</v>
      </c>
      <c r="H44" s="30">
        <v>251</v>
      </c>
      <c r="I44" s="30">
        <v>265</v>
      </c>
      <c r="J44" s="30">
        <v>268</v>
      </c>
      <c r="K44" s="30">
        <v>282</v>
      </c>
      <c r="L44" s="30">
        <v>260</v>
      </c>
      <c r="M44" s="30">
        <v>363</v>
      </c>
      <c r="N44" s="30">
        <v>348</v>
      </c>
      <c r="O44" s="30">
        <v>136</v>
      </c>
      <c r="P44" s="30">
        <v>431</v>
      </c>
      <c r="Q44" s="30">
        <v>572</v>
      </c>
      <c r="R44" s="30">
        <v>463</v>
      </c>
    </row>
    <row r="45" spans="2:18" ht="12.75" customHeight="1" x14ac:dyDescent="0.2">
      <c r="B45" s="29" t="s">
        <v>61</v>
      </c>
      <c r="C45" s="30"/>
      <c r="D45" s="30"/>
      <c r="E45" s="30"/>
      <c r="F45" s="30"/>
      <c r="G45" s="30"/>
      <c r="H45" s="30"/>
      <c r="I45" s="30"/>
      <c r="J45" s="30"/>
      <c r="K45" s="30"/>
      <c r="L45" s="30">
        <v>1</v>
      </c>
      <c r="M45" s="30"/>
      <c r="N45" s="30"/>
      <c r="O45" s="30"/>
      <c r="P45" s="30"/>
      <c r="Q45" s="30"/>
      <c r="R45" s="30">
        <v>7</v>
      </c>
    </row>
    <row r="46" spans="2:18" ht="12.75" customHeight="1" x14ac:dyDescent="0.2">
      <c r="B46" s="29" t="s">
        <v>62</v>
      </c>
      <c r="C46" s="30"/>
      <c r="D46" s="30"/>
      <c r="E46" s="30"/>
      <c r="F46" s="30"/>
      <c r="G46" s="30">
        <v>2</v>
      </c>
      <c r="H46" s="30">
        <v>3</v>
      </c>
      <c r="I46" s="30">
        <v>4</v>
      </c>
      <c r="J46" s="30">
        <v>1</v>
      </c>
      <c r="K46" s="30"/>
      <c r="L46" s="30"/>
      <c r="M46" s="30"/>
      <c r="N46" s="30"/>
      <c r="O46" s="30"/>
      <c r="P46" s="30"/>
      <c r="Q46" s="30"/>
      <c r="R46" s="30">
        <v>4</v>
      </c>
    </row>
    <row r="47" spans="2:18" ht="12.75" customHeight="1" x14ac:dyDescent="0.2">
      <c r="B47" s="29" t="s">
        <v>63</v>
      </c>
      <c r="C47" s="30">
        <v>63904</v>
      </c>
      <c r="D47" s="30">
        <v>91222</v>
      </c>
      <c r="E47" s="30">
        <v>67954</v>
      </c>
      <c r="F47" s="30">
        <v>84844</v>
      </c>
      <c r="G47" s="30">
        <v>104489</v>
      </c>
      <c r="H47" s="30">
        <v>118189</v>
      </c>
      <c r="I47" s="30">
        <v>160052</v>
      </c>
      <c r="J47" s="30">
        <v>171873</v>
      </c>
      <c r="K47" s="30">
        <v>176233</v>
      </c>
      <c r="L47" s="30">
        <v>213333</v>
      </c>
      <c r="M47" s="30">
        <v>288207</v>
      </c>
      <c r="N47" s="30">
        <v>295512</v>
      </c>
      <c r="O47" s="30">
        <v>50121</v>
      </c>
      <c r="P47" s="30">
        <v>48827</v>
      </c>
      <c r="Q47" s="30">
        <v>210478</v>
      </c>
      <c r="R47" s="30">
        <v>292505</v>
      </c>
    </row>
    <row r="48" spans="2:18" ht="12.75" customHeight="1" x14ac:dyDescent="0.2">
      <c r="B48" s="29" t="s">
        <v>64</v>
      </c>
      <c r="C48" s="30">
        <v>128</v>
      </c>
      <c r="D48" s="30">
        <v>229</v>
      </c>
      <c r="E48" s="30">
        <v>105</v>
      </c>
      <c r="F48" s="30">
        <v>186</v>
      </c>
      <c r="G48" s="30">
        <v>281</v>
      </c>
      <c r="H48" s="30">
        <v>646</v>
      </c>
      <c r="I48" s="30">
        <v>916</v>
      </c>
      <c r="J48" s="30">
        <v>1199</v>
      </c>
      <c r="K48" s="30">
        <v>1463</v>
      </c>
      <c r="L48" s="30">
        <v>1665</v>
      </c>
      <c r="M48" s="30">
        <v>2671</v>
      </c>
      <c r="N48" s="30">
        <v>4670</v>
      </c>
      <c r="O48" s="30">
        <v>3723</v>
      </c>
      <c r="P48" s="30">
        <v>7005</v>
      </c>
      <c r="Q48" s="30">
        <v>5497</v>
      </c>
      <c r="R48" s="30">
        <v>3757</v>
      </c>
    </row>
    <row r="49" spans="2:18" ht="12.75" customHeight="1" x14ac:dyDescent="0.2">
      <c r="B49" s="29" t="s">
        <v>65</v>
      </c>
      <c r="C49" s="30"/>
      <c r="D49" s="30"/>
      <c r="E49" s="30"/>
      <c r="F49" s="30"/>
      <c r="G49" s="30"/>
      <c r="H49" s="30">
        <v>1</v>
      </c>
      <c r="I49" s="30"/>
      <c r="J49" s="30"/>
      <c r="K49" s="30"/>
      <c r="L49" s="30"/>
      <c r="M49" s="30"/>
      <c r="N49" s="30"/>
      <c r="O49" s="30"/>
      <c r="P49" s="30"/>
      <c r="Q49" s="30"/>
      <c r="R49" s="30"/>
    </row>
    <row r="50" spans="2:18" ht="12.75" customHeight="1" x14ac:dyDescent="0.2">
      <c r="B50" s="29" t="s">
        <v>66</v>
      </c>
      <c r="C50" s="30"/>
      <c r="D50" s="30"/>
      <c r="E50" s="30"/>
      <c r="F50" s="30"/>
      <c r="G50" s="30"/>
      <c r="H50" s="30"/>
      <c r="I50" s="30"/>
      <c r="J50" s="30"/>
      <c r="K50" s="30"/>
      <c r="L50" s="30"/>
      <c r="M50" s="30"/>
      <c r="N50" s="30"/>
      <c r="O50" s="30"/>
      <c r="P50" s="30"/>
      <c r="Q50" s="30"/>
      <c r="R50" s="30">
        <v>1</v>
      </c>
    </row>
    <row r="51" spans="2:18" ht="12.75" customHeight="1" x14ac:dyDescent="0.2">
      <c r="B51" s="29" t="s">
        <v>67</v>
      </c>
      <c r="C51" s="30">
        <v>63</v>
      </c>
      <c r="D51" s="30">
        <v>111</v>
      </c>
      <c r="E51" s="30">
        <v>106</v>
      </c>
      <c r="F51" s="30">
        <v>150</v>
      </c>
      <c r="G51" s="30">
        <v>147</v>
      </c>
      <c r="H51" s="30">
        <v>417</v>
      </c>
      <c r="I51" s="30">
        <v>979</v>
      </c>
      <c r="J51" s="30">
        <v>925</v>
      </c>
      <c r="K51" s="30">
        <v>1010</v>
      </c>
      <c r="L51" s="30">
        <v>1061</v>
      </c>
      <c r="M51" s="30">
        <v>1237</v>
      </c>
      <c r="N51" s="30">
        <v>1712</v>
      </c>
      <c r="O51" s="30">
        <v>1327</v>
      </c>
      <c r="P51" s="30">
        <v>4357</v>
      </c>
      <c r="Q51" s="30">
        <v>6830</v>
      </c>
      <c r="R51" s="30">
        <v>5508</v>
      </c>
    </row>
    <row r="52" spans="2:18" ht="12.75" customHeight="1" x14ac:dyDescent="0.2">
      <c r="B52" s="29" t="s">
        <v>68</v>
      </c>
      <c r="C52" s="30">
        <v>158858</v>
      </c>
      <c r="D52" s="30">
        <v>164733</v>
      </c>
      <c r="E52" s="30">
        <v>174426</v>
      </c>
      <c r="F52" s="30">
        <v>223369</v>
      </c>
      <c r="G52" s="30">
        <v>223986</v>
      </c>
      <c r="H52" s="30">
        <v>217254</v>
      </c>
      <c r="I52" s="30">
        <v>226189</v>
      </c>
      <c r="J52" s="30">
        <v>212464</v>
      </c>
      <c r="K52" s="30">
        <v>87328</v>
      </c>
      <c r="L52" s="30">
        <v>126567</v>
      </c>
      <c r="M52" s="30">
        <v>228251</v>
      </c>
      <c r="N52" s="30">
        <v>311359</v>
      </c>
      <c r="O52" s="30">
        <v>15642</v>
      </c>
      <c r="P52" s="30">
        <v>89734</v>
      </c>
      <c r="Q52" s="30">
        <v>295454</v>
      </c>
      <c r="R52" s="30">
        <v>384158</v>
      </c>
    </row>
    <row r="53" spans="2:18" ht="12.75" customHeight="1" x14ac:dyDescent="0.2">
      <c r="B53" s="29" t="s">
        <v>69</v>
      </c>
      <c r="C53" s="30">
        <v>61882</v>
      </c>
      <c r="D53" s="30">
        <v>69336</v>
      </c>
      <c r="E53" s="30">
        <v>77142</v>
      </c>
      <c r="F53" s="30">
        <v>96701</v>
      </c>
      <c r="G53" s="30">
        <v>114582</v>
      </c>
      <c r="H53" s="30">
        <v>138876</v>
      </c>
      <c r="I53" s="30">
        <v>199746</v>
      </c>
      <c r="J53" s="30">
        <v>313704</v>
      </c>
      <c r="K53" s="30">
        <v>167570</v>
      </c>
      <c r="L53" s="30">
        <v>247277</v>
      </c>
      <c r="M53" s="30">
        <v>394109</v>
      </c>
      <c r="N53" s="30">
        <v>426344</v>
      </c>
      <c r="O53" s="30">
        <v>40264</v>
      </c>
      <c r="P53" s="30">
        <v>33641</v>
      </c>
      <c r="Q53" s="30">
        <v>89515</v>
      </c>
      <c r="R53" s="30">
        <v>248119</v>
      </c>
    </row>
    <row r="54" spans="2:18" ht="12.75" customHeight="1" x14ac:dyDescent="0.2">
      <c r="B54" s="29" t="s">
        <v>70</v>
      </c>
      <c r="C54" s="30">
        <v>276805</v>
      </c>
      <c r="D54" s="30">
        <v>296085</v>
      </c>
      <c r="E54" s="30">
        <v>314446</v>
      </c>
      <c r="F54" s="30">
        <v>369867</v>
      </c>
      <c r="G54" s="30">
        <v>391312</v>
      </c>
      <c r="H54" s="30">
        <v>402818</v>
      </c>
      <c r="I54" s="30">
        <v>408287</v>
      </c>
      <c r="J54" s="30">
        <v>408841</v>
      </c>
      <c r="K54" s="30">
        <v>329618</v>
      </c>
      <c r="L54" s="30">
        <v>269026</v>
      </c>
      <c r="M54" s="30">
        <v>326278</v>
      </c>
      <c r="N54" s="30">
        <v>335877</v>
      </c>
      <c r="O54" s="30">
        <v>44694</v>
      </c>
      <c r="P54" s="30">
        <v>111499</v>
      </c>
      <c r="Q54" s="30">
        <v>356127</v>
      </c>
      <c r="R54" s="30">
        <v>319835</v>
      </c>
    </row>
    <row r="55" spans="2:18" ht="12.75" customHeight="1" x14ac:dyDescent="0.2">
      <c r="B55" s="29" t="s">
        <v>71</v>
      </c>
      <c r="C55" s="30">
        <v>250</v>
      </c>
      <c r="D55" s="30">
        <v>32</v>
      </c>
      <c r="E55" s="30">
        <v>223</v>
      </c>
      <c r="F55" s="30">
        <v>11</v>
      </c>
      <c r="G55" s="30">
        <v>327</v>
      </c>
      <c r="H55" s="30">
        <v>4312</v>
      </c>
      <c r="I55" s="30">
        <v>6026</v>
      </c>
      <c r="J55" s="30">
        <v>5979</v>
      </c>
      <c r="K55" s="30">
        <v>5179</v>
      </c>
      <c r="L55" s="30">
        <v>6132</v>
      </c>
      <c r="M55" s="30">
        <v>7751</v>
      </c>
      <c r="N55" s="30">
        <v>8628</v>
      </c>
      <c r="O55" s="30">
        <v>3877</v>
      </c>
      <c r="P55" s="30">
        <v>7676</v>
      </c>
      <c r="Q55" s="30">
        <v>10744</v>
      </c>
      <c r="R55" s="30">
        <v>9116</v>
      </c>
    </row>
    <row r="56" spans="2:18" ht="12.75" customHeight="1" x14ac:dyDescent="0.2">
      <c r="B56" s="29" t="s">
        <v>72</v>
      </c>
      <c r="C56" s="30">
        <v>6</v>
      </c>
      <c r="D56" s="30">
        <v>17</v>
      </c>
      <c r="E56" s="30">
        <v>3</v>
      </c>
      <c r="F56" s="30">
        <v>9</v>
      </c>
      <c r="G56" s="30">
        <v>20</v>
      </c>
      <c r="H56" s="30">
        <v>391</v>
      </c>
      <c r="I56" s="30">
        <v>33</v>
      </c>
      <c r="J56" s="30">
        <v>16</v>
      </c>
      <c r="K56" s="30">
        <v>31</v>
      </c>
      <c r="L56" s="30">
        <v>17</v>
      </c>
      <c r="M56" s="30">
        <v>39</v>
      </c>
      <c r="N56" s="30">
        <v>24</v>
      </c>
      <c r="O56" s="30">
        <v>5</v>
      </c>
      <c r="P56" s="30">
        <v>12</v>
      </c>
      <c r="Q56" s="30">
        <v>45</v>
      </c>
      <c r="R56" s="30">
        <v>57</v>
      </c>
    </row>
    <row r="57" spans="2:18" ht="12.75" customHeight="1" x14ac:dyDescent="0.2">
      <c r="B57" s="29" t="s">
        <v>73</v>
      </c>
      <c r="C57" s="30">
        <v>948</v>
      </c>
      <c r="D57" s="30">
        <v>913</v>
      </c>
      <c r="E57" s="30">
        <v>1467</v>
      </c>
      <c r="F57" s="30">
        <v>2924</v>
      </c>
      <c r="G57" s="30">
        <v>2073</v>
      </c>
      <c r="H57" s="30">
        <v>727</v>
      </c>
      <c r="I57" s="30">
        <v>1349</v>
      </c>
      <c r="J57" s="30">
        <v>2583</v>
      </c>
      <c r="K57" s="30">
        <v>1625</v>
      </c>
      <c r="L57" s="30">
        <v>1359</v>
      </c>
      <c r="M57" s="30">
        <v>1938</v>
      </c>
      <c r="N57" s="30">
        <v>3478</v>
      </c>
      <c r="O57" s="30">
        <v>728</v>
      </c>
      <c r="P57" s="30">
        <v>2302</v>
      </c>
      <c r="Q57" s="30">
        <v>4737</v>
      </c>
      <c r="R57" s="30">
        <v>5425</v>
      </c>
    </row>
    <row r="58" spans="2:18" ht="12.75" customHeight="1" x14ac:dyDescent="0.2">
      <c r="B58" s="29" t="s">
        <v>74</v>
      </c>
      <c r="C58" s="30">
        <v>523</v>
      </c>
      <c r="D58" s="30">
        <v>668</v>
      </c>
      <c r="E58" s="30">
        <v>668</v>
      </c>
      <c r="F58" s="30">
        <v>523</v>
      </c>
      <c r="G58" s="30">
        <v>246</v>
      </c>
      <c r="H58" s="30">
        <v>1127</v>
      </c>
      <c r="I58" s="30">
        <v>682</v>
      </c>
      <c r="J58" s="30">
        <v>476</v>
      </c>
      <c r="K58" s="30">
        <v>748</v>
      </c>
      <c r="L58" s="30">
        <v>2017</v>
      </c>
      <c r="M58" s="30">
        <v>3611</v>
      </c>
      <c r="N58" s="30">
        <v>5679</v>
      </c>
      <c r="O58" s="30">
        <v>2342</v>
      </c>
      <c r="P58" s="30">
        <v>7679</v>
      </c>
      <c r="Q58" s="30">
        <v>10295</v>
      </c>
      <c r="R58" s="30">
        <v>11485</v>
      </c>
    </row>
    <row r="59" spans="2:18" ht="12.75" customHeight="1" x14ac:dyDescent="0.2">
      <c r="B59" s="29" t="s">
        <v>75</v>
      </c>
      <c r="C59" s="30">
        <v>2308</v>
      </c>
      <c r="D59" s="30">
        <v>2478</v>
      </c>
      <c r="E59" s="30">
        <v>2704</v>
      </c>
      <c r="F59" s="30">
        <v>3892</v>
      </c>
      <c r="G59" s="30">
        <v>4433</v>
      </c>
      <c r="H59" s="30">
        <v>4780</v>
      </c>
      <c r="I59" s="30">
        <v>5093</v>
      </c>
      <c r="J59" s="30">
        <v>6791</v>
      </c>
      <c r="K59" s="30">
        <v>4323</v>
      </c>
      <c r="L59" s="30">
        <v>5548</v>
      </c>
      <c r="M59" s="30">
        <v>8423</v>
      </c>
      <c r="N59" s="30">
        <v>8416</v>
      </c>
      <c r="O59" s="30">
        <v>1558</v>
      </c>
      <c r="P59" s="30">
        <v>4833</v>
      </c>
      <c r="Q59" s="30">
        <v>15807</v>
      </c>
      <c r="R59" s="30">
        <v>15770</v>
      </c>
    </row>
    <row r="60" spans="2:18" ht="12.75" customHeight="1" x14ac:dyDescent="0.2">
      <c r="B60" s="29" t="s">
        <v>76</v>
      </c>
      <c r="C60" s="30">
        <v>29</v>
      </c>
      <c r="D60" s="30">
        <v>15</v>
      </c>
      <c r="E60" s="30">
        <v>10</v>
      </c>
      <c r="F60" s="30">
        <v>57</v>
      </c>
      <c r="G60" s="30">
        <v>44</v>
      </c>
      <c r="H60" s="30">
        <v>69</v>
      </c>
      <c r="I60" s="30">
        <v>130</v>
      </c>
      <c r="J60" s="30">
        <v>117</v>
      </c>
      <c r="K60" s="30">
        <v>133</v>
      </c>
      <c r="L60" s="30">
        <v>80</v>
      </c>
      <c r="M60" s="30">
        <v>235</v>
      </c>
      <c r="N60" s="30">
        <v>290</v>
      </c>
      <c r="O60" s="30">
        <v>233</v>
      </c>
      <c r="P60" s="30">
        <v>646</v>
      </c>
      <c r="Q60" s="30">
        <v>906</v>
      </c>
      <c r="R60" s="30">
        <v>636</v>
      </c>
    </row>
    <row r="61" spans="2:18" ht="12.75" customHeight="1" x14ac:dyDescent="0.2">
      <c r="B61" s="29" t="s">
        <v>77</v>
      </c>
      <c r="C61" s="30">
        <v>437</v>
      </c>
      <c r="D61" s="30">
        <v>358</v>
      </c>
      <c r="E61" s="30">
        <v>462</v>
      </c>
      <c r="F61" s="30">
        <v>570</v>
      </c>
      <c r="G61" s="30">
        <v>652</v>
      </c>
      <c r="H61" s="30">
        <v>745</v>
      </c>
      <c r="I61" s="30">
        <v>2032</v>
      </c>
      <c r="J61" s="30">
        <v>799</v>
      </c>
      <c r="K61" s="30">
        <v>637</v>
      </c>
      <c r="L61" s="30">
        <v>1082</v>
      </c>
      <c r="M61" s="30">
        <v>948</v>
      </c>
      <c r="N61" s="30">
        <v>1237</v>
      </c>
      <c r="O61" s="30">
        <v>216</v>
      </c>
      <c r="P61" s="30">
        <v>623</v>
      </c>
      <c r="Q61" s="30">
        <v>1817</v>
      </c>
      <c r="R61" s="30">
        <v>2499</v>
      </c>
    </row>
    <row r="62" spans="2:18" ht="12.75" customHeight="1" x14ac:dyDescent="0.2">
      <c r="B62" s="29" t="s">
        <v>78</v>
      </c>
      <c r="C62" s="30">
        <v>15627</v>
      </c>
      <c r="D62" s="30">
        <v>23361</v>
      </c>
      <c r="E62" s="30">
        <v>24349</v>
      </c>
      <c r="F62" s="30">
        <v>40282</v>
      </c>
      <c r="G62" s="30">
        <v>56113</v>
      </c>
      <c r="H62" s="30">
        <v>57385</v>
      </c>
      <c r="I62" s="30">
        <v>59486</v>
      </c>
      <c r="J62" s="30">
        <v>56867</v>
      </c>
      <c r="K62" s="30">
        <v>47232</v>
      </c>
      <c r="L62" s="30">
        <v>85031</v>
      </c>
      <c r="M62" s="30">
        <v>119337</v>
      </c>
      <c r="N62" s="30">
        <v>127149</v>
      </c>
      <c r="O62" s="30">
        <v>39690</v>
      </c>
      <c r="P62" s="30">
        <v>49319</v>
      </c>
      <c r="Q62" s="30">
        <v>152995</v>
      </c>
      <c r="R62" s="30">
        <v>178800</v>
      </c>
    </row>
    <row r="63" spans="2:18" ht="12.75" customHeight="1" x14ac:dyDescent="0.2">
      <c r="B63" s="29" t="s">
        <v>79</v>
      </c>
      <c r="C63" s="30">
        <v>745</v>
      </c>
      <c r="D63" s="30">
        <v>445</v>
      </c>
      <c r="E63" s="30">
        <v>561</v>
      </c>
      <c r="F63" s="30">
        <v>382</v>
      </c>
      <c r="G63" s="30">
        <v>546</v>
      </c>
      <c r="H63" s="30">
        <v>584</v>
      </c>
      <c r="I63" s="30">
        <v>1237</v>
      </c>
      <c r="J63" s="30">
        <v>1608</v>
      </c>
      <c r="K63" s="30">
        <v>1447</v>
      </c>
      <c r="L63" s="30">
        <v>2982</v>
      </c>
      <c r="M63" s="30">
        <v>6741</v>
      </c>
      <c r="N63" s="30">
        <v>10004</v>
      </c>
      <c r="O63" s="30">
        <v>2225</v>
      </c>
      <c r="P63" s="30">
        <v>5409</v>
      </c>
      <c r="Q63" s="30">
        <v>11032</v>
      </c>
      <c r="R63" s="30">
        <v>11607</v>
      </c>
    </row>
    <row r="64" spans="2:18" ht="12.75" customHeight="1" x14ac:dyDescent="0.2">
      <c r="B64" s="29" t="s">
        <v>80</v>
      </c>
      <c r="C64" s="30">
        <v>63855</v>
      </c>
      <c r="D64" s="30">
        <v>64982</v>
      </c>
      <c r="E64" s="30">
        <v>69323</v>
      </c>
      <c r="F64" s="30">
        <v>72393</v>
      </c>
      <c r="G64" s="30">
        <v>70956</v>
      </c>
      <c r="H64" s="30">
        <v>73365</v>
      </c>
      <c r="I64" s="30">
        <v>67198</v>
      </c>
      <c r="J64" s="30">
        <v>48522</v>
      </c>
      <c r="K64" s="30">
        <v>39063</v>
      </c>
      <c r="L64" s="30">
        <v>48320</v>
      </c>
      <c r="M64" s="30">
        <v>51880</v>
      </c>
      <c r="N64" s="30">
        <v>66882</v>
      </c>
      <c r="O64" s="30">
        <v>9309</v>
      </c>
      <c r="P64" s="30">
        <v>10178</v>
      </c>
      <c r="Q64" s="30">
        <v>36445</v>
      </c>
      <c r="R64" s="30">
        <v>31950</v>
      </c>
    </row>
    <row r="65" spans="2:18" ht="12.75" customHeight="1" x14ac:dyDescent="0.2">
      <c r="B65" s="29" t="s">
        <v>81</v>
      </c>
      <c r="C65" s="30">
        <v>33752</v>
      </c>
      <c r="D65" s="30">
        <v>36413</v>
      </c>
      <c r="E65" s="30">
        <v>35136</v>
      </c>
      <c r="F65" s="30">
        <v>34921</v>
      </c>
      <c r="G65" s="30">
        <v>35459</v>
      </c>
      <c r="H65" s="30">
        <v>48537</v>
      </c>
      <c r="I65" s="30">
        <v>55649</v>
      </c>
      <c r="J65" s="30">
        <v>63363</v>
      </c>
      <c r="K65" s="30">
        <v>35549</v>
      </c>
      <c r="L65" s="30">
        <v>48024</v>
      </c>
      <c r="M65" s="30">
        <v>61707</v>
      </c>
      <c r="N65" s="30">
        <v>77041</v>
      </c>
      <c r="O65" s="30">
        <v>5113</v>
      </c>
      <c r="P65" s="30">
        <v>47597</v>
      </c>
      <c r="Q65" s="30">
        <v>93209</v>
      </c>
      <c r="R65" s="30">
        <v>96227</v>
      </c>
    </row>
    <row r="66" spans="2:18" ht="12.75" customHeight="1" x14ac:dyDescent="0.2">
      <c r="B66" s="29" t="s">
        <v>82</v>
      </c>
      <c r="C66" s="30">
        <v>2057</v>
      </c>
      <c r="D66" s="30">
        <v>2062</v>
      </c>
      <c r="E66" s="30">
        <v>1479</v>
      </c>
      <c r="F66" s="30">
        <v>1912</v>
      </c>
      <c r="G66" s="30">
        <v>2826</v>
      </c>
      <c r="H66" s="30">
        <v>3488</v>
      </c>
      <c r="I66" s="30">
        <v>4480</v>
      </c>
      <c r="J66" s="30">
        <v>5095</v>
      </c>
      <c r="K66" s="30">
        <v>5408</v>
      </c>
      <c r="L66" s="30">
        <v>6078</v>
      </c>
      <c r="M66" s="30">
        <v>9137</v>
      </c>
      <c r="N66" s="30">
        <v>20714</v>
      </c>
      <c r="O66" s="30">
        <v>14356</v>
      </c>
      <c r="P66" s="30">
        <v>45230</v>
      </c>
      <c r="Q66" s="30">
        <v>25619</v>
      </c>
      <c r="R66" s="30">
        <v>26382</v>
      </c>
    </row>
    <row r="67" spans="2:18" ht="12.75" customHeight="1" x14ac:dyDescent="0.2">
      <c r="B67" s="29" t="s">
        <v>83</v>
      </c>
      <c r="C67" s="30"/>
      <c r="D67" s="30"/>
      <c r="E67" s="30"/>
      <c r="F67" s="30"/>
      <c r="G67" s="30"/>
      <c r="H67" s="30"/>
      <c r="I67" s="30"/>
      <c r="J67" s="30"/>
      <c r="K67" s="30">
        <v>2</v>
      </c>
      <c r="L67" s="30">
        <v>8</v>
      </c>
      <c r="M67" s="30"/>
      <c r="N67" s="30"/>
      <c r="O67" s="30"/>
      <c r="P67" s="30"/>
      <c r="Q67" s="30"/>
      <c r="R67" s="30"/>
    </row>
    <row r="68" spans="2:18" ht="12.75" customHeight="1" x14ac:dyDescent="0.2">
      <c r="B68" s="29" t="s">
        <v>84</v>
      </c>
      <c r="C68" s="30"/>
      <c r="D68" s="30"/>
      <c r="E68" s="30"/>
      <c r="F68" s="30"/>
      <c r="G68" s="30"/>
      <c r="H68" s="30"/>
      <c r="I68" s="30"/>
      <c r="J68" s="30"/>
      <c r="K68" s="30"/>
      <c r="L68" s="30">
        <v>1</v>
      </c>
      <c r="M68" s="30">
        <v>2</v>
      </c>
      <c r="N68" s="30">
        <v>1</v>
      </c>
      <c r="O68" s="30"/>
      <c r="P68" s="30"/>
      <c r="Q68" s="30"/>
      <c r="R68" s="30"/>
    </row>
    <row r="69" spans="2:18" ht="12.75" customHeight="1" x14ac:dyDescent="0.2">
      <c r="B69" s="29" t="s">
        <v>85</v>
      </c>
      <c r="C69" s="30">
        <v>44023</v>
      </c>
      <c r="D69" s="30">
        <v>65875</v>
      </c>
      <c r="E69" s="30">
        <v>57447</v>
      </c>
      <c r="F69" s="30">
        <v>68645</v>
      </c>
      <c r="G69" s="30">
        <v>77884</v>
      </c>
      <c r="H69" s="30">
        <v>82579</v>
      </c>
      <c r="I69" s="30">
        <v>89562</v>
      </c>
      <c r="J69" s="30">
        <v>109775</v>
      </c>
      <c r="K69" s="30">
        <v>87660</v>
      </c>
      <c r="L69" s="30">
        <v>114155</v>
      </c>
      <c r="M69" s="30">
        <v>176538</v>
      </c>
      <c r="N69" s="30">
        <v>234264</v>
      </c>
      <c r="O69" s="30">
        <v>67775</v>
      </c>
      <c r="P69" s="30">
        <v>121333</v>
      </c>
      <c r="Q69" s="30">
        <v>251708</v>
      </c>
      <c r="R69" s="30">
        <v>262124</v>
      </c>
    </row>
    <row r="70" spans="2:18" ht="12.75" customHeight="1" x14ac:dyDescent="0.2">
      <c r="B70" s="29" t="s">
        <v>86</v>
      </c>
      <c r="C70" s="30">
        <v>42</v>
      </c>
      <c r="D70" s="30">
        <v>50</v>
      </c>
      <c r="E70" s="30">
        <v>34</v>
      </c>
      <c r="F70" s="30">
        <v>33</v>
      </c>
      <c r="G70" s="30">
        <v>167</v>
      </c>
      <c r="H70" s="30">
        <v>80</v>
      </c>
      <c r="I70" s="30">
        <v>148</v>
      </c>
      <c r="J70" s="30">
        <v>118</v>
      </c>
      <c r="K70" s="30">
        <v>93</v>
      </c>
      <c r="L70" s="30">
        <v>75</v>
      </c>
      <c r="M70" s="30">
        <v>140</v>
      </c>
      <c r="N70" s="30">
        <v>127</v>
      </c>
      <c r="O70" s="30">
        <v>52</v>
      </c>
      <c r="P70" s="30">
        <v>53</v>
      </c>
      <c r="Q70" s="30">
        <v>230</v>
      </c>
      <c r="R70" s="30">
        <v>356</v>
      </c>
    </row>
    <row r="71" spans="2:18" ht="12.75" customHeight="1" x14ac:dyDescent="0.2">
      <c r="B71" s="29" t="s">
        <v>87</v>
      </c>
      <c r="C71" s="30">
        <v>457</v>
      </c>
      <c r="D71" s="30">
        <v>804</v>
      </c>
      <c r="E71" s="30">
        <v>755</v>
      </c>
      <c r="F71" s="30">
        <v>1280</v>
      </c>
      <c r="G71" s="30">
        <v>1847</v>
      </c>
      <c r="H71" s="30">
        <v>2407</v>
      </c>
      <c r="I71" s="30">
        <v>6373</v>
      </c>
      <c r="J71" s="30">
        <v>2957</v>
      </c>
      <c r="K71" s="30">
        <v>2807</v>
      </c>
      <c r="L71" s="30">
        <v>2891</v>
      </c>
      <c r="M71" s="30">
        <v>3571</v>
      </c>
      <c r="N71" s="30">
        <v>4528</v>
      </c>
      <c r="O71" s="30">
        <v>2501</v>
      </c>
      <c r="P71" s="30">
        <v>7124</v>
      </c>
      <c r="Q71" s="30">
        <v>9294</v>
      </c>
      <c r="R71" s="30">
        <v>7408</v>
      </c>
    </row>
    <row r="72" spans="2:18" ht="12.75" customHeight="1" x14ac:dyDescent="0.2">
      <c r="B72" s="29" t="s">
        <v>88</v>
      </c>
      <c r="C72" s="30">
        <v>28222</v>
      </c>
      <c r="D72" s="30">
        <v>35814</v>
      </c>
      <c r="E72" s="30">
        <v>31658</v>
      </c>
      <c r="F72" s="30">
        <v>51610</v>
      </c>
      <c r="G72" s="30">
        <v>65272</v>
      </c>
      <c r="H72" s="30">
        <v>59734</v>
      </c>
      <c r="I72" s="30">
        <v>69229</v>
      </c>
      <c r="J72" s="30">
        <v>83515</v>
      </c>
      <c r="K72" s="30">
        <v>59015</v>
      </c>
      <c r="L72" s="30">
        <v>63244</v>
      </c>
      <c r="M72" s="30">
        <v>95068</v>
      </c>
      <c r="N72" s="30">
        <v>139126</v>
      </c>
      <c r="O72" s="30">
        <v>48440</v>
      </c>
      <c r="P72" s="30">
        <v>55397</v>
      </c>
      <c r="Q72" s="30">
        <v>97954</v>
      </c>
      <c r="R72" s="30">
        <v>120347</v>
      </c>
    </row>
    <row r="73" spans="2:18" ht="12.75" customHeight="1" x14ac:dyDescent="0.2">
      <c r="B73" s="29" t="s">
        <v>89</v>
      </c>
      <c r="C73" s="30">
        <v>4130</v>
      </c>
      <c r="D73" s="30">
        <v>5402</v>
      </c>
      <c r="E73" s="30">
        <v>4685</v>
      </c>
      <c r="F73" s="30">
        <v>5447</v>
      </c>
      <c r="G73" s="30">
        <v>6327</v>
      </c>
      <c r="H73" s="30">
        <v>7971</v>
      </c>
      <c r="I73" s="30">
        <v>11435</v>
      </c>
      <c r="J73" s="30">
        <v>16218</v>
      </c>
      <c r="K73" s="30">
        <v>19353</v>
      </c>
      <c r="L73" s="30">
        <v>32339</v>
      </c>
      <c r="M73" s="30">
        <v>56816</v>
      </c>
      <c r="N73" s="30">
        <v>72760</v>
      </c>
      <c r="O73" s="30">
        <v>17181</v>
      </c>
      <c r="P73" s="30">
        <v>64073</v>
      </c>
      <c r="Q73" s="30">
        <v>97011</v>
      </c>
      <c r="R73" s="30">
        <v>73430</v>
      </c>
    </row>
    <row r="74" spans="2:18" ht="12.75" customHeight="1" x14ac:dyDescent="0.2">
      <c r="B74" s="29" t="s">
        <v>90</v>
      </c>
      <c r="C74" s="30">
        <v>102883</v>
      </c>
      <c r="D74" s="30">
        <v>136489</v>
      </c>
      <c r="E74" s="30">
        <v>143204</v>
      </c>
      <c r="F74" s="30">
        <v>186562</v>
      </c>
      <c r="G74" s="30">
        <v>195083</v>
      </c>
      <c r="H74" s="30">
        <v>219044</v>
      </c>
      <c r="I74" s="30">
        <v>228138</v>
      </c>
      <c r="J74" s="30">
        <v>213803</v>
      </c>
      <c r="K74" s="30">
        <v>122185</v>
      </c>
      <c r="L74" s="30">
        <v>97112</v>
      </c>
      <c r="M74" s="30">
        <v>128860</v>
      </c>
      <c r="N74" s="30">
        <v>135192</v>
      </c>
      <c r="O74" s="30">
        <v>15003</v>
      </c>
      <c r="P74" s="30">
        <v>32809</v>
      </c>
      <c r="Q74" s="30">
        <v>117281</v>
      </c>
      <c r="R74" s="30">
        <v>117123</v>
      </c>
    </row>
    <row r="75" spans="2:18" ht="12.75" customHeight="1" x14ac:dyDescent="0.2">
      <c r="B75" s="29" t="s">
        <v>91</v>
      </c>
      <c r="C75" s="30">
        <v>885006</v>
      </c>
      <c r="D75" s="30">
        <v>932809</v>
      </c>
      <c r="E75" s="30">
        <v>928376</v>
      </c>
      <c r="F75" s="30">
        <v>1140459</v>
      </c>
      <c r="G75" s="30">
        <v>1032565</v>
      </c>
      <c r="H75" s="30">
        <v>1046010</v>
      </c>
      <c r="I75" s="30">
        <v>1037152</v>
      </c>
      <c r="J75" s="30">
        <v>847259</v>
      </c>
      <c r="K75" s="30">
        <v>555151</v>
      </c>
      <c r="L75" s="30">
        <v>578524</v>
      </c>
      <c r="M75" s="30">
        <v>731379</v>
      </c>
      <c r="N75" s="30">
        <v>875957</v>
      </c>
      <c r="O75" s="30">
        <v>311708</v>
      </c>
      <c r="P75" s="30">
        <v>621493</v>
      </c>
      <c r="Q75" s="30">
        <v>986090</v>
      </c>
      <c r="R75" s="30">
        <v>1031824</v>
      </c>
    </row>
    <row r="76" spans="2:18" ht="12.75" customHeight="1" x14ac:dyDescent="0.2">
      <c r="B76" s="29" t="s">
        <v>92</v>
      </c>
      <c r="C76" s="30"/>
      <c r="D76" s="30"/>
      <c r="E76" s="30"/>
      <c r="F76" s="30"/>
      <c r="G76" s="30"/>
      <c r="H76" s="30"/>
      <c r="I76" s="30"/>
      <c r="J76" s="30"/>
      <c r="K76" s="30"/>
      <c r="L76" s="30"/>
      <c r="M76" s="30"/>
      <c r="N76" s="30"/>
      <c r="O76" s="30"/>
      <c r="P76" s="30"/>
      <c r="Q76" s="30"/>
      <c r="R76" s="30"/>
    </row>
    <row r="77" spans="2:18" ht="12.75" customHeight="1" x14ac:dyDescent="0.2">
      <c r="B77" s="29" t="s">
        <v>93</v>
      </c>
      <c r="C77" s="30">
        <v>100</v>
      </c>
      <c r="D77" s="30">
        <v>175</v>
      </c>
      <c r="E77" s="30">
        <v>161</v>
      </c>
      <c r="F77" s="30">
        <v>268</v>
      </c>
      <c r="G77" s="30">
        <v>473</v>
      </c>
      <c r="H77" s="30">
        <v>1902</v>
      </c>
      <c r="I77" s="30">
        <v>1691</v>
      </c>
      <c r="J77" s="30">
        <v>2259</v>
      </c>
      <c r="K77" s="30">
        <v>1577</v>
      </c>
      <c r="L77" s="30">
        <v>1565</v>
      </c>
      <c r="M77" s="30">
        <v>2289</v>
      </c>
      <c r="N77" s="30">
        <v>2872</v>
      </c>
      <c r="O77" s="30">
        <v>1338</v>
      </c>
      <c r="P77" s="30">
        <v>4777</v>
      </c>
      <c r="Q77" s="30">
        <v>6208</v>
      </c>
      <c r="R77" s="30">
        <v>3987</v>
      </c>
    </row>
    <row r="78" spans="2:18" ht="12.75" customHeight="1" x14ac:dyDescent="0.2">
      <c r="B78" s="29" t="s">
        <v>94</v>
      </c>
      <c r="C78" s="30">
        <v>176</v>
      </c>
      <c r="D78" s="30">
        <v>199</v>
      </c>
      <c r="E78" s="30">
        <v>188</v>
      </c>
      <c r="F78" s="30">
        <v>350</v>
      </c>
      <c r="G78" s="30">
        <v>389</v>
      </c>
      <c r="H78" s="30">
        <v>528</v>
      </c>
      <c r="I78" s="30">
        <v>633</v>
      </c>
      <c r="J78" s="30">
        <v>560</v>
      </c>
      <c r="K78" s="30">
        <v>694</v>
      </c>
      <c r="L78" s="30">
        <v>796</v>
      </c>
      <c r="M78" s="30">
        <v>1173</v>
      </c>
      <c r="N78" s="30">
        <v>2404</v>
      </c>
      <c r="O78" s="30">
        <v>989</v>
      </c>
      <c r="P78" s="30">
        <v>2684</v>
      </c>
      <c r="Q78" s="30">
        <v>2573</v>
      </c>
      <c r="R78" s="30">
        <v>2107</v>
      </c>
    </row>
    <row r="79" spans="2:18" ht="12.75" customHeight="1" x14ac:dyDescent="0.2">
      <c r="B79" s="29" t="s">
        <v>95</v>
      </c>
      <c r="C79" s="30">
        <v>726</v>
      </c>
      <c r="D79" s="30">
        <v>837</v>
      </c>
      <c r="E79" s="30">
        <v>760</v>
      </c>
      <c r="F79" s="30">
        <v>1817</v>
      </c>
      <c r="G79" s="30">
        <v>3597</v>
      </c>
      <c r="H79" s="30">
        <v>5225</v>
      </c>
      <c r="I79" s="30">
        <v>4093</v>
      </c>
      <c r="J79" s="30">
        <v>3765</v>
      </c>
      <c r="K79" s="30">
        <v>3309</v>
      </c>
      <c r="L79" s="30">
        <v>4369</v>
      </c>
      <c r="M79" s="30">
        <v>5801</v>
      </c>
      <c r="N79" s="30">
        <v>6437</v>
      </c>
      <c r="O79" s="30">
        <v>2068</v>
      </c>
      <c r="P79" s="30">
        <v>4767</v>
      </c>
      <c r="Q79" s="30">
        <v>6438</v>
      </c>
      <c r="R79" s="30">
        <v>5193</v>
      </c>
    </row>
    <row r="80" spans="2:18" ht="12.75" customHeight="1" x14ac:dyDescent="0.2">
      <c r="B80" s="29" t="s">
        <v>96</v>
      </c>
      <c r="C80" s="30">
        <v>1</v>
      </c>
      <c r="D80" s="30">
        <v>60</v>
      </c>
      <c r="E80" s="30">
        <v>15</v>
      </c>
      <c r="F80" s="30">
        <v>23</v>
      </c>
      <c r="G80" s="30">
        <v>3</v>
      </c>
      <c r="H80" s="30">
        <v>0</v>
      </c>
      <c r="I80" s="30"/>
      <c r="J80" s="30">
        <v>2</v>
      </c>
      <c r="K80" s="30"/>
      <c r="L80" s="30"/>
      <c r="M80" s="30"/>
      <c r="N80" s="30"/>
      <c r="O80" s="30"/>
      <c r="P80" s="30"/>
      <c r="Q80" s="30"/>
      <c r="R80" s="30"/>
    </row>
    <row r="81" spans="2:18" ht="12.75" customHeight="1" x14ac:dyDescent="0.2">
      <c r="B81" s="29" t="s">
        <v>97</v>
      </c>
      <c r="C81" s="30">
        <v>835</v>
      </c>
      <c r="D81" s="30">
        <v>625</v>
      </c>
      <c r="E81" s="30">
        <v>723</v>
      </c>
      <c r="F81" s="30">
        <v>645</v>
      </c>
      <c r="G81" s="30">
        <v>601</v>
      </c>
      <c r="H81" s="30">
        <v>666</v>
      </c>
      <c r="I81" s="30">
        <v>710</v>
      </c>
      <c r="J81" s="30">
        <v>829</v>
      </c>
      <c r="K81" s="30">
        <v>1041</v>
      </c>
      <c r="L81" s="30">
        <v>1295</v>
      </c>
      <c r="M81" s="30">
        <v>1471</v>
      </c>
      <c r="N81" s="30">
        <v>1957</v>
      </c>
      <c r="O81" s="30">
        <v>1049</v>
      </c>
      <c r="P81" s="30">
        <v>3768</v>
      </c>
      <c r="Q81" s="30">
        <v>5519</v>
      </c>
      <c r="R81" s="30">
        <v>5492</v>
      </c>
    </row>
    <row r="82" spans="2:18" ht="12.75" customHeight="1" x14ac:dyDescent="0.2">
      <c r="B82" s="29" t="s">
        <v>98</v>
      </c>
      <c r="C82" s="30">
        <v>62</v>
      </c>
      <c r="D82" s="30">
        <v>131</v>
      </c>
      <c r="E82" s="30">
        <v>70</v>
      </c>
      <c r="F82" s="30">
        <v>112</v>
      </c>
      <c r="G82" s="30">
        <v>135</v>
      </c>
      <c r="H82" s="30">
        <v>161</v>
      </c>
      <c r="I82" s="30">
        <v>159</v>
      </c>
      <c r="J82" s="30">
        <v>172</v>
      </c>
      <c r="K82" s="30">
        <v>162</v>
      </c>
      <c r="L82" s="30">
        <v>231</v>
      </c>
      <c r="M82" s="30">
        <v>188</v>
      </c>
      <c r="N82" s="30">
        <v>228</v>
      </c>
      <c r="O82" s="30">
        <v>162</v>
      </c>
      <c r="P82" s="30">
        <v>411</v>
      </c>
      <c r="Q82" s="30">
        <v>390</v>
      </c>
      <c r="R82" s="30">
        <v>271</v>
      </c>
    </row>
    <row r="83" spans="2:18" ht="12.75" customHeight="1" x14ac:dyDescent="0.2">
      <c r="B83" s="29" t="s">
        <v>99</v>
      </c>
      <c r="C83" s="30">
        <v>43</v>
      </c>
      <c r="D83" s="30">
        <v>62</v>
      </c>
      <c r="E83" s="30">
        <v>60</v>
      </c>
      <c r="F83" s="30">
        <v>58</v>
      </c>
      <c r="G83" s="30">
        <v>75</v>
      </c>
      <c r="H83" s="30">
        <v>53</v>
      </c>
      <c r="I83" s="30">
        <v>100</v>
      </c>
      <c r="J83" s="30">
        <v>120</v>
      </c>
      <c r="K83" s="30">
        <v>112</v>
      </c>
      <c r="L83" s="30">
        <v>283</v>
      </c>
      <c r="M83" s="30">
        <v>498</v>
      </c>
      <c r="N83" s="30">
        <v>644</v>
      </c>
      <c r="O83" s="30">
        <v>178</v>
      </c>
      <c r="P83" s="30">
        <v>564</v>
      </c>
      <c r="Q83" s="30">
        <v>741</v>
      </c>
      <c r="R83" s="30">
        <v>862</v>
      </c>
    </row>
    <row r="84" spans="2:18" ht="12.75" customHeight="1" x14ac:dyDescent="0.2">
      <c r="B84" s="29" t="s">
        <v>100</v>
      </c>
      <c r="C84" s="30"/>
      <c r="D84" s="30"/>
      <c r="E84" s="30"/>
      <c r="F84" s="30"/>
      <c r="G84" s="30"/>
      <c r="H84" s="30"/>
      <c r="I84" s="30"/>
      <c r="J84" s="30"/>
      <c r="K84" s="30">
        <v>5</v>
      </c>
      <c r="L84" s="30">
        <v>10</v>
      </c>
      <c r="M84" s="30"/>
      <c r="N84" s="30"/>
      <c r="O84" s="30"/>
      <c r="P84" s="30"/>
      <c r="Q84" s="30"/>
      <c r="R84" s="30"/>
    </row>
    <row r="85" spans="2:18" ht="12.75" customHeight="1" x14ac:dyDescent="0.2">
      <c r="B85" s="29" t="s">
        <v>101</v>
      </c>
      <c r="C85" s="30"/>
      <c r="D85" s="30"/>
      <c r="E85" s="30"/>
      <c r="F85" s="30"/>
      <c r="G85" s="30"/>
      <c r="H85" s="30"/>
      <c r="I85" s="30"/>
      <c r="J85" s="30"/>
      <c r="K85" s="30"/>
      <c r="L85" s="30"/>
      <c r="M85" s="30"/>
      <c r="N85" s="30"/>
      <c r="O85" s="30"/>
      <c r="P85" s="30"/>
      <c r="Q85" s="30"/>
      <c r="R85" s="30"/>
    </row>
    <row r="86" spans="2:18" ht="12.75" customHeight="1" x14ac:dyDescent="0.2">
      <c r="B86" s="29" t="s">
        <v>102</v>
      </c>
      <c r="C86" s="30"/>
      <c r="D86" s="30"/>
      <c r="E86" s="30"/>
      <c r="F86" s="30"/>
      <c r="G86" s="30"/>
      <c r="H86" s="30"/>
      <c r="I86" s="30"/>
      <c r="J86" s="30"/>
      <c r="K86" s="30">
        <v>1</v>
      </c>
      <c r="L86" s="30"/>
      <c r="M86" s="30"/>
      <c r="N86" s="30"/>
      <c r="O86" s="30"/>
      <c r="P86" s="30"/>
      <c r="Q86" s="30"/>
      <c r="R86" s="30"/>
    </row>
    <row r="87" spans="2:18" ht="12.75" customHeight="1" x14ac:dyDescent="0.2">
      <c r="B87" s="29" t="s">
        <v>103</v>
      </c>
      <c r="C87" s="30">
        <v>1211</v>
      </c>
      <c r="D87" s="30">
        <v>1124</v>
      </c>
      <c r="E87" s="30">
        <v>893</v>
      </c>
      <c r="F87" s="30">
        <v>1266</v>
      </c>
      <c r="G87" s="30">
        <v>1193</v>
      </c>
      <c r="H87" s="30">
        <v>1586</v>
      </c>
      <c r="I87" s="30">
        <v>1633</v>
      </c>
      <c r="J87" s="30">
        <v>1728</v>
      </c>
      <c r="K87" s="30">
        <v>1276</v>
      </c>
      <c r="L87" s="30">
        <v>1050</v>
      </c>
      <c r="M87" s="30">
        <v>1824</v>
      </c>
      <c r="N87" s="30">
        <v>2931</v>
      </c>
      <c r="O87" s="30">
        <v>330</v>
      </c>
      <c r="P87" s="30">
        <v>1086</v>
      </c>
      <c r="Q87" s="30">
        <v>4341</v>
      </c>
      <c r="R87" s="30">
        <v>5276</v>
      </c>
    </row>
    <row r="88" spans="2:18" ht="12.75" customHeight="1" x14ac:dyDescent="0.2">
      <c r="B88" s="29" t="s">
        <v>104</v>
      </c>
      <c r="C88" s="30">
        <v>41</v>
      </c>
      <c r="D88" s="30">
        <v>59</v>
      </c>
      <c r="E88" s="30">
        <v>47</v>
      </c>
      <c r="F88" s="30">
        <v>68</v>
      </c>
      <c r="G88" s="30">
        <v>134</v>
      </c>
      <c r="H88" s="30">
        <v>60</v>
      </c>
      <c r="I88" s="30">
        <v>90</v>
      </c>
      <c r="J88" s="30">
        <v>102</v>
      </c>
      <c r="K88" s="30">
        <v>89</v>
      </c>
      <c r="L88" s="30">
        <v>55</v>
      </c>
      <c r="M88" s="30">
        <v>39</v>
      </c>
      <c r="N88" s="30">
        <v>60</v>
      </c>
      <c r="O88" s="30">
        <v>16</v>
      </c>
      <c r="P88" s="30">
        <v>22</v>
      </c>
      <c r="Q88" s="30">
        <v>91</v>
      </c>
      <c r="R88" s="30">
        <v>106</v>
      </c>
    </row>
    <row r="89" spans="2:18" ht="12.75" customHeight="1" x14ac:dyDescent="0.2">
      <c r="B89" s="29" t="s">
        <v>105</v>
      </c>
      <c r="C89" s="30">
        <v>20774</v>
      </c>
      <c r="D89" s="30">
        <v>24402</v>
      </c>
      <c r="E89" s="30">
        <v>27177</v>
      </c>
      <c r="F89" s="30">
        <v>34394</v>
      </c>
      <c r="G89" s="30">
        <v>40771</v>
      </c>
      <c r="H89" s="30">
        <v>44798</v>
      </c>
      <c r="I89" s="30">
        <v>43049</v>
      </c>
      <c r="J89" s="30">
        <v>47679</v>
      </c>
      <c r="K89" s="30">
        <v>29316</v>
      </c>
      <c r="L89" s="30">
        <v>34487</v>
      </c>
      <c r="M89" s="30">
        <v>53544</v>
      </c>
      <c r="N89" s="30">
        <v>74652</v>
      </c>
      <c r="O89" s="30">
        <v>12251</v>
      </c>
      <c r="P89" s="30">
        <v>6088</v>
      </c>
      <c r="Q89" s="30">
        <v>71636</v>
      </c>
      <c r="R89" s="30">
        <v>67647</v>
      </c>
    </row>
    <row r="90" spans="2:18" ht="12.75" customHeight="1" x14ac:dyDescent="0.2">
      <c r="B90" s="29" t="s">
        <v>106</v>
      </c>
      <c r="C90" s="30">
        <v>9617</v>
      </c>
      <c r="D90" s="30">
        <v>13574</v>
      </c>
      <c r="E90" s="30">
        <v>15421</v>
      </c>
      <c r="F90" s="30">
        <v>16749</v>
      </c>
      <c r="G90" s="30">
        <v>18924</v>
      </c>
      <c r="H90" s="30">
        <v>14265</v>
      </c>
      <c r="I90" s="30">
        <v>15943</v>
      </c>
      <c r="J90" s="30">
        <v>12967</v>
      </c>
      <c r="K90" s="30">
        <v>10342</v>
      </c>
      <c r="L90" s="30">
        <v>10201</v>
      </c>
      <c r="M90" s="30">
        <v>10516</v>
      </c>
      <c r="N90" s="30">
        <v>12355</v>
      </c>
      <c r="O90" s="30">
        <v>2207</v>
      </c>
      <c r="P90" s="30">
        <v>2471</v>
      </c>
      <c r="Q90" s="30">
        <v>11254</v>
      </c>
      <c r="R90" s="30">
        <v>14232</v>
      </c>
    </row>
    <row r="91" spans="2:18" ht="12.75" customHeight="1" x14ac:dyDescent="0.2">
      <c r="B91" s="29" t="s">
        <v>107</v>
      </c>
      <c r="C91" s="30">
        <v>119500</v>
      </c>
      <c r="D91" s="30">
        <v>89148</v>
      </c>
      <c r="E91" s="30">
        <v>123315</v>
      </c>
      <c r="F91" s="30">
        <v>149943</v>
      </c>
      <c r="G91" s="30">
        <v>159084</v>
      </c>
      <c r="H91" s="30">
        <v>187040</v>
      </c>
      <c r="I91" s="30">
        <v>248910</v>
      </c>
      <c r="J91" s="30">
        <v>228694</v>
      </c>
      <c r="K91" s="30">
        <v>106904</v>
      </c>
      <c r="L91" s="30">
        <v>120622</v>
      </c>
      <c r="M91" s="30">
        <v>159354</v>
      </c>
      <c r="N91" s="30">
        <v>212970</v>
      </c>
      <c r="O91" s="30">
        <v>36636</v>
      </c>
      <c r="P91" s="30">
        <v>15206</v>
      </c>
      <c r="Q91" s="30">
        <v>99869</v>
      </c>
      <c r="R91" s="30">
        <v>159039</v>
      </c>
    </row>
    <row r="92" spans="2:18" ht="12.75" customHeight="1" x14ac:dyDescent="0.2">
      <c r="B92" s="29" t="s">
        <v>108</v>
      </c>
      <c r="C92" s="30"/>
      <c r="D92" s="30"/>
      <c r="E92" s="30"/>
      <c r="F92" s="30"/>
      <c r="G92" s="30"/>
      <c r="H92" s="30"/>
      <c r="I92" s="30"/>
      <c r="J92" s="30"/>
      <c r="K92" s="30">
        <v>194</v>
      </c>
      <c r="L92" s="30">
        <v>227</v>
      </c>
      <c r="M92" s="30">
        <v>7</v>
      </c>
      <c r="N92" s="30">
        <v>369</v>
      </c>
      <c r="O92" s="30">
        <v>199</v>
      </c>
      <c r="P92" s="30">
        <v>481</v>
      </c>
      <c r="Q92" s="30">
        <v>1113</v>
      </c>
      <c r="R92" s="30">
        <v>1336</v>
      </c>
    </row>
    <row r="93" spans="2:18" ht="12.75" customHeight="1" x14ac:dyDescent="0.2">
      <c r="B93" s="29" t="s">
        <v>109</v>
      </c>
      <c r="C93" s="30">
        <v>830184</v>
      </c>
      <c r="D93" s="30">
        <v>995381</v>
      </c>
      <c r="E93" s="30">
        <v>1112193</v>
      </c>
      <c r="F93" s="30">
        <v>1152661</v>
      </c>
      <c r="G93" s="30">
        <v>1404882</v>
      </c>
      <c r="H93" s="30">
        <v>1769447</v>
      </c>
      <c r="I93" s="30">
        <v>1755289</v>
      </c>
      <c r="J93" s="30">
        <v>1911832</v>
      </c>
      <c r="K93" s="30">
        <v>2206266</v>
      </c>
      <c r="L93" s="30">
        <v>2438730</v>
      </c>
      <c r="M93" s="30">
        <v>2069392</v>
      </c>
      <c r="N93" s="30">
        <v>1995254</v>
      </c>
      <c r="O93" s="30">
        <v>410501</v>
      </c>
      <c r="P93" s="30">
        <v>291852</v>
      </c>
      <c r="Q93" s="30">
        <v>1514813</v>
      </c>
      <c r="R93" s="30">
        <v>1633977</v>
      </c>
    </row>
    <row r="94" spans="2:18" ht="12.75" customHeight="1" x14ac:dyDescent="0.2">
      <c r="B94" s="29" t="s">
        <v>110</v>
      </c>
      <c r="C94" s="30">
        <v>107</v>
      </c>
      <c r="D94" s="30">
        <v>198</v>
      </c>
      <c r="E94" s="30">
        <v>179</v>
      </c>
      <c r="F94" s="30">
        <v>296</v>
      </c>
      <c r="G94" s="30">
        <v>294</v>
      </c>
      <c r="H94" s="30">
        <v>222</v>
      </c>
      <c r="I94" s="30">
        <v>288</v>
      </c>
      <c r="J94" s="30">
        <v>359</v>
      </c>
      <c r="K94" s="30">
        <v>295</v>
      </c>
      <c r="L94" s="30">
        <v>256</v>
      </c>
      <c r="M94" s="30">
        <v>450</v>
      </c>
      <c r="N94" s="30">
        <v>678</v>
      </c>
      <c r="O94" s="30">
        <v>772</v>
      </c>
      <c r="P94" s="30">
        <v>5556</v>
      </c>
      <c r="Q94" s="30">
        <v>2526</v>
      </c>
      <c r="R94" s="30">
        <v>1027</v>
      </c>
    </row>
    <row r="95" spans="2:18" ht="12.75" customHeight="1" x14ac:dyDescent="0.2">
      <c r="B95" s="29" t="s">
        <v>111</v>
      </c>
      <c r="C95" s="30">
        <v>31186</v>
      </c>
      <c r="D95" s="30">
        <v>31407</v>
      </c>
      <c r="E95" s="30">
        <v>33563</v>
      </c>
      <c r="F95" s="30">
        <v>41959</v>
      </c>
      <c r="G95" s="30">
        <v>47144</v>
      </c>
      <c r="H95" s="30">
        <v>44058</v>
      </c>
      <c r="I95" s="30">
        <v>45297</v>
      </c>
      <c r="J95" s="30">
        <v>38598</v>
      </c>
      <c r="K95" s="30">
        <v>21346</v>
      </c>
      <c r="L95" s="30">
        <v>23630</v>
      </c>
      <c r="M95" s="30">
        <v>44188</v>
      </c>
      <c r="N95" s="30">
        <v>56465</v>
      </c>
      <c r="O95" s="30">
        <v>16566</v>
      </c>
      <c r="P95" s="30">
        <v>29464</v>
      </c>
      <c r="Q95" s="30">
        <v>61327</v>
      </c>
      <c r="R95" s="30">
        <v>66948</v>
      </c>
    </row>
    <row r="96" spans="2:18" ht="12.75" customHeight="1" x14ac:dyDescent="0.2">
      <c r="B96" s="29" t="s">
        <v>112</v>
      </c>
      <c r="C96" s="30">
        <v>55798</v>
      </c>
      <c r="D96" s="30">
        <v>55114</v>
      </c>
      <c r="E96" s="30">
        <v>63406</v>
      </c>
      <c r="F96" s="30">
        <v>73731</v>
      </c>
      <c r="G96" s="30">
        <v>90934</v>
      </c>
      <c r="H96" s="30">
        <v>95014</v>
      </c>
      <c r="I96" s="30">
        <v>119503</v>
      </c>
      <c r="J96" s="30">
        <v>131869</v>
      </c>
      <c r="K96" s="30">
        <v>79316</v>
      </c>
      <c r="L96" s="30">
        <v>86996</v>
      </c>
      <c r="M96" s="30">
        <v>147127</v>
      </c>
      <c r="N96" s="30">
        <v>230131</v>
      </c>
      <c r="O96" s="30">
        <v>44707</v>
      </c>
      <c r="P96" s="30">
        <v>52651</v>
      </c>
      <c r="Q96" s="30">
        <v>231579</v>
      </c>
      <c r="R96" s="30">
        <v>274159</v>
      </c>
    </row>
    <row r="97" spans="2:18" ht="12.75" customHeight="1" x14ac:dyDescent="0.2">
      <c r="B97" s="29" t="s">
        <v>113</v>
      </c>
      <c r="C97" s="30">
        <v>1141580</v>
      </c>
      <c r="D97" s="30">
        <v>1127150</v>
      </c>
      <c r="E97" s="30">
        <v>1073064</v>
      </c>
      <c r="F97" s="30">
        <v>1222823</v>
      </c>
      <c r="G97" s="30">
        <v>1273593</v>
      </c>
      <c r="H97" s="30">
        <v>1312466</v>
      </c>
      <c r="I97" s="30">
        <v>1303730</v>
      </c>
      <c r="J97" s="30">
        <v>1232487</v>
      </c>
      <c r="K97" s="30">
        <v>906336</v>
      </c>
      <c r="L97" s="30">
        <v>799006</v>
      </c>
      <c r="M97" s="30">
        <v>1013642</v>
      </c>
      <c r="N97" s="30">
        <v>1117290</v>
      </c>
      <c r="O97" s="30">
        <v>271526</v>
      </c>
      <c r="P97" s="30">
        <v>645601</v>
      </c>
      <c r="Q97" s="30">
        <v>1244756</v>
      </c>
      <c r="R97" s="30">
        <v>1232220</v>
      </c>
    </row>
    <row r="98" spans="2:18" ht="12.75" customHeight="1" x14ac:dyDescent="0.2">
      <c r="B98" s="29" t="s">
        <v>586</v>
      </c>
      <c r="C98" s="30"/>
      <c r="D98" s="30"/>
      <c r="E98" s="30"/>
      <c r="F98" s="30"/>
      <c r="G98" s="30"/>
      <c r="H98" s="30"/>
      <c r="I98" s="30"/>
      <c r="J98" s="30"/>
      <c r="K98" s="30"/>
      <c r="L98" s="30"/>
      <c r="M98" s="30"/>
      <c r="N98" s="30"/>
      <c r="O98" s="30"/>
      <c r="P98" s="30"/>
      <c r="Q98" s="30">
        <v>1</v>
      </c>
      <c r="R98" s="30"/>
    </row>
    <row r="99" spans="2:18" ht="12.75" customHeight="1" x14ac:dyDescent="0.2">
      <c r="B99" s="29" t="s">
        <v>114</v>
      </c>
      <c r="C99" s="30">
        <v>675</v>
      </c>
      <c r="D99" s="30">
        <v>1470</v>
      </c>
      <c r="E99" s="30">
        <v>599</v>
      </c>
      <c r="F99" s="30">
        <v>1252</v>
      </c>
      <c r="G99" s="30">
        <v>1167</v>
      </c>
      <c r="H99" s="30">
        <v>1330</v>
      </c>
      <c r="I99" s="30">
        <v>1601</v>
      </c>
      <c r="J99" s="30">
        <v>1691</v>
      </c>
      <c r="K99" s="30">
        <v>1300</v>
      </c>
      <c r="L99" s="30">
        <v>1435</v>
      </c>
      <c r="M99" s="30">
        <v>1595</v>
      </c>
      <c r="N99" s="30">
        <v>2814</v>
      </c>
      <c r="O99" s="30">
        <v>355</v>
      </c>
      <c r="P99" s="30">
        <v>1023</v>
      </c>
      <c r="Q99" s="30">
        <v>2825</v>
      </c>
      <c r="R99" s="30">
        <v>4139</v>
      </c>
    </row>
    <row r="100" spans="2:18" ht="12.75" customHeight="1" x14ac:dyDescent="0.2">
      <c r="B100" s="29" t="s">
        <v>115</v>
      </c>
      <c r="C100" s="30">
        <v>6575</v>
      </c>
      <c r="D100" s="30">
        <v>6560</v>
      </c>
      <c r="E100" s="30">
        <v>6442</v>
      </c>
      <c r="F100" s="30">
        <v>10666</v>
      </c>
      <c r="G100" s="30">
        <v>13138</v>
      </c>
      <c r="H100" s="30">
        <v>12650</v>
      </c>
      <c r="I100" s="30">
        <v>20217</v>
      </c>
      <c r="J100" s="30">
        <v>19074</v>
      </c>
      <c r="K100" s="30">
        <v>6399</v>
      </c>
      <c r="L100" s="30">
        <v>6994</v>
      </c>
      <c r="M100" s="30">
        <v>18683</v>
      </c>
      <c r="N100" s="30">
        <v>30092</v>
      </c>
      <c r="O100" s="30">
        <v>4053</v>
      </c>
      <c r="P100" s="30">
        <v>1043</v>
      </c>
      <c r="Q100" s="30">
        <v>5435</v>
      </c>
      <c r="R100" s="30">
        <v>17642</v>
      </c>
    </row>
    <row r="101" spans="2:18" ht="12.75" customHeight="1" x14ac:dyDescent="0.2">
      <c r="B101" s="29" t="s">
        <v>116</v>
      </c>
      <c r="C101" s="30">
        <v>250130</v>
      </c>
      <c r="D101" s="30">
        <v>285229</v>
      </c>
      <c r="E101" s="30">
        <v>280328</v>
      </c>
      <c r="F101" s="30">
        <v>369033</v>
      </c>
      <c r="G101" s="30">
        <v>533149</v>
      </c>
      <c r="H101" s="30">
        <v>730639</v>
      </c>
      <c r="I101" s="30">
        <v>857246</v>
      </c>
      <c r="J101" s="30">
        <v>1094144</v>
      </c>
      <c r="K101" s="30">
        <v>420831</v>
      </c>
      <c r="L101" s="30">
        <v>896876</v>
      </c>
      <c r="M101" s="30">
        <v>1172896</v>
      </c>
      <c r="N101" s="30">
        <v>1374896</v>
      </c>
      <c r="O101" s="30">
        <v>387587</v>
      </c>
      <c r="P101" s="30">
        <v>836624</v>
      </c>
      <c r="Q101" s="30">
        <v>1208895</v>
      </c>
      <c r="R101" s="30">
        <v>1051721</v>
      </c>
    </row>
    <row r="102" spans="2:18" ht="12.75" customHeight="1" x14ac:dyDescent="0.2">
      <c r="B102" s="29" t="s">
        <v>117</v>
      </c>
      <c r="C102" s="30"/>
      <c r="D102" s="30">
        <v>8</v>
      </c>
      <c r="E102" s="30">
        <v>296</v>
      </c>
      <c r="F102" s="30"/>
      <c r="G102" s="30">
        <v>0</v>
      </c>
      <c r="H102" s="30">
        <v>0</v>
      </c>
      <c r="I102" s="30">
        <v>2188</v>
      </c>
      <c r="J102" s="30"/>
      <c r="K102" s="30"/>
      <c r="L102" s="30"/>
      <c r="M102" s="30"/>
      <c r="N102" s="30"/>
      <c r="O102" s="30"/>
      <c r="P102" s="30"/>
      <c r="Q102" s="30"/>
      <c r="R102" s="30"/>
    </row>
    <row r="103" spans="2:18" ht="12.75" customHeight="1" x14ac:dyDescent="0.2">
      <c r="B103" s="29" t="s">
        <v>118</v>
      </c>
      <c r="C103" s="30">
        <v>2169924</v>
      </c>
      <c r="D103" s="30">
        <v>2426749</v>
      </c>
      <c r="E103" s="30">
        <v>2673605</v>
      </c>
      <c r="F103" s="30">
        <v>2582054</v>
      </c>
      <c r="G103" s="30">
        <v>2456519</v>
      </c>
      <c r="H103" s="30">
        <v>2509357</v>
      </c>
      <c r="I103" s="30">
        <v>2600360</v>
      </c>
      <c r="J103" s="30">
        <v>2512139</v>
      </c>
      <c r="K103" s="30">
        <v>1711481</v>
      </c>
      <c r="L103" s="30">
        <v>1658715</v>
      </c>
      <c r="M103" s="30">
        <v>2254871</v>
      </c>
      <c r="N103" s="30">
        <v>2562064</v>
      </c>
      <c r="O103" s="30">
        <v>820709</v>
      </c>
      <c r="P103" s="30">
        <v>392746</v>
      </c>
      <c r="Q103" s="30">
        <v>3370739</v>
      </c>
      <c r="R103" s="30">
        <v>3800922</v>
      </c>
    </row>
    <row r="104" spans="2:18" ht="12.75" customHeight="1" x14ac:dyDescent="0.2">
      <c r="B104" s="29" t="s">
        <v>587</v>
      </c>
      <c r="C104" s="30"/>
      <c r="D104" s="30"/>
      <c r="E104" s="30"/>
      <c r="F104" s="30"/>
      <c r="G104" s="30"/>
      <c r="H104" s="30"/>
      <c r="I104" s="30"/>
      <c r="J104" s="30"/>
      <c r="K104" s="30"/>
      <c r="L104" s="30"/>
      <c r="M104" s="30"/>
      <c r="N104" s="30"/>
      <c r="O104" s="30"/>
      <c r="P104" s="30"/>
      <c r="Q104" s="30">
        <v>0</v>
      </c>
      <c r="R104" s="30"/>
    </row>
    <row r="105" spans="2:18" ht="12.75" customHeight="1" x14ac:dyDescent="0.2">
      <c r="B105" s="29" t="s">
        <v>119</v>
      </c>
      <c r="C105" s="30">
        <v>1134965</v>
      </c>
      <c r="D105" s="30">
        <v>1383261</v>
      </c>
      <c r="E105" s="30">
        <v>1885097</v>
      </c>
      <c r="F105" s="30">
        <v>1879304</v>
      </c>
      <c r="G105" s="30">
        <v>1186343</v>
      </c>
      <c r="H105" s="30">
        <v>1196801</v>
      </c>
      <c r="I105" s="30">
        <v>1590664</v>
      </c>
      <c r="J105" s="30">
        <v>1700385</v>
      </c>
      <c r="K105" s="30">
        <v>1665160</v>
      </c>
      <c r="L105" s="30">
        <v>2501948</v>
      </c>
      <c r="M105" s="30">
        <v>2001744</v>
      </c>
      <c r="N105" s="30">
        <v>2102890</v>
      </c>
      <c r="O105" s="30">
        <v>385762</v>
      </c>
      <c r="P105" s="30">
        <v>1153092</v>
      </c>
      <c r="Q105" s="30">
        <v>2331076</v>
      </c>
      <c r="R105" s="30">
        <v>2504494</v>
      </c>
    </row>
    <row r="106" spans="2:18" ht="12.75" customHeight="1" x14ac:dyDescent="0.2">
      <c r="B106" s="29" t="s">
        <v>120</v>
      </c>
      <c r="C106" s="30">
        <v>115388</v>
      </c>
      <c r="D106" s="30">
        <v>117360</v>
      </c>
      <c r="E106" s="30">
        <v>111065</v>
      </c>
      <c r="F106" s="30">
        <v>118620</v>
      </c>
      <c r="G106" s="30">
        <v>110863</v>
      </c>
      <c r="H106" s="30">
        <v>112665</v>
      </c>
      <c r="I106" s="30">
        <v>105001</v>
      </c>
      <c r="J106" s="30">
        <v>101379</v>
      </c>
      <c r="K106" s="30">
        <v>54221</v>
      </c>
      <c r="L106" s="30">
        <v>50102</v>
      </c>
      <c r="M106" s="30">
        <v>71221</v>
      </c>
      <c r="N106" s="30">
        <v>96886</v>
      </c>
      <c r="O106" s="30">
        <v>26176</v>
      </c>
      <c r="P106" s="30">
        <v>36947</v>
      </c>
      <c r="Q106" s="30">
        <v>136608</v>
      </c>
      <c r="R106" s="30">
        <v>163165</v>
      </c>
    </row>
    <row r="107" spans="2:18" ht="12.75" customHeight="1" x14ac:dyDescent="0.2">
      <c r="B107" s="29" t="s">
        <v>121</v>
      </c>
      <c r="C107" s="30">
        <v>342104</v>
      </c>
      <c r="D107" s="30">
        <v>376215</v>
      </c>
      <c r="E107" s="30">
        <v>321325</v>
      </c>
      <c r="F107" s="30">
        <v>300084</v>
      </c>
      <c r="G107" s="30">
        <v>278164</v>
      </c>
      <c r="H107" s="30">
        <v>290422</v>
      </c>
      <c r="I107" s="30">
        <v>283926</v>
      </c>
      <c r="J107" s="30">
        <v>236063</v>
      </c>
      <c r="K107" s="30">
        <v>106582</v>
      </c>
      <c r="L107" s="30">
        <v>106757</v>
      </c>
      <c r="M107" s="30">
        <v>178018</v>
      </c>
      <c r="N107" s="30">
        <v>257342</v>
      </c>
      <c r="O107" s="30">
        <v>54381</v>
      </c>
      <c r="P107" s="30">
        <v>104848</v>
      </c>
      <c r="Q107" s="30">
        <v>298165</v>
      </c>
      <c r="R107" s="30">
        <v>324690</v>
      </c>
    </row>
    <row r="108" spans="2:18" ht="12.75" customHeight="1" x14ac:dyDescent="0.2">
      <c r="B108" s="29" t="s">
        <v>122</v>
      </c>
      <c r="C108" s="30">
        <v>558183</v>
      </c>
      <c r="D108" s="30">
        <v>311582</v>
      </c>
      <c r="E108" s="30">
        <v>109559</v>
      </c>
      <c r="F108" s="30">
        <v>79140</v>
      </c>
      <c r="G108" s="30">
        <v>83740</v>
      </c>
      <c r="H108" s="30">
        <v>164917</v>
      </c>
      <c r="I108" s="30">
        <v>188608</v>
      </c>
      <c r="J108" s="30">
        <v>224568</v>
      </c>
      <c r="K108" s="30">
        <v>293988</v>
      </c>
      <c r="L108" s="30">
        <v>380415</v>
      </c>
      <c r="M108" s="30">
        <v>443732</v>
      </c>
      <c r="N108" s="30">
        <v>569368</v>
      </c>
      <c r="O108" s="30">
        <v>129677</v>
      </c>
      <c r="P108" s="30">
        <v>225238</v>
      </c>
      <c r="Q108" s="30">
        <v>843028</v>
      </c>
      <c r="R108" s="30">
        <v>765776</v>
      </c>
    </row>
    <row r="109" spans="2:18" ht="12.75" customHeight="1" x14ac:dyDescent="0.2">
      <c r="B109" s="29" t="s">
        <v>123</v>
      </c>
      <c r="C109" s="30">
        <v>404092</v>
      </c>
      <c r="D109" s="30">
        <v>401740</v>
      </c>
      <c r="E109" s="30">
        <v>447270</v>
      </c>
      <c r="F109" s="30">
        <v>571917</v>
      </c>
      <c r="G109" s="30">
        <v>617811</v>
      </c>
      <c r="H109" s="30">
        <v>692186</v>
      </c>
      <c r="I109" s="30">
        <v>667551</v>
      </c>
      <c r="J109" s="30">
        <v>624649</v>
      </c>
      <c r="K109" s="30">
        <v>320580</v>
      </c>
      <c r="L109" s="30">
        <v>289134</v>
      </c>
      <c r="M109" s="30">
        <v>384397</v>
      </c>
      <c r="N109" s="30">
        <v>444285</v>
      </c>
      <c r="O109" s="30">
        <v>93703</v>
      </c>
      <c r="P109" s="30">
        <v>192872</v>
      </c>
      <c r="Q109" s="30">
        <v>415696</v>
      </c>
      <c r="R109" s="30">
        <v>364984</v>
      </c>
    </row>
    <row r="110" spans="2:18" ht="12.75" customHeight="1" x14ac:dyDescent="0.2">
      <c r="B110" s="29" t="s">
        <v>124</v>
      </c>
      <c r="C110" s="30">
        <v>252925</v>
      </c>
      <c r="D110" s="30">
        <v>283060</v>
      </c>
      <c r="E110" s="30">
        <v>271139</v>
      </c>
      <c r="F110" s="30">
        <v>328825</v>
      </c>
      <c r="G110" s="30">
        <v>354461</v>
      </c>
      <c r="H110" s="30">
        <v>379344</v>
      </c>
      <c r="I110" s="30">
        <v>394458</v>
      </c>
      <c r="J110" s="30">
        <v>380338</v>
      </c>
      <c r="K110" s="30">
        <v>215194</v>
      </c>
      <c r="L110" s="30">
        <v>206479</v>
      </c>
      <c r="M110" s="30">
        <v>269649</v>
      </c>
      <c r="N110" s="30">
        <v>311107</v>
      </c>
      <c r="O110" s="30">
        <v>127643</v>
      </c>
      <c r="P110" s="30">
        <v>219591</v>
      </c>
      <c r="Q110" s="30">
        <v>382835</v>
      </c>
      <c r="R110" s="30">
        <v>390044</v>
      </c>
    </row>
    <row r="111" spans="2:18" ht="12.75" customHeight="1" x14ac:dyDescent="0.2">
      <c r="B111" s="29" t="s">
        <v>125</v>
      </c>
      <c r="C111" s="30">
        <v>600261</v>
      </c>
      <c r="D111" s="30">
        <v>634886</v>
      </c>
      <c r="E111" s="30">
        <v>671060</v>
      </c>
      <c r="F111" s="30">
        <v>752238</v>
      </c>
      <c r="G111" s="30">
        <v>714041</v>
      </c>
      <c r="H111" s="30">
        <v>731784</v>
      </c>
      <c r="I111" s="30">
        <v>697360</v>
      </c>
      <c r="J111" s="30">
        <v>507897</v>
      </c>
      <c r="K111" s="30">
        <v>213227</v>
      </c>
      <c r="L111" s="30">
        <v>205788</v>
      </c>
      <c r="M111" s="30">
        <v>284195</v>
      </c>
      <c r="N111" s="30">
        <v>377011</v>
      </c>
      <c r="O111" s="30">
        <v>72619</v>
      </c>
      <c r="P111" s="30">
        <v>116806</v>
      </c>
      <c r="Q111" s="30">
        <v>420661</v>
      </c>
      <c r="R111" s="30">
        <v>602176</v>
      </c>
    </row>
    <row r="112" spans="2:18" ht="12.75" customHeight="1" x14ac:dyDescent="0.2">
      <c r="B112" s="29" t="s">
        <v>126</v>
      </c>
      <c r="C112" s="30">
        <v>9374</v>
      </c>
      <c r="D112" s="30">
        <v>7838</v>
      </c>
      <c r="E112" s="30">
        <v>6476</v>
      </c>
      <c r="F112" s="30">
        <v>6156</v>
      </c>
      <c r="G112" s="30">
        <v>5797</v>
      </c>
      <c r="H112" s="30">
        <v>4909</v>
      </c>
      <c r="I112" s="30">
        <v>8691</v>
      </c>
      <c r="J112" s="30">
        <v>9579</v>
      </c>
      <c r="K112" s="30">
        <v>3314</v>
      </c>
      <c r="L112" s="30">
        <v>2455</v>
      </c>
      <c r="M112" s="30">
        <v>2935</v>
      </c>
      <c r="N112" s="30">
        <v>3966</v>
      </c>
      <c r="O112" s="30">
        <v>541</v>
      </c>
      <c r="P112" s="30">
        <v>962</v>
      </c>
      <c r="Q112" s="30">
        <v>4070</v>
      </c>
      <c r="R112" s="30">
        <v>3975</v>
      </c>
    </row>
    <row r="113" spans="2:18" ht="12.75" customHeight="1" x14ac:dyDescent="0.2">
      <c r="B113" s="29" t="s">
        <v>127</v>
      </c>
      <c r="C113" s="30">
        <v>575</v>
      </c>
      <c r="D113" s="30">
        <v>815</v>
      </c>
      <c r="E113" s="30">
        <v>433</v>
      </c>
      <c r="F113" s="30">
        <v>628</v>
      </c>
      <c r="G113" s="30">
        <v>1024</v>
      </c>
      <c r="H113" s="30">
        <v>781</v>
      </c>
      <c r="I113" s="30">
        <v>1222</v>
      </c>
      <c r="J113" s="30">
        <v>1259</v>
      </c>
      <c r="K113" s="30">
        <v>1161</v>
      </c>
      <c r="L113" s="30">
        <v>717</v>
      </c>
      <c r="M113" s="30">
        <v>1421</v>
      </c>
      <c r="N113" s="30">
        <v>1640</v>
      </c>
      <c r="O113" s="30">
        <v>610</v>
      </c>
      <c r="P113" s="30">
        <v>478</v>
      </c>
      <c r="Q113" s="30">
        <v>1972</v>
      </c>
      <c r="R113" s="30">
        <v>2696</v>
      </c>
    </row>
    <row r="114" spans="2:18" ht="12.75" customHeight="1" x14ac:dyDescent="0.2">
      <c r="B114" s="29" t="s">
        <v>128</v>
      </c>
      <c r="C114" s="30"/>
      <c r="D114" s="30"/>
      <c r="E114" s="30"/>
      <c r="F114" s="30"/>
      <c r="G114" s="30"/>
      <c r="H114" s="30"/>
      <c r="I114" s="30"/>
      <c r="J114" s="30"/>
      <c r="K114" s="30"/>
      <c r="L114" s="30"/>
      <c r="M114" s="30"/>
      <c r="N114" s="30"/>
      <c r="O114" s="30"/>
      <c r="P114" s="30"/>
      <c r="Q114" s="30"/>
      <c r="R114" s="30"/>
    </row>
    <row r="115" spans="2:18" ht="12.75" customHeight="1" x14ac:dyDescent="0.2">
      <c r="B115" s="29" t="s">
        <v>129</v>
      </c>
      <c r="C115" s="30">
        <v>149731</v>
      </c>
      <c r="D115" s="30">
        <v>147641</v>
      </c>
      <c r="E115" s="30">
        <v>195404</v>
      </c>
      <c r="F115" s="30">
        <v>188312</v>
      </c>
      <c r="G115" s="30">
        <v>203592</v>
      </c>
      <c r="H115" s="30">
        <v>174150</v>
      </c>
      <c r="I115" s="30">
        <v>170550</v>
      </c>
      <c r="J115" s="30">
        <v>104847</v>
      </c>
      <c r="K115" s="30">
        <v>44695</v>
      </c>
      <c r="L115" s="30">
        <v>49323</v>
      </c>
      <c r="M115" s="30">
        <v>81931</v>
      </c>
      <c r="N115" s="30">
        <v>103320</v>
      </c>
      <c r="O115" s="30">
        <v>19122</v>
      </c>
      <c r="P115" s="30">
        <v>7153</v>
      </c>
      <c r="Q115" s="30">
        <v>30610</v>
      </c>
      <c r="R115" s="30">
        <v>78782</v>
      </c>
    </row>
    <row r="116" spans="2:18" ht="12.75" customHeight="1" x14ac:dyDescent="0.2">
      <c r="B116" s="29" t="s">
        <v>130</v>
      </c>
      <c r="C116" s="30">
        <v>1946</v>
      </c>
      <c r="D116" s="30">
        <v>287</v>
      </c>
      <c r="E116" s="30">
        <v>112</v>
      </c>
      <c r="F116" s="30">
        <v>139</v>
      </c>
      <c r="G116" s="30">
        <v>148</v>
      </c>
      <c r="H116" s="30">
        <v>133</v>
      </c>
      <c r="I116" s="30">
        <v>173</v>
      </c>
      <c r="J116" s="30">
        <v>228</v>
      </c>
      <c r="K116" s="30">
        <v>223</v>
      </c>
      <c r="L116" s="30">
        <v>196</v>
      </c>
      <c r="M116" s="30">
        <v>321</v>
      </c>
      <c r="N116" s="30">
        <v>609</v>
      </c>
      <c r="O116" s="30">
        <v>97</v>
      </c>
      <c r="P116" s="30">
        <v>113</v>
      </c>
      <c r="Q116" s="30">
        <v>379</v>
      </c>
      <c r="R116" s="30">
        <v>494</v>
      </c>
    </row>
    <row r="117" spans="2:18" ht="12.75" customHeight="1" x14ac:dyDescent="0.2">
      <c r="B117" s="29" t="s">
        <v>131</v>
      </c>
      <c r="C117" s="30">
        <v>996</v>
      </c>
      <c r="D117" s="30">
        <v>1553</v>
      </c>
      <c r="E117" s="30">
        <v>1381</v>
      </c>
      <c r="F117" s="30">
        <v>1609</v>
      </c>
      <c r="G117" s="30">
        <v>2411</v>
      </c>
      <c r="H117" s="30">
        <v>5775</v>
      </c>
      <c r="I117" s="30">
        <v>6027</v>
      </c>
      <c r="J117" s="30">
        <v>6198</v>
      </c>
      <c r="K117" s="30">
        <v>5498</v>
      </c>
      <c r="L117" s="30">
        <v>5883</v>
      </c>
      <c r="M117" s="30">
        <v>8015</v>
      </c>
      <c r="N117" s="30">
        <v>8742</v>
      </c>
      <c r="O117" s="30">
        <v>3570</v>
      </c>
      <c r="P117" s="30">
        <v>7592</v>
      </c>
      <c r="Q117" s="30">
        <v>9545</v>
      </c>
      <c r="R117" s="30">
        <v>7219</v>
      </c>
    </row>
    <row r="118" spans="2:18" ht="12.75" customHeight="1" x14ac:dyDescent="0.2">
      <c r="B118" s="29" t="s">
        <v>132</v>
      </c>
      <c r="C118" s="30">
        <v>147631</v>
      </c>
      <c r="D118" s="30">
        <v>155270</v>
      </c>
      <c r="E118" s="30">
        <v>152556</v>
      </c>
      <c r="F118" s="30">
        <v>191903</v>
      </c>
      <c r="G118" s="30">
        <v>182252</v>
      </c>
      <c r="H118" s="30">
        <v>199497</v>
      </c>
      <c r="I118" s="30">
        <v>190116</v>
      </c>
      <c r="J118" s="30">
        <v>187615</v>
      </c>
      <c r="K118" s="30">
        <v>106285</v>
      </c>
      <c r="L118" s="30">
        <v>81196</v>
      </c>
      <c r="M118" s="30">
        <v>108272</v>
      </c>
      <c r="N118" s="30">
        <v>139164</v>
      </c>
      <c r="O118" s="30">
        <v>34210</v>
      </c>
      <c r="P118" s="30">
        <v>72034</v>
      </c>
      <c r="Q118" s="30">
        <v>197416</v>
      </c>
      <c r="R118" s="30">
        <v>248868</v>
      </c>
    </row>
    <row r="119" spans="2:18" ht="12.75" customHeight="1" x14ac:dyDescent="0.2">
      <c r="B119" s="29" t="s">
        <v>133</v>
      </c>
      <c r="C119" s="30"/>
      <c r="D119" s="30">
        <v>11837</v>
      </c>
      <c r="E119" s="30">
        <v>11610</v>
      </c>
      <c r="F119" s="30">
        <v>13793</v>
      </c>
      <c r="G119" s="30">
        <v>16559</v>
      </c>
      <c r="H119" s="30">
        <v>18838</v>
      </c>
      <c r="I119" s="30">
        <v>20423</v>
      </c>
      <c r="J119" s="30">
        <v>19768</v>
      </c>
      <c r="K119" s="30">
        <v>16709</v>
      </c>
      <c r="L119" s="30">
        <v>19555</v>
      </c>
      <c r="M119" s="30">
        <v>24183</v>
      </c>
      <c r="N119" s="30">
        <v>27639</v>
      </c>
      <c r="O119" s="30">
        <v>11441</v>
      </c>
      <c r="P119" s="30">
        <v>20812</v>
      </c>
      <c r="Q119" s="30">
        <v>29417</v>
      </c>
      <c r="R119" s="30">
        <v>29844</v>
      </c>
    </row>
    <row r="120" spans="2:18" ht="12.75" customHeight="1" x14ac:dyDescent="0.2">
      <c r="B120" s="29" t="s">
        <v>134</v>
      </c>
      <c r="C120" s="30">
        <v>4862</v>
      </c>
      <c r="D120" s="30">
        <v>4902</v>
      </c>
      <c r="E120" s="30">
        <v>6043</v>
      </c>
      <c r="F120" s="30">
        <v>7661</v>
      </c>
      <c r="G120" s="30">
        <v>13971</v>
      </c>
      <c r="H120" s="30">
        <v>18630</v>
      </c>
      <c r="I120" s="30">
        <v>29743</v>
      </c>
      <c r="J120" s="30">
        <v>35832</v>
      </c>
      <c r="K120" s="30">
        <v>32681</v>
      </c>
      <c r="L120" s="30">
        <v>48764</v>
      </c>
      <c r="M120" s="30">
        <v>96327</v>
      </c>
      <c r="N120" s="30">
        <v>108496</v>
      </c>
      <c r="O120" s="30">
        <v>31956</v>
      </c>
      <c r="P120" s="30">
        <v>83831</v>
      </c>
      <c r="Q120" s="30">
        <v>92439</v>
      </c>
      <c r="R120" s="30">
        <v>70090</v>
      </c>
    </row>
    <row r="121" spans="2:18" ht="12.75" customHeight="1" x14ac:dyDescent="0.2">
      <c r="B121" s="29" t="s">
        <v>135</v>
      </c>
      <c r="C121" s="30"/>
      <c r="D121" s="30"/>
      <c r="E121" s="30"/>
      <c r="F121" s="30"/>
      <c r="G121" s="30"/>
      <c r="H121" s="30"/>
      <c r="I121" s="30"/>
      <c r="J121" s="30"/>
      <c r="K121" s="30"/>
      <c r="L121" s="30">
        <v>0</v>
      </c>
      <c r="M121" s="30"/>
      <c r="N121" s="30"/>
      <c r="O121" s="30"/>
      <c r="P121" s="30"/>
      <c r="Q121" s="30"/>
      <c r="R121" s="30"/>
    </row>
    <row r="122" spans="2:18" ht="12.75" customHeight="1" x14ac:dyDescent="0.2">
      <c r="B122" s="29" t="s">
        <v>136</v>
      </c>
      <c r="C122" s="30">
        <v>213072</v>
      </c>
      <c r="D122" s="30">
        <v>219445</v>
      </c>
      <c r="E122" s="30">
        <v>247784</v>
      </c>
      <c r="F122" s="30">
        <v>315907</v>
      </c>
      <c r="G122" s="30">
        <v>380046</v>
      </c>
      <c r="H122" s="30">
        <v>425773</v>
      </c>
      <c r="I122" s="30">
        <v>437971</v>
      </c>
      <c r="J122" s="30">
        <v>423744</v>
      </c>
      <c r="K122" s="30">
        <v>240188</v>
      </c>
      <c r="L122" s="30">
        <v>402830</v>
      </c>
      <c r="M122" s="30">
        <v>426916</v>
      </c>
      <c r="N122" s="30">
        <v>455724</v>
      </c>
      <c r="O122" s="30">
        <v>137213</v>
      </c>
      <c r="P122" s="30">
        <v>366076</v>
      </c>
      <c r="Q122" s="30">
        <v>712136</v>
      </c>
      <c r="R122" s="30">
        <v>826319</v>
      </c>
    </row>
    <row r="123" spans="2:18" ht="12.75" customHeight="1" x14ac:dyDescent="0.2">
      <c r="B123" s="29" t="s">
        <v>137</v>
      </c>
      <c r="C123" s="30">
        <v>3627</v>
      </c>
      <c r="D123" s="30">
        <v>4991</v>
      </c>
      <c r="E123" s="30">
        <v>4319</v>
      </c>
      <c r="F123" s="30">
        <v>4541</v>
      </c>
      <c r="G123" s="30">
        <v>5510</v>
      </c>
      <c r="H123" s="30">
        <v>6226</v>
      </c>
      <c r="I123" s="30">
        <v>6880</v>
      </c>
      <c r="J123" s="30">
        <v>7506</v>
      </c>
      <c r="K123" s="30">
        <v>5986</v>
      </c>
      <c r="L123" s="30">
        <v>5046</v>
      </c>
      <c r="M123" s="30">
        <v>7197</v>
      </c>
      <c r="N123" s="30">
        <v>7902</v>
      </c>
      <c r="O123" s="30">
        <v>2815</v>
      </c>
      <c r="P123" s="30">
        <v>8263</v>
      </c>
      <c r="Q123" s="30">
        <v>11323</v>
      </c>
      <c r="R123" s="30">
        <v>10131</v>
      </c>
    </row>
    <row r="124" spans="2:18" ht="12.75" customHeight="1" x14ac:dyDescent="0.2">
      <c r="B124" s="29" t="s">
        <v>138</v>
      </c>
      <c r="C124" s="30">
        <v>47730</v>
      </c>
      <c r="D124" s="30">
        <v>40882</v>
      </c>
      <c r="E124" s="30">
        <v>35665</v>
      </c>
      <c r="F124" s="30">
        <v>41197</v>
      </c>
      <c r="G124" s="30">
        <v>42866</v>
      </c>
      <c r="H124" s="30">
        <v>64905</v>
      </c>
      <c r="I124" s="30">
        <v>81941</v>
      </c>
      <c r="J124" s="30">
        <v>88369</v>
      </c>
      <c r="K124" s="30">
        <v>88877</v>
      </c>
      <c r="L124" s="30">
        <v>104911</v>
      </c>
      <c r="M124" s="30">
        <v>114926</v>
      </c>
      <c r="N124" s="30">
        <v>121364</v>
      </c>
      <c r="O124" s="30">
        <v>52142</v>
      </c>
      <c r="P124" s="30">
        <v>102840</v>
      </c>
      <c r="Q124" s="30">
        <v>147487</v>
      </c>
      <c r="R124" s="30">
        <v>169906</v>
      </c>
    </row>
    <row r="125" spans="2:18" ht="12.75" customHeight="1" x14ac:dyDescent="0.2">
      <c r="B125" s="29" t="s">
        <v>139</v>
      </c>
      <c r="C125" s="30">
        <v>19</v>
      </c>
      <c r="D125" s="30">
        <v>11</v>
      </c>
      <c r="E125" s="30">
        <v>6</v>
      </c>
      <c r="F125" s="30">
        <v>185</v>
      </c>
      <c r="G125" s="30">
        <v>40</v>
      </c>
      <c r="H125" s="30">
        <v>70</v>
      </c>
      <c r="I125" s="30">
        <v>14</v>
      </c>
      <c r="J125" s="30">
        <v>23</v>
      </c>
      <c r="K125" s="30">
        <v>80</v>
      </c>
      <c r="L125" s="30">
        <v>55</v>
      </c>
      <c r="M125" s="30">
        <v>150</v>
      </c>
      <c r="N125" s="30">
        <v>524</v>
      </c>
      <c r="O125" s="30">
        <v>239</v>
      </c>
      <c r="P125" s="30">
        <v>5</v>
      </c>
      <c r="Q125" s="30">
        <v>9</v>
      </c>
      <c r="R125" s="30">
        <v>1</v>
      </c>
    </row>
    <row r="126" spans="2:18" ht="12.75" customHeight="1" x14ac:dyDescent="0.2">
      <c r="B126" s="29" t="s">
        <v>140</v>
      </c>
      <c r="C126" s="30">
        <v>6070</v>
      </c>
      <c r="D126" s="30">
        <v>7248</v>
      </c>
      <c r="E126" s="30">
        <v>7129</v>
      </c>
      <c r="F126" s="30">
        <v>9853</v>
      </c>
      <c r="G126" s="30">
        <v>12987</v>
      </c>
      <c r="H126" s="30">
        <v>21979</v>
      </c>
      <c r="I126" s="30">
        <v>23378</v>
      </c>
      <c r="J126" s="30">
        <v>26046</v>
      </c>
      <c r="K126" s="30">
        <v>19416</v>
      </c>
      <c r="L126" s="30">
        <v>29650</v>
      </c>
      <c r="M126" s="30">
        <v>56031</v>
      </c>
      <c r="N126" s="30">
        <v>70974</v>
      </c>
      <c r="O126" s="30">
        <v>10601</v>
      </c>
      <c r="P126" s="30">
        <v>30094</v>
      </c>
      <c r="Q126" s="30">
        <v>77863</v>
      </c>
      <c r="R126" s="30">
        <v>69257</v>
      </c>
    </row>
    <row r="127" spans="2:18" ht="12.75" customHeight="1" x14ac:dyDescent="0.2">
      <c r="B127" s="29" t="s">
        <v>141</v>
      </c>
      <c r="C127" s="30">
        <v>397</v>
      </c>
      <c r="D127" s="30">
        <v>598</v>
      </c>
      <c r="E127" s="30">
        <v>459</v>
      </c>
      <c r="F127" s="30">
        <v>1020</v>
      </c>
      <c r="G127" s="30">
        <v>783</v>
      </c>
      <c r="H127" s="30">
        <v>989</v>
      </c>
      <c r="I127" s="30">
        <v>1196</v>
      </c>
      <c r="J127" s="30">
        <v>1210</v>
      </c>
      <c r="K127" s="30">
        <v>983</v>
      </c>
      <c r="L127" s="30">
        <v>1209</v>
      </c>
      <c r="M127" s="30">
        <v>1204</v>
      </c>
      <c r="N127" s="30">
        <v>1351</v>
      </c>
      <c r="O127" s="30">
        <v>669</v>
      </c>
      <c r="P127" s="30">
        <v>1202</v>
      </c>
      <c r="Q127" s="30">
        <v>1570</v>
      </c>
      <c r="R127" s="30">
        <v>871</v>
      </c>
    </row>
    <row r="128" spans="2:18" ht="12.75" customHeight="1" x14ac:dyDescent="0.2">
      <c r="B128" s="29" t="s">
        <v>142</v>
      </c>
      <c r="C128" s="30">
        <v>2686</v>
      </c>
      <c r="D128" s="30">
        <v>3355</v>
      </c>
      <c r="E128" s="30">
        <v>2323</v>
      </c>
      <c r="F128" s="30">
        <v>3902</v>
      </c>
      <c r="G128" s="30">
        <v>2847</v>
      </c>
      <c r="H128" s="30">
        <v>781</v>
      </c>
      <c r="I128" s="30">
        <v>605</v>
      </c>
      <c r="J128" s="30">
        <v>837</v>
      </c>
      <c r="K128" s="30">
        <v>683</v>
      </c>
      <c r="L128" s="30">
        <v>651</v>
      </c>
      <c r="M128" s="30">
        <v>835</v>
      </c>
      <c r="N128" s="30">
        <v>1133</v>
      </c>
      <c r="O128" s="30">
        <v>529</v>
      </c>
      <c r="P128" s="30">
        <v>1542</v>
      </c>
      <c r="Q128" s="30">
        <v>3084</v>
      </c>
      <c r="R128" s="30">
        <v>2080</v>
      </c>
    </row>
    <row r="129" spans="2:18" ht="12.75" customHeight="1" x14ac:dyDescent="0.2">
      <c r="B129" s="29" t="s">
        <v>143</v>
      </c>
      <c r="C129" s="30"/>
      <c r="D129" s="30">
        <v>28171</v>
      </c>
      <c r="E129" s="30">
        <v>46228</v>
      </c>
      <c r="F129" s="30">
        <v>56411</v>
      </c>
      <c r="G129" s="30">
        <v>70156</v>
      </c>
      <c r="H129" s="30">
        <v>78825</v>
      </c>
      <c r="I129" s="30">
        <v>86272</v>
      </c>
      <c r="J129" s="30">
        <v>97818</v>
      </c>
      <c r="K129" s="30">
        <v>100022</v>
      </c>
      <c r="L129" s="30">
        <v>116049</v>
      </c>
      <c r="M129" s="30">
        <v>139500</v>
      </c>
      <c r="N129" s="30">
        <v>152048</v>
      </c>
      <c r="O129" s="30">
        <v>70462</v>
      </c>
      <c r="P129" s="30">
        <v>145931</v>
      </c>
      <c r="Q129" s="30">
        <v>193823</v>
      </c>
      <c r="R129" s="30">
        <v>174681</v>
      </c>
    </row>
    <row r="130" spans="2:18" ht="12.75" customHeight="1" x14ac:dyDescent="0.2">
      <c r="B130" s="29" t="s">
        <v>144</v>
      </c>
      <c r="C130" s="30">
        <v>1615</v>
      </c>
      <c r="D130" s="30">
        <v>1774</v>
      </c>
      <c r="E130" s="30">
        <v>1305</v>
      </c>
      <c r="F130" s="30">
        <v>2179</v>
      </c>
      <c r="G130" s="30">
        <v>2465</v>
      </c>
      <c r="H130" s="30">
        <v>2639</v>
      </c>
      <c r="I130" s="30">
        <v>2731</v>
      </c>
      <c r="J130" s="30">
        <v>3659</v>
      </c>
      <c r="K130" s="30">
        <v>2088</v>
      </c>
      <c r="L130" s="30">
        <v>1936</v>
      </c>
      <c r="M130" s="30">
        <v>3621</v>
      </c>
      <c r="N130" s="30">
        <v>5026</v>
      </c>
      <c r="O130" s="30">
        <v>755</v>
      </c>
      <c r="P130" s="30">
        <v>1734</v>
      </c>
      <c r="Q130" s="30">
        <v>8745</v>
      </c>
      <c r="R130" s="30">
        <v>9604</v>
      </c>
    </row>
    <row r="131" spans="2:18" ht="12.75" customHeight="1" x14ac:dyDescent="0.2">
      <c r="B131" s="29" t="s">
        <v>145</v>
      </c>
      <c r="C131" s="30">
        <v>22084</v>
      </c>
      <c r="D131" s="30">
        <v>26801</v>
      </c>
      <c r="E131" s="30">
        <v>27281</v>
      </c>
      <c r="F131" s="30">
        <v>41617</v>
      </c>
      <c r="G131" s="30">
        <v>65167</v>
      </c>
      <c r="H131" s="30">
        <v>88238</v>
      </c>
      <c r="I131" s="30">
        <v>133128</v>
      </c>
      <c r="J131" s="30">
        <v>174486</v>
      </c>
      <c r="K131" s="30">
        <v>179938</v>
      </c>
      <c r="L131" s="30">
        <v>255644</v>
      </c>
      <c r="M131" s="30">
        <v>298620</v>
      </c>
      <c r="N131" s="30">
        <v>374191</v>
      </c>
      <c r="O131" s="30">
        <v>120221</v>
      </c>
      <c r="P131" s="30">
        <v>246249</v>
      </c>
      <c r="Q131" s="30">
        <v>480123</v>
      </c>
      <c r="R131" s="30">
        <v>363070</v>
      </c>
    </row>
    <row r="132" spans="2:18" ht="12.75" customHeight="1" x14ac:dyDescent="0.2">
      <c r="B132" s="29" t="s">
        <v>146</v>
      </c>
      <c r="C132" s="30">
        <v>195909</v>
      </c>
      <c r="D132" s="30">
        <v>197442</v>
      </c>
      <c r="E132" s="30">
        <v>191993</v>
      </c>
      <c r="F132" s="30">
        <v>203272</v>
      </c>
      <c r="G132" s="30">
        <v>211828</v>
      </c>
      <c r="H132" s="30">
        <v>216881</v>
      </c>
      <c r="I132" s="30">
        <v>227612</v>
      </c>
      <c r="J132" s="30">
        <v>233278</v>
      </c>
      <c r="K132" s="30">
        <v>222839</v>
      </c>
      <c r="L132" s="30">
        <v>245858</v>
      </c>
      <c r="M132" s="30">
        <v>256343</v>
      </c>
      <c r="N132" s="30">
        <v>255986</v>
      </c>
      <c r="O132" s="30">
        <v>57601</v>
      </c>
      <c r="P132" s="30">
        <v>65882</v>
      </c>
      <c r="Q132" s="30">
        <v>171691</v>
      </c>
      <c r="R132" s="30">
        <v>200905</v>
      </c>
    </row>
    <row r="133" spans="2:18" ht="12.75" customHeight="1" x14ac:dyDescent="0.2">
      <c r="B133" s="29" t="s">
        <v>147</v>
      </c>
      <c r="C133" s="30">
        <v>226</v>
      </c>
      <c r="D133" s="30">
        <v>937</v>
      </c>
      <c r="E133" s="30">
        <v>149</v>
      </c>
      <c r="F133" s="30">
        <v>56</v>
      </c>
      <c r="G133" s="30">
        <v>714</v>
      </c>
      <c r="H133" s="30">
        <v>586</v>
      </c>
      <c r="I133" s="30">
        <v>57</v>
      </c>
      <c r="J133" s="30">
        <v>61</v>
      </c>
      <c r="K133" s="30">
        <v>80</v>
      </c>
      <c r="L133" s="30">
        <v>345</v>
      </c>
      <c r="M133" s="30">
        <v>29</v>
      </c>
      <c r="N133" s="30">
        <v>39</v>
      </c>
      <c r="O133" s="30">
        <v>9</v>
      </c>
      <c r="P133" s="30">
        <v>4</v>
      </c>
      <c r="Q133" s="30">
        <v>74</v>
      </c>
      <c r="R133" s="30">
        <v>60</v>
      </c>
    </row>
    <row r="134" spans="2:18" ht="12.75" customHeight="1" x14ac:dyDescent="0.2">
      <c r="B134" s="29" t="s">
        <v>148</v>
      </c>
      <c r="C134" s="30">
        <v>106645</v>
      </c>
      <c r="D134" s="30">
        <v>107389</v>
      </c>
      <c r="E134" s="30">
        <v>115541</v>
      </c>
      <c r="F134" s="30">
        <v>130648</v>
      </c>
      <c r="G134" s="30">
        <v>137579</v>
      </c>
      <c r="H134" s="30">
        <v>140793</v>
      </c>
      <c r="I134" s="30">
        <v>156138</v>
      </c>
      <c r="J134" s="30">
        <v>167428</v>
      </c>
      <c r="K134" s="30">
        <v>146008</v>
      </c>
      <c r="L134" s="30">
        <v>172851</v>
      </c>
      <c r="M134" s="30">
        <v>209519</v>
      </c>
      <c r="N134" s="30">
        <v>222862</v>
      </c>
      <c r="O134" s="30">
        <v>115483</v>
      </c>
      <c r="P134" s="30">
        <v>182045</v>
      </c>
      <c r="Q134" s="30">
        <v>266184</v>
      </c>
      <c r="R134" s="30">
        <v>251066</v>
      </c>
    </row>
    <row r="135" spans="2:18" ht="12.75" customHeight="1" x14ac:dyDescent="0.2">
      <c r="B135" s="29" t="s">
        <v>149</v>
      </c>
      <c r="C135" s="30"/>
      <c r="D135" s="30"/>
      <c r="E135" s="30"/>
      <c r="F135" s="30"/>
      <c r="G135" s="30"/>
      <c r="H135" s="30"/>
      <c r="I135" s="30"/>
      <c r="J135" s="30">
        <v>2</v>
      </c>
      <c r="K135" s="30">
        <v>1</v>
      </c>
      <c r="L135" s="30"/>
      <c r="M135" s="30">
        <v>3</v>
      </c>
      <c r="N135" s="30"/>
      <c r="O135" s="30"/>
      <c r="P135" s="30"/>
      <c r="Q135" s="30"/>
      <c r="R135" s="30"/>
    </row>
    <row r="136" spans="2:18" ht="12.75" customHeight="1" x14ac:dyDescent="0.2">
      <c r="B136" s="29" t="s">
        <v>150</v>
      </c>
      <c r="C136" s="30">
        <v>913</v>
      </c>
      <c r="D136" s="30">
        <v>807</v>
      </c>
      <c r="E136" s="30">
        <v>773</v>
      </c>
      <c r="F136" s="30">
        <v>828</v>
      </c>
      <c r="G136" s="30">
        <v>784</v>
      </c>
      <c r="H136" s="30">
        <v>1064</v>
      </c>
      <c r="I136" s="30">
        <v>1654</v>
      </c>
      <c r="J136" s="30">
        <v>1745</v>
      </c>
      <c r="K136" s="30">
        <v>1375</v>
      </c>
      <c r="L136" s="30">
        <v>2505</v>
      </c>
      <c r="M136" s="30">
        <v>3097</v>
      </c>
      <c r="N136" s="30">
        <v>3087</v>
      </c>
      <c r="O136" s="30">
        <v>596</v>
      </c>
      <c r="P136" s="30">
        <v>1502</v>
      </c>
      <c r="Q136" s="30">
        <v>3557</v>
      </c>
      <c r="R136" s="30">
        <v>4813</v>
      </c>
    </row>
    <row r="137" spans="2:18" ht="12.75" customHeight="1" x14ac:dyDescent="0.2">
      <c r="B137" s="29" t="s">
        <v>151</v>
      </c>
      <c r="C137" s="30">
        <v>32</v>
      </c>
      <c r="D137" s="30">
        <v>83</v>
      </c>
      <c r="E137" s="30">
        <v>22</v>
      </c>
      <c r="F137" s="30">
        <v>90</v>
      </c>
      <c r="G137" s="30">
        <v>82</v>
      </c>
      <c r="H137" s="30">
        <v>72</v>
      </c>
      <c r="I137" s="30">
        <v>112</v>
      </c>
      <c r="J137" s="30">
        <v>106</v>
      </c>
      <c r="K137" s="30">
        <v>47</v>
      </c>
      <c r="L137" s="30">
        <v>39</v>
      </c>
      <c r="M137" s="30">
        <v>51</v>
      </c>
      <c r="N137" s="30">
        <v>84</v>
      </c>
      <c r="O137" s="30">
        <v>27</v>
      </c>
      <c r="P137" s="30">
        <v>17</v>
      </c>
      <c r="Q137" s="30">
        <v>105</v>
      </c>
      <c r="R137" s="30">
        <v>92</v>
      </c>
    </row>
    <row r="138" spans="2:18" ht="12.75" customHeight="1" x14ac:dyDescent="0.2">
      <c r="B138" s="29" t="s">
        <v>152</v>
      </c>
      <c r="C138" s="30">
        <v>30</v>
      </c>
      <c r="D138" s="30">
        <v>59</v>
      </c>
      <c r="E138" s="30">
        <v>20</v>
      </c>
      <c r="F138" s="30">
        <v>87</v>
      </c>
      <c r="G138" s="30">
        <v>35</v>
      </c>
      <c r="H138" s="30">
        <v>49</v>
      </c>
      <c r="I138" s="30">
        <v>61</v>
      </c>
      <c r="J138" s="30">
        <v>80</v>
      </c>
      <c r="K138" s="30">
        <v>76</v>
      </c>
      <c r="L138" s="30">
        <v>56</v>
      </c>
      <c r="M138" s="30">
        <v>120</v>
      </c>
      <c r="N138" s="30">
        <v>136</v>
      </c>
      <c r="O138" s="30">
        <v>30</v>
      </c>
      <c r="P138" s="30">
        <v>34</v>
      </c>
      <c r="Q138" s="30">
        <v>126</v>
      </c>
      <c r="R138" s="30">
        <v>83</v>
      </c>
    </row>
    <row r="139" spans="2:18" ht="12.75" customHeight="1" x14ac:dyDescent="0.2">
      <c r="B139" s="29" t="s">
        <v>153</v>
      </c>
      <c r="C139" s="30">
        <v>58460</v>
      </c>
      <c r="D139" s="30">
        <v>40686</v>
      </c>
      <c r="E139" s="30">
        <v>39102</v>
      </c>
      <c r="F139" s="30">
        <v>45074</v>
      </c>
      <c r="G139" s="30">
        <v>45725</v>
      </c>
      <c r="H139" s="30">
        <v>55058</v>
      </c>
      <c r="I139" s="30">
        <v>58981</v>
      </c>
      <c r="J139" s="30">
        <v>60485</v>
      </c>
      <c r="K139" s="30">
        <v>34861</v>
      </c>
      <c r="L139" s="30">
        <v>46536</v>
      </c>
      <c r="M139" s="30">
        <v>65868</v>
      </c>
      <c r="N139" s="30">
        <v>86051</v>
      </c>
      <c r="O139" s="30">
        <v>9392</v>
      </c>
      <c r="P139" s="30">
        <v>44760</v>
      </c>
      <c r="Q139" s="30">
        <v>97240</v>
      </c>
      <c r="R139" s="30">
        <v>117936</v>
      </c>
    </row>
    <row r="140" spans="2:18" ht="12.75" customHeight="1" x14ac:dyDescent="0.2">
      <c r="B140" s="29" t="s">
        <v>154</v>
      </c>
      <c r="C140" s="30">
        <v>488</v>
      </c>
      <c r="D140" s="30">
        <v>230</v>
      </c>
      <c r="E140" s="30">
        <v>276</v>
      </c>
      <c r="F140" s="30">
        <v>164</v>
      </c>
      <c r="G140" s="30">
        <v>167</v>
      </c>
      <c r="H140" s="30">
        <v>444</v>
      </c>
      <c r="I140" s="30">
        <v>529</v>
      </c>
      <c r="J140" s="30">
        <v>455</v>
      </c>
      <c r="K140" s="30">
        <v>233</v>
      </c>
      <c r="L140" s="30">
        <v>205</v>
      </c>
      <c r="M140" s="30">
        <v>250</v>
      </c>
      <c r="N140" s="30">
        <v>205</v>
      </c>
      <c r="O140" s="30">
        <v>81</v>
      </c>
      <c r="P140" s="30">
        <v>274</v>
      </c>
      <c r="Q140" s="30">
        <v>610</v>
      </c>
      <c r="R140" s="30">
        <v>475</v>
      </c>
    </row>
    <row r="141" spans="2:18" ht="12.75" customHeight="1" x14ac:dyDescent="0.2">
      <c r="B141" s="29" t="s">
        <v>155</v>
      </c>
      <c r="C141" s="30">
        <v>43779</v>
      </c>
      <c r="D141" s="30">
        <v>64721</v>
      </c>
      <c r="E141" s="30">
        <v>60917</v>
      </c>
      <c r="F141" s="30">
        <v>53562</v>
      </c>
      <c r="G141" s="30">
        <v>213890</v>
      </c>
      <c r="H141" s="30">
        <v>264266</v>
      </c>
      <c r="I141" s="30">
        <v>267501</v>
      </c>
      <c r="J141" s="30">
        <v>234762</v>
      </c>
      <c r="K141" s="30">
        <v>72014</v>
      </c>
      <c r="L141" s="30">
        <v>99395</v>
      </c>
      <c r="M141" s="30">
        <v>188312</v>
      </c>
      <c r="N141" s="30">
        <v>259243</v>
      </c>
      <c r="O141" s="30">
        <v>107251</v>
      </c>
      <c r="P141" s="30">
        <v>197983</v>
      </c>
      <c r="Q141" s="30">
        <v>220179</v>
      </c>
      <c r="R141" s="30">
        <v>194351</v>
      </c>
    </row>
    <row r="142" spans="2:18" ht="12.75" customHeight="1" x14ac:dyDescent="0.2">
      <c r="B142" s="29" t="s">
        <v>156</v>
      </c>
      <c r="C142" s="30">
        <v>1353</v>
      </c>
      <c r="D142" s="30">
        <v>1603</v>
      </c>
      <c r="E142" s="30">
        <v>1362</v>
      </c>
      <c r="F142" s="30">
        <v>1688</v>
      </c>
      <c r="G142" s="30">
        <v>1855</v>
      </c>
      <c r="H142" s="30">
        <v>2099</v>
      </c>
      <c r="I142" s="30">
        <v>2100</v>
      </c>
      <c r="J142" s="30">
        <v>2180</v>
      </c>
      <c r="K142" s="30">
        <v>1161</v>
      </c>
      <c r="L142" s="30">
        <v>1239</v>
      </c>
      <c r="M142" s="30">
        <v>1546</v>
      </c>
      <c r="N142" s="30">
        <v>1796</v>
      </c>
      <c r="O142" s="30">
        <v>562</v>
      </c>
      <c r="P142" s="30">
        <v>1331</v>
      </c>
      <c r="Q142" s="30">
        <v>2092</v>
      </c>
      <c r="R142" s="30">
        <v>2262</v>
      </c>
    </row>
    <row r="143" spans="2:18" ht="12.75" customHeight="1" x14ac:dyDescent="0.2">
      <c r="B143" s="29" t="s">
        <v>157</v>
      </c>
      <c r="C143" s="30">
        <v>92939</v>
      </c>
      <c r="D143" s="30">
        <v>76730</v>
      </c>
      <c r="E143" s="30">
        <v>71992</v>
      </c>
      <c r="F143" s="30">
        <v>76036</v>
      </c>
      <c r="G143" s="30">
        <v>69520</v>
      </c>
      <c r="H143" s="30">
        <v>90180</v>
      </c>
      <c r="I143" s="30">
        <v>106469</v>
      </c>
      <c r="J143" s="30">
        <v>112654</v>
      </c>
      <c r="K143" s="30">
        <v>109749</v>
      </c>
      <c r="L143" s="30">
        <v>134264</v>
      </c>
      <c r="M143" s="30">
        <v>199371</v>
      </c>
      <c r="N143" s="30">
        <v>229704</v>
      </c>
      <c r="O143" s="30">
        <v>14194</v>
      </c>
      <c r="P143" s="30">
        <v>114227</v>
      </c>
      <c r="Q143" s="30">
        <v>251619</v>
      </c>
      <c r="R143" s="30">
        <v>277810</v>
      </c>
    </row>
    <row r="144" spans="2:18" ht="12.75" customHeight="1" x14ac:dyDescent="0.2">
      <c r="B144" s="29" t="s">
        <v>158</v>
      </c>
      <c r="C144" s="30">
        <v>53948</v>
      </c>
      <c r="D144" s="30">
        <v>71771</v>
      </c>
      <c r="E144" s="30">
        <v>134554</v>
      </c>
      <c r="F144" s="30">
        <v>137110</v>
      </c>
      <c r="G144" s="30">
        <v>144491</v>
      </c>
      <c r="H144" s="30">
        <v>143629</v>
      </c>
      <c r="I144" s="30">
        <v>161274</v>
      </c>
      <c r="J144" s="30">
        <v>197552</v>
      </c>
      <c r="K144" s="30">
        <v>191642</v>
      </c>
      <c r="L144" s="30">
        <v>237476</v>
      </c>
      <c r="M144" s="30">
        <v>338837</v>
      </c>
      <c r="N144" s="30">
        <v>376721</v>
      </c>
      <c r="O144" s="30">
        <v>89337</v>
      </c>
      <c r="P144" s="30">
        <v>191768</v>
      </c>
      <c r="Q144" s="30">
        <v>272844</v>
      </c>
      <c r="R144" s="30">
        <v>257781</v>
      </c>
    </row>
    <row r="145" spans="2:18" ht="12.75" customHeight="1" x14ac:dyDescent="0.2">
      <c r="B145" s="29" t="s">
        <v>159</v>
      </c>
      <c r="C145" s="30">
        <v>10852</v>
      </c>
      <c r="D145" s="30">
        <v>9687</v>
      </c>
      <c r="E145" s="30">
        <v>11262</v>
      </c>
      <c r="F145" s="30">
        <v>13286</v>
      </c>
      <c r="G145" s="30">
        <v>14034</v>
      </c>
      <c r="H145" s="30">
        <v>15733</v>
      </c>
      <c r="I145" s="30">
        <v>15310</v>
      </c>
      <c r="J145" s="30">
        <v>12764</v>
      </c>
      <c r="K145" s="30">
        <v>4831</v>
      </c>
      <c r="L145" s="30">
        <v>4922</v>
      </c>
      <c r="M145" s="30">
        <v>7716</v>
      </c>
      <c r="N145" s="30">
        <v>10957</v>
      </c>
      <c r="O145" s="30">
        <v>2228</v>
      </c>
      <c r="P145" s="30">
        <v>8499</v>
      </c>
      <c r="Q145" s="30">
        <v>13186</v>
      </c>
      <c r="R145" s="30">
        <v>15633</v>
      </c>
    </row>
    <row r="146" spans="2:18" ht="12.75" customHeight="1" x14ac:dyDescent="0.2">
      <c r="B146" s="29" t="s">
        <v>160</v>
      </c>
      <c r="C146" s="30">
        <v>95414</v>
      </c>
      <c r="D146" s="30">
        <v>82684</v>
      </c>
      <c r="E146" s="30">
        <v>90944</v>
      </c>
      <c r="F146" s="30">
        <v>103918</v>
      </c>
      <c r="G146" s="30">
        <v>94409</v>
      </c>
      <c r="H146" s="30">
        <v>97074</v>
      </c>
      <c r="I146" s="30">
        <v>119977</v>
      </c>
      <c r="J146" s="30">
        <v>140197</v>
      </c>
      <c r="K146" s="30">
        <v>64737</v>
      </c>
      <c r="L146" s="30">
        <v>79899</v>
      </c>
      <c r="M146" s="30">
        <v>123448</v>
      </c>
      <c r="N146" s="30">
        <v>149523</v>
      </c>
      <c r="O146" s="30">
        <v>16563</v>
      </c>
      <c r="P146" s="30">
        <v>76257</v>
      </c>
      <c r="Q146" s="30">
        <v>165842</v>
      </c>
      <c r="R146" s="30">
        <v>222327</v>
      </c>
    </row>
    <row r="147" spans="2:18" ht="12.75" customHeight="1" x14ac:dyDescent="0.2">
      <c r="B147" s="29" t="s">
        <v>161</v>
      </c>
      <c r="C147" s="30">
        <v>97</v>
      </c>
      <c r="D147" s="30">
        <v>169</v>
      </c>
      <c r="E147" s="30">
        <v>134</v>
      </c>
      <c r="F147" s="30">
        <v>341</v>
      </c>
      <c r="G147" s="30">
        <v>837</v>
      </c>
      <c r="H147" s="30">
        <v>357</v>
      </c>
      <c r="I147" s="30">
        <v>319</v>
      </c>
      <c r="J147" s="30">
        <v>326</v>
      </c>
      <c r="K147" s="30">
        <v>360</v>
      </c>
      <c r="L147" s="30">
        <v>367</v>
      </c>
      <c r="M147" s="30">
        <v>428</v>
      </c>
      <c r="N147" s="30">
        <v>509</v>
      </c>
      <c r="O147" s="30">
        <v>116</v>
      </c>
      <c r="P147" s="30">
        <v>214</v>
      </c>
      <c r="Q147" s="30">
        <v>390</v>
      </c>
      <c r="R147" s="30">
        <v>461</v>
      </c>
    </row>
    <row r="148" spans="2:18" ht="12.75" customHeight="1" x14ac:dyDescent="0.2">
      <c r="B148" s="29" t="s">
        <v>162</v>
      </c>
      <c r="C148" s="30">
        <v>54</v>
      </c>
      <c r="D148" s="30">
        <v>123</v>
      </c>
      <c r="E148" s="30">
        <v>115</v>
      </c>
      <c r="F148" s="30">
        <v>185</v>
      </c>
      <c r="G148" s="30">
        <v>190</v>
      </c>
      <c r="H148" s="30">
        <v>242</v>
      </c>
      <c r="I148" s="30">
        <v>685</v>
      </c>
      <c r="J148" s="30">
        <v>719</v>
      </c>
      <c r="K148" s="30">
        <v>160</v>
      </c>
      <c r="L148" s="30">
        <v>227</v>
      </c>
      <c r="M148" s="30">
        <v>653</v>
      </c>
      <c r="N148" s="30">
        <v>1225</v>
      </c>
      <c r="O148" s="30">
        <v>68</v>
      </c>
      <c r="P148" s="30">
        <v>8</v>
      </c>
      <c r="Q148" s="30">
        <v>50</v>
      </c>
      <c r="R148" s="30">
        <v>373</v>
      </c>
    </row>
    <row r="149" spans="2:18" ht="12.75" customHeight="1" x14ac:dyDescent="0.2">
      <c r="B149" s="29" t="s">
        <v>163</v>
      </c>
      <c r="C149" s="30">
        <v>102</v>
      </c>
      <c r="D149" s="30">
        <v>125</v>
      </c>
      <c r="E149" s="30">
        <v>103</v>
      </c>
      <c r="F149" s="30">
        <v>159</v>
      </c>
      <c r="G149" s="30">
        <v>226</v>
      </c>
      <c r="H149" s="30">
        <v>264</v>
      </c>
      <c r="I149" s="30">
        <v>220</v>
      </c>
      <c r="J149" s="30">
        <v>319</v>
      </c>
      <c r="K149" s="30">
        <v>219</v>
      </c>
      <c r="L149" s="30">
        <v>278</v>
      </c>
      <c r="M149" s="30">
        <v>259</v>
      </c>
      <c r="N149" s="30">
        <v>346</v>
      </c>
      <c r="O149" s="30">
        <v>79</v>
      </c>
      <c r="P149" s="30">
        <v>223</v>
      </c>
      <c r="Q149" s="30">
        <v>414</v>
      </c>
      <c r="R149" s="30">
        <v>329</v>
      </c>
    </row>
    <row r="150" spans="2:18" ht="12.75" customHeight="1" x14ac:dyDescent="0.2">
      <c r="B150" s="29" t="s">
        <v>164</v>
      </c>
      <c r="C150" s="30">
        <v>205</v>
      </c>
      <c r="D150" s="30">
        <v>258</v>
      </c>
      <c r="E150" s="30">
        <v>156</v>
      </c>
      <c r="F150" s="30">
        <v>167</v>
      </c>
      <c r="G150" s="30">
        <v>262</v>
      </c>
      <c r="H150" s="30">
        <v>404</v>
      </c>
      <c r="I150" s="30">
        <v>541</v>
      </c>
      <c r="J150" s="30">
        <v>622</v>
      </c>
      <c r="K150" s="30">
        <v>431</v>
      </c>
      <c r="L150" s="30">
        <v>735</v>
      </c>
      <c r="M150" s="30">
        <v>958</v>
      </c>
      <c r="N150" s="30">
        <v>1175</v>
      </c>
      <c r="O150" s="30">
        <v>306</v>
      </c>
      <c r="P150" s="30">
        <v>3474</v>
      </c>
      <c r="Q150" s="30">
        <v>4022</v>
      </c>
      <c r="R150" s="30">
        <v>2563</v>
      </c>
    </row>
    <row r="151" spans="2:18" ht="12.75" customHeight="1" x14ac:dyDescent="0.2">
      <c r="B151" s="29" t="s">
        <v>165</v>
      </c>
      <c r="C151" s="30">
        <v>26881</v>
      </c>
      <c r="D151" s="30">
        <v>29557</v>
      </c>
      <c r="E151" s="30">
        <v>32458</v>
      </c>
      <c r="F151" s="30">
        <v>36222</v>
      </c>
      <c r="G151" s="30">
        <v>41169</v>
      </c>
      <c r="H151" s="30">
        <v>55139</v>
      </c>
      <c r="I151" s="30">
        <v>69968</v>
      </c>
      <c r="J151" s="30">
        <v>69616</v>
      </c>
      <c r="K151" s="30">
        <v>49255</v>
      </c>
      <c r="L151" s="30">
        <v>61166</v>
      </c>
      <c r="M151" s="30">
        <v>95591</v>
      </c>
      <c r="N151" s="30">
        <v>114214</v>
      </c>
      <c r="O151" s="30">
        <v>17892</v>
      </c>
      <c r="P151" s="30">
        <v>9618</v>
      </c>
      <c r="Q151" s="30">
        <v>89766</v>
      </c>
      <c r="R151" s="30">
        <v>95444</v>
      </c>
    </row>
    <row r="152" spans="2:18" ht="12.75" customHeight="1" x14ac:dyDescent="0.2">
      <c r="B152" s="29" t="s">
        <v>166</v>
      </c>
      <c r="C152" s="30">
        <v>333</v>
      </c>
      <c r="D152" s="30">
        <v>407</v>
      </c>
      <c r="E152" s="30">
        <v>573</v>
      </c>
      <c r="F152" s="30">
        <v>834</v>
      </c>
      <c r="G152" s="30">
        <v>880</v>
      </c>
      <c r="H152" s="30">
        <v>1439</v>
      </c>
      <c r="I152" s="30">
        <v>1467</v>
      </c>
      <c r="J152" s="30">
        <v>2103</v>
      </c>
      <c r="K152" s="30">
        <v>2149</v>
      </c>
      <c r="L152" s="30">
        <v>2280</v>
      </c>
      <c r="M152" s="30">
        <v>2904</v>
      </c>
      <c r="N152" s="30">
        <v>3402</v>
      </c>
      <c r="O152" s="30">
        <v>1805</v>
      </c>
      <c r="P152" s="30">
        <v>4580</v>
      </c>
      <c r="Q152" s="30">
        <v>6389</v>
      </c>
      <c r="R152" s="30">
        <v>5504</v>
      </c>
    </row>
    <row r="153" spans="2:18" ht="12.75" customHeight="1" x14ac:dyDescent="0.2">
      <c r="B153" s="29" t="s">
        <v>167</v>
      </c>
      <c r="C153" s="30">
        <v>3412</v>
      </c>
      <c r="D153" s="30">
        <v>3616</v>
      </c>
      <c r="E153" s="30">
        <v>3361</v>
      </c>
      <c r="F153" s="30">
        <v>5974</v>
      </c>
      <c r="G153" s="30">
        <v>6397</v>
      </c>
      <c r="H153" s="30">
        <v>6769</v>
      </c>
      <c r="I153" s="30">
        <v>7430</v>
      </c>
      <c r="J153" s="30">
        <v>9210</v>
      </c>
      <c r="K153" s="30">
        <v>5849</v>
      </c>
      <c r="L153" s="30">
        <v>5523</v>
      </c>
      <c r="M153" s="30">
        <v>8287</v>
      </c>
      <c r="N153" s="30">
        <v>8739</v>
      </c>
      <c r="O153" s="30">
        <v>3258</v>
      </c>
      <c r="P153" s="30">
        <v>7163</v>
      </c>
      <c r="Q153" s="30">
        <v>16321</v>
      </c>
      <c r="R153" s="30">
        <v>14356</v>
      </c>
    </row>
    <row r="154" spans="2:18" ht="12.75" customHeight="1" x14ac:dyDescent="0.2">
      <c r="B154" s="29" t="s">
        <v>168</v>
      </c>
      <c r="C154" s="30"/>
      <c r="D154" s="30"/>
      <c r="E154" s="30"/>
      <c r="F154" s="30">
        <v>311</v>
      </c>
      <c r="G154" s="30"/>
      <c r="H154" s="30"/>
      <c r="I154" s="30"/>
      <c r="J154" s="30"/>
      <c r="K154" s="30"/>
      <c r="L154" s="30"/>
      <c r="M154" s="30"/>
      <c r="N154" s="30"/>
      <c r="O154" s="30"/>
      <c r="P154" s="30"/>
      <c r="Q154" s="30"/>
      <c r="R154" s="30"/>
    </row>
    <row r="155" spans="2:18" ht="12.75" customHeight="1" x14ac:dyDescent="0.2">
      <c r="B155" s="29" t="s">
        <v>169</v>
      </c>
      <c r="C155" s="30">
        <v>6</v>
      </c>
      <c r="D155" s="30"/>
      <c r="E155" s="30">
        <v>2</v>
      </c>
      <c r="F155" s="30"/>
      <c r="G155" s="30">
        <v>1</v>
      </c>
      <c r="H155" s="30"/>
      <c r="I155" s="30">
        <v>20</v>
      </c>
      <c r="J155" s="30">
        <v>10</v>
      </c>
      <c r="K155" s="30"/>
      <c r="L155" s="30"/>
      <c r="M155" s="30">
        <v>2</v>
      </c>
      <c r="N155" s="30">
        <v>2</v>
      </c>
      <c r="O155" s="30">
        <v>21</v>
      </c>
      <c r="P155" s="30"/>
      <c r="Q155" s="30"/>
      <c r="R155" s="30">
        <v>9</v>
      </c>
    </row>
    <row r="156" spans="2:18" ht="12.75" customHeight="1" x14ac:dyDescent="0.2">
      <c r="B156" s="29" t="s">
        <v>170</v>
      </c>
      <c r="C156" s="30">
        <v>701</v>
      </c>
      <c r="D156" s="30">
        <v>1650</v>
      </c>
      <c r="E156" s="30">
        <v>2117</v>
      </c>
      <c r="F156" s="30">
        <v>3255</v>
      </c>
      <c r="G156" s="30">
        <v>4088</v>
      </c>
      <c r="H156" s="30">
        <v>2648</v>
      </c>
      <c r="I156" s="30">
        <v>4046</v>
      </c>
      <c r="J156" s="30">
        <v>4078</v>
      </c>
      <c r="K156" s="30">
        <v>2499</v>
      </c>
      <c r="L156" s="30">
        <v>5485</v>
      </c>
      <c r="M156" s="30">
        <v>6137</v>
      </c>
      <c r="N156" s="30">
        <v>10714</v>
      </c>
      <c r="O156" s="30">
        <v>2306</v>
      </c>
      <c r="P156" s="30">
        <v>2831</v>
      </c>
      <c r="Q156" s="30">
        <v>13836</v>
      </c>
      <c r="R156" s="30">
        <v>11859</v>
      </c>
    </row>
    <row r="157" spans="2:18" ht="12.75" customHeight="1" x14ac:dyDescent="0.2">
      <c r="B157" s="29" t="s">
        <v>171</v>
      </c>
      <c r="C157" s="30"/>
      <c r="D157" s="30"/>
      <c r="E157" s="30"/>
      <c r="F157" s="30"/>
      <c r="G157" s="30"/>
      <c r="H157" s="30"/>
      <c r="I157" s="30"/>
      <c r="J157" s="30"/>
      <c r="K157" s="30"/>
      <c r="L157" s="30">
        <v>1</v>
      </c>
      <c r="M157" s="30"/>
      <c r="N157" s="30"/>
      <c r="O157" s="30"/>
      <c r="P157" s="30"/>
      <c r="Q157" s="30"/>
      <c r="R157" s="30"/>
    </row>
    <row r="158" spans="2:18" ht="12.75" customHeight="1" x14ac:dyDescent="0.2">
      <c r="B158" s="29" t="s">
        <v>172</v>
      </c>
      <c r="C158" s="30">
        <v>26997</v>
      </c>
      <c r="D158" s="30">
        <v>21912</v>
      </c>
      <c r="E158" s="30">
        <v>22908</v>
      </c>
      <c r="F158" s="30">
        <v>29606</v>
      </c>
      <c r="G158" s="30">
        <v>31576</v>
      </c>
      <c r="H158" s="30">
        <v>36617</v>
      </c>
      <c r="I158" s="30">
        <v>42663</v>
      </c>
      <c r="J158" s="30">
        <v>45902</v>
      </c>
      <c r="K158" s="30">
        <v>20958</v>
      </c>
      <c r="L158" s="30">
        <v>19632</v>
      </c>
      <c r="M158" s="30">
        <v>36737</v>
      </c>
      <c r="N158" s="30">
        <v>66557</v>
      </c>
      <c r="O158" s="30">
        <v>12775</v>
      </c>
      <c r="P158" s="30">
        <v>34705</v>
      </c>
      <c r="Q158" s="30">
        <v>114267</v>
      </c>
      <c r="R158" s="30">
        <v>155155</v>
      </c>
    </row>
    <row r="159" spans="2:18" ht="12.75" customHeight="1" x14ac:dyDescent="0.2">
      <c r="B159" s="29" t="s">
        <v>173</v>
      </c>
      <c r="C159" s="30">
        <v>57994</v>
      </c>
      <c r="D159" s="30">
        <v>66912</v>
      </c>
      <c r="E159" s="30">
        <v>61560</v>
      </c>
      <c r="F159" s="30">
        <v>79665</v>
      </c>
      <c r="G159" s="30">
        <v>112025</v>
      </c>
      <c r="H159" s="30">
        <v>107437</v>
      </c>
      <c r="I159" s="30">
        <v>108762</v>
      </c>
      <c r="J159" s="30">
        <v>100040</v>
      </c>
      <c r="K159" s="30">
        <v>94871</v>
      </c>
      <c r="L159" s="30">
        <v>100971</v>
      </c>
      <c r="M159" s="30">
        <v>148943</v>
      </c>
      <c r="N159" s="30">
        <v>177655</v>
      </c>
      <c r="O159" s="30">
        <v>68936</v>
      </c>
      <c r="P159" s="30">
        <v>124483</v>
      </c>
      <c r="Q159" s="30">
        <v>227850</v>
      </c>
      <c r="R159" s="30">
        <v>187053</v>
      </c>
    </row>
    <row r="160" spans="2:18" ht="12.75" customHeight="1" x14ac:dyDescent="0.2">
      <c r="B160" s="29" t="s">
        <v>174</v>
      </c>
      <c r="C160" s="30"/>
      <c r="D160" s="30"/>
      <c r="E160" s="30"/>
      <c r="F160" s="30"/>
      <c r="G160" s="30"/>
      <c r="H160" s="30"/>
      <c r="I160" s="30"/>
      <c r="J160" s="30"/>
      <c r="K160" s="30"/>
      <c r="L160" s="30"/>
      <c r="M160" s="30"/>
      <c r="N160" s="30"/>
      <c r="O160" s="30"/>
      <c r="P160" s="30"/>
      <c r="Q160" s="30"/>
      <c r="R160" s="30"/>
    </row>
    <row r="161" spans="2:18" ht="12.75" customHeight="1" x14ac:dyDescent="0.2">
      <c r="B161" s="29" t="s">
        <v>175</v>
      </c>
      <c r="C161" s="30">
        <v>6</v>
      </c>
      <c r="D161" s="30">
        <v>6</v>
      </c>
      <c r="E161" s="30">
        <v>1</v>
      </c>
      <c r="F161" s="30">
        <v>1</v>
      </c>
      <c r="G161" s="30">
        <v>1</v>
      </c>
      <c r="H161" s="30">
        <v>3</v>
      </c>
      <c r="I161" s="30">
        <v>5</v>
      </c>
      <c r="J161" s="30">
        <v>1</v>
      </c>
      <c r="K161" s="30">
        <v>12</v>
      </c>
      <c r="L161" s="30">
        <v>5</v>
      </c>
      <c r="M161" s="30">
        <v>1</v>
      </c>
      <c r="N161" s="30">
        <v>1</v>
      </c>
      <c r="O161" s="30"/>
      <c r="P161" s="30">
        <v>1</v>
      </c>
      <c r="Q161" s="30">
        <v>3</v>
      </c>
      <c r="R161" s="30">
        <v>2</v>
      </c>
    </row>
    <row r="162" spans="2:18" ht="12.75" customHeight="1" x14ac:dyDescent="0.2">
      <c r="B162" s="29" t="s">
        <v>176</v>
      </c>
      <c r="C162" s="30">
        <v>23134</v>
      </c>
      <c r="D162" s="30">
        <v>26192</v>
      </c>
      <c r="E162" s="30">
        <v>22897</v>
      </c>
      <c r="F162" s="30">
        <v>26495</v>
      </c>
      <c r="G162" s="30">
        <v>31736</v>
      </c>
      <c r="H162" s="30">
        <v>35501</v>
      </c>
      <c r="I162" s="30">
        <v>45466</v>
      </c>
      <c r="J162" s="30">
        <v>54434</v>
      </c>
      <c r="K162" s="30">
        <v>38447</v>
      </c>
      <c r="L162" s="30">
        <v>54296</v>
      </c>
      <c r="M162" s="30">
        <v>77689</v>
      </c>
      <c r="N162" s="30">
        <v>96424</v>
      </c>
      <c r="O162" s="30">
        <v>29681</v>
      </c>
      <c r="P162" s="30">
        <v>62423</v>
      </c>
      <c r="Q162" s="30">
        <v>89322</v>
      </c>
      <c r="R162" s="30">
        <v>68908</v>
      </c>
    </row>
    <row r="163" spans="2:18" ht="12.75" customHeight="1" x14ac:dyDescent="0.2">
      <c r="B163" s="29" t="s">
        <v>177</v>
      </c>
      <c r="C163" s="30">
        <v>5146</v>
      </c>
      <c r="D163" s="30">
        <v>4916</v>
      </c>
      <c r="E163" s="30">
        <v>4776</v>
      </c>
      <c r="F163" s="30">
        <v>5357</v>
      </c>
      <c r="G163" s="30">
        <v>8154</v>
      </c>
      <c r="H163" s="30">
        <v>10179</v>
      </c>
      <c r="I163" s="30">
        <v>10723</v>
      </c>
      <c r="J163" s="30">
        <v>11231</v>
      </c>
      <c r="K163" s="30">
        <v>10929</v>
      </c>
      <c r="L163" s="30">
        <v>13174</v>
      </c>
      <c r="M163" s="30">
        <v>15876</v>
      </c>
      <c r="N163" s="30">
        <v>17910</v>
      </c>
      <c r="O163" s="30">
        <v>6314</v>
      </c>
      <c r="P163" s="30">
        <v>12883</v>
      </c>
      <c r="Q163" s="30">
        <v>43764</v>
      </c>
      <c r="R163" s="30">
        <v>36162</v>
      </c>
    </row>
    <row r="164" spans="2:18" ht="12.75" customHeight="1" x14ac:dyDescent="0.2">
      <c r="B164" s="29" t="s">
        <v>178</v>
      </c>
      <c r="C164" s="30">
        <v>141514</v>
      </c>
      <c r="D164" s="30">
        <v>117856</v>
      </c>
      <c r="E164" s="30">
        <v>96196</v>
      </c>
      <c r="F164" s="30">
        <v>101124</v>
      </c>
      <c r="G164" s="30">
        <v>108032</v>
      </c>
      <c r="H164" s="30">
        <v>111915</v>
      </c>
      <c r="I164" s="30">
        <v>132338</v>
      </c>
      <c r="J164" s="30">
        <v>149800</v>
      </c>
      <c r="K164" s="30">
        <v>140117</v>
      </c>
      <c r="L164" s="30">
        <v>171538</v>
      </c>
      <c r="M164" s="30">
        <v>194268</v>
      </c>
      <c r="N164" s="30">
        <v>198867</v>
      </c>
      <c r="O164" s="30">
        <v>109137</v>
      </c>
      <c r="P164" s="30">
        <v>192441</v>
      </c>
      <c r="Q164" s="30">
        <v>274257</v>
      </c>
      <c r="R164" s="30">
        <v>288377</v>
      </c>
    </row>
    <row r="165" spans="2:18" ht="12.75" customHeight="1" x14ac:dyDescent="0.2">
      <c r="B165" s="29" t="s">
        <v>179</v>
      </c>
      <c r="C165" s="30">
        <v>202</v>
      </c>
      <c r="D165" s="30">
        <v>298</v>
      </c>
      <c r="E165" s="30">
        <v>216</v>
      </c>
      <c r="F165" s="30">
        <v>257</v>
      </c>
      <c r="G165" s="30">
        <v>302</v>
      </c>
      <c r="H165" s="30">
        <v>263</v>
      </c>
      <c r="I165" s="30">
        <v>268</v>
      </c>
      <c r="J165" s="30">
        <v>240</v>
      </c>
      <c r="K165" s="30">
        <v>85</v>
      </c>
      <c r="L165" s="30">
        <v>108</v>
      </c>
      <c r="M165" s="30">
        <v>140</v>
      </c>
      <c r="N165" s="30">
        <v>252</v>
      </c>
      <c r="O165" s="30">
        <v>37</v>
      </c>
      <c r="P165" s="30">
        <v>78</v>
      </c>
      <c r="Q165" s="30">
        <v>134</v>
      </c>
      <c r="R165" s="30">
        <v>181</v>
      </c>
    </row>
    <row r="166" spans="2:18" ht="12.75" customHeight="1" x14ac:dyDescent="0.2">
      <c r="B166" s="29" t="s">
        <v>180</v>
      </c>
      <c r="C166" s="30"/>
      <c r="D166" s="30"/>
      <c r="E166" s="30"/>
      <c r="F166" s="30"/>
      <c r="G166" s="30"/>
      <c r="H166" s="30"/>
      <c r="I166" s="30"/>
      <c r="J166" s="30"/>
      <c r="K166" s="30"/>
      <c r="L166" s="30"/>
      <c r="M166" s="30"/>
      <c r="N166" s="30"/>
      <c r="O166" s="30"/>
      <c r="P166" s="30"/>
      <c r="Q166" s="30"/>
      <c r="R166" s="30"/>
    </row>
    <row r="167" spans="2:18" ht="12.75" customHeight="1" x14ac:dyDescent="0.2">
      <c r="B167" s="29" t="s">
        <v>181</v>
      </c>
      <c r="C167" s="30">
        <v>418</v>
      </c>
      <c r="D167" s="30">
        <v>576</v>
      </c>
      <c r="E167" s="30">
        <v>682</v>
      </c>
      <c r="F167" s="30">
        <v>833</v>
      </c>
      <c r="G167" s="30">
        <v>1333</v>
      </c>
      <c r="H167" s="30">
        <v>1600</v>
      </c>
      <c r="I167" s="30">
        <v>1744</v>
      </c>
      <c r="J167" s="30">
        <v>1742</v>
      </c>
      <c r="K167" s="30">
        <v>1742</v>
      </c>
      <c r="L167" s="30">
        <v>1831</v>
      </c>
      <c r="M167" s="30">
        <v>2714</v>
      </c>
      <c r="N167" s="30">
        <v>3382</v>
      </c>
      <c r="O167" s="30">
        <v>2653</v>
      </c>
      <c r="P167" s="30">
        <v>6287</v>
      </c>
      <c r="Q167" s="30">
        <v>5937</v>
      </c>
      <c r="R167" s="30">
        <v>4263</v>
      </c>
    </row>
    <row r="168" spans="2:18" ht="12.75" customHeight="1" x14ac:dyDescent="0.2">
      <c r="B168" s="29" t="s">
        <v>182</v>
      </c>
      <c r="C168" s="30">
        <v>151</v>
      </c>
      <c r="D168" s="30">
        <v>194</v>
      </c>
      <c r="E168" s="30">
        <v>163</v>
      </c>
      <c r="F168" s="30">
        <v>311</v>
      </c>
      <c r="G168" s="30">
        <v>386</v>
      </c>
      <c r="H168" s="30">
        <v>485</v>
      </c>
      <c r="I168" s="30">
        <v>586</v>
      </c>
      <c r="J168" s="30">
        <v>708</v>
      </c>
      <c r="K168" s="30">
        <v>698</v>
      </c>
      <c r="L168" s="30">
        <v>493</v>
      </c>
      <c r="M168" s="30">
        <v>716</v>
      </c>
      <c r="N168" s="30">
        <v>844</v>
      </c>
      <c r="O168" s="30">
        <v>201</v>
      </c>
      <c r="P168" s="30">
        <v>464</v>
      </c>
      <c r="Q168" s="30">
        <v>1230</v>
      </c>
      <c r="R168" s="30">
        <v>1437</v>
      </c>
    </row>
    <row r="169" spans="2:18" ht="12.75" customHeight="1" x14ac:dyDescent="0.2">
      <c r="B169" s="29" t="s">
        <v>183</v>
      </c>
      <c r="C169" s="30">
        <v>447</v>
      </c>
      <c r="D169" s="30">
        <v>420</v>
      </c>
      <c r="E169" s="30">
        <v>376</v>
      </c>
      <c r="F169" s="30">
        <v>644</v>
      </c>
      <c r="G169" s="30">
        <v>815</v>
      </c>
      <c r="H169" s="30">
        <v>893</v>
      </c>
      <c r="I169" s="30">
        <v>977</v>
      </c>
      <c r="J169" s="30">
        <v>1301</v>
      </c>
      <c r="K169" s="30">
        <v>851</v>
      </c>
      <c r="L169" s="30">
        <v>782</v>
      </c>
      <c r="M169" s="30">
        <v>1666</v>
      </c>
      <c r="N169" s="30">
        <v>3840</v>
      </c>
      <c r="O169" s="30">
        <v>879</v>
      </c>
      <c r="P169" s="30">
        <v>663</v>
      </c>
      <c r="Q169" s="30">
        <v>1159</v>
      </c>
      <c r="R169" s="30">
        <v>2445</v>
      </c>
    </row>
    <row r="170" spans="2:18" ht="12.75" customHeight="1" x14ac:dyDescent="0.2">
      <c r="B170" s="29" t="s">
        <v>184</v>
      </c>
      <c r="C170" s="30">
        <v>113</v>
      </c>
      <c r="D170" s="30">
        <v>107</v>
      </c>
      <c r="E170" s="30">
        <v>124</v>
      </c>
      <c r="F170" s="30">
        <v>178</v>
      </c>
      <c r="G170" s="30">
        <v>206</v>
      </c>
      <c r="H170" s="30">
        <v>253</v>
      </c>
      <c r="I170" s="30">
        <v>271</v>
      </c>
      <c r="J170" s="30">
        <v>363</v>
      </c>
      <c r="K170" s="30">
        <v>314</v>
      </c>
      <c r="L170" s="30">
        <v>248</v>
      </c>
      <c r="M170" s="30">
        <v>11</v>
      </c>
      <c r="N170" s="30">
        <v>429</v>
      </c>
      <c r="O170" s="30">
        <v>136</v>
      </c>
      <c r="P170" s="30">
        <v>165</v>
      </c>
      <c r="Q170" s="30">
        <v>450</v>
      </c>
      <c r="R170" s="30">
        <v>319</v>
      </c>
    </row>
    <row r="171" spans="2:18" ht="12.75" customHeight="1" x14ac:dyDescent="0.2">
      <c r="B171" s="29" t="s">
        <v>185</v>
      </c>
      <c r="C171" s="30">
        <v>5</v>
      </c>
      <c r="D171" s="30">
        <v>1</v>
      </c>
      <c r="E171" s="30"/>
      <c r="F171" s="30"/>
      <c r="G171" s="30">
        <v>4</v>
      </c>
      <c r="H171" s="30">
        <v>9</v>
      </c>
      <c r="I171" s="30">
        <v>34</v>
      </c>
      <c r="J171" s="30">
        <v>1</v>
      </c>
      <c r="K171" s="30">
        <v>10</v>
      </c>
      <c r="L171" s="30"/>
      <c r="M171" s="30"/>
      <c r="N171" s="30">
        <v>2</v>
      </c>
      <c r="O171" s="30"/>
      <c r="P171" s="30">
        <v>0</v>
      </c>
      <c r="Q171" s="30">
        <v>10</v>
      </c>
      <c r="R171" s="30">
        <v>1</v>
      </c>
    </row>
    <row r="172" spans="2:18" ht="12.75" customHeight="1" x14ac:dyDescent="0.2">
      <c r="B172" s="29" t="s">
        <v>186</v>
      </c>
      <c r="C172" s="30">
        <v>418</v>
      </c>
      <c r="D172" s="30">
        <v>712</v>
      </c>
      <c r="E172" s="30">
        <v>634</v>
      </c>
      <c r="F172" s="30">
        <v>915</v>
      </c>
      <c r="G172" s="30">
        <v>1277</v>
      </c>
      <c r="H172" s="30">
        <v>1155</v>
      </c>
      <c r="I172" s="30">
        <v>1880</v>
      </c>
      <c r="J172" s="30">
        <v>3795</v>
      </c>
      <c r="K172" s="30">
        <v>3425</v>
      </c>
      <c r="L172" s="30">
        <v>5904</v>
      </c>
      <c r="M172" s="30">
        <v>7788</v>
      </c>
      <c r="N172" s="30">
        <v>8271</v>
      </c>
      <c r="O172" s="30">
        <v>2446</v>
      </c>
      <c r="P172" s="30">
        <v>2310</v>
      </c>
      <c r="Q172" s="30">
        <v>5382</v>
      </c>
      <c r="R172" s="30">
        <v>6663</v>
      </c>
    </row>
    <row r="173" spans="2:18" ht="12.75" customHeight="1" x14ac:dyDescent="0.2">
      <c r="B173" s="29" t="s">
        <v>187</v>
      </c>
      <c r="C173" s="30">
        <v>160</v>
      </c>
      <c r="D173" s="30">
        <v>230</v>
      </c>
      <c r="E173" s="30">
        <v>159</v>
      </c>
      <c r="F173" s="30">
        <v>342</v>
      </c>
      <c r="G173" s="30">
        <v>510</v>
      </c>
      <c r="H173" s="30">
        <v>1338</v>
      </c>
      <c r="I173" s="30">
        <v>1346</v>
      </c>
      <c r="J173" s="30">
        <v>1268</v>
      </c>
      <c r="K173" s="30">
        <v>1369</v>
      </c>
      <c r="L173" s="30">
        <v>1388</v>
      </c>
      <c r="M173" s="30">
        <v>1551</v>
      </c>
      <c r="N173" s="30">
        <v>2127</v>
      </c>
      <c r="O173" s="30">
        <v>1045</v>
      </c>
      <c r="P173" s="30">
        <v>2713</v>
      </c>
      <c r="Q173" s="30">
        <v>4088</v>
      </c>
      <c r="R173" s="30">
        <v>2704</v>
      </c>
    </row>
    <row r="174" spans="2:18" ht="12.75" customHeight="1" x14ac:dyDescent="0.2">
      <c r="B174" s="29" t="s">
        <v>188</v>
      </c>
      <c r="C174" s="30">
        <v>7237</v>
      </c>
      <c r="D174" s="30">
        <v>9420</v>
      </c>
      <c r="E174" s="30">
        <v>9172</v>
      </c>
      <c r="F174" s="30">
        <v>14564</v>
      </c>
      <c r="G174" s="30">
        <v>19897</v>
      </c>
      <c r="H174" s="30">
        <v>22869</v>
      </c>
      <c r="I174" s="30">
        <v>28387</v>
      </c>
      <c r="J174" s="30">
        <v>27711</v>
      </c>
      <c r="K174" s="30">
        <v>25264</v>
      </c>
      <c r="L174" s="30">
        <v>25760</v>
      </c>
      <c r="M174" s="30">
        <v>28510</v>
      </c>
      <c r="N174" s="30">
        <v>39885</v>
      </c>
      <c r="O174" s="30">
        <v>17493</v>
      </c>
      <c r="P174" s="30">
        <v>26508</v>
      </c>
      <c r="Q174" s="30">
        <v>38566</v>
      </c>
      <c r="R174" s="30">
        <v>26125</v>
      </c>
    </row>
    <row r="175" spans="2:18" ht="12.75" customHeight="1" x14ac:dyDescent="0.2">
      <c r="B175" s="29" t="s">
        <v>189</v>
      </c>
      <c r="C175" s="30">
        <v>317</v>
      </c>
      <c r="D175" s="30">
        <v>219</v>
      </c>
      <c r="E175" s="30">
        <v>198</v>
      </c>
      <c r="F175" s="30">
        <v>438</v>
      </c>
      <c r="G175" s="30">
        <v>590</v>
      </c>
      <c r="H175" s="30">
        <v>495</v>
      </c>
      <c r="I175" s="30">
        <v>490</v>
      </c>
      <c r="J175" s="30">
        <v>1057</v>
      </c>
      <c r="K175" s="30">
        <v>664</v>
      </c>
      <c r="L175" s="30">
        <v>689</v>
      </c>
      <c r="M175" s="30">
        <v>566</v>
      </c>
      <c r="N175" s="30">
        <v>702</v>
      </c>
      <c r="O175" s="30">
        <v>156</v>
      </c>
      <c r="P175" s="30">
        <v>461</v>
      </c>
      <c r="Q175" s="30">
        <v>1380</v>
      </c>
      <c r="R175" s="30">
        <v>1554</v>
      </c>
    </row>
    <row r="176" spans="2:18" ht="12.75" customHeight="1" x14ac:dyDescent="0.2">
      <c r="B176" s="29" t="s">
        <v>190</v>
      </c>
      <c r="C176" s="30"/>
      <c r="D176" s="30"/>
      <c r="E176" s="30"/>
      <c r="F176" s="30"/>
      <c r="G176" s="30"/>
      <c r="H176" s="30"/>
      <c r="I176" s="30"/>
      <c r="J176" s="30"/>
      <c r="K176" s="30"/>
      <c r="L176" s="30"/>
      <c r="M176" s="30"/>
      <c r="N176" s="30"/>
      <c r="O176" s="30"/>
      <c r="P176" s="30"/>
      <c r="Q176" s="30"/>
      <c r="R176" s="30"/>
    </row>
    <row r="177" spans="2:18" ht="12.75" customHeight="1" x14ac:dyDescent="0.2">
      <c r="B177" s="29" t="s">
        <v>191</v>
      </c>
      <c r="C177" s="30">
        <v>250458</v>
      </c>
      <c r="D177" s="30">
        <v>262314</v>
      </c>
      <c r="E177" s="30">
        <v>299405</v>
      </c>
      <c r="F177" s="30">
        <v>375502</v>
      </c>
      <c r="G177" s="30">
        <v>406879</v>
      </c>
      <c r="H177" s="30">
        <v>412870</v>
      </c>
      <c r="I177" s="30">
        <v>326292</v>
      </c>
      <c r="J177" s="30">
        <v>282210</v>
      </c>
      <c r="K177" s="30">
        <v>156215</v>
      </c>
      <c r="L177" s="30">
        <v>116180</v>
      </c>
      <c r="M177" s="30">
        <v>161789</v>
      </c>
      <c r="N177" s="30">
        <v>208330</v>
      </c>
      <c r="O177" s="30">
        <v>25100</v>
      </c>
      <c r="P177" s="30">
        <v>54633</v>
      </c>
      <c r="Q177" s="30">
        <v>191789</v>
      </c>
      <c r="R177" s="30">
        <v>203325</v>
      </c>
    </row>
    <row r="178" spans="2:18" ht="12.75" customHeight="1" x14ac:dyDescent="0.2">
      <c r="B178" s="29" t="s">
        <v>192</v>
      </c>
      <c r="C178" s="30">
        <v>78</v>
      </c>
      <c r="D178" s="30">
        <v>227</v>
      </c>
      <c r="E178" s="30">
        <v>72</v>
      </c>
      <c r="F178" s="30">
        <v>140</v>
      </c>
      <c r="G178" s="30">
        <v>144</v>
      </c>
      <c r="H178" s="30">
        <v>172</v>
      </c>
      <c r="I178" s="30">
        <v>178</v>
      </c>
      <c r="J178" s="30">
        <v>134</v>
      </c>
      <c r="K178" s="30">
        <v>177</v>
      </c>
      <c r="L178" s="30">
        <v>153</v>
      </c>
      <c r="M178" s="30">
        <v>227</v>
      </c>
      <c r="N178" s="30">
        <v>199</v>
      </c>
      <c r="O178" s="30">
        <v>104</v>
      </c>
      <c r="P178" s="30">
        <v>213</v>
      </c>
      <c r="Q178" s="30">
        <v>244</v>
      </c>
      <c r="R178" s="30">
        <v>201</v>
      </c>
    </row>
    <row r="179" spans="2:18" ht="12.75" customHeight="1" x14ac:dyDescent="0.2">
      <c r="B179" s="29" t="s">
        <v>193</v>
      </c>
      <c r="C179" s="30">
        <v>69127</v>
      </c>
      <c r="D179" s="30">
        <v>73910</v>
      </c>
      <c r="E179" s="30">
        <v>68124</v>
      </c>
      <c r="F179" s="30">
        <v>85011</v>
      </c>
      <c r="G179" s="30">
        <v>105976</v>
      </c>
      <c r="H179" s="30">
        <v>129292</v>
      </c>
      <c r="I179" s="30">
        <v>143354</v>
      </c>
      <c r="J179" s="30">
        <v>143331</v>
      </c>
      <c r="K179" s="30">
        <v>134330</v>
      </c>
      <c r="L179" s="30">
        <v>195745</v>
      </c>
      <c r="M179" s="30">
        <v>241235</v>
      </c>
      <c r="N179" s="30">
        <v>252138</v>
      </c>
      <c r="O179" s="30">
        <v>102598</v>
      </c>
      <c r="P179" s="30">
        <v>272604</v>
      </c>
      <c r="Q179" s="30">
        <v>419673</v>
      </c>
      <c r="R179" s="30">
        <v>470644</v>
      </c>
    </row>
    <row r="180" spans="2:18" ht="12.75" customHeight="1" x14ac:dyDescent="0.2">
      <c r="B180" s="29" t="s">
        <v>194</v>
      </c>
      <c r="C180" s="30">
        <v>22473</v>
      </c>
      <c r="D180" s="30">
        <v>24004</v>
      </c>
      <c r="E180" s="30">
        <v>22540</v>
      </c>
      <c r="F180" s="30">
        <v>26735</v>
      </c>
      <c r="G180" s="30">
        <v>28394</v>
      </c>
      <c r="H180" s="30">
        <v>34170</v>
      </c>
      <c r="I180" s="30">
        <v>48420</v>
      </c>
      <c r="J180" s="30">
        <v>59700</v>
      </c>
      <c r="K180" s="30">
        <v>52023</v>
      </c>
      <c r="L180" s="30">
        <v>77464</v>
      </c>
      <c r="M180" s="30">
        <v>113579</v>
      </c>
      <c r="N180" s="30">
        <v>130736</v>
      </c>
      <c r="O180" s="30">
        <v>51326</v>
      </c>
      <c r="P180" s="30">
        <v>90681</v>
      </c>
      <c r="Q180" s="30">
        <v>173621</v>
      </c>
      <c r="R180" s="30">
        <v>140388</v>
      </c>
    </row>
    <row r="181" spans="2:18" ht="12.75" customHeight="1" x14ac:dyDescent="0.2">
      <c r="B181" s="29" t="s">
        <v>195</v>
      </c>
      <c r="C181" s="30">
        <v>14</v>
      </c>
      <c r="D181" s="30">
        <v>10</v>
      </c>
      <c r="E181" s="30">
        <v>1</v>
      </c>
      <c r="F181" s="30">
        <v>4</v>
      </c>
      <c r="G181" s="30">
        <v>8</v>
      </c>
      <c r="H181" s="30">
        <v>10</v>
      </c>
      <c r="I181" s="30">
        <v>3</v>
      </c>
      <c r="J181" s="30">
        <v>2</v>
      </c>
      <c r="K181" s="30">
        <v>10</v>
      </c>
      <c r="L181" s="30">
        <v>4</v>
      </c>
      <c r="M181" s="30">
        <v>23</v>
      </c>
      <c r="N181" s="30">
        <v>1</v>
      </c>
      <c r="O181" s="30">
        <v>1</v>
      </c>
      <c r="P181" s="30">
        <v>3</v>
      </c>
      <c r="Q181" s="30">
        <v>0</v>
      </c>
      <c r="R181" s="30">
        <v>1</v>
      </c>
    </row>
    <row r="182" spans="2:18" ht="12.75" customHeight="1" x14ac:dyDescent="0.2">
      <c r="B182" s="29" t="s">
        <v>196</v>
      </c>
      <c r="C182" s="30">
        <v>732</v>
      </c>
      <c r="D182" s="30">
        <v>1398</v>
      </c>
      <c r="E182" s="30">
        <v>776</v>
      </c>
      <c r="F182" s="30">
        <v>1347</v>
      </c>
      <c r="G182" s="30">
        <v>1529</v>
      </c>
      <c r="H182" s="30">
        <v>1670</v>
      </c>
      <c r="I182" s="30">
        <v>1764</v>
      </c>
      <c r="J182" s="30">
        <v>1997</v>
      </c>
      <c r="K182" s="30">
        <v>1461</v>
      </c>
      <c r="L182" s="30">
        <v>2004</v>
      </c>
      <c r="M182" s="30">
        <v>3701</v>
      </c>
      <c r="N182" s="30">
        <v>4431</v>
      </c>
      <c r="O182" s="30">
        <v>1415</v>
      </c>
      <c r="P182" s="30">
        <v>2944</v>
      </c>
      <c r="Q182" s="30">
        <v>8231</v>
      </c>
      <c r="R182" s="30">
        <v>8979</v>
      </c>
    </row>
    <row r="183" spans="2:18" ht="12.75" customHeight="1" x14ac:dyDescent="0.2">
      <c r="B183" s="29" t="s">
        <v>197</v>
      </c>
      <c r="C183" s="30">
        <v>21</v>
      </c>
      <c r="D183" s="30">
        <v>21</v>
      </c>
      <c r="E183" s="30">
        <v>33</v>
      </c>
      <c r="F183" s="30">
        <v>25</v>
      </c>
      <c r="G183" s="30">
        <v>29</v>
      </c>
      <c r="H183" s="30">
        <v>48</v>
      </c>
      <c r="I183" s="30">
        <v>141</v>
      </c>
      <c r="J183" s="30">
        <v>60</v>
      </c>
      <c r="K183" s="30">
        <v>24</v>
      </c>
      <c r="L183" s="30">
        <v>22</v>
      </c>
      <c r="M183" s="30">
        <v>23</v>
      </c>
      <c r="N183" s="30">
        <v>24</v>
      </c>
      <c r="O183" s="30">
        <v>5</v>
      </c>
      <c r="P183" s="30">
        <v>1</v>
      </c>
      <c r="Q183" s="30">
        <v>17</v>
      </c>
      <c r="R183" s="30">
        <v>26</v>
      </c>
    </row>
    <row r="184" spans="2:18" ht="12.75" customHeight="1" x14ac:dyDescent="0.2">
      <c r="B184" s="29" t="s">
        <v>198</v>
      </c>
      <c r="C184" s="30">
        <v>323</v>
      </c>
      <c r="D184" s="30">
        <v>385</v>
      </c>
      <c r="E184" s="30">
        <v>431</v>
      </c>
      <c r="F184" s="30">
        <v>586</v>
      </c>
      <c r="G184" s="30">
        <v>700</v>
      </c>
      <c r="H184" s="30">
        <v>937</v>
      </c>
      <c r="I184" s="30">
        <v>825</v>
      </c>
      <c r="J184" s="30">
        <v>1263</v>
      </c>
      <c r="K184" s="30">
        <v>974</v>
      </c>
      <c r="L184" s="30">
        <v>660</v>
      </c>
      <c r="M184" s="30">
        <v>1025</v>
      </c>
      <c r="N184" s="30">
        <v>1328</v>
      </c>
      <c r="O184" s="30">
        <v>295</v>
      </c>
      <c r="P184" s="30">
        <v>562</v>
      </c>
      <c r="Q184" s="30">
        <v>1599</v>
      </c>
      <c r="R184" s="30">
        <v>1537</v>
      </c>
    </row>
    <row r="185" spans="2:18" ht="12.75" customHeight="1" x14ac:dyDescent="0.2">
      <c r="B185" s="29" t="s">
        <v>199</v>
      </c>
      <c r="C185" s="30">
        <v>1735</v>
      </c>
      <c r="D185" s="30">
        <v>1926</v>
      </c>
      <c r="E185" s="30">
        <v>2016</v>
      </c>
      <c r="F185" s="30">
        <v>2697</v>
      </c>
      <c r="G185" s="30">
        <v>2952</v>
      </c>
      <c r="H185" s="30">
        <v>4393</v>
      </c>
      <c r="I185" s="30">
        <v>5733</v>
      </c>
      <c r="J185" s="30">
        <v>7281</v>
      </c>
      <c r="K185" s="30">
        <v>4667</v>
      </c>
      <c r="L185" s="30">
        <v>5085</v>
      </c>
      <c r="M185" s="30">
        <v>8674</v>
      </c>
      <c r="N185" s="30">
        <v>11430</v>
      </c>
      <c r="O185" s="30">
        <v>1889</v>
      </c>
      <c r="P185" s="30">
        <v>3642</v>
      </c>
      <c r="Q185" s="30">
        <v>13487</v>
      </c>
      <c r="R185" s="30">
        <v>19620</v>
      </c>
    </row>
    <row r="186" spans="2:18" ht="12.75" customHeight="1" x14ac:dyDescent="0.2">
      <c r="B186" s="29" t="s">
        <v>200</v>
      </c>
      <c r="C186" s="30"/>
      <c r="D186" s="30"/>
      <c r="E186" s="30"/>
      <c r="F186" s="30"/>
      <c r="G186" s="30"/>
      <c r="H186" s="30"/>
      <c r="I186" s="30">
        <v>100</v>
      </c>
      <c r="J186" s="30"/>
      <c r="K186" s="30"/>
      <c r="L186" s="30">
        <v>2</v>
      </c>
      <c r="M186" s="30"/>
      <c r="N186" s="30"/>
      <c r="O186" s="30"/>
      <c r="P186" s="30"/>
      <c r="Q186" s="30"/>
      <c r="R186" s="30"/>
    </row>
    <row r="187" spans="2:18" ht="12.75" customHeight="1" x14ac:dyDescent="0.2">
      <c r="B187" s="29" t="s">
        <v>201</v>
      </c>
      <c r="C187" s="30">
        <v>397682</v>
      </c>
      <c r="D187" s="30">
        <v>419475</v>
      </c>
      <c r="E187" s="30">
        <v>428275</v>
      </c>
      <c r="F187" s="30">
        <v>486319</v>
      </c>
      <c r="G187" s="30">
        <v>428440</v>
      </c>
      <c r="H187" s="30">
        <v>423129</v>
      </c>
      <c r="I187" s="30">
        <v>510569</v>
      </c>
      <c r="J187" s="30">
        <v>500779</v>
      </c>
      <c r="K187" s="30">
        <v>205701</v>
      </c>
      <c r="L187" s="30">
        <v>296120</v>
      </c>
      <c r="M187" s="30">
        <v>646365</v>
      </c>
      <c r="N187" s="30">
        <v>880839</v>
      </c>
      <c r="O187" s="30">
        <v>145908</v>
      </c>
      <c r="P187" s="30">
        <v>585076</v>
      </c>
      <c r="Q187" s="30">
        <v>1135903</v>
      </c>
      <c r="R187" s="30">
        <v>1539123</v>
      </c>
    </row>
    <row r="188" spans="2:18" ht="12.75" customHeight="1" x14ac:dyDescent="0.2">
      <c r="B188" s="29" t="s">
        <v>202</v>
      </c>
      <c r="C188" s="30">
        <v>36977</v>
      </c>
      <c r="D188" s="30">
        <v>46900</v>
      </c>
      <c r="E188" s="30">
        <v>53373</v>
      </c>
      <c r="F188" s="30">
        <v>52319</v>
      </c>
      <c r="G188" s="30">
        <v>46606</v>
      </c>
      <c r="H188" s="30">
        <v>45928</v>
      </c>
      <c r="I188" s="30">
        <v>52851</v>
      </c>
      <c r="J188" s="30">
        <v>56312</v>
      </c>
      <c r="K188" s="30">
        <v>27015</v>
      </c>
      <c r="L188" s="30">
        <v>26727</v>
      </c>
      <c r="M188" s="30">
        <v>39948</v>
      </c>
      <c r="N188" s="30">
        <v>54130</v>
      </c>
      <c r="O188" s="30">
        <v>12893</v>
      </c>
      <c r="P188" s="30">
        <v>26379</v>
      </c>
      <c r="Q188" s="30">
        <v>74812</v>
      </c>
      <c r="R188" s="30">
        <v>92901</v>
      </c>
    </row>
    <row r="189" spans="2:18" ht="12.75" customHeight="1" x14ac:dyDescent="0.2">
      <c r="B189" s="29" t="s">
        <v>588</v>
      </c>
      <c r="C189" s="30"/>
      <c r="D189" s="30"/>
      <c r="E189" s="30"/>
      <c r="F189" s="30"/>
      <c r="G189" s="30"/>
      <c r="H189" s="30"/>
      <c r="I189" s="30"/>
      <c r="J189" s="30"/>
      <c r="K189" s="30"/>
      <c r="L189" s="30"/>
      <c r="M189" s="30"/>
      <c r="N189" s="30"/>
      <c r="O189" s="30"/>
      <c r="P189" s="30"/>
      <c r="Q189" s="30">
        <v>12</v>
      </c>
      <c r="R189" s="30"/>
    </row>
    <row r="190" spans="2:18" ht="12.75" customHeight="1" x14ac:dyDescent="0.2">
      <c r="B190" s="29" t="s">
        <v>203</v>
      </c>
      <c r="C190" s="30">
        <v>1</v>
      </c>
      <c r="D190" s="30">
        <v>3</v>
      </c>
      <c r="E190" s="30">
        <v>16</v>
      </c>
      <c r="F190" s="30">
        <v>15</v>
      </c>
      <c r="G190" s="30"/>
      <c r="H190" s="30">
        <v>2</v>
      </c>
      <c r="I190" s="30"/>
      <c r="J190" s="30"/>
      <c r="K190" s="30"/>
      <c r="L190" s="30"/>
      <c r="M190" s="30"/>
      <c r="N190" s="30"/>
      <c r="O190" s="30"/>
      <c r="P190" s="30"/>
      <c r="Q190" s="30">
        <v>20</v>
      </c>
      <c r="R190" s="30">
        <v>5</v>
      </c>
    </row>
    <row r="191" spans="2:18" ht="12.75" customHeight="1" x14ac:dyDescent="0.2">
      <c r="B191" s="29" t="s">
        <v>204</v>
      </c>
      <c r="C191" s="30">
        <v>0</v>
      </c>
      <c r="D191" s="30"/>
      <c r="E191" s="30"/>
      <c r="F191" s="30"/>
      <c r="G191" s="30"/>
      <c r="H191" s="30"/>
      <c r="I191" s="30"/>
      <c r="J191" s="30"/>
      <c r="K191" s="30">
        <v>6</v>
      </c>
      <c r="L191" s="30"/>
      <c r="M191" s="30"/>
      <c r="N191" s="30"/>
      <c r="O191" s="30"/>
      <c r="P191" s="30"/>
      <c r="Q191" s="30"/>
      <c r="R191" s="30"/>
    </row>
    <row r="192" spans="2:18" ht="12.75" customHeight="1" x14ac:dyDescent="0.2">
      <c r="B192" s="29" t="s">
        <v>205</v>
      </c>
      <c r="C192" s="30">
        <v>447419</v>
      </c>
      <c r="D192" s="30">
        <v>366698</v>
      </c>
      <c r="E192" s="30">
        <v>355144</v>
      </c>
      <c r="F192" s="30">
        <v>390248</v>
      </c>
      <c r="G192" s="30">
        <v>385055</v>
      </c>
      <c r="H192" s="30">
        <v>395214</v>
      </c>
      <c r="I192" s="30">
        <v>426585</v>
      </c>
      <c r="J192" s="30">
        <v>441097</v>
      </c>
      <c r="K192" s="30">
        <v>357473</v>
      </c>
      <c r="L192" s="30">
        <v>423868</v>
      </c>
      <c r="M192" s="30">
        <v>641484</v>
      </c>
      <c r="N192" s="30">
        <v>763320</v>
      </c>
      <c r="O192" s="30">
        <v>269076</v>
      </c>
      <c r="P192" s="30">
        <v>496178</v>
      </c>
      <c r="Q192" s="30">
        <v>886555</v>
      </c>
      <c r="R192" s="30">
        <v>990005</v>
      </c>
    </row>
    <row r="193" spans="2:18" ht="12.75" customHeight="1" x14ac:dyDescent="0.2">
      <c r="B193" s="29" t="s">
        <v>206</v>
      </c>
      <c r="C193" s="30">
        <v>43</v>
      </c>
      <c r="D193" s="30">
        <v>173</v>
      </c>
      <c r="E193" s="30">
        <v>89</v>
      </c>
      <c r="F193" s="30">
        <v>188</v>
      </c>
      <c r="G193" s="30">
        <v>510</v>
      </c>
      <c r="H193" s="30">
        <v>486</v>
      </c>
      <c r="I193" s="30">
        <v>593</v>
      </c>
      <c r="J193" s="30">
        <v>667</v>
      </c>
      <c r="K193" s="30">
        <v>635</v>
      </c>
      <c r="L193" s="30">
        <v>749</v>
      </c>
      <c r="M193" s="30">
        <v>697</v>
      </c>
      <c r="N193" s="30">
        <v>1116</v>
      </c>
      <c r="O193" s="30">
        <v>398</v>
      </c>
      <c r="P193" s="30">
        <v>1063</v>
      </c>
      <c r="Q193" s="30">
        <v>1658</v>
      </c>
      <c r="R193" s="30">
        <v>1235</v>
      </c>
    </row>
    <row r="194" spans="2:18" ht="12.75" customHeight="1" x14ac:dyDescent="0.2">
      <c r="B194" s="29" t="s">
        <v>207</v>
      </c>
      <c r="C194" s="30">
        <v>2879278</v>
      </c>
      <c r="D194" s="30">
        <v>2694733</v>
      </c>
      <c r="E194" s="30">
        <v>3107043</v>
      </c>
      <c r="F194" s="30">
        <v>3468214</v>
      </c>
      <c r="G194" s="30">
        <v>3599925</v>
      </c>
      <c r="H194" s="30">
        <v>4269306</v>
      </c>
      <c r="I194" s="30">
        <v>4479049</v>
      </c>
      <c r="J194" s="30">
        <v>3649003</v>
      </c>
      <c r="K194" s="30">
        <v>866256</v>
      </c>
      <c r="L194" s="30">
        <v>4715438</v>
      </c>
      <c r="M194" s="30">
        <v>5964613</v>
      </c>
      <c r="N194" s="30">
        <v>7017657</v>
      </c>
      <c r="O194" s="30">
        <v>2128758</v>
      </c>
      <c r="P194" s="30">
        <v>4694422</v>
      </c>
      <c r="Q194" s="30">
        <v>5232611</v>
      </c>
      <c r="R194" s="30">
        <v>6313675</v>
      </c>
    </row>
    <row r="195" spans="2:18" ht="12.75" customHeight="1" x14ac:dyDescent="0.2">
      <c r="B195" s="29" t="s">
        <v>208</v>
      </c>
      <c r="C195" s="30"/>
      <c r="D195" s="30"/>
      <c r="E195" s="30"/>
      <c r="F195" s="30"/>
      <c r="G195" s="30"/>
      <c r="H195" s="30"/>
      <c r="I195" s="30"/>
      <c r="J195" s="30"/>
      <c r="K195" s="30"/>
      <c r="L195" s="30">
        <v>2</v>
      </c>
      <c r="M195" s="30"/>
      <c r="N195" s="30"/>
      <c r="O195" s="30"/>
      <c r="P195" s="30"/>
      <c r="Q195" s="30"/>
      <c r="R195" s="30"/>
    </row>
    <row r="196" spans="2:18" ht="12.75" customHeight="1" x14ac:dyDescent="0.2">
      <c r="B196" s="29" t="s">
        <v>209</v>
      </c>
      <c r="C196" s="30">
        <v>15</v>
      </c>
      <c r="D196" s="30">
        <v>14</v>
      </c>
      <c r="E196" s="30">
        <v>44</v>
      </c>
      <c r="F196" s="30">
        <v>69</v>
      </c>
      <c r="G196" s="30">
        <v>244</v>
      </c>
      <c r="H196" s="30">
        <v>497</v>
      </c>
      <c r="I196" s="30">
        <v>470</v>
      </c>
      <c r="J196" s="30">
        <v>1335</v>
      </c>
      <c r="K196" s="30">
        <v>1949</v>
      </c>
      <c r="L196" s="30">
        <v>2429</v>
      </c>
      <c r="M196" s="30">
        <v>3414</v>
      </c>
      <c r="N196" s="30">
        <v>4199</v>
      </c>
      <c r="O196" s="30">
        <v>1648</v>
      </c>
      <c r="P196" s="30">
        <v>5077</v>
      </c>
      <c r="Q196" s="30">
        <v>9707</v>
      </c>
      <c r="R196" s="30">
        <v>11001</v>
      </c>
    </row>
    <row r="197" spans="2:18" ht="12.75" customHeight="1" x14ac:dyDescent="0.2">
      <c r="B197" s="29" t="s">
        <v>210</v>
      </c>
      <c r="C197" s="30">
        <v>28</v>
      </c>
      <c r="D197" s="30">
        <v>48</v>
      </c>
      <c r="E197" s="30">
        <v>68</v>
      </c>
      <c r="F197" s="30">
        <v>49</v>
      </c>
      <c r="G197" s="30">
        <v>99</v>
      </c>
      <c r="H197" s="30">
        <v>91</v>
      </c>
      <c r="I197" s="30">
        <v>156</v>
      </c>
      <c r="J197" s="30">
        <v>179</v>
      </c>
      <c r="K197" s="30">
        <v>61</v>
      </c>
      <c r="L197" s="30">
        <v>71</v>
      </c>
      <c r="M197" s="30">
        <v>127</v>
      </c>
      <c r="N197" s="30">
        <v>188</v>
      </c>
      <c r="O197" s="30">
        <v>54</v>
      </c>
      <c r="P197" s="30">
        <v>214</v>
      </c>
      <c r="Q197" s="30">
        <v>434</v>
      </c>
      <c r="R197" s="30">
        <v>492</v>
      </c>
    </row>
    <row r="198" spans="2:18" ht="12.75" customHeight="1" x14ac:dyDescent="0.2">
      <c r="B198" s="29" t="s">
        <v>211</v>
      </c>
      <c r="C198" s="30"/>
      <c r="D198" s="30"/>
      <c r="E198" s="30"/>
      <c r="F198" s="30"/>
      <c r="G198" s="30"/>
      <c r="H198" s="30"/>
      <c r="I198" s="30"/>
      <c r="J198" s="30"/>
      <c r="K198" s="30"/>
      <c r="L198" s="30"/>
      <c r="M198" s="30"/>
      <c r="N198" s="30"/>
      <c r="O198" s="30"/>
      <c r="P198" s="30"/>
      <c r="Q198" s="30"/>
      <c r="R198" s="30"/>
    </row>
    <row r="199" spans="2:18" ht="12.75" customHeight="1" x14ac:dyDescent="0.2">
      <c r="B199" s="29" t="s">
        <v>212</v>
      </c>
      <c r="C199" s="30">
        <v>29</v>
      </c>
      <c r="D199" s="30">
        <v>53</v>
      </c>
      <c r="E199" s="30">
        <v>52</v>
      </c>
      <c r="F199" s="30">
        <v>111</v>
      </c>
      <c r="G199" s="30">
        <v>114</v>
      </c>
      <c r="H199" s="30">
        <v>97</v>
      </c>
      <c r="I199" s="30">
        <v>124</v>
      </c>
      <c r="J199" s="30">
        <v>112</v>
      </c>
      <c r="K199" s="30">
        <v>68</v>
      </c>
      <c r="L199" s="30">
        <v>34</v>
      </c>
      <c r="M199" s="30">
        <v>93</v>
      </c>
      <c r="N199" s="30">
        <v>56</v>
      </c>
      <c r="O199" s="30">
        <v>15</v>
      </c>
      <c r="P199" s="30">
        <v>79</v>
      </c>
      <c r="Q199" s="30">
        <v>93</v>
      </c>
      <c r="R199" s="30">
        <v>142</v>
      </c>
    </row>
    <row r="200" spans="2:18" ht="12.75" customHeight="1" x14ac:dyDescent="0.2">
      <c r="B200" s="29" t="s">
        <v>213</v>
      </c>
      <c r="C200" s="30"/>
      <c r="D200" s="30"/>
      <c r="E200" s="30"/>
      <c r="F200" s="30"/>
      <c r="G200" s="30"/>
      <c r="H200" s="30"/>
      <c r="I200" s="30"/>
      <c r="J200" s="30"/>
      <c r="K200" s="30">
        <v>40</v>
      </c>
      <c r="L200" s="30">
        <v>15</v>
      </c>
      <c r="M200" s="30">
        <v>63</v>
      </c>
      <c r="N200" s="30">
        <v>106</v>
      </c>
      <c r="O200" s="30">
        <v>34</v>
      </c>
      <c r="P200" s="30"/>
      <c r="Q200" s="30">
        <v>11</v>
      </c>
      <c r="R200" s="30">
        <v>38</v>
      </c>
    </row>
    <row r="201" spans="2:18" ht="12.75" customHeight="1" x14ac:dyDescent="0.2">
      <c r="B201" s="29" t="s">
        <v>214</v>
      </c>
      <c r="C201" s="30">
        <v>240</v>
      </c>
      <c r="D201" s="30">
        <v>357</v>
      </c>
      <c r="E201" s="30">
        <v>306</v>
      </c>
      <c r="F201" s="30">
        <v>363</v>
      </c>
      <c r="G201" s="30">
        <v>353</v>
      </c>
      <c r="H201" s="30">
        <v>330</v>
      </c>
      <c r="I201" s="30">
        <v>293</v>
      </c>
      <c r="J201" s="30">
        <v>268</v>
      </c>
      <c r="K201" s="30">
        <v>150</v>
      </c>
      <c r="L201" s="30">
        <v>100</v>
      </c>
      <c r="M201" s="30">
        <v>167</v>
      </c>
      <c r="N201" s="30">
        <v>190</v>
      </c>
      <c r="O201" s="30">
        <v>24</v>
      </c>
      <c r="P201" s="30">
        <v>78</v>
      </c>
      <c r="Q201" s="30">
        <v>179</v>
      </c>
      <c r="R201" s="30">
        <v>240</v>
      </c>
    </row>
    <row r="202" spans="2:18" ht="12.75" customHeight="1" x14ac:dyDescent="0.2">
      <c r="B202" s="29" t="s">
        <v>215</v>
      </c>
      <c r="C202" s="30">
        <v>20</v>
      </c>
      <c r="D202" s="30">
        <v>14</v>
      </c>
      <c r="E202" s="30">
        <v>8</v>
      </c>
      <c r="F202" s="30">
        <v>19</v>
      </c>
      <c r="G202" s="30">
        <v>27</v>
      </c>
      <c r="H202" s="30">
        <v>1023</v>
      </c>
      <c r="I202" s="30">
        <v>855</v>
      </c>
      <c r="J202" s="30">
        <v>919</v>
      </c>
      <c r="K202" s="30">
        <v>162</v>
      </c>
      <c r="L202" s="30">
        <v>163</v>
      </c>
      <c r="M202" s="30">
        <v>72</v>
      </c>
      <c r="N202" s="30">
        <v>16</v>
      </c>
      <c r="O202" s="30">
        <v>8</v>
      </c>
      <c r="P202" s="30">
        <v>13</v>
      </c>
      <c r="Q202" s="30">
        <v>19</v>
      </c>
      <c r="R202" s="30">
        <v>28</v>
      </c>
    </row>
    <row r="203" spans="2:18" ht="12.75" customHeight="1" x14ac:dyDescent="0.2">
      <c r="B203" s="29" t="s">
        <v>216</v>
      </c>
      <c r="C203" s="30">
        <v>2971</v>
      </c>
      <c r="D203" s="30">
        <v>4077</v>
      </c>
      <c r="E203" s="30">
        <v>4755</v>
      </c>
      <c r="F203" s="30">
        <v>5579</v>
      </c>
      <c r="G203" s="30">
        <v>5650</v>
      </c>
      <c r="H203" s="30">
        <v>4811</v>
      </c>
      <c r="I203" s="30">
        <v>5133</v>
      </c>
      <c r="J203" s="30">
        <v>5483</v>
      </c>
      <c r="K203" s="30">
        <v>5705</v>
      </c>
      <c r="L203" s="30">
        <v>6170</v>
      </c>
      <c r="M203" s="30">
        <v>7546</v>
      </c>
      <c r="N203" s="30">
        <v>10290</v>
      </c>
      <c r="O203" s="30">
        <v>5376</v>
      </c>
      <c r="P203" s="30">
        <v>12641</v>
      </c>
      <c r="Q203" s="30">
        <v>16282</v>
      </c>
      <c r="R203" s="30">
        <v>14390</v>
      </c>
    </row>
    <row r="204" spans="2:18" ht="12.75" customHeight="1" x14ac:dyDescent="0.2">
      <c r="B204" s="29" t="s">
        <v>217</v>
      </c>
      <c r="C204" s="30">
        <v>37</v>
      </c>
      <c r="D204" s="30">
        <v>64</v>
      </c>
      <c r="E204" s="30">
        <v>51</v>
      </c>
      <c r="F204" s="30">
        <v>80</v>
      </c>
      <c r="G204" s="30">
        <v>120</v>
      </c>
      <c r="H204" s="30">
        <v>131</v>
      </c>
      <c r="I204" s="30">
        <v>206</v>
      </c>
      <c r="J204" s="30">
        <v>203</v>
      </c>
      <c r="K204" s="30">
        <v>141</v>
      </c>
      <c r="L204" s="30">
        <v>227</v>
      </c>
      <c r="M204" s="30">
        <v>515</v>
      </c>
      <c r="N204" s="30">
        <v>550</v>
      </c>
      <c r="O204" s="30">
        <v>88</v>
      </c>
      <c r="P204" s="30">
        <v>408</v>
      </c>
      <c r="Q204" s="30">
        <v>1188</v>
      </c>
      <c r="R204" s="30">
        <v>811</v>
      </c>
    </row>
    <row r="205" spans="2:18" ht="12.75" customHeight="1" x14ac:dyDescent="0.2">
      <c r="B205" s="29" t="s">
        <v>218</v>
      </c>
      <c r="C205" s="30">
        <v>170399</v>
      </c>
      <c r="D205" s="30">
        <v>102202</v>
      </c>
      <c r="E205" s="30">
        <v>113465</v>
      </c>
      <c r="F205" s="30">
        <v>137934</v>
      </c>
      <c r="G205" s="30">
        <v>157568</v>
      </c>
      <c r="H205" s="30">
        <v>169988</v>
      </c>
      <c r="I205" s="30">
        <v>189396</v>
      </c>
      <c r="J205" s="30">
        <v>178997</v>
      </c>
      <c r="K205" s="30">
        <v>110594</v>
      </c>
      <c r="L205" s="30">
        <v>146852</v>
      </c>
      <c r="M205" s="30">
        <v>225312</v>
      </c>
      <c r="N205" s="30">
        <v>282347</v>
      </c>
      <c r="O205" s="30">
        <v>129284</v>
      </c>
      <c r="P205" s="30">
        <v>238852</v>
      </c>
      <c r="Q205" s="30">
        <v>357787</v>
      </c>
      <c r="R205" s="30">
        <v>311738</v>
      </c>
    </row>
    <row r="206" spans="2:18" ht="12.75" customHeight="1" x14ac:dyDescent="0.2">
      <c r="B206" s="29" t="s">
        <v>219</v>
      </c>
      <c r="C206" s="30">
        <v>155</v>
      </c>
      <c r="D206" s="30">
        <v>186</v>
      </c>
      <c r="E206" s="30">
        <v>317</v>
      </c>
      <c r="F206" s="30">
        <v>213</v>
      </c>
      <c r="G206" s="30">
        <v>253</v>
      </c>
      <c r="H206" s="30">
        <v>242</v>
      </c>
      <c r="I206" s="30">
        <v>318</v>
      </c>
      <c r="J206" s="30">
        <v>343</v>
      </c>
      <c r="K206" s="30">
        <v>335</v>
      </c>
      <c r="L206" s="30">
        <v>388</v>
      </c>
      <c r="M206" s="30">
        <v>525</v>
      </c>
      <c r="N206" s="30">
        <v>658</v>
      </c>
      <c r="O206" s="30">
        <v>469</v>
      </c>
      <c r="P206" s="30">
        <v>3508</v>
      </c>
      <c r="Q206" s="30">
        <v>5931</v>
      </c>
      <c r="R206" s="30">
        <v>4103</v>
      </c>
    </row>
    <row r="207" spans="2:18" ht="12.75" customHeight="1" x14ac:dyDescent="0.2">
      <c r="B207" s="29" t="s">
        <v>220</v>
      </c>
      <c r="C207" s="30">
        <v>19121</v>
      </c>
      <c r="D207" s="30">
        <v>20451</v>
      </c>
      <c r="E207" s="30">
        <v>18994</v>
      </c>
      <c r="F207" s="30">
        <v>20957</v>
      </c>
      <c r="G207" s="30">
        <v>22206</v>
      </c>
      <c r="H207" s="30">
        <v>22403</v>
      </c>
      <c r="I207" s="30">
        <v>29449</v>
      </c>
      <c r="J207" s="30">
        <v>26892</v>
      </c>
      <c r="K207" s="30">
        <v>15962</v>
      </c>
      <c r="L207" s="30">
        <v>17561</v>
      </c>
      <c r="M207" s="30">
        <v>28382</v>
      </c>
      <c r="N207" s="30">
        <v>34930</v>
      </c>
      <c r="O207" s="30">
        <v>4912</v>
      </c>
      <c r="P207" s="30">
        <v>2951</v>
      </c>
      <c r="Q207" s="30">
        <v>30602</v>
      </c>
      <c r="R207" s="30">
        <v>38932</v>
      </c>
    </row>
    <row r="208" spans="2:18" ht="12.75" customHeight="1" x14ac:dyDescent="0.2">
      <c r="B208" s="29" t="s">
        <v>221</v>
      </c>
      <c r="C208" s="30">
        <v>69168</v>
      </c>
      <c r="D208" s="30">
        <v>80687</v>
      </c>
      <c r="E208" s="30">
        <v>91765</v>
      </c>
      <c r="F208" s="30">
        <v>122088</v>
      </c>
      <c r="G208" s="30">
        <v>126974</v>
      </c>
      <c r="H208" s="30">
        <v>127455</v>
      </c>
      <c r="I208" s="30">
        <v>136899</v>
      </c>
      <c r="J208" s="30">
        <v>151514</v>
      </c>
      <c r="K208" s="30">
        <v>61477</v>
      </c>
      <c r="L208" s="30">
        <v>97967</v>
      </c>
      <c r="M208" s="30">
        <v>157003</v>
      </c>
      <c r="N208" s="30">
        <v>207108</v>
      </c>
      <c r="O208" s="30">
        <v>8648</v>
      </c>
      <c r="P208" s="30">
        <v>37963</v>
      </c>
      <c r="Q208" s="30">
        <v>196462</v>
      </c>
      <c r="R208" s="30">
        <v>235303</v>
      </c>
    </row>
    <row r="209" spans="2:18" ht="12.75" customHeight="1" x14ac:dyDescent="0.2">
      <c r="B209" s="29" t="s">
        <v>222</v>
      </c>
      <c r="C209" s="30">
        <v>41301</v>
      </c>
      <c r="D209" s="30">
        <v>38134</v>
      </c>
      <c r="E209" s="30">
        <v>38597</v>
      </c>
      <c r="F209" s="30">
        <v>41870</v>
      </c>
      <c r="G209" s="30">
        <v>39899</v>
      </c>
      <c r="H209" s="30">
        <v>37692</v>
      </c>
      <c r="I209" s="30">
        <v>41799</v>
      </c>
      <c r="J209" s="30">
        <v>39734</v>
      </c>
      <c r="K209" s="30">
        <v>18863</v>
      </c>
      <c r="L209" s="30">
        <v>25105</v>
      </c>
      <c r="M209" s="30">
        <v>40716</v>
      </c>
      <c r="N209" s="30">
        <v>50414</v>
      </c>
      <c r="O209" s="30">
        <v>8108</v>
      </c>
      <c r="P209" s="30">
        <v>18580</v>
      </c>
      <c r="Q209" s="30">
        <v>48622</v>
      </c>
      <c r="R209" s="30">
        <v>53600</v>
      </c>
    </row>
    <row r="210" spans="2:18" ht="12.75" customHeight="1" x14ac:dyDescent="0.2">
      <c r="B210" s="29" t="s">
        <v>223</v>
      </c>
      <c r="C210" s="30">
        <v>94</v>
      </c>
      <c r="D210" s="30">
        <v>49</v>
      </c>
      <c r="E210" s="30">
        <v>0</v>
      </c>
      <c r="F210" s="30">
        <v>31</v>
      </c>
      <c r="G210" s="30">
        <v>5</v>
      </c>
      <c r="H210" s="30">
        <v>28</v>
      </c>
      <c r="I210" s="30">
        <v>28</v>
      </c>
      <c r="J210" s="30">
        <v>11</v>
      </c>
      <c r="K210" s="30">
        <v>21</v>
      </c>
      <c r="L210" s="30">
        <v>18</v>
      </c>
      <c r="M210" s="30">
        <v>9</v>
      </c>
      <c r="N210" s="30">
        <v>9</v>
      </c>
      <c r="O210" s="30">
        <v>2</v>
      </c>
      <c r="P210" s="30">
        <v>1</v>
      </c>
      <c r="Q210" s="30">
        <v>9</v>
      </c>
      <c r="R210" s="30">
        <v>79</v>
      </c>
    </row>
    <row r="211" spans="2:18" ht="12.75" customHeight="1" x14ac:dyDescent="0.2">
      <c r="B211" s="29" t="s">
        <v>224</v>
      </c>
      <c r="C211" s="30">
        <v>489</v>
      </c>
      <c r="D211" s="30">
        <v>957</v>
      </c>
      <c r="E211" s="30">
        <v>850</v>
      </c>
      <c r="F211" s="30">
        <v>1608</v>
      </c>
      <c r="G211" s="30">
        <v>3501</v>
      </c>
      <c r="H211" s="30">
        <v>3357</v>
      </c>
      <c r="I211" s="30">
        <v>3737</v>
      </c>
      <c r="J211" s="30">
        <v>4502</v>
      </c>
      <c r="K211" s="30">
        <v>3496</v>
      </c>
      <c r="L211" s="30">
        <v>5290</v>
      </c>
      <c r="M211" s="30">
        <v>11425</v>
      </c>
      <c r="N211" s="30">
        <v>21623</v>
      </c>
      <c r="O211" s="30">
        <v>17309</v>
      </c>
      <c r="P211" s="30">
        <v>29706</v>
      </c>
      <c r="Q211" s="30">
        <v>15228</v>
      </c>
      <c r="R211" s="30">
        <v>9191</v>
      </c>
    </row>
    <row r="212" spans="2:18" ht="12.75" customHeight="1" x14ac:dyDescent="0.2">
      <c r="B212" s="29" t="s">
        <v>225</v>
      </c>
      <c r="C212" s="30"/>
      <c r="D212" s="30"/>
      <c r="E212" s="30"/>
      <c r="F212" s="30"/>
      <c r="G212" s="30"/>
      <c r="H212" s="30"/>
      <c r="I212" s="30"/>
      <c r="J212" s="30"/>
      <c r="K212" s="30"/>
      <c r="L212" s="30"/>
      <c r="M212" s="30"/>
      <c r="N212" s="30">
        <v>83</v>
      </c>
      <c r="O212" s="30">
        <v>57</v>
      </c>
      <c r="P212" s="30">
        <v>98</v>
      </c>
      <c r="Q212" s="30">
        <v>51</v>
      </c>
      <c r="R212" s="30">
        <v>34</v>
      </c>
    </row>
    <row r="213" spans="2:18" ht="12.75" customHeight="1" x14ac:dyDescent="0.2">
      <c r="B213" s="29" t="s">
        <v>226</v>
      </c>
      <c r="C213" s="30">
        <v>1518</v>
      </c>
      <c r="D213" s="30">
        <v>1691</v>
      </c>
      <c r="E213" s="30">
        <v>1408</v>
      </c>
      <c r="F213" s="30">
        <v>1769</v>
      </c>
      <c r="G213" s="30">
        <v>2431</v>
      </c>
      <c r="H213" s="30">
        <v>3268</v>
      </c>
      <c r="I213" s="30">
        <v>3141</v>
      </c>
      <c r="J213" s="30">
        <v>3519</v>
      </c>
      <c r="K213" s="30">
        <v>2405</v>
      </c>
      <c r="L213" s="30">
        <v>3219</v>
      </c>
      <c r="M213" s="30">
        <v>5100</v>
      </c>
      <c r="N213" s="30">
        <v>7530</v>
      </c>
      <c r="O213" s="30">
        <v>1602</v>
      </c>
      <c r="P213" s="30">
        <v>2149</v>
      </c>
      <c r="Q213" s="30">
        <v>6630</v>
      </c>
      <c r="R213" s="30">
        <v>9182</v>
      </c>
    </row>
    <row r="214" spans="2:18" ht="12.75" customHeight="1" x14ac:dyDescent="0.2">
      <c r="B214" s="29" t="s">
        <v>227</v>
      </c>
      <c r="C214" s="30">
        <v>8987</v>
      </c>
      <c r="D214" s="30">
        <v>10581</v>
      </c>
      <c r="E214" s="30">
        <v>6634</v>
      </c>
      <c r="F214" s="30">
        <v>7458</v>
      </c>
      <c r="G214" s="30">
        <v>8161</v>
      </c>
      <c r="H214" s="30">
        <v>9319</v>
      </c>
      <c r="I214" s="30">
        <v>10714</v>
      </c>
      <c r="J214" s="30">
        <v>11434</v>
      </c>
      <c r="K214" s="30">
        <v>10562</v>
      </c>
      <c r="L214" s="30">
        <v>12162</v>
      </c>
      <c r="M214" s="30">
        <v>15661</v>
      </c>
      <c r="N214" s="30">
        <v>17863</v>
      </c>
      <c r="O214" s="30">
        <v>10555</v>
      </c>
      <c r="P214" s="30">
        <v>25965</v>
      </c>
      <c r="Q214" s="30">
        <v>43192</v>
      </c>
      <c r="R214" s="30">
        <v>19913</v>
      </c>
    </row>
    <row r="215" spans="2:18" ht="12.75" customHeight="1" x14ac:dyDescent="0.2">
      <c r="B215" s="29" t="s">
        <v>228</v>
      </c>
      <c r="C215" s="30">
        <v>201</v>
      </c>
      <c r="D215" s="30">
        <v>238</v>
      </c>
      <c r="E215" s="30">
        <v>264</v>
      </c>
      <c r="F215" s="30">
        <v>180</v>
      </c>
      <c r="G215" s="30">
        <v>196</v>
      </c>
      <c r="H215" s="30">
        <v>271</v>
      </c>
      <c r="I215" s="30">
        <v>367</v>
      </c>
      <c r="J215" s="30">
        <v>405</v>
      </c>
      <c r="K215" s="30">
        <v>192</v>
      </c>
      <c r="L215" s="30">
        <v>225</v>
      </c>
      <c r="M215" s="30">
        <v>786</v>
      </c>
      <c r="N215" s="30">
        <v>616</v>
      </c>
      <c r="O215" s="30">
        <v>52</v>
      </c>
      <c r="P215" s="30">
        <v>253</v>
      </c>
      <c r="Q215" s="30">
        <v>596</v>
      </c>
      <c r="R215" s="30">
        <v>597</v>
      </c>
    </row>
    <row r="216" spans="2:18" ht="12.75" customHeight="1" x14ac:dyDescent="0.2">
      <c r="B216" s="29" t="s">
        <v>229</v>
      </c>
      <c r="C216" s="30">
        <v>406935</v>
      </c>
      <c r="D216" s="30">
        <v>509679</v>
      </c>
      <c r="E216" s="30">
        <v>899494</v>
      </c>
      <c r="F216" s="30">
        <v>974054</v>
      </c>
      <c r="G216" s="30">
        <v>730039</v>
      </c>
      <c r="H216" s="30">
        <v>1252826</v>
      </c>
      <c r="I216" s="30">
        <v>1176490</v>
      </c>
      <c r="J216" s="30">
        <v>847275</v>
      </c>
      <c r="K216" s="30">
        <v>291754</v>
      </c>
      <c r="L216" s="30">
        <v>404203</v>
      </c>
      <c r="M216" s="30">
        <v>477439</v>
      </c>
      <c r="N216" s="30">
        <v>571976</v>
      </c>
      <c r="O216" s="30">
        <v>211914</v>
      </c>
      <c r="P216" s="30">
        <v>404064</v>
      </c>
      <c r="Q216" s="30">
        <v>370877</v>
      </c>
      <c r="R216" s="30">
        <v>384958</v>
      </c>
    </row>
    <row r="217" spans="2:18" ht="12.75" customHeight="1" x14ac:dyDescent="0.2">
      <c r="B217" s="29" t="s">
        <v>230</v>
      </c>
      <c r="C217" s="30">
        <v>55636</v>
      </c>
      <c r="D217" s="30">
        <v>66938</v>
      </c>
      <c r="E217" s="30">
        <v>84934</v>
      </c>
      <c r="F217" s="30">
        <v>116711</v>
      </c>
      <c r="G217" s="30">
        <v>175467</v>
      </c>
      <c r="H217" s="30">
        <v>234220</v>
      </c>
      <c r="I217" s="30">
        <v>341786</v>
      </c>
      <c r="J217" s="30">
        <v>450674</v>
      </c>
      <c r="K217" s="30">
        <v>530410</v>
      </c>
      <c r="L217" s="30">
        <v>651170</v>
      </c>
      <c r="M217" s="30">
        <v>747233</v>
      </c>
      <c r="N217" s="30">
        <v>564816</v>
      </c>
      <c r="O217" s="30">
        <v>67490</v>
      </c>
      <c r="P217" s="30">
        <v>10083</v>
      </c>
      <c r="Q217" s="30">
        <v>497914</v>
      </c>
      <c r="R217" s="30">
        <v>820683</v>
      </c>
    </row>
    <row r="218" spans="2:18" ht="12.75" customHeight="1" x14ac:dyDescent="0.2">
      <c r="B218" s="29" t="s">
        <v>231</v>
      </c>
      <c r="C218" s="30"/>
      <c r="D218" s="30"/>
      <c r="E218" s="30"/>
      <c r="F218" s="30"/>
      <c r="G218" s="30"/>
      <c r="H218" s="30"/>
      <c r="I218" s="30"/>
      <c r="J218" s="30"/>
      <c r="K218" s="30"/>
      <c r="L218" s="30"/>
      <c r="M218" s="30">
        <v>0</v>
      </c>
      <c r="N218" s="30"/>
      <c r="O218" s="30"/>
      <c r="P218" s="30"/>
      <c r="Q218" s="30"/>
      <c r="R218" s="30"/>
    </row>
    <row r="219" spans="2:18" ht="12.75" customHeight="1" x14ac:dyDescent="0.2">
      <c r="B219" s="29" t="s">
        <v>232</v>
      </c>
      <c r="C219" s="30">
        <v>31</v>
      </c>
      <c r="D219" s="30">
        <v>213</v>
      </c>
      <c r="E219" s="30">
        <v>36</v>
      </c>
      <c r="F219" s="30">
        <v>43</v>
      </c>
      <c r="G219" s="30">
        <v>68</v>
      </c>
      <c r="H219" s="30">
        <v>103</v>
      </c>
      <c r="I219" s="30">
        <v>86</v>
      </c>
      <c r="J219" s="30">
        <v>240</v>
      </c>
      <c r="K219" s="30">
        <v>88</v>
      </c>
      <c r="L219" s="30">
        <v>120</v>
      </c>
      <c r="M219" s="30">
        <v>125</v>
      </c>
      <c r="N219" s="30">
        <v>134</v>
      </c>
      <c r="O219" s="30">
        <v>48</v>
      </c>
      <c r="P219" s="30">
        <v>36</v>
      </c>
      <c r="Q219" s="30">
        <v>123</v>
      </c>
      <c r="R219" s="30">
        <v>142</v>
      </c>
    </row>
    <row r="220" spans="2:18" ht="12.75" customHeight="1" x14ac:dyDescent="0.2">
      <c r="B220" s="29" t="s">
        <v>233</v>
      </c>
      <c r="C220" s="30">
        <v>8580</v>
      </c>
      <c r="D220" s="30">
        <v>7612</v>
      </c>
      <c r="E220" s="30">
        <v>8183</v>
      </c>
      <c r="F220" s="30">
        <v>11964</v>
      </c>
      <c r="G220" s="30">
        <v>12765</v>
      </c>
      <c r="H220" s="30">
        <v>15905</v>
      </c>
      <c r="I220" s="30">
        <v>17451</v>
      </c>
      <c r="J220" s="30">
        <v>24307</v>
      </c>
      <c r="K220" s="30">
        <v>10421</v>
      </c>
      <c r="L220" s="30">
        <v>8645</v>
      </c>
      <c r="M220" s="30">
        <v>14609</v>
      </c>
      <c r="N220" s="30">
        <v>18509</v>
      </c>
      <c r="O220" s="30">
        <v>3320</v>
      </c>
      <c r="P220" s="30">
        <v>3815</v>
      </c>
      <c r="Q220" s="30">
        <v>17333</v>
      </c>
      <c r="R220" s="30">
        <v>25713</v>
      </c>
    </row>
    <row r="221" spans="2:18" ht="12.75" customHeight="1" x14ac:dyDescent="0.2">
      <c r="B221" s="29" t="s">
        <v>234</v>
      </c>
      <c r="C221" s="30">
        <v>36262</v>
      </c>
      <c r="D221" s="30">
        <v>19816</v>
      </c>
      <c r="E221" s="30">
        <v>17737</v>
      </c>
      <c r="F221" s="30">
        <v>16822</v>
      </c>
      <c r="G221" s="30">
        <v>22823</v>
      </c>
      <c r="H221" s="30">
        <v>27174</v>
      </c>
      <c r="I221" s="30">
        <v>34678</v>
      </c>
      <c r="J221" s="30">
        <v>31917</v>
      </c>
      <c r="K221" s="30">
        <v>24768</v>
      </c>
      <c r="L221" s="30">
        <v>30532</v>
      </c>
      <c r="M221" s="30">
        <v>40879</v>
      </c>
      <c r="N221" s="30">
        <v>44155</v>
      </c>
      <c r="O221" s="30">
        <v>16972</v>
      </c>
      <c r="P221" s="30">
        <v>41440</v>
      </c>
      <c r="Q221" s="30">
        <v>74101</v>
      </c>
      <c r="R221" s="30">
        <v>78185</v>
      </c>
    </row>
    <row r="222" spans="2:18" ht="12.75" customHeight="1" x14ac:dyDescent="0.2">
      <c r="B222" s="29" t="s">
        <v>235</v>
      </c>
      <c r="C222" s="30"/>
      <c r="D222" s="30"/>
      <c r="E222" s="30"/>
      <c r="F222" s="30"/>
      <c r="G222" s="30"/>
      <c r="H222" s="30"/>
      <c r="I222" s="30"/>
      <c r="J222" s="30"/>
      <c r="K222" s="30"/>
      <c r="L222" s="30"/>
      <c r="M222" s="30"/>
      <c r="N222" s="30"/>
      <c r="O222" s="30"/>
      <c r="P222" s="30"/>
      <c r="Q222" s="30"/>
      <c r="R222" s="30"/>
    </row>
    <row r="223" spans="2:18" ht="12.75" customHeight="1" x14ac:dyDescent="0.2">
      <c r="B223" s="29" t="s">
        <v>236</v>
      </c>
      <c r="C223" s="30">
        <v>781</v>
      </c>
      <c r="D223" s="30">
        <v>1028</v>
      </c>
      <c r="E223" s="30">
        <v>1791</v>
      </c>
      <c r="F223" s="30">
        <v>2247</v>
      </c>
      <c r="G223" s="30">
        <v>2476</v>
      </c>
      <c r="H223" s="30">
        <v>3048</v>
      </c>
      <c r="I223" s="30">
        <v>3439</v>
      </c>
      <c r="J223" s="30">
        <v>3309</v>
      </c>
      <c r="K223" s="30">
        <v>2312</v>
      </c>
      <c r="L223" s="30">
        <v>2549</v>
      </c>
      <c r="M223" s="30">
        <v>3166</v>
      </c>
      <c r="N223" s="30">
        <v>3704</v>
      </c>
      <c r="O223" s="30">
        <v>1651</v>
      </c>
      <c r="P223" s="30">
        <v>4648</v>
      </c>
      <c r="Q223" s="30">
        <v>7414</v>
      </c>
      <c r="R223" s="30">
        <v>5791</v>
      </c>
    </row>
    <row r="224" spans="2:18" ht="12.75" customHeight="1" x14ac:dyDescent="0.2">
      <c r="B224" s="29" t="s">
        <v>237</v>
      </c>
      <c r="C224" s="30">
        <v>10141</v>
      </c>
      <c r="D224" s="30">
        <v>9992</v>
      </c>
      <c r="E224" s="30">
        <v>9282</v>
      </c>
      <c r="F224" s="30">
        <v>11067</v>
      </c>
      <c r="G224" s="30">
        <v>12211</v>
      </c>
      <c r="H224" s="30">
        <v>20783</v>
      </c>
      <c r="I224" s="30">
        <v>26219</v>
      </c>
      <c r="J224" s="30">
        <v>22125</v>
      </c>
      <c r="K224" s="30">
        <v>12483</v>
      </c>
      <c r="L224" s="30">
        <v>30721</v>
      </c>
      <c r="M224" s="30">
        <v>54098</v>
      </c>
      <c r="N224" s="30">
        <v>62192</v>
      </c>
      <c r="O224" s="30">
        <v>8163</v>
      </c>
      <c r="P224" s="30">
        <v>6687</v>
      </c>
      <c r="Q224" s="30">
        <v>29814</v>
      </c>
      <c r="R224" s="30">
        <v>39051</v>
      </c>
    </row>
    <row r="225" spans="2:18" ht="12.75" customHeight="1" x14ac:dyDescent="0.2">
      <c r="B225" s="29" t="s">
        <v>238</v>
      </c>
      <c r="C225" s="30">
        <v>15320</v>
      </c>
      <c r="D225" s="30">
        <v>14694</v>
      </c>
      <c r="E225" s="30">
        <v>17820</v>
      </c>
      <c r="F225" s="30">
        <v>19636</v>
      </c>
      <c r="G225" s="30">
        <v>21569</v>
      </c>
      <c r="H225" s="30">
        <v>31019</v>
      </c>
      <c r="I225" s="30">
        <v>38509</v>
      </c>
      <c r="J225" s="30">
        <v>40029</v>
      </c>
      <c r="K225" s="30">
        <v>46035</v>
      </c>
      <c r="L225" s="30">
        <v>61318</v>
      </c>
      <c r="M225" s="30">
        <v>98097</v>
      </c>
      <c r="N225" s="30">
        <v>107592</v>
      </c>
      <c r="O225" s="30">
        <v>13118</v>
      </c>
      <c r="P225" s="30">
        <v>2290</v>
      </c>
      <c r="Q225" s="30">
        <v>11341</v>
      </c>
      <c r="R225" s="30">
        <v>49890</v>
      </c>
    </row>
    <row r="226" spans="2:18" ht="12.75" customHeight="1" x14ac:dyDescent="0.2">
      <c r="B226" s="29" t="s">
        <v>239</v>
      </c>
      <c r="C226" s="30">
        <v>177</v>
      </c>
      <c r="D226" s="30">
        <v>149</v>
      </c>
      <c r="E226" s="30">
        <v>135</v>
      </c>
      <c r="F226" s="30">
        <v>258</v>
      </c>
      <c r="G226" s="30">
        <v>314</v>
      </c>
      <c r="H226" s="30">
        <v>463</v>
      </c>
      <c r="I226" s="30">
        <v>420</v>
      </c>
      <c r="J226" s="30">
        <v>460</v>
      </c>
      <c r="K226" s="30">
        <v>401</v>
      </c>
      <c r="L226" s="30">
        <v>482</v>
      </c>
      <c r="M226" s="30">
        <v>969</v>
      </c>
      <c r="N226" s="30">
        <v>854</v>
      </c>
      <c r="O226" s="30">
        <v>404</v>
      </c>
      <c r="P226" s="30">
        <v>1226</v>
      </c>
      <c r="Q226" s="30">
        <v>1370</v>
      </c>
      <c r="R226" s="30">
        <v>1060</v>
      </c>
    </row>
    <row r="227" spans="2:18" ht="12.75" customHeight="1" x14ac:dyDescent="0.2">
      <c r="B227" s="29" t="s">
        <v>240</v>
      </c>
      <c r="C227" s="30"/>
      <c r="D227" s="30"/>
      <c r="E227" s="30"/>
      <c r="F227" s="30"/>
      <c r="G227" s="30"/>
      <c r="H227" s="30"/>
      <c r="I227" s="30"/>
      <c r="J227" s="30"/>
      <c r="K227" s="30"/>
      <c r="L227" s="30"/>
      <c r="M227" s="30"/>
      <c r="N227" s="30"/>
      <c r="O227" s="30"/>
      <c r="P227" s="30"/>
      <c r="Q227" s="30"/>
      <c r="R227" s="30"/>
    </row>
    <row r="228" spans="2:18" ht="12.75" customHeight="1" x14ac:dyDescent="0.2">
      <c r="B228" s="29" t="s">
        <v>241</v>
      </c>
      <c r="C228" s="30">
        <v>18</v>
      </c>
      <c r="D228" s="30">
        <v>20</v>
      </c>
      <c r="E228" s="30">
        <v>21</v>
      </c>
      <c r="F228" s="30">
        <v>19</v>
      </c>
      <c r="G228" s="30">
        <v>14</v>
      </c>
      <c r="H228" s="30">
        <v>14</v>
      </c>
      <c r="I228" s="30">
        <v>58</v>
      </c>
      <c r="J228" s="30">
        <v>25</v>
      </c>
      <c r="K228" s="30">
        <v>19</v>
      </c>
      <c r="L228" s="30">
        <v>14</v>
      </c>
      <c r="M228" s="30">
        <v>10</v>
      </c>
      <c r="N228" s="30">
        <v>12</v>
      </c>
      <c r="O228" s="30">
        <v>1</v>
      </c>
      <c r="P228" s="30">
        <v>5</v>
      </c>
      <c r="Q228" s="30">
        <v>14</v>
      </c>
      <c r="R228" s="30">
        <v>54</v>
      </c>
    </row>
    <row r="229" spans="2:18" ht="12.75" customHeight="1" x14ac:dyDescent="0.2">
      <c r="B229" s="29" t="s">
        <v>242</v>
      </c>
      <c r="C229" s="30">
        <v>692</v>
      </c>
      <c r="D229" s="30">
        <v>808</v>
      </c>
      <c r="E229" s="30">
        <v>697</v>
      </c>
      <c r="F229" s="30">
        <v>871</v>
      </c>
      <c r="G229" s="30">
        <v>1041</v>
      </c>
      <c r="H229" s="30">
        <v>941</v>
      </c>
      <c r="I229" s="30">
        <v>1368</v>
      </c>
      <c r="J229" s="30">
        <v>1035</v>
      </c>
      <c r="K229" s="30">
        <v>617</v>
      </c>
      <c r="L229" s="30">
        <v>482</v>
      </c>
      <c r="M229" s="30">
        <v>626</v>
      </c>
      <c r="N229" s="30">
        <v>890</v>
      </c>
      <c r="O229" s="30">
        <v>227</v>
      </c>
      <c r="P229" s="30">
        <v>356</v>
      </c>
      <c r="Q229" s="30">
        <v>1276</v>
      </c>
      <c r="R229" s="30">
        <v>1978</v>
      </c>
    </row>
    <row r="230" spans="2:18" ht="12.75" customHeight="1" x14ac:dyDescent="0.2">
      <c r="B230" s="29" t="s">
        <v>243</v>
      </c>
      <c r="C230" s="30">
        <v>42840</v>
      </c>
      <c r="D230" s="30">
        <v>56707</v>
      </c>
      <c r="E230" s="30">
        <v>57855</v>
      </c>
      <c r="F230" s="30">
        <v>63176</v>
      </c>
      <c r="G230" s="30">
        <v>86595</v>
      </c>
      <c r="H230" s="30">
        <v>91683</v>
      </c>
      <c r="I230" s="30">
        <v>100612</v>
      </c>
      <c r="J230" s="30">
        <v>102341</v>
      </c>
      <c r="K230" s="30">
        <v>100185</v>
      </c>
      <c r="L230" s="30">
        <v>111627</v>
      </c>
      <c r="M230" s="30">
        <v>142372</v>
      </c>
      <c r="N230" s="30">
        <v>172587</v>
      </c>
      <c r="O230" s="30">
        <v>57563</v>
      </c>
      <c r="P230" s="30">
        <v>126970</v>
      </c>
      <c r="Q230" s="30">
        <v>206714</v>
      </c>
      <c r="R230" s="30">
        <v>176547</v>
      </c>
    </row>
    <row r="231" spans="2:18" ht="12.75" customHeight="1" x14ac:dyDescent="0.2">
      <c r="B231" s="29" t="s">
        <v>244</v>
      </c>
      <c r="C231" s="30">
        <v>13</v>
      </c>
      <c r="D231" s="30">
        <v>7</v>
      </c>
      <c r="E231" s="30">
        <v>13</v>
      </c>
      <c r="F231" s="30">
        <v>29</v>
      </c>
      <c r="G231" s="30">
        <v>1683</v>
      </c>
      <c r="H231" s="30">
        <v>49</v>
      </c>
      <c r="I231" s="30">
        <v>101</v>
      </c>
      <c r="J231" s="30">
        <v>97</v>
      </c>
      <c r="K231" s="30">
        <v>157</v>
      </c>
      <c r="L231" s="30">
        <v>132</v>
      </c>
      <c r="M231" s="30">
        <v>184</v>
      </c>
      <c r="N231" s="30">
        <v>51</v>
      </c>
      <c r="O231" s="30">
        <v>13</v>
      </c>
      <c r="P231" s="30">
        <v>14</v>
      </c>
      <c r="Q231" s="30">
        <v>23</v>
      </c>
      <c r="R231" s="30">
        <v>40</v>
      </c>
    </row>
    <row r="232" spans="2:18" ht="12.75" customHeight="1" x14ac:dyDescent="0.2">
      <c r="B232" s="29" t="s">
        <v>245</v>
      </c>
      <c r="C232" s="30">
        <v>88915</v>
      </c>
      <c r="D232" s="30">
        <v>112358</v>
      </c>
      <c r="E232" s="30">
        <v>114390</v>
      </c>
      <c r="F232" s="30">
        <v>137476</v>
      </c>
      <c r="G232" s="30">
        <v>135168</v>
      </c>
      <c r="H232" s="30">
        <v>148709</v>
      </c>
      <c r="I232" s="30">
        <v>180395</v>
      </c>
      <c r="J232" s="30">
        <v>174330</v>
      </c>
      <c r="K232" s="30">
        <v>165762</v>
      </c>
      <c r="L232" s="30">
        <v>230881</v>
      </c>
      <c r="M232" s="30">
        <v>252911</v>
      </c>
      <c r="N232" s="30">
        <v>297706</v>
      </c>
      <c r="O232" s="30">
        <v>43236</v>
      </c>
      <c r="P232" s="30">
        <v>18979</v>
      </c>
      <c r="Q232" s="30">
        <v>45249</v>
      </c>
      <c r="R232" s="30">
        <v>120928</v>
      </c>
    </row>
    <row r="233" spans="2:18" ht="12.75" customHeight="1" x14ac:dyDescent="0.2">
      <c r="B233" s="29" t="s">
        <v>246</v>
      </c>
      <c r="C233" s="30">
        <v>385</v>
      </c>
      <c r="D233" s="30">
        <v>599</v>
      </c>
      <c r="E233" s="30">
        <v>785</v>
      </c>
      <c r="F233" s="30">
        <v>1445</v>
      </c>
      <c r="G233" s="30">
        <v>1895</v>
      </c>
      <c r="H233" s="30">
        <v>2914</v>
      </c>
      <c r="I233" s="30">
        <v>3419</v>
      </c>
      <c r="J233" s="30">
        <v>2980</v>
      </c>
      <c r="K233" s="30">
        <v>3044</v>
      </c>
      <c r="L233" s="30">
        <v>3252</v>
      </c>
      <c r="M233" s="30">
        <v>3751</v>
      </c>
      <c r="N233" s="30">
        <v>5664</v>
      </c>
      <c r="O233" s="30">
        <v>1605</v>
      </c>
      <c r="P233" s="30">
        <v>5891</v>
      </c>
      <c r="Q233" s="30">
        <v>7284</v>
      </c>
      <c r="R233" s="30">
        <v>7228</v>
      </c>
    </row>
    <row r="234" spans="2:18" ht="12.75" customHeight="1" x14ac:dyDescent="0.2">
      <c r="B234" s="29" t="s">
        <v>247</v>
      </c>
      <c r="C234" s="30">
        <v>730689</v>
      </c>
      <c r="D234" s="30">
        <v>574700</v>
      </c>
      <c r="E234" s="30">
        <v>568227</v>
      </c>
      <c r="F234" s="30">
        <v>602404</v>
      </c>
      <c r="G234" s="30">
        <v>634663</v>
      </c>
      <c r="H234" s="30">
        <v>756187</v>
      </c>
      <c r="I234" s="30">
        <v>657051</v>
      </c>
      <c r="J234" s="30">
        <v>706551</v>
      </c>
      <c r="K234" s="30">
        <v>1045043</v>
      </c>
      <c r="L234" s="30">
        <v>1284735</v>
      </c>
      <c r="M234" s="30">
        <v>1386934</v>
      </c>
      <c r="N234" s="30">
        <v>1547996</v>
      </c>
      <c r="O234" s="30">
        <v>997652</v>
      </c>
      <c r="P234" s="30">
        <v>2060008</v>
      </c>
      <c r="Q234" s="30">
        <v>675467</v>
      </c>
      <c r="R234" s="30">
        <v>839729</v>
      </c>
    </row>
    <row r="235" spans="2:18" ht="12.75" customHeight="1" x14ac:dyDescent="0.2">
      <c r="B235" s="29" t="s">
        <v>248</v>
      </c>
      <c r="C235" s="30">
        <v>5904</v>
      </c>
      <c r="D235" s="30">
        <v>5203</v>
      </c>
      <c r="E235" s="30">
        <v>5408</v>
      </c>
      <c r="F235" s="30">
        <v>5998</v>
      </c>
      <c r="G235" s="30">
        <v>7959</v>
      </c>
      <c r="H235" s="30">
        <v>8956</v>
      </c>
      <c r="I235" s="30">
        <v>14283</v>
      </c>
      <c r="J235" s="30">
        <v>18787</v>
      </c>
      <c r="K235" s="30">
        <v>13891</v>
      </c>
      <c r="L235" s="30">
        <v>25234</v>
      </c>
      <c r="M235" s="30">
        <v>53230</v>
      </c>
      <c r="N235" s="30">
        <v>88378</v>
      </c>
      <c r="O235" s="30">
        <v>14294</v>
      </c>
      <c r="P235" s="30">
        <v>61058</v>
      </c>
      <c r="Q235" s="30">
        <v>130160</v>
      </c>
      <c r="R235" s="30">
        <v>95895</v>
      </c>
    </row>
    <row r="236" spans="2:18" ht="12.75" customHeight="1" x14ac:dyDescent="0.2">
      <c r="B236" s="29" t="s">
        <v>249</v>
      </c>
      <c r="C236" s="30">
        <v>2481</v>
      </c>
      <c r="D236" s="30">
        <v>4246</v>
      </c>
      <c r="E236" s="30">
        <v>2903</v>
      </c>
      <c r="F236" s="30">
        <v>3735</v>
      </c>
      <c r="G236" s="30">
        <v>3592</v>
      </c>
      <c r="H236" s="30">
        <v>4834</v>
      </c>
      <c r="I236" s="30">
        <v>5218</v>
      </c>
      <c r="J236" s="30">
        <v>6334</v>
      </c>
      <c r="K236" s="30">
        <v>2577</v>
      </c>
      <c r="L236" s="30">
        <v>2536</v>
      </c>
      <c r="M236" s="30">
        <v>4625</v>
      </c>
      <c r="N236" s="30">
        <v>7191</v>
      </c>
      <c r="O236" s="30">
        <v>604</v>
      </c>
      <c r="P236" s="30">
        <v>1380</v>
      </c>
      <c r="Q236" s="30">
        <v>6275</v>
      </c>
      <c r="R236" s="30">
        <v>7085</v>
      </c>
    </row>
    <row r="237" spans="2:18" ht="12.75" customHeight="1" x14ac:dyDescent="0.2">
      <c r="B237" s="29" t="s">
        <v>250</v>
      </c>
      <c r="C237" s="30">
        <v>74340</v>
      </c>
      <c r="D237" s="30">
        <v>87694</v>
      </c>
      <c r="E237" s="30">
        <v>96562</v>
      </c>
      <c r="F237" s="30">
        <v>94914</v>
      </c>
      <c r="G237" s="30">
        <v>102154</v>
      </c>
      <c r="H237" s="30">
        <v>102871</v>
      </c>
      <c r="I237" s="30">
        <v>131329</v>
      </c>
      <c r="J237" s="30">
        <v>162866</v>
      </c>
      <c r="K237" s="30">
        <v>203179</v>
      </c>
      <c r="L237" s="30">
        <v>277729</v>
      </c>
      <c r="M237" s="30">
        <v>406469</v>
      </c>
      <c r="N237" s="30">
        <v>474874</v>
      </c>
      <c r="O237" s="30">
        <v>93750</v>
      </c>
      <c r="P237" s="30">
        <v>326633</v>
      </c>
      <c r="Q237" s="30">
        <v>494629</v>
      </c>
      <c r="R237" s="30">
        <v>384680</v>
      </c>
    </row>
    <row r="238" spans="2:18" ht="12.75" customHeight="1" x14ac:dyDescent="0.2">
      <c r="B238" s="29" t="s">
        <v>251</v>
      </c>
      <c r="C238" s="30">
        <v>12</v>
      </c>
      <c r="D238" s="30">
        <v>6</v>
      </c>
      <c r="E238" s="30">
        <v>676</v>
      </c>
      <c r="F238" s="30">
        <v>11</v>
      </c>
      <c r="G238" s="30">
        <v>4</v>
      </c>
      <c r="H238" s="30">
        <v>35</v>
      </c>
      <c r="I238" s="30">
        <v>13</v>
      </c>
      <c r="J238" s="30">
        <v>7</v>
      </c>
      <c r="K238" s="30">
        <v>23</v>
      </c>
      <c r="L238" s="30">
        <v>41</v>
      </c>
      <c r="M238" s="30">
        <v>56</v>
      </c>
      <c r="N238" s="30">
        <v>76</v>
      </c>
      <c r="O238" s="30">
        <v>38</v>
      </c>
      <c r="P238" s="30">
        <v>177</v>
      </c>
      <c r="Q238" s="30">
        <v>383</v>
      </c>
      <c r="R238" s="30">
        <v>397</v>
      </c>
    </row>
    <row r="239" spans="2:18" ht="12.75" customHeight="1" x14ac:dyDescent="0.2">
      <c r="B239" s="29" t="s">
        <v>252</v>
      </c>
      <c r="C239" s="30">
        <v>36</v>
      </c>
      <c r="D239" s="30">
        <v>38</v>
      </c>
      <c r="E239" s="30">
        <v>25</v>
      </c>
      <c r="F239" s="30">
        <v>16</v>
      </c>
      <c r="G239" s="30">
        <v>26</v>
      </c>
      <c r="H239" s="30">
        <v>26</v>
      </c>
      <c r="I239" s="30">
        <v>51</v>
      </c>
      <c r="J239" s="30">
        <v>19</v>
      </c>
      <c r="K239" s="30">
        <v>40</v>
      </c>
      <c r="L239" s="30">
        <v>16</v>
      </c>
      <c r="M239" s="30">
        <v>28</v>
      </c>
      <c r="N239" s="30">
        <v>33</v>
      </c>
      <c r="O239" s="30">
        <v>8</v>
      </c>
      <c r="P239" s="30">
        <v>17</v>
      </c>
      <c r="Q239" s="30">
        <v>27</v>
      </c>
      <c r="R239" s="30">
        <v>33</v>
      </c>
    </row>
    <row r="240" spans="2:18" ht="12.75" customHeight="1" x14ac:dyDescent="0.2">
      <c r="B240" s="29" t="s">
        <v>253</v>
      </c>
      <c r="C240" s="30">
        <v>9604</v>
      </c>
      <c r="D240" s="30">
        <v>9284</v>
      </c>
      <c r="E240" s="30">
        <v>6769</v>
      </c>
      <c r="F240" s="30">
        <v>8557</v>
      </c>
      <c r="G240" s="30">
        <v>9600</v>
      </c>
      <c r="H240" s="30">
        <v>11271</v>
      </c>
      <c r="I240" s="30">
        <v>6975</v>
      </c>
      <c r="J240" s="30">
        <v>6435</v>
      </c>
      <c r="K240" s="30">
        <v>5035</v>
      </c>
      <c r="L240" s="30">
        <v>6956</v>
      </c>
      <c r="M240" s="30">
        <v>9246</v>
      </c>
      <c r="N240" s="30">
        <v>11738</v>
      </c>
      <c r="O240" s="30">
        <v>3473</v>
      </c>
      <c r="P240" s="30">
        <v>11446</v>
      </c>
      <c r="Q240" s="30">
        <v>18395</v>
      </c>
      <c r="R240" s="30">
        <v>22753</v>
      </c>
    </row>
    <row r="241" spans="2:18" ht="12.75" customHeight="1" x14ac:dyDescent="0.2">
      <c r="B241" s="29" t="s">
        <v>254</v>
      </c>
      <c r="C241" s="30">
        <v>4742</v>
      </c>
      <c r="D241" s="30">
        <v>4750</v>
      </c>
      <c r="E241" s="30">
        <v>3428</v>
      </c>
      <c r="F241" s="30">
        <v>5266</v>
      </c>
      <c r="G241" s="30">
        <v>3674</v>
      </c>
      <c r="H241" s="30">
        <v>4618</v>
      </c>
      <c r="I241" s="30">
        <v>5679</v>
      </c>
      <c r="J241" s="30">
        <v>6399</v>
      </c>
      <c r="K241" s="30">
        <v>3293</v>
      </c>
      <c r="L241" s="30">
        <v>4947</v>
      </c>
      <c r="M241" s="30">
        <v>9622</v>
      </c>
      <c r="N241" s="30">
        <v>13194</v>
      </c>
      <c r="O241" s="30">
        <v>1819</v>
      </c>
      <c r="P241" s="30">
        <v>1811</v>
      </c>
      <c r="Q241" s="30">
        <v>6247</v>
      </c>
      <c r="R241" s="30">
        <v>7474</v>
      </c>
    </row>
    <row r="242" spans="2:18" ht="12.75" customHeight="1" x14ac:dyDescent="0.2">
      <c r="B242" s="29" t="s">
        <v>255</v>
      </c>
      <c r="C242" s="30"/>
      <c r="D242" s="30"/>
      <c r="E242" s="30"/>
      <c r="F242" s="30"/>
      <c r="G242" s="30"/>
      <c r="H242" s="30"/>
      <c r="I242" s="30"/>
      <c r="J242" s="30"/>
      <c r="K242" s="30">
        <v>38</v>
      </c>
      <c r="L242" s="30">
        <v>38</v>
      </c>
      <c r="M242" s="30"/>
      <c r="N242" s="30"/>
      <c r="O242" s="30"/>
      <c r="P242" s="30"/>
      <c r="Q242" s="30"/>
      <c r="R242" s="30"/>
    </row>
    <row r="243" spans="2:18" ht="12.75" customHeight="1" x14ac:dyDescent="0.2">
      <c r="B243" s="29" t="s">
        <v>256</v>
      </c>
      <c r="C243" s="30"/>
      <c r="D243" s="30"/>
      <c r="E243" s="30"/>
      <c r="F243" s="30"/>
      <c r="G243" s="30"/>
      <c r="H243" s="30"/>
      <c r="I243" s="30"/>
      <c r="J243" s="30"/>
      <c r="K243" s="30"/>
      <c r="L243" s="30">
        <v>3</v>
      </c>
      <c r="M243" s="30"/>
      <c r="N243" s="30"/>
      <c r="O243" s="30"/>
      <c r="P243" s="30"/>
      <c r="Q243" s="30"/>
      <c r="R243" s="30"/>
    </row>
    <row r="244" spans="2:18" ht="12.75" customHeight="1" x14ac:dyDescent="0.2">
      <c r="B244" s="29" t="s">
        <v>257</v>
      </c>
      <c r="C244" s="30">
        <v>4971</v>
      </c>
      <c r="D244" s="30">
        <v>6181</v>
      </c>
      <c r="E244" s="30">
        <v>6344</v>
      </c>
      <c r="F244" s="30">
        <v>8066</v>
      </c>
      <c r="G244" s="30">
        <v>11826</v>
      </c>
      <c r="H244" s="30">
        <v>17354</v>
      </c>
      <c r="I244" s="30">
        <v>26033</v>
      </c>
      <c r="J244" s="30">
        <v>24237</v>
      </c>
      <c r="K244" s="30">
        <v>25325</v>
      </c>
      <c r="L244" s="30">
        <v>28491</v>
      </c>
      <c r="M244" s="30">
        <v>39545</v>
      </c>
      <c r="N244" s="30">
        <v>41673</v>
      </c>
      <c r="O244" s="30">
        <v>13354</v>
      </c>
      <c r="P244" s="30">
        <v>21856</v>
      </c>
      <c r="Q244" s="30">
        <v>34599</v>
      </c>
      <c r="R244" s="30">
        <v>35911</v>
      </c>
    </row>
    <row r="245" spans="2:18" ht="12.75" customHeight="1" x14ac:dyDescent="0.2">
      <c r="B245" s="29" t="s">
        <v>258</v>
      </c>
      <c r="C245" s="30"/>
      <c r="D245" s="30"/>
      <c r="E245" s="30">
        <v>14</v>
      </c>
      <c r="F245" s="30"/>
      <c r="G245" s="30"/>
      <c r="H245" s="30"/>
      <c r="I245" s="30"/>
      <c r="J245" s="30">
        <v>14</v>
      </c>
      <c r="K245" s="30"/>
      <c r="L245" s="30"/>
      <c r="M245" s="30"/>
      <c r="N245" s="30"/>
      <c r="O245" s="30"/>
      <c r="P245" s="30"/>
      <c r="Q245" s="30"/>
      <c r="R245" s="30"/>
    </row>
    <row r="246" spans="2:18" ht="12.75" customHeight="1" x14ac:dyDescent="0.2">
      <c r="B246" s="29" t="s">
        <v>259</v>
      </c>
      <c r="C246" s="30">
        <v>23466</v>
      </c>
      <c r="D246" s="30">
        <v>23898</v>
      </c>
      <c r="E246" s="30">
        <v>24636</v>
      </c>
      <c r="F246" s="30">
        <v>26709</v>
      </c>
      <c r="G246" s="30">
        <v>28278</v>
      </c>
      <c r="H246" s="30">
        <v>30667</v>
      </c>
      <c r="I246" s="30">
        <v>32933</v>
      </c>
      <c r="J246" s="30">
        <v>36915</v>
      </c>
      <c r="K246" s="30">
        <v>15287</v>
      </c>
      <c r="L246" s="30">
        <v>11362</v>
      </c>
      <c r="M246" s="30">
        <v>16174</v>
      </c>
      <c r="N246" s="30">
        <v>20912</v>
      </c>
      <c r="O246" s="30">
        <v>2879</v>
      </c>
      <c r="P246" s="30">
        <v>2746</v>
      </c>
      <c r="Q246" s="30">
        <v>15448</v>
      </c>
      <c r="R246" s="30">
        <v>31007</v>
      </c>
    </row>
    <row r="247" spans="2:18" ht="12.75" customHeight="1" x14ac:dyDescent="0.2">
      <c r="B247" s="29" t="s">
        <v>260</v>
      </c>
      <c r="C247" s="30">
        <v>79</v>
      </c>
      <c r="D247" s="30">
        <v>116</v>
      </c>
      <c r="E247" s="30">
        <v>77</v>
      </c>
      <c r="F247" s="30">
        <v>84</v>
      </c>
      <c r="G247" s="30">
        <v>128</v>
      </c>
      <c r="H247" s="30">
        <v>88</v>
      </c>
      <c r="I247" s="30">
        <v>145</v>
      </c>
      <c r="J247" s="30">
        <v>131</v>
      </c>
      <c r="K247" s="30">
        <v>77</v>
      </c>
      <c r="L247" s="30">
        <v>71</v>
      </c>
      <c r="M247" s="30">
        <v>143</v>
      </c>
      <c r="N247" s="30">
        <v>223</v>
      </c>
      <c r="O247" s="30">
        <v>97</v>
      </c>
      <c r="P247" s="30">
        <v>233</v>
      </c>
      <c r="Q247" s="30">
        <v>398</v>
      </c>
      <c r="R247" s="30">
        <v>341</v>
      </c>
    </row>
    <row r="248" spans="2:18" ht="12.75" customHeight="1" x14ac:dyDescent="0.2">
      <c r="B248" s="29" t="s">
        <v>261</v>
      </c>
      <c r="C248" s="30">
        <v>572212</v>
      </c>
      <c r="D248" s="30">
        <v>616489</v>
      </c>
      <c r="E248" s="30">
        <v>670297</v>
      </c>
      <c r="F248" s="30">
        <v>702017</v>
      </c>
      <c r="G248" s="30">
        <v>669823</v>
      </c>
      <c r="H248" s="30">
        <v>703168</v>
      </c>
      <c r="I248" s="30">
        <v>830841</v>
      </c>
      <c r="J248" s="30">
        <v>755414</v>
      </c>
      <c r="K248" s="30">
        <v>593150</v>
      </c>
      <c r="L248" s="30">
        <v>623705</v>
      </c>
      <c r="M248" s="30">
        <v>686891</v>
      </c>
      <c r="N248" s="30">
        <v>836882</v>
      </c>
      <c r="O248" s="30">
        <v>136305</v>
      </c>
      <c r="P248" s="30">
        <v>157723</v>
      </c>
      <c r="Q248" s="30">
        <v>569795</v>
      </c>
      <c r="R248" s="30">
        <v>686480</v>
      </c>
    </row>
    <row r="249" spans="2:18" ht="12.75" customHeight="1" x14ac:dyDescent="0.2">
      <c r="B249" s="29" t="s">
        <v>262</v>
      </c>
      <c r="C249" s="30">
        <v>280</v>
      </c>
      <c r="D249" s="30">
        <v>7193</v>
      </c>
      <c r="E249" s="30">
        <v>269</v>
      </c>
      <c r="F249" s="30">
        <v>339</v>
      </c>
      <c r="G249" s="30">
        <v>457</v>
      </c>
      <c r="H249" s="30">
        <v>683</v>
      </c>
      <c r="I249" s="30">
        <v>787</v>
      </c>
      <c r="J249" s="30">
        <v>883</v>
      </c>
      <c r="K249" s="30">
        <v>809</v>
      </c>
      <c r="L249" s="30">
        <v>819</v>
      </c>
      <c r="M249" s="30">
        <v>1021</v>
      </c>
      <c r="N249" s="30">
        <v>1444</v>
      </c>
      <c r="O249" s="30">
        <v>443</v>
      </c>
      <c r="P249" s="30">
        <v>832</v>
      </c>
      <c r="Q249" s="30">
        <v>1431</v>
      </c>
      <c r="R249" s="30">
        <v>1166</v>
      </c>
    </row>
    <row r="250" spans="2:18" ht="12.75" customHeight="1" x14ac:dyDescent="0.2">
      <c r="B250" s="29" t="s">
        <v>263</v>
      </c>
      <c r="C250" s="30">
        <v>286</v>
      </c>
      <c r="D250" s="30">
        <v>251</v>
      </c>
      <c r="E250" s="30">
        <v>274</v>
      </c>
      <c r="F250" s="30">
        <v>379</v>
      </c>
      <c r="G250" s="30">
        <v>515</v>
      </c>
      <c r="H250" s="30">
        <v>753</v>
      </c>
      <c r="I250" s="30">
        <v>1174</v>
      </c>
      <c r="J250" s="30">
        <v>1678</v>
      </c>
      <c r="K250" s="30">
        <v>1699</v>
      </c>
      <c r="L250" s="30">
        <v>1842</v>
      </c>
      <c r="M250" s="30">
        <v>2349</v>
      </c>
      <c r="N250" s="30">
        <v>2716</v>
      </c>
      <c r="O250" s="30">
        <v>910</v>
      </c>
      <c r="P250" s="30">
        <v>1509</v>
      </c>
      <c r="Q250" s="30">
        <v>3726</v>
      </c>
      <c r="R250" s="30">
        <v>3306</v>
      </c>
    </row>
    <row r="251" spans="2:18" x14ac:dyDescent="0.2">
      <c r="B251" s="31" t="s">
        <v>4</v>
      </c>
      <c r="C251" s="32">
        <v>26336677</v>
      </c>
      <c r="D251" s="32">
        <v>27077114</v>
      </c>
      <c r="E251" s="32">
        <v>28632204</v>
      </c>
      <c r="F251" s="32">
        <v>31456076</v>
      </c>
      <c r="G251" s="32">
        <v>31782832</v>
      </c>
      <c r="H251" s="32">
        <v>34910098</v>
      </c>
      <c r="I251" s="32">
        <v>36837900</v>
      </c>
      <c r="J251" s="32">
        <v>36244632</v>
      </c>
      <c r="K251" s="32">
        <v>25352213</v>
      </c>
      <c r="L251" s="32">
        <v>32410034</v>
      </c>
      <c r="M251" s="32">
        <v>39488401</v>
      </c>
      <c r="N251" s="32">
        <v>45058286</v>
      </c>
      <c r="O251" s="32">
        <v>12734213</v>
      </c>
      <c r="P251" s="32">
        <v>24712266</v>
      </c>
      <c r="Q251" s="32">
        <v>44564395</v>
      </c>
      <c r="R251" s="32">
        <v>49209180</v>
      </c>
    </row>
  </sheetData>
  <mergeCells count="1">
    <mergeCell ref="B1:R1"/>
  </mergeCells>
  <printOptions horizontalCentered="1"/>
  <pageMargins left="0.19685039370078741" right="0.19685039370078741" top="0.19685039370078741" bottom="0.15748031496062992" header="0.15748031496062992" footer="0.15748031496062992"/>
  <pageSetup scale="68"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G17"/>
  <sheetViews>
    <sheetView view="pageBreakPreview" zoomScaleNormal="100" zoomScaleSheetLayoutView="100" workbookViewId="0"/>
  </sheetViews>
  <sheetFormatPr defaultColWidth="9.140625" defaultRowHeight="12.75" x14ac:dyDescent="0.2"/>
  <cols>
    <col min="1" max="1" width="9.140625" style="19"/>
    <col min="2" max="2" width="13.5703125" style="6" customWidth="1"/>
    <col min="3" max="7" width="15.140625" customWidth="1"/>
  </cols>
  <sheetData>
    <row r="1" spans="2:7" ht="30" customHeight="1" x14ac:dyDescent="0.2">
      <c r="B1" s="419" t="s">
        <v>639</v>
      </c>
      <c r="C1" s="420"/>
      <c r="D1" s="420"/>
      <c r="E1" s="420"/>
      <c r="F1" s="420"/>
      <c r="G1" s="420"/>
    </row>
    <row r="2" spans="2:7" s="19" customFormat="1" ht="15" customHeight="1" thickBot="1" x14ac:dyDescent="0.25">
      <c r="B2" s="35"/>
      <c r="C2" s="36"/>
      <c r="D2" s="36"/>
      <c r="E2" s="36"/>
      <c r="F2" s="36"/>
      <c r="G2" s="36"/>
    </row>
    <row r="3" spans="2:7" ht="15" customHeight="1" thickBot="1" x14ac:dyDescent="0.25">
      <c r="B3" s="37" t="s">
        <v>264</v>
      </c>
      <c r="C3" s="421" t="s">
        <v>1</v>
      </c>
      <c r="D3" s="421"/>
      <c r="E3" s="421"/>
      <c r="F3" s="421" t="s">
        <v>266</v>
      </c>
      <c r="G3" s="421"/>
    </row>
    <row r="4" spans="2:7" ht="15" customHeight="1" thickBot="1" x14ac:dyDescent="0.25">
      <c r="B4" s="33" t="s">
        <v>265</v>
      </c>
      <c r="C4" s="34">
        <v>2021</v>
      </c>
      <c r="D4" s="34">
        <v>2022</v>
      </c>
      <c r="E4" s="34">
        <v>2023</v>
      </c>
      <c r="F4" s="34" t="s">
        <v>589</v>
      </c>
      <c r="G4" s="34" t="s">
        <v>607</v>
      </c>
    </row>
    <row r="5" spans="2:7" ht="15" customHeight="1" x14ac:dyDescent="0.2">
      <c r="B5" s="5" t="s">
        <v>5</v>
      </c>
      <c r="C5" s="39">
        <v>509787</v>
      </c>
      <c r="D5" s="39">
        <v>1281666</v>
      </c>
      <c r="E5" s="39">
        <v>2005967</v>
      </c>
      <c r="F5" s="63">
        <v>151.41206033107946</v>
      </c>
      <c r="G5" s="63">
        <v>56.512461124817229</v>
      </c>
    </row>
    <row r="6" spans="2:7" ht="15" customHeight="1" x14ac:dyDescent="0.2">
      <c r="B6" s="5" t="s">
        <v>6</v>
      </c>
      <c r="C6" s="39">
        <v>537976</v>
      </c>
      <c r="D6" s="39">
        <v>1541393</v>
      </c>
      <c r="E6" s="39">
        <v>1870414</v>
      </c>
      <c r="F6" s="63">
        <v>186.51705652296758</v>
      </c>
      <c r="G6" s="63">
        <v>21.345691851461634</v>
      </c>
    </row>
    <row r="7" spans="2:7" ht="15" customHeight="1" x14ac:dyDescent="0.2">
      <c r="B7" s="5" t="s">
        <v>7</v>
      </c>
      <c r="C7" s="39">
        <v>905323</v>
      </c>
      <c r="D7" s="39">
        <v>2079565</v>
      </c>
      <c r="E7" s="39">
        <v>2335728</v>
      </c>
      <c r="F7" s="63">
        <v>129.70420501854034</v>
      </c>
      <c r="G7" s="63">
        <v>12.318104988302842</v>
      </c>
    </row>
    <row r="8" spans="2:7" ht="15" customHeight="1" x14ac:dyDescent="0.2">
      <c r="B8" s="5" t="s">
        <v>8</v>
      </c>
      <c r="C8" s="39">
        <v>790687</v>
      </c>
      <c r="D8" s="39">
        <v>2574423</v>
      </c>
      <c r="E8" s="39">
        <v>3321824</v>
      </c>
      <c r="F8" s="63">
        <v>225.59318668449083</v>
      </c>
      <c r="G8" s="63">
        <v>29.031786928566127</v>
      </c>
    </row>
    <row r="9" spans="2:7" ht="15" customHeight="1" x14ac:dyDescent="0.2">
      <c r="B9" s="5" t="s">
        <v>9</v>
      </c>
      <c r="C9" s="39">
        <v>936282</v>
      </c>
      <c r="D9" s="39">
        <v>3873212</v>
      </c>
      <c r="E9" s="39">
        <v>4500242</v>
      </c>
      <c r="F9" s="63">
        <v>313.68006647569854</v>
      </c>
      <c r="G9" s="63">
        <v>16.188889221658922</v>
      </c>
    </row>
    <row r="10" spans="2:7" ht="15" customHeight="1" x14ac:dyDescent="0.2">
      <c r="B10" s="5" t="s">
        <v>10</v>
      </c>
      <c r="C10" s="39">
        <v>2047596</v>
      </c>
      <c r="D10" s="39">
        <v>5014821</v>
      </c>
      <c r="E10" s="39">
        <v>5584021</v>
      </c>
      <c r="F10" s="63">
        <v>144.91261948157742</v>
      </c>
      <c r="G10" s="63">
        <v>11.350355276888248</v>
      </c>
    </row>
    <row r="11" spans="2:7" ht="15" customHeight="1" x14ac:dyDescent="0.2">
      <c r="B11" s="5" t="s">
        <v>11</v>
      </c>
      <c r="C11" s="39">
        <v>4360952</v>
      </c>
      <c r="D11" s="39">
        <v>6664970</v>
      </c>
      <c r="E11" s="39">
        <v>7148044</v>
      </c>
      <c r="F11" s="63">
        <v>52.83291354731719</v>
      </c>
      <c r="G11" s="63">
        <v>7.2479546044468321</v>
      </c>
    </row>
    <row r="12" spans="2:7" ht="15" customHeight="1" x14ac:dyDescent="0.2">
      <c r="B12" s="5" t="s">
        <v>12</v>
      </c>
      <c r="C12" s="39">
        <v>3982168</v>
      </c>
      <c r="D12" s="39">
        <v>6304770</v>
      </c>
      <c r="E12" s="39">
        <v>6660700</v>
      </c>
      <c r="F12" s="63">
        <v>58.325063131439961</v>
      </c>
      <c r="G12" s="63">
        <v>5.645408159219131</v>
      </c>
    </row>
    <row r="13" spans="2:7" ht="15" customHeight="1" x14ac:dyDescent="0.2">
      <c r="B13" s="5" t="s">
        <v>13</v>
      </c>
      <c r="C13" s="39">
        <v>3513453</v>
      </c>
      <c r="D13" s="39">
        <v>5475453</v>
      </c>
      <c r="E13" s="39">
        <v>5786027</v>
      </c>
      <c r="F13" s="63">
        <v>55.842500241215696</v>
      </c>
      <c r="G13" s="63">
        <v>5.6721151656310447</v>
      </c>
    </row>
    <row r="14" spans="2:7" ht="15" customHeight="1" x14ac:dyDescent="0.2">
      <c r="B14" s="5" t="s">
        <v>14</v>
      </c>
      <c r="C14" s="39">
        <v>3471540</v>
      </c>
      <c r="D14" s="39">
        <v>4803198</v>
      </c>
      <c r="E14" s="39">
        <v>4987112</v>
      </c>
      <c r="F14" s="63">
        <v>38.359287232755491</v>
      </c>
      <c r="G14" s="63">
        <v>3.8289906016782984</v>
      </c>
    </row>
    <row r="15" spans="2:7" ht="15" customHeight="1" x14ac:dyDescent="0.2">
      <c r="B15" s="5" t="s">
        <v>15</v>
      </c>
      <c r="C15" s="39">
        <v>1763982</v>
      </c>
      <c r="D15" s="39">
        <v>2551483</v>
      </c>
      <c r="E15" s="39">
        <v>2525345</v>
      </c>
      <c r="F15" s="63">
        <v>44.643369376785024</v>
      </c>
      <c r="G15" s="63">
        <v>-1.0244238350794421</v>
      </c>
    </row>
    <row r="16" spans="2:7" ht="15" customHeight="1" thickBot="1" x14ac:dyDescent="0.25">
      <c r="B16" s="5" t="s">
        <v>16</v>
      </c>
      <c r="C16" s="39">
        <v>1892520</v>
      </c>
      <c r="D16" s="39">
        <v>2399441</v>
      </c>
      <c r="E16" s="39">
        <v>2483756</v>
      </c>
      <c r="F16" s="63">
        <v>26.785502927313846</v>
      </c>
      <c r="G16" s="63">
        <v>3.5139434559966261</v>
      </c>
    </row>
    <row r="17" spans="2:7" ht="15" customHeight="1" thickBot="1" x14ac:dyDescent="0.25">
      <c r="B17" s="38" t="s">
        <v>17</v>
      </c>
      <c r="C17" s="40">
        <v>24712266</v>
      </c>
      <c r="D17" s="40">
        <v>44564395</v>
      </c>
      <c r="E17" s="40">
        <v>49209180</v>
      </c>
      <c r="F17" s="118">
        <v>80.333098551140552</v>
      </c>
      <c r="G17" s="118">
        <v>10.422636726023095</v>
      </c>
    </row>
  </sheetData>
  <mergeCells count="3">
    <mergeCell ref="B1:G1"/>
    <mergeCell ref="C3:E3"/>
    <mergeCell ref="F3:G3"/>
  </mergeCells>
  <printOptions horizontalCentered="1"/>
  <pageMargins left="0.74803149606299213" right="0.74803149606299213" top="0.98425196850393704" bottom="0.98425196850393704" header="0.51181102362204722" footer="0.51181102362204722"/>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H119"/>
  <sheetViews>
    <sheetView view="pageBreakPreview" zoomScaleNormal="100" zoomScaleSheetLayoutView="100" workbookViewId="0"/>
  </sheetViews>
  <sheetFormatPr defaultColWidth="9.140625" defaultRowHeight="12.75" x14ac:dyDescent="0.2"/>
  <cols>
    <col min="1" max="1" width="9.140625" style="19"/>
    <col min="2" max="2" width="29.7109375" style="6" customWidth="1"/>
    <col min="3" max="6" width="11.42578125" customWidth="1"/>
    <col min="7" max="7" width="10.28515625" customWidth="1"/>
    <col min="8" max="8" width="8.5703125" customWidth="1"/>
  </cols>
  <sheetData>
    <row r="1" spans="2:8" ht="21" customHeight="1" x14ac:dyDescent="0.2">
      <c r="B1" s="422" t="s">
        <v>608</v>
      </c>
      <c r="C1" s="423"/>
      <c r="D1" s="423"/>
      <c r="E1" s="423"/>
      <c r="F1" s="423"/>
      <c r="G1" s="423"/>
      <c r="H1" s="423"/>
    </row>
    <row r="2" spans="2:8" s="25" customFormat="1" ht="5.25" customHeight="1" thickBot="1" x14ac:dyDescent="0.25">
      <c r="B2" s="26"/>
    </row>
    <row r="3" spans="2:8" ht="16.5" customHeight="1" x14ac:dyDescent="0.2">
      <c r="B3" s="425" t="s">
        <v>267</v>
      </c>
      <c r="C3" s="424" t="s">
        <v>268</v>
      </c>
      <c r="D3" s="424"/>
      <c r="E3" s="424"/>
      <c r="F3" s="424"/>
      <c r="G3" s="427" t="s">
        <v>17</v>
      </c>
      <c r="H3" s="429" t="s">
        <v>273</v>
      </c>
    </row>
    <row r="4" spans="2:8" ht="16.5" customHeight="1" thickBot="1" x14ac:dyDescent="0.25">
      <c r="B4" s="426"/>
      <c r="C4" s="51" t="s">
        <v>296</v>
      </c>
      <c r="D4" s="51" t="s">
        <v>297</v>
      </c>
      <c r="E4" s="51" t="s">
        <v>298</v>
      </c>
      <c r="F4" s="51" t="s">
        <v>299</v>
      </c>
      <c r="G4" s="428"/>
      <c r="H4" s="430"/>
    </row>
    <row r="5" spans="2:8" ht="12.75" customHeight="1" x14ac:dyDescent="0.2">
      <c r="B5" s="46" t="s">
        <v>63</v>
      </c>
      <c r="C5" s="47">
        <v>745</v>
      </c>
      <c r="D5" s="47">
        <v>291482</v>
      </c>
      <c r="E5" s="47">
        <v>276</v>
      </c>
      <c r="F5" s="47">
        <v>2</v>
      </c>
      <c r="G5" s="60">
        <v>292505</v>
      </c>
      <c r="H5" s="48">
        <v>0.5944114492458521</v>
      </c>
    </row>
    <row r="6" spans="2:8" ht="12.75" customHeight="1" x14ac:dyDescent="0.2">
      <c r="B6" s="46" t="s">
        <v>85</v>
      </c>
      <c r="C6" s="47">
        <v>1984</v>
      </c>
      <c r="D6" s="47">
        <v>259065</v>
      </c>
      <c r="E6" s="47">
        <v>1057</v>
      </c>
      <c r="F6" s="47">
        <v>18</v>
      </c>
      <c r="G6" s="60">
        <v>262124</v>
      </c>
      <c r="H6" s="48">
        <v>0.53267296874282399</v>
      </c>
    </row>
    <row r="7" spans="2:8" ht="12.75" customHeight="1" x14ac:dyDescent="0.2">
      <c r="B7" s="46" t="s">
        <v>105</v>
      </c>
      <c r="C7" s="47">
        <v>5437</v>
      </c>
      <c r="D7" s="47">
        <v>61932</v>
      </c>
      <c r="E7" s="47">
        <v>263</v>
      </c>
      <c r="F7" s="49">
        <v>15</v>
      </c>
      <c r="G7" s="60">
        <v>67647</v>
      </c>
      <c r="H7" s="48">
        <v>0.13746825287476849</v>
      </c>
    </row>
    <row r="8" spans="2:8" ht="12.75" customHeight="1" x14ac:dyDescent="0.2">
      <c r="B8" s="46" t="s">
        <v>155</v>
      </c>
      <c r="C8" s="47">
        <v>2428</v>
      </c>
      <c r="D8" s="47">
        <v>191571</v>
      </c>
      <c r="E8" s="47">
        <v>346</v>
      </c>
      <c r="F8" s="49">
        <v>6</v>
      </c>
      <c r="G8" s="60">
        <v>194351</v>
      </c>
      <c r="H8" s="48">
        <v>0.39494866608222284</v>
      </c>
    </row>
    <row r="9" spans="2:8" ht="12.75" customHeight="1" x14ac:dyDescent="0.2">
      <c r="B9" s="46" t="s">
        <v>173</v>
      </c>
      <c r="C9" s="47">
        <v>7808</v>
      </c>
      <c r="D9" s="47">
        <v>178865</v>
      </c>
      <c r="E9" s="47">
        <v>371</v>
      </c>
      <c r="F9" s="49">
        <v>9</v>
      </c>
      <c r="G9" s="60">
        <v>187053</v>
      </c>
      <c r="H9" s="48">
        <v>0.38011809991550355</v>
      </c>
    </row>
    <row r="10" spans="2:8" ht="12.75" customHeight="1" x14ac:dyDescent="0.2">
      <c r="B10" s="46" t="s">
        <v>227</v>
      </c>
      <c r="C10" s="47">
        <v>38</v>
      </c>
      <c r="D10" s="47">
        <v>19858</v>
      </c>
      <c r="E10" s="47">
        <v>17</v>
      </c>
      <c r="F10" s="49"/>
      <c r="G10" s="60">
        <v>19913</v>
      </c>
      <c r="H10" s="48">
        <v>4.046602686734467E-2</v>
      </c>
    </row>
    <row r="11" spans="2:8" ht="12.75" customHeight="1" x14ac:dyDescent="0.2">
      <c r="B11" s="46" t="s">
        <v>243</v>
      </c>
      <c r="C11" s="47">
        <v>1047</v>
      </c>
      <c r="D11" s="47">
        <v>174951</v>
      </c>
      <c r="E11" s="47">
        <v>547</v>
      </c>
      <c r="F11" s="49">
        <v>2</v>
      </c>
      <c r="G11" s="60">
        <v>176547</v>
      </c>
      <c r="H11" s="48">
        <v>0.35876842491583888</v>
      </c>
    </row>
    <row r="12" spans="2:8" ht="12.75" customHeight="1" thickBot="1" x14ac:dyDescent="0.25">
      <c r="B12" s="46" t="s">
        <v>274</v>
      </c>
      <c r="C12" s="47">
        <v>3225</v>
      </c>
      <c r="D12" s="47">
        <v>211668</v>
      </c>
      <c r="E12" s="47">
        <v>288</v>
      </c>
      <c r="F12" s="49">
        <v>11</v>
      </c>
      <c r="G12" s="60">
        <v>215192</v>
      </c>
      <c r="H12" s="48">
        <v>0.43730051994363656</v>
      </c>
    </row>
    <row r="13" spans="2:8" ht="12.75" customHeight="1" thickBot="1" x14ac:dyDescent="0.25">
      <c r="B13" s="52" t="s">
        <v>275</v>
      </c>
      <c r="C13" s="53">
        <v>22712</v>
      </c>
      <c r="D13" s="53">
        <v>1389392</v>
      </c>
      <c r="E13" s="53">
        <v>3165</v>
      </c>
      <c r="F13" s="53">
        <v>63</v>
      </c>
      <c r="G13" s="57">
        <v>1415332</v>
      </c>
      <c r="H13" s="54">
        <v>2.8761544085879911</v>
      </c>
    </row>
    <row r="14" spans="2:8" ht="12.75" customHeight="1" x14ac:dyDescent="0.2">
      <c r="B14" s="46" t="s">
        <v>29</v>
      </c>
      <c r="C14" s="47">
        <v>9152</v>
      </c>
      <c r="D14" s="47">
        <v>38821</v>
      </c>
      <c r="E14" s="47">
        <v>358</v>
      </c>
      <c r="F14" s="49">
        <v>52</v>
      </c>
      <c r="G14" s="60">
        <v>48383</v>
      </c>
      <c r="H14" s="48">
        <v>9.8321085618577678E-2</v>
      </c>
    </row>
    <row r="15" spans="2:8" ht="12.75" customHeight="1" x14ac:dyDescent="0.2">
      <c r="B15" s="46" t="s">
        <v>56</v>
      </c>
      <c r="C15" s="47">
        <v>23700</v>
      </c>
      <c r="D15" s="47">
        <v>81920</v>
      </c>
      <c r="E15" s="47">
        <v>1032</v>
      </c>
      <c r="F15" s="49">
        <v>65</v>
      </c>
      <c r="G15" s="60">
        <v>106717</v>
      </c>
      <c r="H15" s="48">
        <v>0.21686400789446197</v>
      </c>
    </row>
    <row r="16" spans="2:8" ht="12.75" customHeight="1" x14ac:dyDescent="0.2">
      <c r="B16" s="46" t="s">
        <v>140</v>
      </c>
      <c r="C16" s="47">
        <v>10784</v>
      </c>
      <c r="D16" s="47">
        <v>57908</v>
      </c>
      <c r="E16" s="47">
        <v>516</v>
      </c>
      <c r="F16" s="49">
        <v>49</v>
      </c>
      <c r="G16" s="60">
        <v>69257</v>
      </c>
      <c r="H16" s="48">
        <v>0.14074000013818561</v>
      </c>
    </row>
    <row r="17" spans="2:8" ht="12.75" customHeight="1" x14ac:dyDescent="0.2">
      <c r="B17" s="46" t="s">
        <v>233</v>
      </c>
      <c r="C17" s="47">
        <v>7407</v>
      </c>
      <c r="D17" s="47">
        <v>17969</v>
      </c>
      <c r="E17" s="47">
        <v>283</v>
      </c>
      <c r="F17" s="49">
        <v>54</v>
      </c>
      <c r="G17" s="60">
        <v>25713</v>
      </c>
      <c r="H17" s="48">
        <v>5.2252445580275877E-2</v>
      </c>
    </row>
    <row r="18" spans="2:8" ht="12.75" customHeight="1" x14ac:dyDescent="0.2">
      <c r="B18" s="46" t="s">
        <v>253</v>
      </c>
      <c r="C18" s="47">
        <v>1483</v>
      </c>
      <c r="D18" s="47">
        <v>21170</v>
      </c>
      <c r="E18" s="47">
        <v>93</v>
      </c>
      <c r="F18" s="49">
        <v>7</v>
      </c>
      <c r="G18" s="60">
        <v>22753</v>
      </c>
      <c r="H18" s="48">
        <v>4.6237307754366158E-2</v>
      </c>
    </row>
    <row r="19" spans="2:8" ht="12.75" customHeight="1" thickBot="1" x14ac:dyDescent="0.25">
      <c r="B19" s="46" t="s">
        <v>276</v>
      </c>
      <c r="C19" s="47">
        <v>6872</v>
      </c>
      <c r="D19" s="47">
        <v>40758</v>
      </c>
      <c r="E19" s="47">
        <v>857</v>
      </c>
      <c r="F19" s="49">
        <v>25</v>
      </c>
      <c r="G19" s="60">
        <v>48512</v>
      </c>
      <c r="H19" s="48">
        <v>9.858323182788252E-2</v>
      </c>
    </row>
    <row r="20" spans="2:8" ht="12.75" customHeight="1" thickBot="1" x14ac:dyDescent="0.25">
      <c r="B20" s="52" t="s">
        <v>277</v>
      </c>
      <c r="C20" s="53">
        <v>59398</v>
      </c>
      <c r="D20" s="53">
        <v>258546</v>
      </c>
      <c r="E20" s="53">
        <v>3139</v>
      </c>
      <c r="F20" s="55">
        <v>252</v>
      </c>
      <c r="G20" s="57">
        <v>321335</v>
      </c>
      <c r="H20" s="54">
        <v>0.65299807881374983</v>
      </c>
    </row>
    <row r="21" spans="2:8" ht="12.75" customHeight="1" thickBot="1" x14ac:dyDescent="0.25">
      <c r="B21" s="52" t="s">
        <v>278</v>
      </c>
      <c r="C21" s="53">
        <v>3055</v>
      </c>
      <c r="D21" s="53">
        <v>43413</v>
      </c>
      <c r="E21" s="53">
        <v>1300</v>
      </c>
      <c r="F21" s="55">
        <v>9</v>
      </c>
      <c r="G21" s="57">
        <v>47777</v>
      </c>
      <c r="H21" s="54">
        <v>9.7089608077192108E-2</v>
      </c>
    </row>
    <row r="22" spans="2:8" ht="12.75" customHeight="1" thickBot="1" x14ac:dyDescent="0.25">
      <c r="B22" s="52" t="s">
        <v>279</v>
      </c>
      <c r="C22" s="53">
        <v>7980</v>
      </c>
      <c r="D22" s="53">
        <v>24268</v>
      </c>
      <c r="E22" s="53">
        <v>212</v>
      </c>
      <c r="F22" s="55">
        <v>14</v>
      </c>
      <c r="G22" s="57">
        <v>32474</v>
      </c>
      <c r="H22" s="54">
        <v>6.5991751945470342E-2</v>
      </c>
    </row>
    <row r="23" spans="2:8" ht="12.75" customHeight="1" thickBot="1" x14ac:dyDescent="0.25">
      <c r="B23" s="52" t="s">
        <v>280</v>
      </c>
      <c r="C23" s="53">
        <v>70433</v>
      </c>
      <c r="D23" s="53">
        <v>326227</v>
      </c>
      <c r="E23" s="53">
        <v>4651</v>
      </c>
      <c r="F23" s="55">
        <v>275</v>
      </c>
      <c r="G23" s="57">
        <v>401586</v>
      </c>
      <c r="H23" s="54">
        <v>0.81607943883641221</v>
      </c>
    </row>
    <row r="24" spans="2:8" ht="12.75" customHeight="1" x14ac:dyDescent="0.2">
      <c r="B24" s="46" t="s">
        <v>37</v>
      </c>
      <c r="C24" s="47">
        <v>424</v>
      </c>
      <c r="D24" s="47">
        <v>64043</v>
      </c>
      <c r="E24" s="47">
        <v>302</v>
      </c>
      <c r="F24" s="49">
        <v>2</v>
      </c>
      <c r="G24" s="60">
        <v>64771</v>
      </c>
      <c r="H24" s="48">
        <v>0.13162381490608052</v>
      </c>
    </row>
    <row r="25" spans="2:8" ht="12.75" customHeight="1" x14ac:dyDescent="0.2">
      <c r="B25" s="46" t="s">
        <v>49</v>
      </c>
      <c r="C25" s="47">
        <v>379</v>
      </c>
      <c r="D25" s="47">
        <v>119698</v>
      </c>
      <c r="E25" s="47">
        <v>742</v>
      </c>
      <c r="F25" s="49"/>
      <c r="G25" s="60">
        <v>120819</v>
      </c>
      <c r="H25" s="48">
        <v>0.245521262496144</v>
      </c>
    </row>
    <row r="26" spans="2:8" ht="12.75" customHeight="1" x14ac:dyDescent="0.2">
      <c r="B26" s="46" t="s">
        <v>116</v>
      </c>
      <c r="C26" s="47">
        <v>471</v>
      </c>
      <c r="D26" s="47">
        <v>518821</v>
      </c>
      <c r="E26" s="47">
        <v>532414</v>
      </c>
      <c r="F26" s="49">
        <v>15</v>
      </c>
      <c r="G26" s="60">
        <v>1051721</v>
      </c>
      <c r="H26" s="48">
        <v>2.1372455302039173</v>
      </c>
    </row>
    <row r="27" spans="2:8" ht="12.75" customHeight="1" x14ac:dyDescent="0.2">
      <c r="B27" s="46" t="s">
        <v>122</v>
      </c>
      <c r="C27" s="47">
        <v>57487</v>
      </c>
      <c r="D27" s="47">
        <v>700935</v>
      </c>
      <c r="E27" s="47">
        <v>7331</v>
      </c>
      <c r="F27" s="49">
        <v>23</v>
      </c>
      <c r="G27" s="60">
        <v>765776</v>
      </c>
      <c r="H27" s="48">
        <v>1.5561649269506219</v>
      </c>
    </row>
    <row r="28" spans="2:8" ht="12.75" customHeight="1" x14ac:dyDescent="0.2">
      <c r="B28" s="46" t="s">
        <v>134</v>
      </c>
      <c r="C28" s="47">
        <v>150</v>
      </c>
      <c r="D28" s="47">
        <v>69584</v>
      </c>
      <c r="E28" s="47">
        <v>356</v>
      </c>
      <c r="F28" s="49"/>
      <c r="G28" s="60">
        <v>70090</v>
      </c>
      <c r="H28" s="48">
        <v>0.1424327737223014</v>
      </c>
    </row>
    <row r="29" spans="2:8" ht="12.75" customHeight="1" x14ac:dyDescent="0.2">
      <c r="B29" s="46" t="s">
        <v>145</v>
      </c>
      <c r="C29" s="47">
        <v>932</v>
      </c>
      <c r="D29" s="47">
        <v>359814</v>
      </c>
      <c r="E29" s="47">
        <v>2324</v>
      </c>
      <c r="F29" s="49">
        <v>0</v>
      </c>
      <c r="G29" s="60">
        <v>363070</v>
      </c>
      <c r="H29" s="48">
        <v>0.7378094900179194</v>
      </c>
    </row>
    <row r="30" spans="2:8" ht="12.75" customHeight="1" x14ac:dyDescent="0.2">
      <c r="B30" s="46" t="s">
        <v>146</v>
      </c>
      <c r="C30" s="47">
        <v>24840</v>
      </c>
      <c r="D30" s="47">
        <v>173765</v>
      </c>
      <c r="E30" s="47">
        <v>2300</v>
      </c>
      <c r="F30" s="49">
        <v>0</v>
      </c>
      <c r="G30" s="60">
        <v>200905</v>
      </c>
      <c r="H30" s="48">
        <v>0.40826731922783516</v>
      </c>
    </row>
    <row r="31" spans="2:8" ht="12.75" customHeight="1" x14ac:dyDescent="0.2">
      <c r="B31" s="46" t="s">
        <v>158</v>
      </c>
      <c r="C31" s="47">
        <v>3668</v>
      </c>
      <c r="D31" s="47">
        <v>252207</v>
      </c>
      <c r="E31" s="47">
        <v>1889</v>
      </c>
      <c r="F31" s="49">
        <v>17</v>
      </c>
      <c r="G31" s="60">
        <v>257781</v>
      </c>
      <c r="H31" s="48">
        <v>0.52384737969622741</v>
      </c>
    </row>
    <row r="32" spans="2:8" ht="12.75" customHeight="1" x14ac:dyDescent="0.2">
      <c r="B32" s="46" t="s">
        <v>230</v>
      </c>
      <c r="C32" s="47">
        <v>1370</v>
      </c>
      <c r="D32" s="47">
        <v>807514</v>
      </c>
      <c r="E32" s="47">
        <v>11795</v>
      </c>
      <c r="F32" s="49">
        <v>4</v>
      </c>
      <c r="G32" s="60">
        <v>820683</v>
      </c>
      <c r="H32" s="48">
        <v>1.6677437014800898</v>
      </c>
    </row>
    <row r="33" spans="2:8" ht="12.75" customHeight="1" x14ac:dyDescent="0.2">
      <c r="B33" s="46" t="s">
        <v>250</v>
      </c>
      <c r="C33" s="47">
        <v>707</v>
      </c>
      <c r="D33" s="47">
        <v>375152</v>
      </c>
      <c r="E33" s="47">
        <v>8809</v>
      </c>
      <c r="F33" s="49">
        <v>12</v>
      </c>
      <c r="G33" s="60">
        <v>384680</v>
      </c>
      <c r="H33" s="48">
        <v>0.78172406042937514</v>
      </c>
    </row>
    <row r="34" spans="2:8" ht="12.75" customHeight="1" x14ac:dyDescent="0.2">
      <c r="B34" s="46" t="s">
        <v>257</v>
      </c>
      <c r="C34" s="47">
        <v>36</v>
      </c>
      <c r="D34" s="47">
        <v>35756</v>
      </c>
      <c r="E34" s="47">
        <v>119</v>
      </c>
      <c r="F34" s="49"/>
      <c r="G34" s="60">
        <v>35911</v>
      </c>
      <c r="H34" s="48">
        <v>7.2976221103460776E-2</v>
      </c>
    </row>
    <row r="35" spans="2:8" ht="12.75" customHeight="1" thickBot="1" x14ac:dyDescent="0.25">
      <c r="B35" s="46" t="s">
        <v>281</v>
      </c>
      <c r="C35" s="47">
        <v>8857</v>
      </c>
      <c r="D35" s="47">
        <v>314705</v>
      </c>
      <c r="E35" s="47">
        <v>224728</v>
      </c>
      <c r="F35" s="47">
        <v>5993</v>
      </c>
      <c r="G35" s="60">
        <v>554283</v>
      </c>
      <c r="H35" s="48">
        <v>1.126381297148215</v>
      </c>
    </row>
    <row r="36" spans="2:8" ht="12.75" customHeight="1" thickBot="1" x14ac:dyDescent="0.25">
      <c r="B36" s="52" t="s">
        <v>282</v>
      </c>
      <c r="C36" s="53">
        <v>99321</v>
      </c>
      <c r="D36" s="53">
        <v>3791994</v>
      </c>
      <c r="E36" s="53">
        <v>793109</v>
      </c>
      <c r="F36" s="53">
        <v>6066</v>
      </c>
      <c r="G36" s="57">
        <v>4690490</v>
      </c>
      <c r="H36" s="54">
        <v>9.5317377773821867</v>
      </c>
    </row>
    <row r="37" spans="2:8" ht="12.75" customHeight="1" x14ac:dyDescent="0.2">
      <c r="B37" s="46" t="s">
        <v>38</v>
      </c>
      <c r="C37" s="47">
        <v>584</v>
      </c>
      <c r="D37" s="47">
        <v>23001</v>
      </c>
      <c r="E37" s="47">
        <v>65</v>
      </c>
      <c r="F37" s="49">
        <v>1</v>
      </c>
      <c r="G37" s="60">
        <v>23651</v>
      </c>
      <c r="H37" s="48">
        <v>4.8062170513713094E-2</v>
      </c>
    </row>
    <row r="38" spans="2:8" ht="12.75" customHeight="1" x14ac:dyDescent="0.2">
      <c r="B38" s="46" t="s">
        <v>69</v>
      </c>
      <c r="C38" s="47">
        <v>7732</v>
      </c>
      <c r="D38" s="47">
        <v>237860</v>
      </c>
      <c r="E38" s="47">
        <v>2464</v>
      </c>
      <c r="F38" s="49">
        <v>63</v>
      </c>
      <c r="G38" s="60">
        <v>248119</v>
      </c>
      <c r="H38" s="48">
        <v>0.50421283183340992</v>
      </c>
    </row>
    <row r="39" spans="2:8" ht="12.75" customHeight="1" x14ac:dyDescent="0.2">
      <c r="B39" s="46" t="s">
        <v>78</v>
      </c>
      <c r="C39" s="47">
        <v>10843</v>
      </c>
      <c r="D39" s="47">
        <v>167275</v>
      </c>
      <c r="E39" s="47">
        <v>657</v>
      </c>
      <c r="F39" s="49">
        <v>25</v>
      </c>
      <c r="G39" s="60">
        <v>178800</v>
      </c>
      <c r="H39" s="48">
        <v>0.36334683894346542</v>
      </c>
    </row>
    <row r="40" spans="2:8" ht="12.75" customHeight="1" x14ac:dyDescent="0.2">
      <c r="B40" s="46" t="s">
        <v>88</v>
      </c>
      <c r="C40" s="47">
        <v>57058</v>
      </c>
      <c r="D40" s="47">
        <v>63023</v>
      </c>
      <c r="E40" s="47">
        <v>260</v>
      </c>
      <c r="F40" s="49">
        <v>6</v>
      </c>
      <c r="G40" s="60">
        <v>120347</v>
      </c>
      <c r="H40" s="48">
        <v>0.24456209186985031</v>
      </c>
    </row>
    <row r="41" spans="2:8" ht="12.75" customHeight="1" x14ac:dyDescent="0.2">
      <c r="B41" s="46" t="s">
        <v>112</v>
      </c>
      <c r="C41" s="47">
        <v>34613</v>
      </c>
      <c r="D41" s="47">
        <v>239107</v>
      </c>
      <c r="E41" s="47">
        <v>427</v>
      </c>
      <c r="F41" s="49">
        <v>12</v>
      </c>
      <c r="G41" s="60">
        <v>274159</v>
      </c>
      <c r="H41" s="48">
        <v>0.55712978757215625</v>
      </c>
    </row>
    <row r="42" spans="2:8" ht="12.75" customHeight="1" x14ac:dyDescent="0.2">
      <c r="B42" s="46" t="s">
        <v>119</v>
      </c>
      <c r="C42" s="47">
        <v>3891</v>
      </c>
      <c r="D42" s="47">
        <v>1321394</v>
      </c>
      <c r="E42" s="47">
        <v>1179055</v>
      </c>
      <c r="F42" s="47">
        <v>154</v>
      </c>
      <c r="G42" s="60">
        <v>2504494</v>
      </c>
      <c r="H42" s="48">
        <v>5.0894853358661942</v>
      </c>
    </row>
    <row r="43" spans="2:8" ht="12.75" customHeight="1" x14ac:dyDescent="0.2">
      <c r="B43" s="46" t="s">
        <v>165</v>
      </c>
      <c r="C43" s="47">
        <v>1692</v>
      </c>
      <c r="D43" s="47">
        <v>90035</v>
      </c>
      <c r="E43" s="47">
        <v>3539</v>
      </c>
      <c r="F43" s="49">
        <v>178</v>
      </c>
      <c r="G43" s="60">
        <v>95444</v>
      </c>
      <c r="H43" s="48">
        <v>0.19395568062707</v>
      </c>
    </row>
    <row r="44" spans="2:8" ht="12.75" customHeight="1" x14ac:dyDescent="0.2">
      <c r="B44" s="46" t="s">
        <v>194</v>
      </c>
      <c r="C44" s="47">
        <v>972</v>
      </c>
      <c r="D44" s="47">
        <v>138700</v>
      </c>
      <c r="E44" s="47">
        <v>710</v>
      </c>
      <c r="F44" s="49">
        <v>6</v>
      </c>
      <c r="G44" s="60">
        <v>140388</v>
      </c>
      <c r="H44" s="48">
        <v>0.28528823280534243</v>
      </c>
    </row>
    <row r="45" spans="2:8" ht="12.75" customHeight="1" x14ac:dyDescent="0.2">
      <c r="B45" s="46" t="s">
        <v>220</v>
      </c>
      <c r="C45" s="47">
        <v>2042</v>
      </c>
      <c r="D45" s="47">
        <v>36639</v>
      </c>
      <c r="E45" s="47">
        <v>225</v>
      </c>
      <c r="F45" s="49">
        <v>26</v>
      </c>
      <c r="G45" s="60">
        <v>38932</v>
      </c>
      <c r="H45" s="48">
        <v>7.9115319539972015E-2</v>
      </c>
    </row>
    <row r="46" spans="2:8" ht="12.75" customHeight="1" x14ac:dyDescent="0.2">
      <c r="B46" s="46" t="s">
        <v>237</v>
      </c>
      <c r="C46" s="47">
        <v>1566</v>
      </c>
      <c r="D46" s="47">
        <v>36912</v>
      </c>
      <c r="E46" s="47">
        <v>566</v>
      </c>
      <c r="F46" s="49">
        <v>7</v>
      </c>
      <c r="G46" s="60">
        <v>39051</v>
      </c>
      <c r="H46" s="48">
        <v>7.9357144337702842E-2</v>
      </c>
    </row>
    <row r="47" spans="2:8" ht="12.75" customHeight="1" thickBot="1" x14ac:dyDescent="0.25">
      <c r="B47" s="46" t="s">
        <v>283</v>
      </c>
      <c r="C47" s="47">
        <v>9345</v>
      </c>
      <c r="D47" s="47">
        <v>185372</v>
      </c>
      <c r="E47" s="47">
        <v>3872</v>
      </c>
      <c r="F47" s="47">
        <v>61</v>
      </c>
      <c r="G47" s="60">
        <v>198650</v>
      </c>
      <c r="H47" s="48">
        <v>0.40368484091789375</v>
      </c>
    </row>
    <row r="48" spans="2:8" ht="12.75" customHeight="1" thickBot="1" x14ac:dyDescent="0.25">
      <c r="B48" s="52" t="s">
        <v>284</v>
      </c>
      <c r="C48" s="53">
        <v>130338</v>
      </c>
      <c r="D48" s="53">
        <v>2539318</v>
      </c>
      <c r="E48" s="53">
        <v>1191840</v>
      </c>
      <c r="F48" s="53">
        <v>539</v>
      </c>
      <c r="G48" s="57">
        <v>3862035</v>
      </c>
      <c r="H48" s="54">
        <v>7.8482002748267705</v>
      </c>
    </row>
    <row r="49" spans="2:8" ht="12.75" customHeight="1" thickBot="1" x14ac:dyDescent="0.25">
      <c r="B49" s="52" t="s">
        <v>285</v>
      </c>
      <c r="C49" s="53">
        <v>229659</v>
      </c>
      <c r="D49" s="53">
        <v>6331312</v>
      </c>
      <c r="E49" s="53">
        <v>1984949</v>
      </c>
      <c r="F49" s="53">
        <v>6605</v>
      </c>
      <c r="G49" s="57">
        <v>8552525</v>
      </c>
      <c r="H49" s="54">
        <v>17.379938052208956</v>
      </c>
    </row>
    <row r="50" spans="2:8" ht="12.75" customHeight="1" x14ac:dyDescent="0.2">
      <c r="B50" s="46" t="s">
        <v>22</v>
      </c>
      <c r="C50" s="47">
        <v>199543</v>
      </c>
      <c r="D50" s="47">
        <v>5605623</v>
      </c>
      <c r="E50" s="47">
        <v>385308</v>
      </c>
      <c r="F50" s="47">
        <v>2785</v>
      </c>
      <c r="G50" s="60">
        <v>6193259</v>
      </c>
      <c r="H50" s="48">
        <v>12.585576512349931</v>
      </c>
    </row>
    <row r="51" spans="2:8" ht="12.75" customHeight="1" x14ac:dyDescent="0.2">
      <c r="B51" s="46" t="s">
        <v>34</v>
      </c>
      <c r="C51" s="47">
        <v>16104</v>
      </c>
      <c r="D51" s="47">
        <v>398500</v>
      </c>
      <c r="E51" s="47">
        <v>81357</v>
      </c>
      <c r="F51" s="47">
        <v>521</v>
      </c>
      <c r="G51" s="60">
        <v>496482</v>
      </c>
      <c r="H51" s="48">
        <v>1.008921506109226</v>
      </c>
    </row>
    <row r="52" spans="2:8" ht="12.75" customHeight="1" x14ac:dyDescent="0.2">
      <c r="B52" s="46" t="s">
        <v>43</v>
      </c>
      <c r="C52" s="47">
        <v>23437</v>
      </c>
      <c r="D52" s="47">
        <v>510536</v>
      </c>
      <c r="E52" s="47">
        <v>62153</v>
      </c>
      <c r="F52" s="47">
        <v>229</v>
      </c>
      <c r="G52" s="60">
        <v>596355</v>
      </c>
      <c r="H52" s="48">
        <v>1.2118775399224291</v>
      </c>
    </row>
    <row r="53" spans="2:8" ht="12.75" customHeight="1" x14ac:dyDescent="0.2">
      <c r="B53" s="46" t="s">
        <v>68</v>
      </c>
      <c r="C53" s="47">
        <v>7661</v>
      </c>
      <c r="D53" s="47">
        <v>370590</v>
      </c>
      <c r="E53" s="47">
        <v>5787</v>
      </c>
      <c r="F53" s="47">
        <v>120</v>
      </c>
      <c r="G53" s="60">
        <v>384158</v>
      </c>
      <c r="H53" s="48">
        <v>0.78066328274521135</v>
      </c>
    </row>
    <row r="54" spans="2:8" ht="12.75" customHeight="1" x14ac:dyDescent="0.2">
      <c r="B54" s="46" t="s">
        <v>70</v>
      </c>
      <c r="C54" s="47">
        <v>7505</v>
      </c>
      <c r="D54" s="47">
        <v>303012</v>
      </c>
      <c r="E54" s="47">
        <v>9169</v>
      </c>
      <c r="F54" s="47">
        <v>149</v>
      </c>
      <c r="G54" s="60">
        <v>319835</v>
      </c>
      <c r="H54" s="48">
        <v>0.6499498670776469</v>
      </c>
    </row>
    <row r="55" spans="2:8" ht="12.75" customHeight="1" x14ac:dyDescent="0.2">
      <c r="B55" s="46" t="s">
        <v>90</v>
      </c>
      <c r="C55" s="47">
        <v>6970</v>
      </c>
      <c r="D55" s="47">
        <v>106660</v>
      </c>
      <c r="E55" s="47">
        <v>3428</v>
      </c>
      <c r="F55" s="49">
        <v>65</v>
      </c>
      <c r="G55" s="60">
        <v>117123</v>
      </c>
      <c r="H55" s="48">
        <v>0.23801046877838647</v>
      </c>
    </row>
    <row r="56" spans="2:8" ht="12.75" customHeight="1" x14ac:dyDescent="0.2">
      <c r="B56" s="46" t="s">
        <v>91</v>
      </c>
      <c r="C56" s="47">
        <v>58582</v>
      </c>
      <c r="D56" s="47">
        <v>863744</v>
      </c>
      <c r="E56" s="47">
        <v>108307</v>
      </c>
      <c r="F56" s="47">
        <v>1191</v>
      </c>
      <c r="G56" s="60">
        <v>1031824</v>
      </c>
      <c r="H56" s="48">
        <v>2.0968120175950911</v>
      </c>
    </row>
    <row r="57" spans="2:8" ht="12.75" customHeight="1" x14ac:dyDescent="0.2">
      <c r="B57" s="46" t="s">
        <v>113</v>
      </c>
      <c r="C57" s="47">
        <v>51445</v>
      </c>
      <c r="D57" s="47">
        <v>1077112</v>
      </c>
      <c r="E57" s="47">
        <v>102996</v>
      </c>
      <c r="F57" s="47">
        <v>667</v>
      </c>
      <c r="G57" s="60">
        <v>1232220</v>
      </c>
      <c r="H57" s="48">
        <v>2.5040449769738085</v>
      </c>
    </row>
    <row r="58" spans="2:8" ht="12.75" customHeight="1" x14ac:dyDescent="0.2">
      <c r="B58" s="46" t="s">
        <v>118</v>
      </c>
      <c r="C58" s="47">
        <v>236163</v>
      </c>
      <c r="D58" s="47">
        <v>3518383</v>
      </c>
      <c r="E58" s="47">
        <v>44926</v>
      </c>
      <c r="F58" s="47">
        <v>1450</v>
      </c>
      <c r="G58" s="60">
        <v>3800922</v>
      </c>
      <c r="H58" s="48">
        <v>7.7240100322744656</v>
      </c>
    </row>
    <row r="59" spans="2:8" ht="12.75" customHeight="1" x14ac:dyDescent="0.2">
      <c r="B59" s="46" t="s">
        <v>120</v>
      </c>
      <c r="C59" s="47">
        <v>23290</v>
      </c>
      <c r="D59" s="47">
        <v>138450</v>
      </c>
      <c r="E59" s="47">
        <v>1267</v>
      </c>
      <c r="F59" s="49">
        <v>158</v>
      </c>
      <c r="G59" s="60">
        <v>163165</v>
      </c>
      <c r="H59" s="48">
        <v>0.33157431194748621</v>
      </c>
    </row>
    <row r="60" spans="2:8" ht="12.75" customHeight="1" x14ac:dyDescent="0.2">
      <c r="B60" s="46" t="s">
        <v>121</v>
      </c>
      <c r="C60" s="47">
        <v>54164</v>
      </c>
      <c r="D60" s="47">
        <v>263596</v>
      </c>
      <c r="E60" s="47">
        <v>6295</v>
      </c>
      <c r="F60" s="49">
        <v>635</v>
      </c>
      <c r="G60" s="60">
        <v>324690</v>
      </c>
      <c r="H60" s="48">
        <v>0.65981591239683324</v>
      </c>
    </row>
    <row r="61" spans="2:8" ht="12.75" customHeight="1" x14ac:dyDescent="0.2">
      <c r="B61" s="46" t="s">
        <v>123</v>
      </c>
      <c r="C61" s="47">
        <v>7794</v>
      </c>
      <c r="D61" s="47">
        <v>333185</v>
      </c>
      <c r="E61" s="47">
        <v>23918</v>
      </c>
      <c r="F61" s="47">
        <v>87</v>
      </c>
      <c r="G61" s="60">
        <v>364984</v>
      </c>
      <c r="H61" s="48">
        <v>0.74169900819318668</v>
      </c>
    </row>
    <row r="62" spans="2:8" ht="12.75" customHeight="1" x14ac:dyDescent="0.2">
      <c r="B62" s="46" t="s">
        <v>124</v>
      </c>
      <c r="C62" s="47">
        <v>17548</v>
      </c>
      <c r="D62" s="47">
        <v>360735</v>
      </c>
      <c r="E62" s="47">
        <v>11476</v>
      </c>
      <c r="F62" s="47">
        <v>285</v>
      </c>
      <c r="G62" s="60">
        <v>390044</v>
      </c>
      <c r="H62" s="48">
        <v>0.79262446559767918</v>
      </c>
    </row>
    <row r="63" spans="2:8" ht="12.75" customHeight="1" x14ac:dyDescent="0.2">
      <c r="B63" s="46" t="s">
        <v>125</v>
      </c>
      <c r="C63" s="47">
        <v>142947</v>
      </c>
      <c r="D63" s="47">
        <v>442850</v>
      </c>
      <c r="E63" s="47">
        <v>15697</v>
      </c>
      <c r="F63" s="47">
        <v>682</v>
      </c>
      <c r="G63" s="60">
        <v>602176</v>
      </c>
      <c r="H63" s="48">
        <v>1.2237066335996658</v>
      </c>
    </row>
    <row r="64" spans="2:8" ht="12.75" customHeight="1" x14ac:dyDescent="0.2">
      <c r="B64" s="46" t="s">
        <v>126</v>
      </c>
      <c r="C64" s="47">
        <v>601</v>
      </c>
      <c r="D64" s="47">
        <v>3318</v>
      </c>
      <c r="E64" s="47">
        <v>50</v>
      </c>
      <c r="F64" s="49">
        <v>6</v>
      </c>
      <c r="G64" s="60">
        <v>3975</v>
      </c>
      <c r="H64" s="48">
        <v>8.0777611006726795E-3</v>
      </c>
    </row>
    <row r="65" spans="2:8" ht="12.75" customHeight="1" x14ac:dyDescent="0.2">
      <c r="B65" s="46" t="s">
        <v>159</v>
      </c>
      <c r="C65" s="47">
        <v>1460</v>
      </c>
      <c r="D65" s="47">
        <v>13822</v>
      </c>
      <c r="E65" s="47">
        <v>344</v>
      </c>
      <c r="F65" s="49">
        <v>7</v>
      </c>
      <c r="G65" s="60">
        <v>15633</v>
      </c>
      <c r="H65" s="48">
        <v>3.1768462713664403E-2</v>
      </c>
    </row>
    <row r="66" spans="2:8" ht="12.75" customHeight="1" x14ac:dyDescent="0.2">
      <c r="B66" s="46" t="s">
        <v>160</v>
      </c>
      <c r="C66" s="47">
        <v>7301</v>
      </c>
      <c r="D66" s="47">
        <v>200889</v>
      </c>
      <c r="E66" s="47">
        <v>14031</v>
      </c>
      <c r="F66" s="47">
        <v>106</v>
      </c>
      <c r="G66" s="60">
        <v>222327</v>
      </c>
      <c r="H66" s="48">
        <v>0.45179984710169929</v>
      </c>
    </row>
    <row r="67" spans="2:8" ht="12.75" customHeight="1" x14ac:dyDescent="0.2">
      <c r="B67" s="46" t="s">
        <v>191</v>
      </c>
      <c r="C67" s="47">
        <v>6597</v>
      </c>
      <c r="D67" s="47">
        <v>189887</v>
      </c>
      <c r="E67" s="47">
        <v>6746</v>
      </c>
      <c r="F67" s="47">
        <v>95</v>
      </c>
      <c r="G67" s="60">
        <v>203325</v>
      </c>
      <c r="H67" s="48">
        <v>0.41318510082874782</v>
      </c>
    </row>
    <row r="68" spans="2:8" ht="12.75" customHeight="1" x14ac:dyDescent="0.2">
      <c r="B68" s="46" t="s">
        <v>201</v>
      </c>
      <c r="C68" s="47">
        <v>85376</v>
      </c>
      <c r="D68" s="47">
        <v>1420097</v>
      </c>
      <c r="E68" s="47">
        <v>33471</v>
      </c>
      <c r="F68" s="47">
        <v>179</v>
      </c>
      <c r="G68" s="60">
        <v>1539123</v>
      </c>
      <c r="H68" s="48">
        <v>3.1277151946039337</v>
      </c>
    </row>
    <row r="69" spans="2:8" ht="12.75" customHeight="1" x14ac:dyDescent="0.2">
      <c r="B69" s="46" t="s">
        <v>202</v>
      </c>
      <c r="C69" s="47">
        <v>12389</v>
      </c>
      <c r="D69" s="47">
        <v>77666</v>
      </c>
      <c r="E69" s="47">
        <v>2618</v>
      </c>
      <c r="F69" s="47">
        <v>228</v>
      </c>
      <c r="G69" s="60">
        <v>92901</v>
      </c>
      <c r="H69" s="48">
        <v>0.18878794566379686</v>
      </c>
    </row>
    <row r="70" spans="2:8" ht="12.75" customHeight="1" x14ac:dyDescent="0.2">
      <c r="B70" s="46" t="s">
        <v>221</v>
      </c>
      <c r="C70" s="47">
        <v>2977</v>
      </c>
      <c r="D70" s="47">
        <v>228879</v>
      </c>
      <c r="E70" s="47">
        <v>3417</v>
      </c>
      <c r="F70" s="47">
        <v>30</v>
      </c>
      <c r="G70" s="60">
        <v>235303</v>
      </c>
      <c r="H70" s="48">
        <v>0.47816891076014678</v>
      </c>
    </row>
    <row r="71" spans="2:8" ht="12.75" customHeight="1" x14ac:dyDescent="0.2">
      <c r="B71" s="46" t="s">
        <v>261</v>
      </c>
      <c r="C71" s="47">
        <v>94079</v>
      </c>
      <c r="D71" s="47">
        <v>113981</v>
      </c>
      <c r="E71" s="47">
        <v>478398</v>
      </c>
      <c r="F71" s="47">
        <v>22</v>
      </c>
      <c r="G71" s="60">
        <v>686480</v>
      </c>
      <c r="H71" s="48">
        <v>1.3950242617332782</v>
      </c>
    </row>
    <row r="72" spans="2:8" ht="12.75" customHeight="1" thickBot="1" x14ac:dyDescent="0.25">
      <c r="B72" s="46" t="s">
        <v>590</v>
      </c>
      <c r="C72" s="47"/>
      <c r="D72" s="47"/>
      <c r="E72" s="47"/>
      <c r="F72" s="47"/>
      <c r="G72" s="60"/>
      <c r="H72" s="48"/>
    </row>
    <row r="73" spans="2:8" ht="12.75" customHeight="1" thickBot="1" x14ac:dyDescent="0.25">
      <c r="B73" s="52" t="s">
        <v>286</v>
      </c>
      <c r="C73" s="53">
        <v>1063933</v>
      </c>
      <c r="D73" s="53">
        <v>16541515</v>
      </c>
      <c r="E73" s="53">
        <v>1401159</v>
      </c>
      <c r="F73" s="53">
        <v>9697</v>
      </c>
      <c r="G73" s="57">
        <v>19016304</v>
      </c>
      <c r="H73" s="54">
        <v>38.643814020066991</v>
      </c>
    </row>
    <row r="74" spans="2:8" ht="12.75" customHeight="1" x14ac:dyDescent="0.2">
      <c r="B74" s="46" t="s">
        <v>30</v>
      </c>
      <c r="C74" s="47">
        <v>5847</v>
      </c>
      <c r="D74" s="47">
        <v>101989</v>
      </c>
      <c r="E74" s="47">
        <v>34637</v>
      </c>
      <c r="F74" s="49">
        <v>9</v>
      </c>
      <c r="G74" s="60">
        <v>142482</v>
      </c>
      <c r="H74" s="48">
        <v>0.28954353638894209</v>
      </c>
    </row>
    <row r="75" spans="2:8" ht="12.75" customHeight="1" x14ac:dyDescent="0.2">
      <c r="B75" s="46" t="s">
        <v>53</v>
      </c>
      <c r="C75" s="47">
        <v>1232</v>
      </c>
      <c r="D75" s="47">
        <v>121915</v>
      </c>
      <c r="E75" s="47">
        <v>54730</v>
      </c>
      <c r="F75" s="47">
        <v>16</v>
      </c>
      <c r="G75" s="60">
        <v>177893</v>
      </c>
      <c r="H75" s="48">
        <v>0.36150368691370188</v>
      </c>
    </row>
    <row r="76" spans="2:8" ht="12.75" customHeight="1" x14ac:dyDescent="0.2">
      <c r="B76" s="46" t="s">
        <v>58</v>
      </c>
      <c r="C76" s="47">
        <v>24393</v>
      </c>
      <c r="D76" s="47">
        <v>256183</v>
      </c>
      <c r="E76" s="47">
        <v>2606593</v>
      </c>
      <c r="F76" s="47">
        <v>5923</v>
      </c>
      <c r="G76" s="60">
        <v>2893092</v>
      </c>
      <c r="H76" s="48">
        <v>5.8791713253502698</v>
      </c>
    </row>
    <row r="77" spans="2:8" ht="12.75" customHeight="1" x14ac:dyDescent="0.2">
      <c r="B77" s="46" t="s">
        <v>81</v>
      </c>
      <c r="C77" s="47">
        <v>1581</v>
      </c>
      <c r="D77" s="47">
        <v>93773</v>
      </c>
      <c r="E77" s="47">
        <v>865</v>
      </c>
      <c r="F77" s="49">
        <v>8</v>
      </c>
      <c r="G77" s="60">
        <v>96227</v>
      </c>
      <c r="H77" s="48">
        <v>0.19554684715331569</v>
      </c>
    </row>
    <row r="78" spans="2:8" ht="12.75" customHeight="1" x14ac:dyDescent="0.2">
      <c r="B78" s="46" t="s">
        <v>106</v>
      </c>
      <c r="C78" s="47">
        <v>3575</v>
      </c>
      <c r="D78" s="47">
        <v>8706</v>
      </c>
      <c r="E78" s="47">
        <v>1946</v>
      </c>
      <c r="F78" s="49">
        <v>5</v>
      </c>
      <c r="G78" s="60">
        <v>14232</v>
      </c>
      <c r="H78" s="48">
        <v>2.8921432952144294E-2</v>
      </c>
    </row>
    <row r="79" spans="2:8" ht="12.75" customHeight="1" x14ac:dyDescent="0.2">
      <c r="B79" s="46" t="s">
        <v>111</v>
      </c>
      <c r="C79" s="47">
        <v>5102</v>
      </c>
      <c r="D79" s="47">
        <v>56906</v>
      </c>
      <c r="E79" s="47">
        <v>4924</v>
      </c>
      <c r="F79" s="47">
        <v>16</v>
      </c>
      <c r="G79" s="60">
        <v>66948</v>
      </c>
      <c r="H79" s="48">
        <v>0.13604778620574454</v>
      </c>
    </row>
    <row r="80" spans="2:8" ht="12.75" customHeight="1" x14ac:dyDescent="0.2">
      <c r="B80" s="46" t="s">
        <v>133</v>
      </c>
      <c r="C80" s="47">
        <v>1742</v>
      </c>
      <c r="D80" s="47">
        <v>18275</v>
      </c>
      <c r="E80" s="47">
        <v>9827</v>
      </c>
      <c r="F80" s="47">
        <v>0</v>
      </c>
      <c r="G80" s="60">
        <v>29844</v>
      </c>
      <c r="H80" s="48">
        <v>6.0647220701503253E-2</v>
      </c>
    </row>
    <row r="81" spans="2:8" ht="12.75" customHeight="1" x14ac:dyDescent="0.2">
      <c r="B81" s="46" t="s">
        <v>143</v>
      </c>
      <c r="C81" s="47">
        <v>333</v>
      </c>
      <c r="D81" s="47">
        <v>153210</v>
      </c>
      <c r="E81" s="47">
        <v>21136</v>
      </c>
      <c r="F81" s="49">
        <v>2</v>
      </c>
      <c r="G81" s="60">
        <v>174681</v>
      </c>
      <c r="H81" s="48">
        <v>0.35497644951612689</v>
      </c>
    </row>
    <row r="82" spans="2:8" ht="12.75" customHeight="1" x14ac:dyDescent="0.2">
      <c r="B82" s="46" t="s">
        <v>148</v>
      </c>
      <c r="C82" s="47">
        <v>1909</v>
      </c>
      <c r="D82" s="47">
        <v>88774</v>
      </c>
      <c r="E82" s="47">
        <v>160351</v>
      </c>
      <c r="F82" s="47">
        <v>32</v>
      </c>
      <c r="G82" s="60">
        <v>251066</v>
      </c>
      <c r="H82" s="48">
        <v>0.5102015518242734</v>
      </c>
    </row>
    <row r="83" spans="2:8" ht="12.75" customHeight="1" x14ac:dyDescent="0.2">
      <c r="B83" s="46" t="s">
        <v>153</v>
      </c>
      <c r="C83" s="47">
        <v>2601</v>
      </c>
      <c r="D83" s="47">
        <v>113018</v>
      </c>
      <c r="E83" s="47">
        <v>2314</v>
      </c>
      <c r="F83" s="49">
        <v>3</v>
      </c>
      <c r="G83" s="60">
        <v>117936</v>
      </c>
      <c r="H83" s="48">
        <v>0.23966259953935423</v>
      </c>
    </row>
    <row r="84" spans="2:8" ht="12.75" customHeight="1" x14ac:dyDescent="0.2">
      <c r="B84" s="46" t="s">
        <v>157</v>
      </c>
      <c r="C84" s="47">
        <v>4128</v>
      </c>
      <c r="D84" s="47">
        <v>271127</v>
      </c>
      <c r="E84" s="47">
        <v>2538</v>
      </c>
      <c r="F84" s="49">
        <v>17</v>
      </c>
      <c r="G84" s="60">
        <v>277810</v>
      </c>
      <c r="H84" s="48">
        <v>0.56454913493783065</v>
      </c>
    </row>
    <row r="85" spans="2:8" ht="12.75" customHeight="1" x14ac:dyDescent="0.2">
      <c r="B85" s="46" t="s">
        <v>167</v>
      </c>
      <c r="C85" s="47">
        <v>2716</v>
      </c>
      <c r="D85" s="47">
        <v>11510</v>
      </c>
      <c r="E85" s="47">
        <v>120</v>
      </c>
      <c r="F85" s="49">
        <v>10</v>
      </c>
      <c r="G85" s="60">
        <v>14356</v>
      </c>
      <c r="H85" s="48">
        <v>2.9173418455662136E-2</v>
      </c>
    </row>
    <row r="86" spans="2:8" ht="12.75" customHeight="1" x14ac:dyDescent="0.2">
      <c r="B86" s="46" t="s">
        <v>205</v>
      </c>
      <c r="C86" s="47">
        <v>20638</v>
      </c>
      <c r="D86" s="47">
        <v>568606</v>
      </c>
      <c r="E86" s="47">
        <v>400311</v>
      </c>
      <c r="F86" s="47">
        <v>450</v>
      </c>
      <c r="G86" s="60">
        <v>990005</v>
      </c>
      <c r="H86" s="48">
        <v>2.0118299065336998</v>
      </c>
    </row>
    <row r="87" spans="2:8" ht="12.75" customHeight="1" x14ac:dyDescent="0.2">
      <c r="B87" s="46" t="s">
        <v>218</v>
      </c>
      <c r="C87" s="47">
        <v>5835</v>
      </c>
      <c r="D87" s="47">
        <v>160741</v>
      </c>
      <c r="E87" s="47">
        <v>144817</v>
      </c>
      <c r="F87" s="47">
        <v>345</v>
      </c>
      <c r="G87" s="60">
        <v>311738</v>
      </c>
      <c r="H87" s="48">
        <v>0.63349562012616345</v>
      </c>
    </row>
    <row r="88" spans="2:8" ht="12.75" customHeight="1" x14ac:dyDescent="0.2">
      <c r="B88" s="46" t="s">
        <v>222</v>
      </c>
      <c r="C88" s="47">
        <v>4817</v>
      </c>
      <c r="D88" s="47">
        <v>46702</v>
      </c>
      <c r="E88" s="47">
        <v>2062</v>
      </c>
      <c r="F88" s="47">
        <v>19</v>
      </c>
      <c r="G88" s="60">
        <v>53600</v>
      </c>
      <c r="H88" s="48">
        <v>0.10892276603674356</v>
      </c>
    </row>
    <row r="89" spans="2:8" ht="12.75" customHeight="1" thickBot="1" x14ac:dyDescent="0.25">
      <c r="B89" s="46" t="s">
        <v>287</v>
      </c>
      <c r="C89" s="47">
        <v>196</v>
      </c>
      <c r="D89" s="47">
        <v>2960</v>
      </c>
      <c r="E89" s="47">
        <v>138</v>
      </c>
      <c r="F89" s="47">
        <v>5</v>
      </c>
      <c r="G89" s="60">
        <v>3299</v>
      </c>
      <c r="H89" s="48">
        <v>6.704033678268973E-3</v>
      </c>
    </row>
    <row r="90" spans="2:8" ht="12.75" customHeight="1" thickBot="1" x14ac:dyDescent="0.25">
      <c r="B90" s="52" t="s">
        <v>288</v>
      </c>
      <c r="C90" s="53">
        <v>86645</v>
      </c>
      <c r="D90" s="53">
        <v>2074395</v>
      </c>
      <c r="E90" s="53">
        <v>3447309</v>
      </c>
      <c r="F90" s="53">
        <v>6860</v>
      </c>
      <c r="G90" s="57">
        <v>5615209</v>
      </c>
      <c r="H90" s="54">
        <v>11.410897316313745</v>
      </c>
    </row>
    <row r="91" spans="2:8" ht="12.75" customHeight="1" thickBot="1" x14ac:dyDescent="0.25">
      <c r="B91" s="52" t="s">
        <v>289</v>
      </c>
      <c r="C91" s="53">
        <v>1150578</v>
      </c>
      <c r="D91" s="53">
        <v>18615910</v>
      </c>
      <c r="E91" s="53">
        <v>4848468</v>
      </c>
      <c r="F91" s="53">
        <v>16557</v>
      </c>
      <c r="G91" s="57">
        <v>24631513</v>
      </c>
      <c r="H91" s="54">
        <v>50.054711336380734</v>
      </c>
    </row>
    <row r="92" spans="2:8" ht="12.75" customHeight="1" x14ac:dyDescent="0.2">
      <c r="B92" s="46" t="s">
        <v>35</v>
      </c>
      <c r="C92" s="47">
        <v>25354</v>
      </c>
      <c r="D92" s="47">
        <v>471163</v>
      </c>
      <c r="E92" s="47">
        <v>358915</v>
      </c>
      <c r="F92" s="47">
        <v>13</v>
      </c>
      <c r="G92" s="60">
        <v>855445</v>
      </c>
      <c r="H92" s="48">
        <v>1.7383849923936956</v>
      </c>
    </row>
    <row r="93" spans="2:8" ht="12.75" customHeight="1" x14ac:dyDescent="0.2">
      <c r="B93" s="46" t="s">
        <v>47</v>
      </c>
      <c r="C93" s="47">
        <v>2773</v>
      </c>
      <c r="D93" s="47">
        <v>269315</v>
      </c>
      <c r="E93" s="47">
        <v>37054</v>
      </c>
      <c r="F93" s="49">
        <v>74</v>
      </c>
      <c r="G93" s="60">
        <v>309216</v>
      </c>
      <c r="H93" s="48">
        <v>0.62837056012719583</v>
      </c>
    </row>
    <row r="94" spans="2:8" ht="12.75" customHeight="1" x14ac:dyDescent="0.2">
      <c r="B94" s="46" t="s">
        <v>80</v>
      </c>
      <c r="C94" s="47">
        <v>181</v>
      </c>
      <c r="D94" s="47">
        <v>16689</v>
      </c>
      <c r="E94" s="47">
        <v>15078</v>
      </c>
      <c r="F94" s="49">
        <v>2</v>
      </c>
      <c r="G94" s="60">
        <v>31950</v>
      </c>
      <c r="H94" s="48">
        <v>6.4926909978991726E-2</v>
      </c>
    </row>
    <row r="95" spans="2:8" ht="12.75" customHeight="1" x14ac:dyDescent="0.2">
      <c r="B95" s="46" t="s">
        <v>109</v>
      </c>
      <c r="C95" s="47">
        <v>9569</v>
      </c>
      <c r="D95" s="47">
        <v>118166</v>
      </c>
      <c r="E95" s="47">
        <v>1506211</v>
      </c>
      <c r="F95" s="47">
        <v>31</v>
      </c>
      <c r="G95" s="60">
        <v>1633977</v>
      </c>
      <c r="H95" s="48">
        <v>3.3204719119481365</v>
      </c>
    </row>
    <row r="96" spans="2:8" ht="12.75" customHeight="1" x14ac:dyDescent="0.2">
      <c r="B96" s="46" t="s">
        <v>136</v>
      </c>
      <c r="C96" s="47">
        <v>4610</v>
      </c>
      <c r="D96" s="47">
        <v>802127</v>
      </c>
      <c r="E96" s="47">
        <v>19538</v>
      </c>
      <c r="F96" s="49">
        <v>44</v>
      </c>
      <c r="G96" s="60">
        <v>826319</v>
      </c>
      <c r="H96" s="48">
        <v>1.679196849043207</v>
      </c>
    </row>
    <row r="97" spans="2:8" ht="12.75" customHeight="1" x14ac:dyDescent="0.2">
      <c r="B97" s="46" t="s">
        <v>138</v>
      </c>
      <c r="C97" s="47">
        <v>1184</v>
      </c>
      <c r="D97" s="47">
        <v>163038</v>
      </c>
      <c r="E97" s="47">
        <v>5669</v>
      </c>
      <c r="F97" s="49">
        <v>15</v>
      </c>
      <c r="G97" s="60">
        <v>169906</v>
      </c>
      <c r="H97" s="48">
        <v>0.34527297548953262</v>
      </c>
    </row>
    <row r="98" spans="2:8" ht="12.75" customHeight="1" x14ac:dyDescent="0.2">
      <c r="B98" s="46" t="s">
        <v>178</v>
      </c>
      <c r="C98" s="47">
        <v>1828</v>
      </c>
      <c r="D98" s="47">
        <v>213451</v>
      </c>
      <c r="E98" s="47">
        <v>73060</v>
      </c>
      <c r="F98" s="47">
        <v>38</v>
      </c>
      <c r="G98" s="60">
        <v>288377</v>
      </c>
      <c r="H98" s="48">
        <v>0.58602277054809693</v>
      </c>
    </row>
    <row r="99" spans="2:8" ht="12.75" customHeight="1" x14ac:dyDescent="0.2">
      <c r="B99" s="46" t="s">
        <v>193</v>
      </c>
      <c r="C99" s="47">
        <v>819</v>
      </c>
      <c r="D99" s="47">
        <v>449679</v>
      </c>
      <c r="E99" s="47">
        <v>20137</v>
      </c>
      <c r="F99" s="49">
        <v>9</v>
      </c>
      <c r="G99" s="60">
        <v>470644</v>
      </c>
      <c r="H99" s="48">
        <v>0.95641504288427481</v>
      </c>
    </row>
    <row r="100" spans="2:8" ht="12.75" customHeight="1" x14ac:dyDescent="0.2">
      <c r="B100" s="46" t="s">
        <v>207</v>
      </c>
      <c r="C100" s="47">
        <v>145507</v>
      </c>
      <c r="D100" s="47">
        <v>5891833</v>
      </c>
      <c r="E100" s="47">
        <v>274785</v>
      </c>
      <c r="F100" s="47">
        <v>1550</v>
      </c>
      <c r="G100" s="60">
        <v>6313675</v>
      </c>
      <c r="H100" s="48">
        <v>12.830278821959643</v>
      </c>
    </row>
    <row r="101" spans="2:8" ht="12.75" customHeight="1" x14ac:dyDescent="0.2">
      <c r="B101" s="46" t="s">
        <v>234</v>
      </c>
      <c r="C101" s="47">
        <v>64</v>
      </c>
      <c r="D101" s="47">
        <v>74721</v>
      </c>
      <c r="E101" s="47">
        <v>3398</v>
      </c>
      <c r="F101" s="49">
        <v>2</v>
      </c>
      <c r="G101" s="60">
        <v>78185</v>
      </c>
      <c r="H101" s="48">
        <v>0.15888295639147004</v>
      </c>
    </row>
    <row r="102" spans="2:8" ht="12.75" customHeight="1" x14ac:dyDescent="0.2">
      <c r="B102" s="46" t="s">
        <v>245</v>
      </c>
      <c r="C102" s="47">
        <v>191</v>
      </c>
      <c r="D102" s="47">
        <v>112243</v>
      </c>
      <c r="E102" s="47">
        <v>8490</v>
      </c>
      <c r="F102" s="49">
        <v>4</v>
      </c>
      <c r="G102" s="60">
        <v>120928</v>
      </c>
      <c r="H102" s="48">
        <v>0.24574276588230082</v>
      </c>
    </row>
    <row r="103" spans="2:8" ht="12.75" customHeight="1" thickBot="1" x14ac:dyDescent="0.25">
      <c r="B103" s="46" t="s">
        <v>247</v>
      </c>
      <c r="C103" s="47">
        <v>34768</v>
      </c>
      <c r="D103" s="47">
        <v>486770</v>
      </c>
      <c r="E103" s="47">
        <v>317687</v>
      </c>
      <c r="F103" s="47">
        <v>504</v>
      </c>
      <c r="G103" s="60">
        <v>839729</v>
      </c>
      <c r="H103" s="48">
        <v>1.7064478619639669</v>
      </c>
    </row>
    <row r="104" spans="2:8" ht="12.75" customHeight="1" thickBot="1" x14ac:dyDescent="0.25">
      <c r="B104" s="52" t="s">
        <v>290</v>
      </c>
      <c r="C104" s="53">
        <v>226848</v>
      </c>
      <c r="D104" s="53">
        <v>9069195</v>
      </c>
      <c r="E104" s="53">
        <v>2640022</v>
      </c>
      <c r="F104" s="53">
        <v>2286</v>
      </c>
      <c r="G104" s="57">
        <v>11938351</v>
      </c>
      <c r="H104" s="54">
        <v>24.260414418610512</v>
      </c>
    </row>
    <row r="105" spans="2:8" ht="12.75" customHeight="1" x14ac:dyDescent="0.2">
      <c r="B105" s="46" t="s">
        <v>23</v>
      </c>
      <c r="C105" s="47">
        <v>515844</v>
      </c>
      <c r="D105" s="47">
        <v>806325</v>
      </c>
      <c r="E105" s="47">
        <v>11561</v>
      </c>
      <c r="F105" s="47">
        <v>607</v>
      </c>
      <c r="G105" s="60">
        <v>1334337</v>
      </c>
      <c r="H105" s="48">
        <v>2.7115611355442217</v>
      </c>
    </row>
    <row r="106" spans="2:8" ht="12.75" customHeight="1" x14ac:dyDescent="0.2">
      <c r="B106" s="46" t="s">
        <v>33</v>
      </c>
      <c r="C106" s="47">
        <v>53067</v>
      </c>
      <c r="D106" s="47">
        <v>135657</v>
      </c>
      <c r="E106" s="47">
        <v>3785</v>
      </c>
      <c r="F106" s="47">
        <v>261</v>
      </c>
      <c r="G106" s="60">
        <v>192770</v>
      </c>
      <c r="H106" s="48">
        <v>0.3917358509123704</v>
      </c>
    </row>
    <row r="107" spans="2:8" ht="12.75" customHeight="1" x14ac:dyDescent="0.2">
      <c r="B107" s="46" t="s">
        <v>107</v>
      </c>
      <c r="C107" s="47">
        <v>4461</v>
      </c>
      <c r="D107" s="47">
        <v>145893</v>
      </c>
      <c r="E107" s="47">
        <v>8550</v>
      </c>
      <c r="F107" s="49">
        <v>135</v>
      </c>
      <c r="G107" s="60">
        <v>159039</v>
      </c>
      <c r="H107" s="48">
        <v>0.32318969753204585</v>
      </c>
    </row>
    <row r="108" spans="2:8" ht="12.75" customHeight="1" x14ac:dyDescent="0.2">
      <c r="B108" s="46" t="s">
        <v>129</v>
      </c>
      <c r="C108" s="47">
        <v>7131</v>
      </c>
      <c r="D108" s="47">
        <v>70433</v>
      </c>
      <c r="E108" s="47">
        <v>1072</v>
      </c>
      <c r="F108" s="49">
        <v>146</v>
      </c>
      <c r="G108" s="60">
        <v>78782</v>
      </c>
      <c r="H108" s="48">
        <v>0.16009614466243899</v>
      </c>
    </row>
    <row r="109" spans="2:8" ht="12.75" customHeight="1" x14ac:dyDescent="0.2">
      <c r="B109" s="46" t="s">
        <v>132</v>
      </c>
      <c r="C109" s="47">
        <v>76398</v>
      </c>
      <c r="D109" s="47">
        <v>169477</v>
      </c>
      <c r="E109" s="47">
        <v>2850</v>
      </c>
      <c r="F109" s="49">
        <v>143</v>
      </c>
      <c r="G109" s="60">
        <v>248868</v>
      </c>
      <c r="H109" s="48">
        <v>0.50573490556030398</v>
      </c>
    </row>
    <row r="110" spans="2:8" ht="12.75" customHeight="1" x14ac:dyDescent="0.2">
      <c r="B110" s="46" t="s">
        <v>172</v>
      </c>
      <c r="C110" s="47">
        <v>52828</v>
      </c>
      <c r="D110" s="47">
        <v>101665</v>
      </c>
      <c r="E110" s="47">
        <v>613</v>
      </c>
      <c r="F110" s="49">
        <v>49</v>
      </c>
      <c r="G110" s="60">
        <v>155155</v>
      </c>
      <c r="H110" s="48">
        <v>0.31529686127669676</v>
      </c>
    </row>
    <row r="111" spans="2:8" ht="12.75" customHeight="1" thickBot="1" x14ac:dyDescent="0.25">
      <c r="B111" s="46" t="s">
        <v>259</v>
      </c>
      <c r="C111" s="47">
        <v>8386</v>
      </c>
      <c r="D111" s="47">
        <v>21841</v>
      </c>
      <c r="E111" s="47">
        <v>699</v>
      </c>
      <c r="F111" s="47">
        <v>81</v>
      </c>
      <c r="G111" s="60">
        <v>31007</v>
      </c>
      <c r="H111" s="48">
        <v>6.3010600867561703E-2</v>
      </c>
    </row>
    <row r="112" spans="2:8" ht="12.75" customHeight="1" thickBot="1" x14ac:dyDescent="0.25">
      <c r="B112" s="52" t="s">
        <v>291</v>
      </c>
      <c r="C112" s="53">
        <v>718115</v>
      </c>
      <c r="D112" s="53">
        <v>1451291</v>
      </c>
      <c r="E112" s="53">
        <v>29130</v>
      </c>
      <c r="F112" s="53">
        <v>1422</v>
      </c>
      <c r="G112" s="57">
        <v>2199958</v>
      </c>
      <c r="H112" s="54">
        <v>4.4706251963556394</v>
      </c>
    </row>
    <row r="113" spans="2:8" ht="12.75" customHeight="1" thickBot="1" x14ac:dyDescent="0.25">
      <c r="B113" s="52" t="s">
        <v>292</v>
      </c>
      <c r="C113" s="53">
        <v>218</v>
      </c>
      <c r="D113" s="53">
        <v>66876</v>
      </c>
      <c r="E113" s="53">
        <v>1813</v>
      </c>
      <c r="F113" s="53">
        <v>1</v>
      </c>
      <c r="G113" s="57">
        <v>68908</v>
      </c>
      <c r="H113" s="54">
        <v>0.14003078287425233</v>
      </c>
    </row>
    <row r="114" spans="2:8" ht="12.75" customHeight="1" thickBot="1" x14ac:dyDescent="0.25">
      <c r="B114" s="52" t="s">
        <v>293</v>
      </c>
      <c r="C114" s="53">
        <v>97</v>
      </c>
      <c r="D114" s="53">
        <v>826</v>
      </c>
      <c r="E114" s="53">
        <v>84</v>
      </c>
      <c r="F114" s="55">
        <v>0</v>
      </c>
      <c r="G114" s="57">
        <v>1007</v>
      </c>
      <c r="H114" s="54">
        <v>2.0463661455037453E-3</v>
      </c>
    </row>
    <row r="115" spans="2:8" ht="12.75" customHeight="1" thickBot="1" x14ac:dyDescent="0.25">
      <c r="B115" s="56" t="s">
        <v>294</v>
      </c>
      <c r="C115" s="57">
        <v>2418660</v>
      </c>
      <c r="D115" s="57">
        <v>37251029</v>
      </c>
      <c r="E115" s="57">
        <v>9512282</v>
      </c>
      <c r="F115" s="57">
        <v>27209</v>
      </c>
      <c r="G115" s="59">
        <v>49209180</v>
      </c>
      <c r="H115" s="58">
        <v>100</v>
      </c>
    </row>
    <row r="116" spans="2:8" ht="12.75" customHeight="1" x14ac:dyDescent="0.2"/>
    <row r="117" spans="2:8" ht="12.75" customHeight="1" x14ac:dyDescent="0.2"/>
    <row r="118" spans="2:8" ht="12.75" customHeight="1" x14ac:dyDescent="0.2"/>
    <row r="119" spans="2:8" ht="12.75" customHeight="1" x14ac:dyDescent="0.2"/>
  </sheetData>
  <mergeCells count="5">
    <mergeCell ref="B1:H1"/>
    <mergeCell ref="C3:F3"/>
    <mergeCell ref="B3:B4"/>
    <mergeCell ref="G3:G4"/>
    <mergeCell ref="H3:H4"/>
  </mergeCells>
  <printOptions horizontalCentered="1"/>
  <pageMargins left="0.43307086614173229" right="0.43307086614173229" top="0.39370078740157483" bottom="0.39370078740157483" header="0.19685039370078741" footer="0"/>
  <pageSetup scale="80" orientation="portrait" r:id="rId1"/>
  <headerFooter alignWithMargins="0"/>
  <rowBreaks count="1" manualBreakCount="1">
    <brk id="73" min="1" max="7"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H17"/>
  <sheetViews>
    <sheetView view="pageBreakPreview" zoomScaleNormal="100" zoomScaleSheetLayoutView="100" workbookViewId="0"/>
  </sheetViews>
  <sheetFormatPr defaultColWidth="9.140625" defaultRowHeight="12.75" x14ac:dyDescent="0.2"/>
  <cols>
    <col min="1" max="1" width="9.140625" style="45"/>
    <col min="2" max="2" width="12.140625" style="6" customWidth="1"/>
    <col min="3" max="8" width="13" customWidth="1"/>
  </cols>
  <sheetData>
    <row r="1" spans="2:8" ht="30" customHeight="1" thickBot="1" x14ac:dyDescent="0.25">
      <c r="B1" s="431" t="s">
        <v>609</v>
      </c>
      <c r="C1" s="432"/>
      <c r="D1" s="432"/>
      <c r="E1" s="432"/>
      <c r="F1" s="432"/>
      <c r="G1" s="432"/>
      <c r="H1" s="432"/>
    </row>
    <row r="2" spans="2:8" ht="15" customHeight="1" x14ac:dyDescent="0.2">
      <c r="B2" s="37" t="s">
        <v>264</v>
      </c>
      <c r="C2" s="433" t="s">
        <v>268</v>
      </c>
      <c r="D2" s="433"/>
      <c r="E2" s="433"/>
      <c r="F2" s="433"/>
      <c r="G2" s="434" t="s">
        <v>17</v>
      </c>
      <c r="H2" s="434" t="s">
        <v>295</v>
      </c>
    </row>
    <row r="3" spans="2:8" ht="15" customHeight="1" thickBot="1" x14ac:dyDescent="0.25">
      <c r="B3" s="33" t="s">
        <v>265</v>
      </c>
      <c r="C3" s="292" t="s">
        <v>296</v>
      </c>
      <c r="D3" s="292" t="s">
        <v>297</v>
      </c>
      <c r="E3" s="292" t="s">
        <v>298</v>
      </c>
      <c r="F3" s="292" t="s">
        <v>299</v>
      </c>
      <c r="G3" s="435"/>
      <c r="H3" s="435"/>
    </row>
    <row r="4" spans="2:8" ht="15" customHeight="1" x14ac:dyDescent="0.2">
      <c r="B4" s="5" t="s">
        <v>5</v>
      </c>
      <c r="C4" s="61">
        <v>30763</v>
      </c>
      <c r="D4" s="61">
        <v>1457968</v>
      </c>
      <c r="E4" s="61">
        <v>515934</v>
      </c>
      <c r="F4" s="61">
        <v>1302</v>
      </c>
      <c r="G4" s="62">
        <v>2005967</v>
      </c>
      <c r="H4" s="63">
        <v>4.076408101090081</v>
      </c>
    </row>
    <row r="5" spans="2:8" ht="15" customHeight="1" x14ac:dyDescent="0.2">
      <c r="B5" s="5" t="s">
        <v>6</v>
      </c>
      <c r="C5" s="61">
        <v>21249</v>
      </c>
      <c r="D5" s="61">
        <v>1376877</v>
      </c>
      <c r="E5" s="61">
        <v>471204</v>
      </c>
      <c r="F5" s="61">
        <v>1084</v>
      </c>
      <c r="G5" s="62">
        <v>1870414</v>
      </c>
      <c r="H5" s="63">
        <v>3.8009452707807769</v>
      </c>
    </row>
    <row r="6" spans="2:8" ht="15" customHeight="1" x14ac:dyDescent="0.2">
      <c r="B6" s="5" t="s">
        <v>7</v>
      </c>
      <c r="C6" s="61">
        <v>48782</v>
      </c>
      <c r="D6" s="61">
        <v>1631038</v>
      </c>
      <c r="E6" s="61">
        <v>654276</v>
      </c>
      <c r="F6" s="61">
        <v>1632</v>
      </c>
      <c r="G6" s="62">
        <v>2335728</v>
      </c>
      <c r="H6" s="63">
        <v>4.7465290012960999</v>
      </c>
    </row>
    <row r="7" spans="2:8" ht="15" customHeight="1" x14ac:dyDescent="0.2">
      <c r="B7" s="5" t="s">
        <v>8</v>
      </c>
      <c r="C7" s="61">
        <v>132674</v>
      </c>
      <c r="D7" s="61">
        <v>2491739</v>
      </c>
      <c r="E7" s="61">
        <v>695369</v>
      </c>
      <c r="F7" s="61">
        <v>2042</v>
      </c>
      <c r="G7" s="62">
        <v>3321824</v>
      </c>
      <c r="H7" s="63">
        <v>6.7504152680455149</v>
      </c>
    </row>
    <row r="8" spans="2:8" ht="15" customHeight="1" x14ac:dyDescent="0.2">
      <c r="B8" s="5" t="s">
        <v>9</v>
      </c>
      <c r="C8" s="61">
        <v>259564</v>
      </c>
      <c r="D8" s="61">
        <v>3508566</v>
      </c>
      <c r="E8" s="61">
        <v>729961</v>
      </c>
      <c r="F8" s="61">
        <v>2151</v>
      </c>
      <c r="G8" s="62">
        <v>4500242</v>
      </c>
      <c r="H8" s="63">
        <v>9.1451269864687852</v>
      </c>
    </row>
    <row r="9" spans="2:8" ht="15" customHeight="1" x14ac:dyDescent="0.2">
      <c r="B9" s="5" t="s">
        <v>10</v>
      </c>
      <c r="C9" s="61">
        <v>293304</v>
      </c>
      <c r="D9" s="61">
        <v>4413214</v>
      </c>
      <c r="E9" s="61">
        <v>875333</v>
      </c>
      <c r="F9" s="61">
        <v>2170</v>
      </c>
      <c r="G9" s="62">
        <v>5584021</v>
      </c>
      <c r="H9" s="63">
        <v>11.347518897896693</v>
      </c>
    </row>
    <row r="10" spans="2:8" ht="15" customHeight="1" x14ac:dyDescent="0.2">
      <c r="B10" s="5" t="s">
        <v>11</v>
      </c>
      <c r="C10" s="61">
        <v>342808</v>
      </c>
      <c r="D10" s="61">
        <v>5474502</v>
      </c>
      <c r="E10" s="61">
        <v>1327331</v>
      </c>
      <c r="F10" s="61">
        <v>3403</v>
      </c>
      <c r="G10" s="62">
        <v>7148044</v>
      </c>
      <c r="H10" s="63">
        <v>14.525834407319936</v>
      </c>
    </row>
    <row r="11" spans="2:8" ht="15" customHeight="1" x14ac:dyDescent="0.2">
      <c r="B11" s="5" t="s">
        <v>12</v>
      </c>
      <c r="C11" s="61">
        <v>364694</v>
      </c>
      <c r="D11" s="61">
        <v>5185822</v>
      </c>
      <c r="E11" s="61">
        <v>1106808</v>
      </c>
      <c r="F11" s="61">
        <v>3376</v>
      </c>
      <c r="G11" s="62">
        <v>6660700</v>
      </c>
      <c r="H11" s="63">
        <v>13.535482607107047</v>
      </c>
    </row>
    <row r="12" spans="2:8" ht="15" customHeight="1" x14ac:dyDescent="0.2">
      <c r="B12" s="5" t="s">
        <v>13</v>
      </c>
      <c r="C12" s="61">
        <v>325059</v>
      </c>
      <c r="D12" s="61">
        <v>4483443</v>
      </c>
      <c r="E12" s="61">
        <v>974414</v>
      </c>
      <c r="F12" s="61">
        <v>3111</v>
      </c>
      <c r="G12" s="62">
        <v>5786027</v>
      </c>
      <c r="H12" s="63">
        <v>11.758023604538828</v>
      </c>
    </row>
    <row r="13" spans="2:8" ht="15" customHeight="1" x14ac:dyDescent="0.2">
      <c r="B13" s="5" t="s">
        <v>14</v>
      </c>
      <c r="C13" s="61">
        <v>398709</v>
      </c>
      <c r="D13" s="61">
        <v>3825998</v>
      </c>
      <c r="E13" s="61">
        <v>759771</v>
      </c>
      <c r="F13" s="61">
        <v>2634</v>
      </c>
      <c r="G13" s="62">
        <v>4987112</v>
      </c>
      <c r="H13" s="63">
        <v>10.134515551773063</v>
      </c>
    </row>
    <row r="14" spans="2:8" ht="15" customHeight="1" x14ac:dyDescent="0.2">
      <c r="B14" s="5" t="s">
        <v>15</v>
      </c>
      <c r="C14" s="61">
        <v>155140</v>
      </c>
      <c r="D14" s="61">
        <v>1692969</v>
      </c>
      <c r="E14" s="61">
        <v>675188</v>
      </c>
      <c r="F14" s="61">
        <v>2048</v>
      </c>
      <c r="G14" s="62">
        <v>2525345</v>
      </c>
      <c r="H14" s="63">
        <v>5.1318575111391818</v>
      </c>
    </row>
    <row r="15" spans="2:8" ht="15" customHeight="1" thickBot="1" x14ac:dyDescent="0.25">
      <c r="B15" s="5" t="s">
        <v>16</v>
      </c>
      <c r="C15" s="61">
        <v>45914</v>
      </c>
      <c r="D15" s="61">
        <v>1708893</v>
      </c>
      <c r="E15" s="61">
        <v>726693</v>
      </c>
      <c r="F15" s="61">
        <v>2256</v>
      </c>
      <c r="G15" s="62">
        <v>2483756</v>
      </c>
      <c r="H15" s="63">
        <v>5.0473427925439927</v>
      </c>
    </row>
    <row r="16" spans="2:8" ht="15" customHeight="1" thickBot="1" x14ac:dyDescent="0.25">
      <c r="B16" s="64" t="s">
        <v>17</v>
      </c>
      <c r="C16" s="65">
        <v>2418660</v>
      </c>
      <c r="D16" s="65">
        <v>37251029</v>
      </c>
      <c r="E16" s="65">
        <v>9512282</v>
      </c>
      <c r="F16" s="65">
        <v>27209</v>
      </c>
      <c r="G16" s="65">
        <v>49209180</v>
      </c>
      <c r="H16" s="66">
        <v>100</v>
      </c>
    </row>
    <row r="17" spans="2:8" ht="15" customHeight="1" thickBot="1" x14ac:dyDescent="0.25">
      <c r="B17" s="64" t="s">
        <v>295</v>
      </c>
      <c r="C17" s="67">
        <v>4.9150585317617566</v>
      </c>
      <c r="D17" s="67">
        <v>75.699349186472929</v>
      </c>
      <c r="E17" s="67">
        <v>19.330299753013563</v>
      </c>
      <c r="F17" s="67">
        <v>5.5292528751749163E-2</v>
      </c>
      <c r="G17" s="67">
        <v>100</v>
      </c>
      <c r="H17" s="68"/>
    </row>
  </sheetData>
  <mergeCells count="4">
    <mergeCell ref="B1:H1"/>
    <mergeCell ref="C2:F2"/>
    <mergeCell ref="G2:G3"/>
    <mergeCell ref="H2:H3"/>
  </mergeCells>
  <printOptions horizontalCentered="1"/>
  <pageMargins left="0.74803149606299213" right="0.74803149606299213" top="0.98425196850393704" bottom="0.98425196850393704" header="0.51181102362204722" footer="0.51181102362204722"/>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H65"/>
  <sheetViews>
    <sheetView view="pageBreakPreview" zoomScaleNormal="100" zoomScaleSheetLayoutView="100" workbookViewId="0"/>
  </sheetViews>
  <sheetFormatPr defaultColWidth="9.140625" defaultRowHeight="12.75" x14ac:dyDescent="0.2"/>
  <cols>
    <col min="1" max="1" width="9.140625" style="45"/>
    <col min="2" max="2" width="16.28515625" style="6" customWidth="1"/>
    <col min="3" max="3" width="11.42578125" customWidth="1"/>
    <col min="4" max="7" width="11.7109375" customWidth="1"/>
    <col min="8" max="8" width="7.5703125" customWidth="1"/>
  </cols>
  <sheetData>
    <row r="1" spans="2:8" ht="30" customHeight="1" thickBot="1" x14ac:dyDescent="0.25">
      <c r="B1" s="436" t="s">
        <v>610</v>
      </c>
      <c r="C1" s="437"/>
      <c r="D1" s="437"/>
      <c r="E1" s="437"/>
      <c r="F1" s="437"/>
      <c r="G1" s="437"/>
      <c r="H1" s="437"/>
    </row>
    <row r="2" spans="2:8" ht="12" customHeight="1" thickBot="1" x14ac:dyDescent="0.25">
      <c r="B2" s="69" t="s">
        <v>264</v>
      </c>
      <c r="C2" s="438" t="s">
        <v>268</v>
      </c>
      <c r="D2" s="438"/>
      <c r="E2" s="438"/>
      <c r="F2" s="438"/>
      <c r="G2" s="439"/>
      <c r="H2" s="439"/>
    </row>
    <row r="3" spans="2:8" ht="12" customHeight="1" thickBot="1" x14ac:dyDescent="0.25">
      <c r="B3" s="70" t="s">
        <v>300</v>
      </c>
      <c r="C3" s="71" t="s">
        <v>296</v>
      </c>
      <c r="D3" s="71" t="s">
        <v>297</v>
      </c>
      <c r="E3" s="71" t="s">
        <v>298</v>
      </c>
      <c r="F3" s="71" t="s">
        <v>299</v>
      </c>
      <c r="G3" s="72" t="s">
        <v>17</v>
      </c>
      <c r="H3" s="72" t="s">
        <v>295</v>
      </c>
    </row>
    <row r="4" spans="2:8" ht="12" customHeight="1" x14ac:dyDescent="0.2">
      <c r="B4" s="50" t="s">
        <v>301</v>
      </c>
      <c r="C4" s="73">
        <v>1498</v>
      </c>
      <c r="D4" s="73">
        <v>159518</v>
      </c>
      <c r="E4" s="74"/>
      <c r="F4" s="74"/>
      <c r="G4" s="75">
        <v>161016</v>
      </c>
      <c r="H4" s="76">
        <v>0.32720724060022949</v>
      </c>
    </row>
    <row r="5" spans="2:8" ht="12" customHeight="1" x14ac:dyDescent="0.2">
      <c r="B5" s="46" t="s">
        <v>302</v>
      </c>
      <c r="C5" s="77"/>
      <c r="D5" s="78">
        <v>26</v>
      </c>
      <c r="E5" s="77"/>
      <c r="F5" s="77"/>
      <c r="G5" s="79">
        <v>26</v>
      </c>
      <c r="H5" s="80">
        <v>5.2835670092450229E-5</v>
      </c>
    </row>
    <row r="6" spans="2:8" ht="12" customHeight="1" x14ac:dyDescent="0.2">
      <c r="B6" s="46" t="s">
        <v>303</v>
      </c>
      <c r="C6" s="77"/>
      <c r="D6" s="77">
        <v>6</v>
      </c>
      <c r="E6" s="78">
        <v>392850</v>
      </c>
      <c r="F6" s="77"/>
      <c r="G6" s="79">
        <v>392856</v>
      </c>
      <c r="H6" s="80">
        <v>0.79833884653229337</v>
      </c>
    </row>
    <row r="7" spans="2:8" ht="12" customHeight="1" x14ac:dyDescent="0.2">
      <c r="B7" s="46" t="s">
        <v>304</v>
      </c>
      <c r="C7" s="77"/>
      <c r="D7" s="78">
        <v>18</v>
      </c>
      <c r="E7" s="77"/>
      <c r="F7" s="77"/>
      <c r="G7" s="79">
        <v>18</v>
      </c>
      <c r="H7" s="80">
        <v>3.6578540833234772E-5</v>
      </c>
    </row>
    <row r="8" spans="2:8" ht="12" customHeight="1" x14ac:dyDescent="0.2">
      <c r="B8" s="46" t="s">
        <v>305</v>
      </c>
      <c r="C8" s="77"/>
      <c r="D8" s="78">
        <v>638785</v>
      </c>
      <c r="E8" s="77"/>
      <c r="F8" s="77"/>
      <c r="G8" s="79">
        <v>638785</v>
      </c>
      <c r="H8" s="80">
        <v>1.2981012892309931</v>
      </c>
    </row>
    <row r="9" spans="2:8" ht="12" customHeight="1" x14ac:dyDescent="0.2">
      <c r="B9" s="46" t="s">
        <v>306</v>
      </c>
      <c r="C9" s="78">
        <v>95771</v>
      </c>
      <c r="D9" s="78">
        <v>14654040</v>
      </c>
      <c r="E9" s="77"/>
      <c r="F9" s="77"/>
      <c r="G9" s="79">
        <v>14749811</v>
      </c>
      <c r="H9" s="80">
        <v>29.973697996999746</v>
      </c>
    </row>
    <row r="10" spans="2:8" ht="12" customHeight="1" x14ac:dyDescent="0.2">
      <c r="B10" s="46" t="s">
        <v>307</v>
      </c>
      <c r="C10" s="77"/>
      <c r="D10" s="77"/>
      <c r="E10" s="78">
        <v>113278</v>
      </c>
      <c r="F10" s="77"/>
      <c r="G10" s="79">
        <v>113278</v>
      </c>
      <c r="H10" s="80">
        <v>0.23019688602817603</v>
      </c>
    </row>
    <row r="11" spans="2:8" ht="12" customHeight="1" x14ac:dyDescent="0.2">
      <c r="B11" s="46" t="s">
        <v>308</v>
      </c>
      <c r="C11" s="78">
        <v>513</v>
      </c>
      <c r="D11" s="78"/>
      <c r="E11" s="78">
        <v>1829782</v>
      </c>
      <c r="F11" s="77"/>
      <c r="G11" s="79">
        <v>1830295</v>
      </c>
      <c r="H11" s="80">
        <v>3.7194177996869691</v>
      </c>
    </row>
    <row r="12" spans="2:8" ht="12" customHeight="1" x14ac:dyDescent="0.2">
      <c r="B12" s="46" t="s">
        <v>309</v>
      </c>
      <c r="C12" s="78">
        <v>790462</v>
      </c>
      <c r="D12" s="77"/>
      <c r="E12" s="77"/>
      <c r="F12" s="77"/>
      <c r="G12" s="79">
        <v>790462</v>
      </c>
      <c r="H12" s="80">
        <v>1.6063303635622459</v>
      </c>
    </row>
    <row r="13" spans="2:8" ht="12" customHeight="1" x14ac:dyDescent="0.2">
      <c r="B13" s="46" t="s">
        <v>310</v>
      </c>
      <c r="C13" s="78">
        <v>30949</v>
      </c>
      <c r="D13" s="78">
        <v>8355</v>
      </c>
      <c r="E13" s="77"/>
      <c r="F13" s="77"/>
      <c r="G13" s="79">
        <v>39304</v>
      </c>
      <c r="H13" s="80">
        <v>7.9871276050525533E-2</v>
      </c>
    </row>
    <row r="14" spans="2:8" ht="12" customHeight="1" x14ac:dyDescent="0.2">
      <c r="B14" s="46" t="s">
        <v>311</v>
      </c>
      <c r="C14" s="78">
        <v>18390</v>
      </c>
      <c r="D14" s="77"/>
      <c r="E14" s="77"/>
      <c r="F14" s="77"/>
      <c r="G14" s="79">
        <v>18390</v>
      </c>
      <c r="H14" s="80">
        <v>3.7371075884621525E-2</v>
      </c>
    </row>
    <row r="15" spans="2:8" ht="12" customHeight="1" x14ac:dyDescent="0.2">
      <c r="B15" s="46" t="s">
        <v>312</v>
      </c>
      <c r="C15" s="77"/>
      <c r="D15" s="78">
        <v>4</v>
      </c>
      <c r="E15" s="77"/>
      <c r="F15" s="77"/>
      <c r="G15" s="79">
        <v>4</v>
      </c>
      <c r="H15" s="80">
        <v>8.1285646296077282E-6</v>
      </c>
    </row>
    <row r="16" spans="2:8" ht="12" customHeight="1" x14ac:dyDescent="0.2">
      <c r="B16" s="46" t="s">
        <v>591</v>
      </c>
      <c r="C16" s="78"/>
      <c r="D16" s="78">
        <v>0</v>
      </c>
      <c r="E16" s="77"/>
      <c r="F16" s="77"/>
      <c r="G16" s="79">
        <v>0</v>
      </c>
      <c r="H16" s="80">
        <v>0</v>
      </c>
    </row>
    <row r="17" spans="2:8" ht="12" customHeight="1" x14ac:dyDescent="0.2">
      <c r="B17" s="46" t="s">
        <v>313</v>
      </c>
      <c r="C17" s="78">
        <v>5265</v>
      </c>
      <c r="D17" s="78">
        <v>704</v>
      </c>
      <c r="E17" s="77"/>
      <c r="F17" s="77"/>
      <c r="G17" s="79">
        <v>5969</v>
      </c>
      <c r="H17" s="80">
        <v>1.2129850568532132E-2</v>
      </c>
    </row>
    <row r="18" spans="2:8" ht="12" customHeight="1" x14ac:dyDescent="0.2">
      <c r="B18" s="46" t="s">
        <v>314</v>
      </c>
      <c r="C18" s="77">
        <v>35217</v>
      </c>
      <c r="D18" s="78">
        <v>70</v>
      </c>
      <c r="E18" s="77"/>
      <c r="F18" s="77"/>
      <c r="G18" s="79">
        <v>35287</v>
      </c>
      <c r="H18" s="80">
        <v>7.1708165021241971E-2</v>
      </c>
    </row>
    <row r="19" spans="2:8" ht="12" customHeight="1" x14ac:dyDescent="0.2">
      <c r="B19" s="46" t="s">
        <v>315</v>
      </c>
      <c r="C19" s="77"/>
      <c r="D19" s="78">
        <v>18385</v>
      </c>
      <c r="E19" s="77"/>
      <c r="F19" s="77"/>
      <c r="G19" s="79">
        <v>18385</v>
      </c>
      <c r="H19" s="80">
        <v>3.7360915178834518E-2</v>
      </c>
    </row>
    <row r="20" spans="2:8" ht="12" customHeight="1" x14ac:dyDescent="0.2">
      <c r="B20" s="46" t="s">
        <v>316</v>
      </c>
      <c r="C20" s="77"/>
      <c r="D20" s="77">
        <v>25955</v>
      </c>
      <c r="E20" s="78"/>
      <c r="F20" s="78"/>
      <c r="G20" s="79">
        <v>25955</v>
      </c>
      <c r="H20" s="80">
        <v>5.2744223740367142E-2</v>
      </c>
    </row>
    <row r="21" spans="2:8" ht="12" customHeight="1" x14ac:dyDescent="0.2">
      <c r="B21" s="46" t="s">
        <v>317</v>
      </c>
      <c r="C21" s="77">
        <v>240</v>
      </c>
      <c r="D21" s="78"/>
      <c r="E21" s="77">
        <v>4694216</v>
      </c>
      <c r="F21" s="77">
        <v>21124</v>
      </c>
      <c r="G21" s="79">
        <v>4715580</v>
      </c>
      <c r="H21" s="80">
        <v>9.5827241990214027</v>
      </c>
    </row>
    <row r="22" spans="2:8" ht="12" customHeight="1" x14ac:dyDescent="0.2">
      <c r="B22" s="46" t="s">
        <v>318</v>
      </c>
      <c r="C22" s="77"/>
      <c r="D22" s="78">
        <v>17407</v>
      </c>
      <c r="E22" s="77"/>
      <c r="F22" s="77"/>
      <c r="G22" s="79">
        <v>17407</v>
      </c>
      <c r="H22" s="80">
        <v>3.537348112689543E-2</v>
      </c>
    </row>
    <row r="23" spans="2:8" ht="12" customHeight="1" x14ac:dyDescent="0.2">
      <c r="B23" s="46" t="s">
        <v>319</v>
      </c>
      <c r="C23" s="77"/>
      <c r="D23" s="78">
        <v>16</v>
      </c>
      <c r="E23" s="77"/>
      <c r="F23" s="77"/>
      <c r="G23" s="79">
        <v>16</v>
      </c>
      <c r="H23" s="80">
        <v>3.2514258518430913E-5</v>
      </c>
    </row>
    <row r="24" spans="2:8" ht="12" customHeight="1" x14ac:dyDescent="0.2">
      <c r="B24" s="46" t="s">
        <v>320</v>
      </c>
      <c r="C24" s="77"/>
      <c r="D24" s="78">
        <v>809</v>
      </c>
      <c r="E24" s="77"/>
      <c r="F24" s="77"/>
      <c r="G24" s="79">
        <v>809</v>
      </c>
      <c r="H24" s="80">
        <v>1.6440021963381628E-3</v>
      </c>
    </row>
    <row r="25" spans="2:8" ht="12" customHeight="1" x14ac:dyDescent="0.2">
      <c r="B25" s="46" t="s">
        <v>321</v>
      </c>
      <c r="C25" s="77"/>
      <c r="D25" s="78">
        <v>30640</v>
      </c>
      <c r="E25" s="78"/>
      <c r="F25" s="77"/>
      <c r="G25" s="79">
        <v>30640</v>
      </c>
      <c r="H25" s="80">
        <v>6.2264805062795192E-2</v>
      </c>
    </row>
    <row r="26" spans="2:8" ht="12" customHeight="1" x14ac:dyDescent="0.2">
      <c r="B26" s="46" t="s">
        <v>322</v>
      </c>
      <c r="C26" s="78"/>
      <c r="D26" s="77">
        <v>61782</v>
      </c>
      <c r="E26" s="77">
        <v>57886</v>
      </c>
      <c r="F26" s="77"/>
      <c r="G26" s="79">
        <v>119668</v>
      </c>
      <c r="H26" s="80">
        <v>0.24318226802397439</v>
      </c>
    </row>
    <row r="27" spans="2:8" ht="12" customHeight="1" x14ac:dyDescent="0.2">
      <c r="B27" s="46" t="s">
        <v>323</v>
      </c>
      <c r="C27" s="77">
        <v>3029</v>
      </c>
      <c r="D27" s="77"/>
      <c r="E27" s="78"/>
      <c r="F27" s="77"/>
      <c r="G27" s="79">
        <v>3029</v>
      </c>
      <c r="H27" s="80">
        <v>6.1553555657704517E-3</v>
      </c>
    </row>
    <row r="28" spans="2:8" ht="12" customHeight="1" x14ac:dyDescent="0.2">
      <c r="B28" s="46" t="s">
        <v>324</v>
      </c>
      <c r="C28" s="78"/>
      <c r="D28" s="78"/>
      <c r="E28" s="78">
        <v>207549</v>
      </c>
      <c r="F28" s="77"/>
      <c r="G28" s="79">
        <v>207549</v>
      </c>
      <c r="H28" s="80">
        <v>0.42176886507761358</v>
      </c>
    </row>
    <row r="29" spans="2:8" ht="12" customHeight="1" x14ac:dyDescent="0.2">
      <c r="B29" s="46" t="s">
        <v>325</v>
      </c>
      <c r="C29" s="77">
        <v>6999</v>
      </c>
      <c r="D29" s="78">
        <v>1027</v>
      </c>
      <c r="E29" s="78">
        <v>77345</v>
      </c>
      <c r="F29" s="77"/>
      <c r="G29" s="79">
        <v>85371</v>
      </c>
      <c r="H29" s="80">
        <v>0.17348592274856034</v>
      </c>
    </row>
    <row r="30" spans="2:8" ht="12" customHeight="1" x14ac:dyDescent="0.2">
      <c r="B30" s="46" t="s">
        <v>326</v>
      </c>
      <c r="C30" s="77"/>
      <c r="D30" s="78">
        <v>133</v>
      </c>
      <c r="E30" s="77">
        <v>323499</v>
      </c>
      <c r="F30" s="77"/>
      <c r="G30" s="79">
        <v>323632</v>
      </c>
      <c r="H30" s="80">
        <v>0.65766590705230199</v>
      </c>
    </row>
    <row r="31" spans="2:8" ht="12" customHeight="1" x14ac:dyDescent="0.2">
      <c r="B31" s="46" t="s">
        <v>327</v>
      </c>
      <c r="C31" s="78"/>
      <c r="D31" s="78">
        <v>12467</v>
      </c>
      <c r="E31" s="77"/>
      <c r="F31" s="77"/>
      <c r="G31" s="79">
        <v>12467</v>
      </c>
      <c r="H31" s="80">
        <v>2.5334703809329884E-2</v>
      </c>
    </row>
    <row r="32" spans="2:8" ht="12" customHeight="1" x14ac:dyDescent="0.2">
      <c r="B32" s="46" t="s">
        <v>328</v>
      </c>
      <c r="C32" s="78">
        <v>405598</v>
      </c>
      <c r="D32" s="78">
        <v>16964432</v>
      </c>
      <c r="E32" s="77"/>
      <c r="F32" s="77"/>
      <c r="G32" s="79">
        <v>17370030</v>
      </c>
      <c r="H32" s="80">
        <v>35.298352868306281</v>
      </c>
    </row>
    <row r="33" spans="2:8" ht="12" customHeight="1" x14ac:dyDescent="0.2">
      <c r="B33" s="46" t="s">
        <v>329</v>
      </c>
      <c r="C33" s="77">
        <v>139811</v>
      </c>
      <c r="D33" s="78">
        <v>1351992</v>
      </c>
      <c r="E33" s="77"/>
      <c r="F33" s="77"/>
      <c r="G33" s="79">
        <v>1491803</v>
      </c>
      <c r="H33" s="80">
        <v>3.0315542750356741</v>
      </c>
    </row>
    <row r="34" spans="2:8" ht="12" customHeight="1" x14ac:dyDescent="0.2">
      <c r="B34" s="46" t="s">
        <v>330</v>
      </c>
      <c r="C34" s="77"/>
      <c r="D34" s="78">
        <v>56</v>
      </c>
      <c r="E34" s="77"/>
      <c r="F34" s="77"/>
      <c r="G34" s="79">
        <v>56</v>
      </c>
      <c r="H34" s="80">
        <v>1.1379990481450819E-4</v>
      </c>
    </row>
    <row r="35" spans="2:8" ht="12" customHeight="1" x14ac:dyDescent="0.2">
      <c r="B35" s="46" t="s">
        <v>331</v>
      </c>
      <c r="C35" s="78"/>
      <c r="D35" s="78">
        <v>65</v>
      </c>
      <c r="E35" s="77"/>
      <c r="F35" s="77"/>
      <c r="G35" s="79">
        <v>65</v>
      </c>
      <c r="H35" s="80">
        <v>1.3208917523112556E-4</v>
      </c>
    </row>
    <row r="36" spans="2:8" ht="12" customHeight="1" x14ac:dyDescent="0.2">
      <c r="B36" s="46" t="s">
        <v>332</v>
      </c>
      <c r="C36" s="77">
        <v>440</v>
      </c>
      <c r="D36" s="78">
        <v>15</v>
      </c>
      <c r="E36" s="77"/>
      <c r="F36" s="77"/>
      <c r="G36" s="79">
        <v>455</v>
      </c>
      <c r="H36" s="80">
        <v>9.2462422661787906E-4</v>
      </c>
    </row>
    <row r="37" spans="2:8" ht="12" customHeight="1" x14ac:dyDescent="0.2">
      <c r="B37" s="46" t="s">
        <v>333</v>
      </c>
      <c r="C37" s="77"/>
      <c r="D37" s="77">
        <v>123728</v>
      </c>
      <c r="E37" s="78"/>
      <c r="F37" s="77"/>
      <c r="G37" s="79">
        <v>123728</v>
      </c>
      <c r="H37" s="80">
        <v>0.2514327611230262</v>
      </c>
    </row>
    <row r="38" spans="2:8" ht="12" customHeight="1" x14ac:dyDescent="0.2">
      <c r="B38" s="46" t="s">
        <v>334</v>
      </c>
      <c r="C38" s="77">
        <v>2</v>
      </c>
      <c r="D38" s="77"/>
      <c r="E38" s="78">
        <v>657585</v>
      </c>
      <c r="F38" s="78"/>
      <c r="G38" s="79">
        <v>657587</v>
      </c>
      <c r="H38" s="80">
        <v>1.3363096072724643</v>
      </c>
    </row>
    <row r="39" spans="2:8" ht="12" customHeight="1" x14ac:dyDescent="0.2">
      <c r="B39" s="46" t="s">
        <v>335</v>
      </c>
      <c r="C39" s="78"/>
      <c r="D39" s="78"/>
      <c r="E39" s="77">
        <v>73783</v>
      </c>
      <c r="F39" s="77">
        <v>5989</v>
      </c>
      <c r="G39" s="79">
        <v>79772</v>
      </c>
      <c r="H39" s="80">
        <v>0.16210796440826691</v>
      </c>
    </row>
    <row r="40" spans="2:8" ht="12" customHeight="1" x14ac:dyDescent="0.2">
      <c r="B40" s="46" t="s">
        <v>336</v>
      </c>
      <c r="C40" s="77">
        <v>27820</v>
      </c>
      <c r="D40" s="78">
        <v>50</v>
      </c>
      <c r="E40" s="77"/>
      <c r="F40" s="77"/>
      <c r="G40" s="79">
        <v>27870</v>
      </c>
      <c r="H40" s="80">
        <v>5.6635774056791842E-2</v>
      </c>
    </row>
    <row r="41" spans="2:8" ht="12" customHeight="1" x14ac:dyDescent="0.2">
      <c r="B41" s="46" t="s">
        <v>337</v>
      </c>
      <c r="C41" s="77"/>
      <c r="D41" s="78">
        <v>38224</v>
      </c>
      <c r="E41" s="77"/>
      <c r="F41" s="77"/>
      <c r="G41" s="79">
        <v>38224</v>
      </c>
      <c r="H41" s="80">
        <v>7.7676563600531448E-2</v>
      </c>
    </row>
    <row r="42" spans="2:8" ht="12" customHeight="1" x14ac:dyDescent="0.2">
      <c r="B42" s="46" t="s">
        <v>338</v>
      </c>
      <c r="C42" s="77"/>
      <c r="D42" s="78">
        <v>10726</v>
      </c>
      <c r="E42" s="77"/>
      <c r="F42" s="77"/>
      <c r="G42" s="79">
        <v>10726</v>
      </c>
      <c r="H42" s="80">
        <v>2.1796746054293121E-2</v>
      </c>
    </row>
    <row r="43" spans="2:8" ht="12" customHeight="1" x14ac:dyDescent="0.2">
      <c r="B43" s="46" t="s">
        <v>339</v>
      </c>
      <c r="C43" s="77"/>
      <c r="D43" s="78">
        <v>43</v>
      </c>
      <c r="E43" s="77"/>
      <c r="F43" s="77"/>
      <c r="G43" s="79">
        <v>43</v>
      </c>
      <c r="H43" s="80">
        <v>8.7382069768283068E-5</v>
      </c>
    </row>
    <row r="44" spans="2:8" ht="12" customHeight="1" x14ac:dyDescent="0.2">
      <c r="B44" s="46" t="s">
        <v>340</v>
      </c>
      <c r="C44" s="78"/>
      <c r="D44" s="77">
        <v>7</v>
      </c>
      <c r="E44" s="77"/>
      <c r="F44" s="77"/>
      <c r="G44" s="79">
        <v>7</v>
      </c>
      <c r="H44" s="80">
        <v>1.4224988101813524E-5</v>
      </c>
    </row>
    <row r="45" spans="2:8" ht="12" customHeight="1" x14ac:dyDescent="0.2">
      <c r="B45" s="46" t="s">
        <v>341</v>
      </c>
      <c r="C45" s="78">
        <v>59801</v>
      </c>
      <c r="D45" s="78"/>
      <c r="E45" s="77"/>
      <c r="F45" s="77"/>
      <c r="G45" s="79">
        <v>59801</v>
      </c>
      <c r="H45" s="80">
        <v>0.12152407335379294</v>
      </c>
    </row>
    <row r="46" spans="2:8" ht="12" customHeight="1" x14ac:dyDescent="0.2">
      <c r="B46" s="46" t="s">
        <v>342</v>
      </c>
      <c r="C46" s="77">
        <v>691804</v>
      </c>
      <c r="D46" s="78">
        <v>2633688</v>
      </c>
      <c r="E46" s="77"/>
      <c r="F46" s="77"/>
      <c r="G46" s="79">
        <v>3325492</v>
      </c>
      <c r="H46" s="80">
        <v>6.7578691618108655</v>
      </c>
    </row>
    <row r="47" spans="2:8" ht="12" customHeight="1" x14ac:dyDescent="0.2">
      <c r="B47" s="46" t="s">
        <v>592</v>
      </c>
      <c r="C47" s="78"/>
      <c r="D47" s="78">
        <v>1</v>
      </c>
      <c r="E47" s="77"/>
      <c r="F47" s="77"/>
      <c r="G47" s="79">
        <v>1</v>
      </c>
      <c r="H47" s="80">
        <v>2.0321411574019321E-6</v>
      </c>
    </row>
    <row r="48" spans="2:8" ht="12" customHeight="1" x14ac:dyDescent="0.2">
      <c r="B48" s="46" t="s">
        <v>343</v>
      </c>
      <c r="C48" s="78"/>
      <c r="D48" s="77">
        <v>7274</v>
      </c>
      <c r="E48" s="77"/>
      <c r="F48" s="77"/>
      <c r="G48" s="79">
        <v>7274</v>
      </c>
      <c r="H48" s="80">
        <v>1.4781794778941653E-2</v>
      </c>
    </row>
    <row r="49" spans="2:8" ht="12" customHeight="1" x14ac:dyDescent="0.2">
      <c r="B49" s="46" t="s">
        <v>344</v>
      </c>
      <c r="C49" s="78">
        <v>15852</v>
      </c>
      <c r="D49" s="77">
        <v>5445</v>
      </c>
      <c r="E49" s="77"/>
      <c r="F49" s="77"/>
      <c r="G49" s="79">
        <v>21297</v>
      </c>
      <c r="H49" s="80">
        <v>4.3278510229188945E-2</v>
      </c>
    </row>
    <row r="50" spans="2:8" ht="12" customHeight="1" x14ac:dyDescent="0.2">
      <c r="B50" s="46" t="s">
        <v>345</v>
      </c>
      <c r="C50" s="78">
        <v>289</v>
      </c>
      <c r="D50" s="78"/>
      <c r="E50" s="77"/>
      <c r="F50" s="77"/>
      <c r="G50" s="79">
        <v>289</v>
      </c>
      <c r="H50" s="80">
        <v>5.8728879448915832E-4</v>
      </c>
    </row>
    <row r="51" spans="2:8" ht="12" customHeight="1" x14ac:dyDescent="0.2">
      <c r="B51" s="46" t="s">
        <v>346</v>
      </c>
      <c r="C51" s="78">
        <v>4751</v>
      </c>
      <c r="D51" s="78"/>
      <c r="E51" s="77"/>
      <c r="F51" s="77"/>
      <c r="G51" s="79">
        <v>4751</v>
      </c>
      <c r="H51" s="80">
        <v>9.6547026388165789E-3</v>
      </c>
    </row>
    <row r="52" spans="2:8" ht="12" customHeight="1" x14ac:dyDescent="0.2">
      <c r="B52" s="46" t="s">
        <v>347</v>
      </c>
      <c r="C52" s="77">
        <v>17724</v>
      </c>
      <c r="D52" s="78">
        <v>47110</v>
      </c>
      <c r="E52" s="77"/>
      <c r="F52" s="77"/>
      <c r="G52" s="79">
        <v>64834</v>
      </c>
      <c r="H52" s="80">
        <v>0.13175183979899685</v>
      </c>
    </row>
    <row r="53" spans="2:8" ht="12" customHeight="1" x14ac:dyDescent="0.2">
      <c r="B53" s="46" t="s">
        <v>348</v>
      </c>
      <c r="C53" s="77">
        <v>13474</v>
      </c>
      <c r="D53" s="78">
        <v>4</v>
      </c>
      <c r="E53" s="78"/>
      <c r="F53" s="77"/>
      <c r="G53" s="79">
        <v>13478</v>
      </c>
      <c r="H53" s="80">
        <v>2.738919851946324E-2</v>
      </c>
    </row>
    <row r="54" spans="2:8" ht="12" customHeight="1" x14ac:dyDescent="0.2">
      <c r="B54" s="46" t="s">
        <v>349</v>
      </c>
      <c r="C54" s="77"/>
      <c r="D54" s="77">
        <v>105</v>
      </c>
      <c r="E54" s="78"/>
      <c r="F54" s="77"/>
      <c r="G54" s="79">
        <v>105</v>
      </c>
      <c r="H54" s="80">
        <v>2.1337482152720285E-4</v>
      </c>
    </row>
    <row r="55" spans="2:8" ht="12" customHeight="1" x14ac:dyDescent="0.2">
      <c r="B55" s="46" t="s">
        <v>350</v>
      </c>
      <c r="C55" s="78"/>
      <c r="D55" s="78">
        <v>249</v>
      </c>
      <c r="E55" s="77">
        <v>8623</v>
      </c>
      <c r="F55" s="77"/>
      <c r="G55" s="79">
        <v>8872</v>
      </c>
      <c r="H55" s="80">
        <v>1.8029156348469941E-2</v>
      </c>
    </row>
    <row r="56" spans="2:8" ht="12" customHeight="1" x14ac:dyDescent="0.2">
      <c r="B56" s="46" t="s">
        <v>351</v>
      </c>
      <c r="C56" s="78"/>
      <c r="D56" s="78">
        <v>0</v>
      </c>
      <c r="E56" s="77">
        <v>520578</v>
      </c>
      <c r="F56" s="77"/>
      <c r="G56" s="79">
        <v>520578</v>
      </c>
      <c r="H56" s="80">
        <v>1.057887979437983</v>
      </c>
    </row>
    <row r="57" spans="2:8" ht="12" customHeight="1" x14ac:dyDescent="0.2">
      <c r="B57" s="46" t="s">
        <v>352</v>
      </c>
      <c r="C57" s="77">
        <v>8547</v>
      </c>
      <c r="D57" s="78">
        <v>1943</v>
      </c>
      <c r="E57" s="77"/>
      <c r="F57" s="77"/>
      <c r="G57" s="79">
        <v>10490</v>
      </c>
      <c r="H57" s="80">
        <v>2.1317160741146264E-2</v>
      </c>
    </row>
    <row r="58" spans="2:8" ht="12" customHeight="1" x14ac:dyDescent="0.2">
      <c r="B58" s="46" t="s">
        <v>593</v>
      </c>
      <c r="C58" s="77"/>
      <c r="D58" s="78">
        <v>1</v>
      </c>
      <c r="E58" s="78"/>
      <c r="F58" s="78"/>
      <c r="G58" s="79">
        <v>1</v>
      </c>
      <c r="H58" s="80">
        <v>2.0321411574019321E-6</v>
      </c>
    </row>
    <row r="59" spans="2:8" ht="12" customHeight="1" x14ac:dyDescent="0.2">
      <c r="B59" s="46" t="s">
        <v>353</v>
      </c>
      <c r="C59" s="78">
        <v>17896</v>
      </c>
      <c r="D59" s="77">
        <v>413963</v>
      </c>
      <c r="E59" s="77"/>
      <c r="F59" s="77"/>
      <c r="G59" s="79">
        <v>431859</v>
      </c>
      <c r="H59" s="80">
        <v>0.87759844809444087</v>
      </c>
    </row>
    <row r="60" spans="2:8" ht="12" customHeight="1" x14ac:dyDescent="0.2">
      <c r="B60" s="46" t="s">
        <v>354</v>
      </c>
      <c r="C60" s="78"/>
      <c r="D60" s="77">
        <v>26</v>
      </c>
      <c r="E60" s="77"/>
      <c r="F60" s="77"/>
      <c r="G60" s="79">
        <v>26</v>
      </c>
      <c r="H60" s="80">
        <v>5.2835670092450229E-5</v>
      </c>
    </row>
    <row r="61" spans="2:8" ht="12" customHeight="1" x14ac:dyDescent="0.2">
      <c r="B61" s="46" t="s">
        <v>355</v>
      </c>
      <c r="C61" s="78"/>
      <c r="D61" s="77">
        <v>20</v>
      </c>
      <c r="E61" s="77">
        <v>555308</v>
      </c>
      <c r="F61" s="77">
        <v>96</v>
      </c>
      <c r="G61" s="79">
        <v>555424</v>
      </c>
      <c r="H61" s="80">
        <v>1.1286999702088107</v>
      </c>
    </row>
    <row r="62" spans="2:8" ht="12" customHeight="1" x14ac:dyDescent="0.2">
      <c r="B62" s="46" t="s">
        <v>356</v>
      </c>
      <c r="C62" s="78">
        <v>7900</v>
      </c>
      <c r="D62" s="77"/>
      <c r="E62" s="77"/>
      <c r="F62" s="77"/>
      <c r="G62" s="79">
        <v>7900</v>
      </c>
      <c r="H62" s="80">
        <v>1.6053915143475261E-2</v>
      </c>
    </row>
    <row r="63" spans="2:8" ht="13.5" thickBot="1" x14ac:dyDescent="0.25">
      <c r="B63" s="46" t="s">
        <v>357</v>
      </c>
      <c r="C63" s="78">
        <v>18618</v>
      </c>
      <c r="D63" s="78">
        <v>21715</v>
      </c>
      <c r="E63" s="77"/>
      <c r="F63" s="77"/>
      <c r="G63" s="79">
        <v>40333</v>
      </c>
      <c r="H63" s="80">
        <v>8.1962349301492127E-2</v>
      </c>
    </row>
    <row r="64" spans="2:8" ht="13.5" thickBot="1" x14ac:dyDescent="0.25">
      <c r="B64" s="52" t="s">
        <v>17</v>
      </c>
      <c r="C64" s="81">
        <v>2418660</v>
      </c>
      <c r="D64" s="81">
        <v>37251029</v>
      </c>
      <c r="E64" s="81">
        <v>9512282</v>
      </c>
      <c r="F64" s="81">
        <v>27209</v>
      </c>
      <c r="G64" s="81">
        <v>49209180</v>
      </c>
      <c r="H64" s="80">
        <v>100</v>
      </c>
    </row>
    <row r="65" spans="2:8" ht="13.5" thickBot="1" x14ac:dyDescent="0.25">
      <c r="B65" s="52" t="s">
        <v>295</v>
      </c>
      <c r="C65" s="82">
        <v>4.9150585317617566</v>
      </c>
      <c r="D65" s="82">
        <v>75.699349186472929</v>
      </c>
      <c r="E65" s="82">
        <v>19.330299753013563</v>
      </c>
      <c r="F65" s="82">
        <v>5.5292528751749163E-2</v>
      </c>
      <c r="G65" s="82">
        <v>100</v>
      </c>
      <c r="H65" s="83"/>
    </row>
  </sheetData>
  <mergeCells count="3">
    <mergeCell ref="B1:H1"/>
    <mergeCell ref="C2:F2"/>
    <mergeCell ref="G2:H2"/>
  </mergeCells>
  <printOptions horizontalCentered="1"/>
  <pageMargins left="0.51181102362204722" right="0.43307086614173229" top="0.17" bottom="0.17" header="0.17" footer="0"/>
  <pageSetup scale="98"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Q199"/>
  <sheetViews>
    <sheetView view="pageBreakPreview" zoomScale="75" zoomScaleNormal="100" zoomScaleSheetLayoutView="75" workbookViewId="0">
      <selection activeCell="S13" sqref="S13"/>
    </sheetView>
  </sheetViews>
  <sheetFormatPr defaultColWidth="9.140625" defaultRowHeight="12.75" x14ac:dyDescent="0.2"/>
  <cols>
    <col min="1" max="1" width="9.140625" style="45"/>
    <col min="2" max="2" width="16" style="6" customWidth="1"/>
    <col min="3" max="3" width="24.28515625" style="6" customWidth="1"/>
    <col min="4" max="4" width="7.85546875" customWidth="1"/>
    <col min="5" max="11" width="10.42578125" bestFit="1" customWidth="1"/>
    <col min="12" max="12" width="10.7109375" customWidth="1"/>
    <col min="13" max="16" width="10.42578125" bestFit="1" customWidth="1"/>
    <col min="17" max="17" width="11.5703125" bestFit="1" customWidth="1"/>
  </cols>
  <sheetData>
    <row r="1" spans="2:17" ht="30" customHeight="1" thickBot="1" x14ac:dyDescent="0.25">
      <c r="B1" s="419" t="s">
        <v>611</v>
      </c>
      <c r="C1" s="420"/>
      <c r="D1" s="420"/>
      <c r="E1" s="420"/>
      <c r="F1" s="420"/>
      <c r="G1" s="420"/>
      <c r="H1" s="420"/>
      <c r="I1" s="420"/>
      <c r="J1" s="420"/>
      <c r="K1" s="420"/>
      <c r="L1" s="420"/>
      <c r="M1" s="420"/>
      <c r="N1" s="420"/>
      <c r="O1" s="420"/>
      <c r="P1" s="420"/>
      <c r="Q1" s="420"/>
    </row>
    <row r="2" spans="2:17" ht="12.75" customHeight="1" thickBot="1" x14ac:dyDescent="0.25">
      <c r="B2" s="37" t="s">
        <v>0</v>
      </c>
      <c r="C2" s="37" t="s">
        <v>0</v>
      </c>
      <c r="D2" s="122" t="s">
        <v>0</v>
      </c>
      <c r="E2" s="421" t="s">
        <v>265</v>
      </c>
      <c r="F2" s="421"/>
      <c r="G2" s="421"/>
      <c r="H2" s="421"/>
      <c r="I2" s="421"/>
      <c r="J2" s="421"/>
      <c r="K2" s="421"/>
      <c r="L2" s="421"/>
      <c r="M2" s="421"/>
      <c r="N2" s="421"/>
      <c r="O2" s="421"/>
      <c r="P2" s="421"/>
      <c r="Q2" s="122"/>
    </row>
    <row r="3" spans="2:17" ht="25.5" customHeight="1" thickBot="1" x14ac:dyDescent="0.25">
      <c r="B3" s="262" t="s">
        <v>0</v>
      </c>
      <c r="C3" s="262" t="s">
        <v>612</v>
      </c>
      <c r="D3" s="295" t="s">
        <v>613</v>
      </c>
      <c r="E3" s="295" t="s">
        <v>5</v>
      </c>
      <c r="F3" s="295" t="s">
        <v>6</v>
      </c>
      <c r="G3" s="295" t="s">
        <v>7</v>
      </c>
      <c r="H3" s="295" t="s">
        <v>8</v>
      </c>
      <c r="I3" s="295" t="s">
        <v>9</v>
      </c>
      <c r="J3" s="295" t="s">
        <v>10</v>
      </c>
      <c r="K3" s="295" t="s">
        <v>11</v>
      </c>
      <c r="L3" s="295" t="s">
        <v>12</v>
      </c>
      <c r="M3" s="295" t="s">
        <v>13</v>
      </c>
      <c r="N3" s="295" t="s">
        <v>14</v>
      </c>
      <c r="O3" s="295" t="s">
        <v>15</v>
      </c>
      <c r="P3" s="295" t="s">
        <v>16</v>
      </c>
      <c r="Q3" s="295" t="s">
        <v>17</v>
      </c>
    </row>
    <row r="4" spans="2:17" ht="12.75" customHeight="1" x14ac:dyDescent="0.2">
      <c r="B4" s="441" t="s">
        <v>301</v>
      </c>
      <c r="C4" s="89" t="s">
        <v>614</v>
      </c>
      <c r="D4" s="297" t="s">
        <v>269</v>
      </c>
      <c r="E4" s="147">
        <v>30</v>
      </c>
      <c r="F4" s="147">
        <v>18</v>
      </c>
      <c r="G4" s="147">
        <v>32</v>
      </c>
      <c r="H4" s="147">
        <v>35</v>
      </c>
      <c r="I4" s="147">
        <v>37</v>
      </c>
      <c r="J4" s="147">
        <v>62</v>
      </c>
      <c r="K4" s="147">
        <v>30</v>
      </c>
      <c r="L4" s="147">
        <v>44</v>
      </c>
      <c r="M4" s="147">
        <v>32</v>
      </c>
      <c r="N4" s="147">
        <v>37</v>
      </c>
      <c r="O4" s="147">
        <v>77</v>
      </c>
      <c r="P4" s="147">
        <v>24</v>
      </c>
      <c r="Q4" s="147">
        <v>458</v>
      </c>
    </row>
    <row r="5" spans="2:17" ht="12.75" customHeight="1" x14ac:dyDescent="0.2">
      <c r="B5" s="442"/>
      <c r="C5" s="90" t="s">
        <v>359</v>
      </c>
      <c r="D5" s="298" t="s">
        <v>270</v>
      </c>
      <c r="E5" s="150">
        <v>6425</v>
      </c>
      <c r="F5" s="150">
        <v>9313</v>
      </c>
      <c r="G5" s="150">
        <v>6120</v>
      </c>
      <c r="H5" s="150">
        <v>8373</v>
      </c>
      <c r="I5" s="150">
        <v>10111</v>
      </c>
      <c r="J5" s="150">
        <v>15749</v>
      </c>
      <c r="K5" s="150">
        <v>23314</v>
      </c>
      <c r="L5" s="150">
        <v>23830</v>
      </c>
      <c r="M5" s="150">
        <v>18593</v>
      </c>
      <c r="N5" s="150">
        <v>16447</v>
      </c>
      <c r="O5" s="150">
        <v>9213</v>
      </c>
      <c r="P5" s="150">
        <v>12030</v>
      </c>
      <c r="Q5" s="150">
        <v>159518</v>
      </c>
    </row>
    <row r="6" spans="2:17" ht="12.75" customHeight="1" x14ac:dyDescent="0.2">
      <c r="B6" s="442"/>
      <c r="C6" s="90" t="s">
        <v>360</v>
      </c>
      <c r="D6" s="440" t="s">
        <v>269</v>
      </c>
      <c r="E6" s="150">
        <v>67</v>
      </c>
      <c r="F6" s="150">
        <v>28</v>
      </c>
      <c r="G6" s="150">
        <v>63</v>
      </c>
      <c r="H6" s="150">
        <v>52</v>
      </c>
      <c r="I6" s="150">
        <v>49</v>
      </c>
      <c r="J6" s="150">
        <v>60</v>
      </c>
      <c r="K6" s="150">
        <v>43</v>
      </c>
      <c r="L6" s="150">
        <v>46</v>
      </c>
      <c r="M6" s="150">
        <v>59</v>
      </c>
      <c r="N6" s="150">
        <v>39</v>
      </c>
      <c r="O6" s="150">
        <v>33</v>
      </c>
      <c r="P6" s="150">
        <v>33</v>
      </c>
      <c r="Q6" s="150">
        <v>572</v>
      </c>
    </row>
    <row r="7" spans="2:17" ht="12.75" customHeight="1" x14ac:dyDescent="0.2">
      <c r="B7" s="442"/>
      <c r="C7" s="90" t="s">
        <v>361</v>
      </c>
      <c r="D7" s="440"/>
      <c r="E7" s="150">
        <v>23</v>
      </c>
      <c r="F7" s="150">
        <v>18</v>
      </c>
      <c r="G7" s="150">
        <v>4</v>
      </c>
      <c r="H7" s="150">
        <v>63</v>
      </c>
      <c r="I7" s="150">
        <v>35</v>
      </c>
      <c r="J7" s="150">
        <v>42</v>
      </c>
      <c r="K7" s="150">
        <v>28</v>
      </c>
      <c r="L7" s="150">
        <v>60</v>
      </c>
      <c r="M7" s="150">
        <v>35</v>
      </c>
      <c r="N7" s="150">
        <v>62</v>
      </c>
      <c r="O7" s="150">
        <v>66</v>
      </c>
      <c r="P7" s="150">
        <v>32</v>
      </c>
      <c r="Q7" s="150">
        <v>468</v>
      </c>
    </row>
    <row r="8" spans="2:17" ht="12.75" customHeight="1" thickBot="1" x14ac:dyDescent="0.25">
      <c r="B8" s="443"/>
      <c r="C8" s="126" t="s">
        <v>17</v>
      </c>
      <c r="D8" s="92" t="s">
        <v>264</v>
      </c>
      <c r="E8" s="153">
        <v>6545</v>
      </c>
      <c r="F8" s="153">
        <v>9377</v>
      </c>
      <c r="G8" s="153">
        <v>6219</v>
      </c>
      <c r="H8" s="153">
        <v>8523</v>
      </c>
      <c r="I8" s="153">
        <v>10232</v>
      </c>
      <c r="J8" s="153">
        <v>15913</v>
      </c>
      <c r="K8" s="153">
        <v>23415</v>
      </c>
      <c r="L8" s="153">
        <v>23980</v>
      </c>
      <c r="M8" s="153">
        <v>18719</v>
      </c>
      <c r="N8" s="153">
        <v>16585</v>
      </c>
      <c r="O8" s="153">
        <v>9389</v>
      </c>
      <c r="P8" s="153">
        <v>12119</v>
      </c>
      <c r="Q8" s="153">
        <v>161016</v>
      </c>
    </row>
    <row r="9" spans="2:17" ht="12.75" customHeight="1" thickBot="1" x14ac:dyDescent="0.25">
      <c r="B9" s="158" t="s">
        <v>302</v>
      </c>
      <c r="C9" s="91" t="s">
        <v>362</v>
      </c>
      <c r="D9" s="87" t="s">
        <v>270</v>
      </c>
      <c r="E9" s="283"/>
      <c r="F9" s="156">
        <v>16</v>
      </c>
      <c r="G9" s="283"/>
      <c r="H9" s="283"/>
      <c r="I9" s="283"/>
      <c r="J9" s="283"/>
      <c r="K9" s="283"/>
      <c r="L9" s="283"/>
      <c r="M9" s="283"/>
      <c r="N9" s="283"/>
      <c r="O9" s="156">
        <v>4</v>
      </c>
      <c r="P9" s="156">
        <v>6</v>
      </c>
      <c r="Q9" s="156">
        <v>26</v>
      </c>
    </row>
    <row r="10" spans="2:17" ht="12.75" customHeight="1" x14ac:dyDescent="0.2">
      <c r="B10" s="446" t="s">
        <v>303</v>
      </c>
      <c r="C10" s="84" t="s">
        <v>363</v>
      </c>
      <c r="D10" s="296" t="s">
        <v>271</v>
      </c>
      <c r="E10" s="284">
        <v>15963</v>
      </c>
      <c r="F10" s="284">
        <v>17611</v>
      </c>
      <c r="G10" s="284">
        <v>44823</v>
      </c>
      <c r="H10" s="284">
        <v>18105</v>
      </c>
      <c r="I10" s="284">
        <v>25511</v>
      </c>
      <c r="J10" s="284">
        <v>30084</v>
      </c>
      <c r="K10" s="284">
        <v>36773</v>
      </c>
      <c r="L10" s="284">
        <v>37756</v>
      </c>
      <c r="M10" s="284">
        <v>51858</v>
      </c>
      <c r="N10" s="284">
        <v>27278</v>
      </c>
      <c r="O10" s="284">
        <v>36542</v>
      </c>
      <c r="P10" s="284">
        <v>50546</v>
      </c>
      <c r="Q10" s="284">
        <v>392850</v>
      </c>
    </row>
    <row r="11" spans="2:17" ht="12.75" customHeight="1" x14ac:dyDescent="0.2">
      <c r="B11" s="446"/>
      <c r="C11" s="84" t="s">
        <v>594</v>
      </c>
      <c r="D11" s="296" t="s">
        <v>270</v>
      </c>
      <c r="E11" s="2"/>
      <c r="F11" s="2"/>
      <c r="G11" s="2"/>
      <c r="H11" s="2"/>
      <c r="I11" s="2"/>
      <c r="J11" s="2"/>
      <c r="K11" s="2"/>
      <c r="L11" s="2"/>
      <c r="M11" s="284">
        <v>6</v>
      </c>
      <c r="N11" s="2"/>
      <c r="O11" s="2"/>
      <c r="P11" s="2"/>
      <c r="Q11" s="284">
        <v>6</v>
      </c>
    </row>
    <row r="12" spans="2:17" ht="12.75" customHeight="1" thickBot="1" x14ac:dyDescent="0.25">
      <c r="B12" s="446"/>
      <c r="C12" s="300" t="s">
        <v>17</v>
      </c>
      <c r="D12" s="85" t="s">
        <v>264</v>
      </c>
      <c r="E12" s="127">
        <v>15963</v>
      </c>
      <c r="F12" s="127">
        <v>17611</v>
      </c>
      <c r="G12" s="127">
        <v>44823</v>
      </c>
      <c r="H12" s="127">
        <v>18105</v>
      </c>
      <c r="I12" s="127">
        <v>25511</v>
      </c>
      <c r="J12" s="127">
        <v>30084</v>
      </c>
      <c r="K12" s="127">
        <v>36773</v>
      </c>
      <c r="L12" s="127">
        <v>37756</v>
      </c>
      <c r="M12" s="127">
        <v>51864</v>
      </c>
      <c r="N12" s="127">
        <v>27278</v>
      </c>
      <c r="O12" s="127">
        <v>36542</v>
      </c>
      <c r="P12" s="127">
        <v>50546</v>
      </c>
      <c r="Q12" s="127">
        <v>392856</v>
      </c>
    </row>
    <row r="13" spans="2:17" ht="12.75" customHeight="1" thickBot="1" x14ac:dyDescent="0.25">
      <c r="B13" s="158" t="s">
        <v>304</v>
      </c>
      <c r="C13" s="91" t="s">
        <v>364</v>
      </c>
      <c r="D13" s="87" t="s">
        <v>270</v>
      </c>
      <c r="E13" s="156">
        <v>3</v>
      </c>
      <c r="F13" s="156">
        <v>4</v>
      </c>
      <c r="G13" s="156">
        <v>3</v>
      </c>
      <c r="H13" s="283"/>
      <c r="I13" s="283"/>
      <c r="J13" s="156">
        <v>1</v>
      </c>
      <c r="K13" s="283"/>
      <c r="L13" s="283"/>
      <c r="M13" s="283"/>
      <c r="N13" s="283"/>
      <c r="O13" s="156">
        <v>2</v>
      </c>
      <c r="P13" s="156">
        <v>5</v>
      </c>
      <c r="Q13" s="156">
        <v>18</v>
      </c>
    </row>
    <row r="14" spans="2:17" ht="12.75" customHeight="1" thickBot="1" x14ac:dyDescent="0.25">
      <c r="B14" s="146" t="s">
        <v>305</v>
      </c>
      <c r="C14" s="300" t="s">
        <v>365</v>
      </c>
      <c r="D14" s="85" t="s">
        <v>270</v>
      </c>
      <c r="E14" s="127">
        <v>28501</v>
      </c>
      <c r="F14" s="127">
        <v>32284</v>
      </c>
      <c r="G14" s="127">
        <v>36859</v>
      </c>
      <c r="H14" s="127">
        <v>40043</v>
      </c>
      <c r="I14" s="127">
        <v>47919</v>
      </c>
      <c r="J14" s="127">
        <v>66515</v>
      </c>
      <c r="K14" s="127">
        <v>91851</v>
      </c>
      <c r="L14" s="127">
        <v>81690</v>
      </c>
      <c r="M14" s="127">
        <v>67853</v>
      </c>
      <c r="N14" s="127">
        <v>58459</v>
      </c>
      <c r="O14" s="127">
        <v>39117</v>
      </c>
      <c r="P14" s="127">
        <v>47694</v>
      </c>
      <c r="Q14" s="127">
        <v>638785</v>
      </c>
    </row>
    <row r="15" spans="2:17" ht="12.75" customHeight="1" x14ac:dyDescent="0.2">
      <c r="B15" s="441" t="s">
        <v>306</v>
      </c>
      <c r="C15" s="89" t="s">
        <v>366</v>
      </c>
      <c r="D15" s="444" t="s">
        <v>269</v>
      </c>
      <c r="E15" s="147">
        <v>1</v>
      </c>
      <c r="F15" s="148"/>
      <c r="G15" s="147">
        <v>156</v>
      </c>
      <c r="H15" s="147">
        <v>8</v>
      </c>
      <c r="I15" s="147">
        <v>1348</v>
      </c>
      <c r="J15" s="147">
        <v>3281</v>
      </c>
      <c r="K15" s="147">
        <v>18</v>
      </c>
      <c r="L15" s="147">
        <v>22</v>
      </c>
      <c r="M15" s="147">
        <v>3312</v>
      </c>
      <c r="N15" s="147">
        <v>6580</v>
      </c>
      <c r="O15" s="147">
        <v>4660</v>
      </c>
      <c r="P15" s="147">
        <v>7</v>
      </c>
      <c r="Q15" s="147">
        <v>19393</v>
      </c>
    </row>
    <row r="16" spans="2:17" ht="12.75" customHeight="1" x14ac:dyDescent="0.2">
      <c r="B16" s="442"/>
      <c r="C16" s="90" t="s">
        <v>595</v>
      </c>
      <c r="D16" s="440"/>
      <c r="E16" s="150">
        <v>2</v>
      </c>
      <c r="F16" s="151"/>
      <c r="G16" s="150">
        <v>7</v>
      </c>
      <c r="H16" s="150">
        <v>27</v>
      </c>
      <c r="I16" s="150">
        <v>49</v>
      </c>
      <c r="J16" s="150">
        <v>73</v>
      </c>
      <c r="K16" s="150">
        <v>118</v>
      </c>
      <c r="L16" s="150">
        <v>120</v>
      </c>
      <c r="M16" s="150">
        <v>51</v>
      </c>
      <c r="N16" s="150">
        <v>42</v>
      </c>
      <c r="O16" s="150">
        <v>5</v>
      </c>
      <c r="P16" s="150">
        <v>2</v>
      </c>
      <c r="Q16" s="150">
        <v>496</v>
      </c>
    </row>
    <row r="17" spans="2:17" ht="12.75" customHeight="1" x14ac:dyDescent="0.2">
      <c r="B17" s="442"/>
      <c r="C17" s="90" t="s">
        <v>368</v>
      </c>
      <c r="D17" s="440"/>
      <c r="E17" s="150">
        <v>3</v>
      </c>
      <c r="F17" s="150">
        <v>13</v>
      </c>
      <c r="G17" s="150">
        <v>20</v>
      </c>
      <c r="H17" s="150">
        <v>36</v>
      </c>
      <c r="I17" s="150">
        <v>86</v>
      </c>
      <c r="J17" s="150">
        <v>137</v>
      </c>
      <c r="K17" s="150">
        <v>91</v>
      </c>
      <c r="L17" s="150">
        <v>66</v>
      </c>
      <c r="M17" s="150">
        <v>64</v>
      </c>
      <c r="N17" s="150">
        <v>22</v>
      </c>
      <c r="O17" s="150">
        <v>8</v>
      </c>
      <c r="P17" s="150">
        <v>1</v>
      </c>
      <c r="Q17" s="150">
        <v>547</v>
      </c>
    </row>
    <row r="18" spans="2:17" ht="12.75" customHeight="1" x14ac:dyDescent="0.2">
      <c r="B18" s="442"/>
      <c r="C18" s="90" t="s">
        <v>372</v>
      </c>
      <c r="D18" s="440"/>
      <c r="E18" s="150">
        <v>4</v>
      </c>
      <c r="F18" s="151"/>
      <c r="G18" s="151"/>
      <c r="H18" s="151"/>
      <c r="I18" s="150">
        <v>4</v>
      </c>
      <c r="J18" s="150">
        <v>16</v>
      </c>
      <c r="K18" s="150">
        <v>5</v>
      </c>
      <c r="L18" s="150">
        <v>31</v>
      </c>
      <c r="M18" s="150">
        <v>5</v>
      </c>
      <c r="N18" s="150">
        <v>13</v>
      </c>
      <c r="O18" s="150">
        <v>3</v>
      </c>
      <c r="P18" s="151"/>
      <c r="Q18" s="150">
        <v>81</v>
      </c>
    </row>
    <row r="19" spans="2:17" ht="12.75" customHeight="1" x14ac:dyDescent="0.2">
      <c r="B19" s="442"/>
      <c r="C19" s="90" t="s">
        <v>369</v>
      </c>
      <c r="D19" s="440"/>
      <c r="E19" s="150">
        <v>21</v>
      </c>
      <c r="F19" s="150">
        <v>37</v>
      </c>
      <c r="G19" s="150">
        <v>29</v>
      </c>
      <c r="H19" s="150">
        <v>8782</v>
      </c>
      <c r="I19" s="150">
        <v>5828</v>
      </c>
      <c r="J19" s="150">
        <v>2597</v>
      </c>
      <c r="K19" s="150">
        <v>1648</v>
      </c>
      <c r="L19" s="150">
        <v>7191</v>
      </c>
      <c r="M19" s="150">
        <v>2885</v>
      </c>
      <c r="N19" s="150">
        <v>10529</v>
      </c>
      <c r="O19" s="150">
        <v>6929</v>
      </c>
      <c r="P19" s="150">
        <v>1656</v>
      </c>
      <c r="Q19" s="150">
        <v>48132</v>
      </c>
    </row>
    <row r="20" spans="2:17" ht="12.75" customHeight="1" x14ac:dyDescent="0.2">
      <c r="B20" s="442"/>
      <c r="C20" s="90" t="s">
        <v>370</v>
      </c>
      <c r="D20" s="440" t="s">
        <v>270</v>
      </c>
      <c r="E20" s="150">
        <v>3586</v>
      </c>
      <c r="F20" s="150">
        <v>2197</v>
      </c>
      <c r="G20" s="150">
        <v>4387</v>
      </c>
      <c r="H20" s="150">
        <v>8594</v>
      </c>
      <c r="I20" s="150">
        <v>13342</v>
      </c>
      <c r="J20" s="150">
        <v>25204</v>
      </c>
      <c r="K20" s="150">
        <v>38792</v>
      </c>
      <c r="L20" s="150">
        <v>26967</v>
      </c>
      <c r="M20" s="150">
        <v>24735</v>
      </c>
      <c r="N20" s="150">
        <v>22090</v>
      </c>
      <c r="O20" s="150">
        <v>5648</v>
      </c>
      <c r="P20" s="150">
        <v>4815</v>
      </c>
      <c r="Q20" s="150">
        <v>180357</v>
      </c>
    </row>
    <row r="21" spans="2:17" ht="12.75" customHeight="1" x14ac:dyDescent="0.2">
      <c r="B21" s="442"/>
      <c r="C21" s="90" t="s">
        <v>371</v>
      </c>
      <c r="D21" s="440"/>
      <c r="E21" s="150">
        <v>179513</v>
      </c>
      <c r="F21" s="150">
        <v>194093</v>
      </c>
      <c r="G21" s="150">
        <v>302843</v>
      </c>
      <c r="H21" s="150">
        <v>925170</v>
      </c>
      <c r="I21" s="150">
        <v>1489073</v>
      </c>
      <c r="J21" s="150">
        <v>2009245</v>
      </c>
      <c r="K21" s="150">
        <v>2486504</v>
      </c>
      <c r="L21" s="150">
        <v>2445228</v>
      </c>
      <c r="M21" s="150">
        <v>2108675</v>
      </c>
      <c r="N21" s="150">
        <v>1749990</v>
      </c>
      <c r="O21" s="150">
        <v>330521</v>
      </c>
      <c r="P21" s="150">
        <v>252828</v>
      </c>
      <c r="Q21" s="150">
        <v>14473683</v>
      </c>
    </row>
    <row r="22" spans="2:17" ht="12.75" customHeight="1" x14ac:dyDescent="0.2">
      <c r="B22" s="442"/>
      <c r="C22" s="90" t="s">
        <v>367</v>
      </c>
      <c r="D22" s="298" t="s">
        <v>269</v>
      </c>
      <c r="E22" s="150">
        <v>208</v>
      </c>
      <c r="F22" s="150">
        <v>152</v>
      </c>
      <c r="G22" s="150">
        <v>331</v>
      </c>
      <c r="H22" s="150">
        <v>1303</v>
      </c>
      <c r="I22" s="150">
        <v>2347</v>
      </c>
      <c r="J22" s="150">
        <v>3462</v>
      </c>
      <c r="K22" s="150">
        <v>4259</v>
      </c>
      <c r="L22" s="150">
        <v>6018</v>
      </c>
      <c r="M22" s="150">
        <v>4848</v>
      </c>
      <c r="N22" s="150">
        <v>3298</v>
      </c>
      <c r="O22" s="150">
        <v>637</v>
      </c>
      <c r="P22" s="150">
        <v>259</v>
      </c>
      <c r="Q22" s="150">
        <v>27122</v>
      </c>
    </row>
    <row r="23" spans="2:17" ht="12.75" customHeight="1" thickBot="1" x14ac:dyDescent="0.25">
      <c r="B23" s="443"/>
      <c r="C23" s="126" t="s">
        <v>17</v>
      </c>
      <c r="D23" s="92" t="s">
        <v>264</v>
      </c>
      <c r="E23" s="153">
        <v>183338</v>
      </c>
      <c r="F23" s="153">
        <v>196492</v>
      </c>
      <c r="G23" s="153">
        <v>307773</v>
      </c>
      <c r="H23" s="153">
        <v>943920</v>
      </c>
      <c r="I23" s="153">
        <v>1512077</v>
      </c>
      <c r="J23" s="153">
        <v>2044015</v>
      </c>
      <c r="K23" s="153">
        <v>2531435</v>
      </c>
      <c r="L23" s="153">
        <v>2485643</v>
      </c>
      <c r="M23" s="153">
        <v>2144575</v>
      </c>
      <c r="N23" s="153">
        <v>1792564</v>
      </c>
      <c r="O23" s="153">
        <v>348411</v>
      </c>
      <c r="P23" s="153">
        <v>259568</v>
      </c>
      <c r="Q23" s="153">
        <v>14749811</v>
      </c>
    </row>
    <row r="24" spans="2:17" ht="12.75" customHeight="1" x14ac:dyDescent="0.2">
      <c r="B24" s="446" t="s">
        <v>308</v>
      </c>
      <c r="C24" s="84" t="s">
        <v>373</v>
      </c>
      <c r="D24" s="296" t="s">
        <v>269</v>
      </c>
      <c r="E24" s="284">
        <v>17</v>
      </c>
      <c r="F24" s="284">
        <v>43</v>
      </c>
      <c r="G24" s="284">
        <v>46</v>
      </c>
      <c r="H24" s="284">
        <v>11</v>
      </c>
      <c r="I24" s="284">
        <v>69</v>
      </c>
      <c r="J24" s="284">
        <v>29</v>
      </c>
      <c r="K24" s="284">
        <v>55</v>
      </c>
      <c r="L24" s="284">
        <v>20</v>
      </c>
      <c r="M24" s="284">
        <v>32</v>
      </c>
      <c r="N24" s="284">
        <v>85</v>
      </c>
      <c r="O24" s="284">
        <v>62</v>
      </c>
      <c r="P24" s="284">
        <v>44</v>
      </c>
      <c r="Q24" s="284">
        <v>513</v>
      </c>
    </row>
    <row r="25" spans="2:17" ht="12.75" customHeight="1" x14ac:dyDescent="0.2">
      <c r="B25" s="446"/>
      <c r="C25" s="84" t="s">
        <v>374</v>
      </c>
      <c r="D25" s="296" t="s">
        <v>271</v>
      </c>
      <c r="E25" s="284">
        <v>129922</v>
      </c>
      <c r="F25" s="284">
        <v>110604</v>
      </c>
      <c r="G25" s="284">
        <v>140993</v>
      </c>
      <c r="H25" s="284">
        <v>133367</v>
      </c>
      <c r="I25" s="284">
        <v>159711</v>
      </c>
      <c r="J25" s="284">
        <v>155975</v>
      </c>
      <c r="K25" s="284">
        <v>195511</v>
      </c>
      <c r="L25" s="284">
        <v>207271</v>
      </c>
      <c r="M25" s="284">
        <v>188926</v>
      </c>
      <c r="N25" s="284">
        <v>144752</v>
      </c>
      <c r="O25" s="284">
        <v>129695</v>
      </c>
      <c r="P25" s="284">
        <v>133055</v>
      </c>
      <c r="Q25" s="284">
        <v>1829782</v>
      </c>
    </row>
    <row r="26" spans="2:17" ht="12.75" customHeight="1" thickBot="1" x14ac:dyDescent="0.25">
      <c r="B26" s="446"/>
      <c r="C26" s="300" t="s">
        <v>17</v>
      </c>
      <c r="D26" s="85" t="s">
        <v>264</v>
      </c>
      <c r="E26" s="127">
        <v>129939</v>
      </c>
      <c r="F26" s="127">
        <v>110647</v>
      </c>
      <c r="G26" s="127">
        <v>141039</v>
      </c>
      <c r="H26" s="127">
        <v>133378</v>
      </c>
      <c r="I26" s="127">
        <v>159780</v>
      </c>
      <c r="J26" s="127">
        <v>156004</v>
      </c>
      <c r="K26" s="127">
        <v>195566</v>
      </c>
      <c r="L26" s="127">
        <v>207291</v>
      </c>
      <c r="M26" s="127">
        <v>188958</v>
      </c>
      <c r="N26" s="127">
        <v>144837</v>
      </c>
      <c r="O26" s="127">
        <v>129757</v>
      </c>
      <c r="P26" s="127">
        <v>133099</v>
      </c>
      <c r="Q26" s="127">
        <v>1830295</v>
      </c>
    </row>
    <row r="27" spans="2:17" ht="12.75" customHeight="1" x14ac:dyDescent="0.2">
      <c r="B27" s="441" t="s">
        <v>309</v>
      </c>
      <c r="C27" s="89" t="s">
        <v>375</v>
      </c>
      <c r="D27" s="444" t="s">
        <v>269</v>
      </c>
      <c r="E27" s="147">
        <v>10</v>
      </c>
      <c r="F27" s="147">
        <v>3</v>
      </c>
      <c r="G27" s="147">
        <v>9</v>
      </c>
      <c r="H27" s="147">
        <v>36</v>
      </c>
      <c r="I27" s="147">
        <v>66</v>
      </c>
      <c r="J27" s="147">
        <v>69</v>
      </c>
      <c r="K27" s="147">
        <v>127</v>
      </c>
      <c r="L27" s="147">
        <v>180</v>
      </c>
      <c r="M27" s="147">
        <v>105</v>
      </c>
      <c r="N27" s="147">
        <v>44</v>
      </c>
      <c r="O27" s="147">
        <v>16</v>
      </c>
      <c r="P27" s="147">
        <v>3</v>
      </c>
      <c r="Q27" s="147">
        <v>668</v>
      </c>
    </row>
    <row r="28" spans="2:17" ht="12.75" customHeight="1" x14ac:dyDescent="0.2">
      <c r="B28" s="442"/>
      <c r="C28" s="90" t="s">
        <v>376</v>
      </c>
      <c r="D28" s="440"/>
      <c r="E28" s="150">
        <v>3293</v>
      </c>
      <c r="F28" s="150">
        <v>1768</v>
      </c>
      <c r="G28" s="150">
        <v>14397</v>
      </c>
      <c r="H28" s="150">
        <v>41743</v>
      </c>
      <c r="I28" s="150">
        <v>95595</v>
      </c>
      <c r="J28" s="150">
        <v>103020</v>
      </c>
      <c r="K28" s="150">
        <v>116429</v>
      </c>
      <c r="L28" s="150">
        <v>128377</v>
      </c>
      <c r="M28" s="150">
        <v>109271</v>
      </c>
      <c r="N28" s="150">
        <v>130867</v>
      </c>
      <c r="O28" s="150">
        <v>40394</v>
      </c>
      <c r="P28" s="150">
        <v>4620</v>
      </c>
      <c r="Q28" s="150">
        <v>789774</v>
      </c>
    </row>
    <row r="29" spans="2:17" ht="12.75" customHeight="1" x14ac:dyDescent="0.2">
      <c r="B29" s="442"/>
      <c r="C29" s="90" t="s">
        <v>615</v>
      </c>
      <c r="D29" s="440"/>
      <c r="E29" s="151"/>
      <c r="F29" s="151"/>
      <c r="G29" s="151"/>
      <c r="H29" s="151"/>
      <c r="I29" s="151"/>
      <c r="J29" s="151"/>
      <c r="K29" s="151"/>
      <c r="L29" s="151"/>
      <c r="M29" s="150">
        <v>20</v>
      </c>
      <c r="N29" s="151"/>
      <c r="O29" s="151"/>
      <c r="P29" s="151"/>
      <c r="Q29" s="150">
        <v>20</v>
      </c>
    </row>
    <row r="30" spans="2:17" ht="12.75" customHeight="1" thickBot="1" x14ac:dyDescent="0.25">
      <c r="B30" s="443"/>
      <c r="C30" s="126" t="s">
        <v>17</v>
      </c>
      <c r="D30" s="92" t="s">
        <v>264</v>
      </c>
      <c r="E30" s="153">
        <v>3303</v>
      </c>
      <c r="F30" s="153">
        <v>1771</v>
      </c>
      <c r="G30" s="153">
        <v>14406</v>
      </c>
      <c r="H30" s="153">
        <v>41779</v>
      </c>
      <c r="I30" s="153">
        <v>95661</v>
      </c>
      <c r="J30" s="153">
        <v>103089</v>
      </c>
      <c r="K30" s="153">
        <v>116556</v>
      </c>
      <c r="L30" s="153">
        <v>128557</v>
      </c>
      <c r="M30" s="153">
        <v>109396</v>
      </c>
      <c r="N30" s="153">
        <v>130911</v>
      </c>
      <c r="O30" s="153">
        <v>40410</v>
      </c>
      <c r="P30" s="153">
        <v>4623</v>
      </c>
      <c r="Q30" s="153">
        <v>790462</v>
      </c>
    </row>
    <row r="31" spans="2:17" ht="12.75" customHeight="1" x14ac:dyDescent="0.2">
      <c r="B31" s="446" t="s">
        <v>310</v>
      </c>
      <c r="C31" s="84" t="s">
        <v>380</v>
      </c>
      <c r="D31" s="296" t="s">
        <v>270</v>
      </c>
      <c r="E31" s="284">
        <v>2</v>
      </c>
      <c r="F31" s="284">
        <v>1</v>
      </c>
      <c r="G31" s="284">
        <v>2</v>
      </c>
      <c r="H31" s="284">
        <v>335</v>
      </c>
      <c r="I31" s="284">
        <v>351</v>
      </c>
      <c r="J31" s="284">
        <v>1200</v>
      </c>
      <c r="K31" s="284">
        <v>2861</v>
      </c>
      <c r="L31" s="284">
        <v>2090</v>
      </c>
      <c r="M31" s="284">
        <v>748</v>
      </c>
      <c r="N31" s="284">
        <v>325</v>
      </c>
      <c r="O31" s="284">
        <v>157</v>
      </c>
      <c r="P31" s="284">
        <v>283</v>
      </c>
      <c r="Q31" s="284">
        <v>8355</v>
      </c>
    </row>
    <row r="32" spans="2:17" ht="12.75" customHeight="1" x14ac:dyDescent="0.2">
      <c r="B32" s="446"/>
      <c r="C32" s="84" t="s">
        <v>377</v>
      </c>
      <c r="D32" s="445" t="s">
        <v>269</v>
      </c>
      <c r="E32" s="284">
        <v>2</v>
      </c>
      <c r="F32" s="2"/>
      <c r="G32" s="284">
        <v>1</v>
      </c>
      <c r="H32" s="284">
        <v>1</v>
      </c>
      <c r="I32" s="2"/>
      <c r="J32" s="284">
        <v>7</v>
      </c>
      <c r="K32" s="284">
        <v>10</v>
      </c>
      <c r="L32" s="2"/>
      <c r="M32" s="2"/>
      <c r="N32" s="284">
        <v>6</v>
      </c>
      <c r="O32" s="284">
        <v>12</v>
      </c>
      <c r="P32" s="284">
        <v>1</v>
      </c>
      <c r="Q32" s="284">
        <v>40</v>
      </c>
    </row>
    <row r="33" spans="2:17" ht="12.75" customHeight="1" x14ac:dyDescent="0.2">
      <c r="B33" s="446"/>
      <c r="C33" s="84" t="s">
        <v>378</v>
      </c>
      <c r="D33" s="445"/>
      <c r="E33" s="284">
        <v>256</v>
      </c>
      <c r="F33" s="284">
        <v>257</v>
      </c>
      <c r="G33" s="284">
        <v>301</v>
      </c>
      <c r="H33" s="284">
        <v>293</v>
      </c>
      <c r="I33" s="284">
        <v>335</v>
      </c>
      <c r="J33" s="284">
        <v>250</v>
      </c>
      <c r="K33" s="284">
        <v>271</v>
      </c>
      <c r="L33" s="284">
        <v>209</v>
      </c>
      <c r="M33" s="284">
        <v>133</v>
      </c>
      <c r="N33" s="284">
        <v>190</v>
      </c>
      <c r="O33" s="284">
        <v>174</v>
      </c>
      <c r="P33" s="284">
        <v>205</v>
      </c>
      <c r="Q33" s="284">
        <v>2874</v>
      </c>
    </row>
    <row r="34" spans="2:17" ht="12.75" customHeight="1" x14ac:dyDescent="0.2">
      <c r="B34" s="446"/>
      <c r="C34" s="84" t="s">
        <v>379</v>
      </c>
      <c r="D34" s="445"/>
      <c r="E34" s="284">
        <v>356</v>
      </c>
      <c r="F34" s="284">
        <v>439</v>
      </c>
      <c r="G34" s="284">
        <v>441</v>
      </c>
      <c r="H34" s="284">
        <v>1213</v>
      </c>
      <c r="I34" s="284">
        <v>1284</v>
      </c>
      <c r="J34" s="284">
        <v>2482</v>
      </c>
      <c r="K34" s="284">
        <v>5071</v>
      </c>
      <c r="L34" s="284">
        <v>8228</v>
      </c>
      <c r="M34" s="284">
        <v>4546</v>
      </c>
      <c r="N34" s="284">
        <v>2049</v>
      </c>
      <c r="O34" s="284">
        <v>1146</v>
      </c>
      <c r="P34" s="284">
        <v>780</v>
      </c>
      <c r="Q34" s="284">
        <v>28035</v>
      </c>
    </row>
    <row r="35" spans="2:17" ht="12.75" customHeight="1" thickBot="1" x14ac:dyDescent="0.25">
      <c r="B35" s="446"/>
      <c r="C35" s="300" t="s">
        <v>17</v>
      </c>
      <c r="D35" s="85" t="s">
        <v>264</v>
      </c>
      <c r="E35" s="127">
        <v>616</v>
      </c>
      <c r="F35" s="127">
        <v>697</v>
      </c>
      <c r="G35" s="127">
        <v>745</v>
      </c>
      <c r="H35" s="127">
        <v>1842</v>
      </c>
      <c r="I35" s="127">
        <v>1970</v>
      </c>
      <c r="J35" s="127">
        <v>3939</v>
      </c>
      <c r="K35" s="127">
        <v>8213</v>
      </c>
      <c r="L35" s="127">
        <v>10527</v>
      </c>
      <c r="M35" s="127">
        <v>5427</v>
      </c>
      <c r="N35" s="127">
        <v>2570</v>
      </c>
      <c r="O35" s="127">
        <v>1489</v>
      </c>
      <c r="P35" s="127">
        <v>1269</v>
      </c>
      <c r="Q35" s="127">
        <v>39304</v>
      </c>
    </row>
    <row r="36" spans="2:17" ht="12.75" customHeight="1" x14ac:dyDescent="0.2">
      <c r="B36" s="441" t="s">
        <v>313</v>
      </c>
      <c r="C36" s="89" t="s">
        <v>381</v>
      </c>
      <c r="D36" s="297" t="s">
        <v>270</v>
      </c>
      <c r="E36" s="147">
        <v>231</v>
      </c>
      <c r="F36" s="147">
        <v>163</v>
      </c>
      <c r="G36" s="147">
        <v>95</v>
      </c>
      <c r="H36" s="147">
        <v>24</v>
      </c>
      <c r="I36" s="147">
        <v>21</v>
      </c>
      <c r="J36" s="147">
        <v>17</v>
      </c>
      <c r="K36" s="147">
        <v>19</v>
      </c>
      <c r="L36" s="147">
        <v>25</v>
      </c>
      <c r="M36" s="147">
        <v>25</v>
      </c>
      <c r="N36" s="147">
        <v>59</v>
      </c>
      <c r="O36" s="147">
        <v>17</v>
      </c>
      <c r="P36" s="147">
        <v>8</v>
      </c>
      <c r="Q36" s="147">
        <v>704</v>
      </c>
    </row>
    <row r="37" spans="2:17" ht="12.75" customHeight="1" x14ac:dyDescent="0.2">
      <c r="B37" s="442"/>
      <c r="C37" s="90" t="s">
        <v>382</v>
      </c>
      <c r="D37" s="440" t="s">
        <v>269</v>
      </c>
      <c r="E37" s="150">
        <v>207</v>
      </c>
      <c r="F37" s="150">
        <v>303</v>
      </c>
      <c r="G37" s="150">
        <v>459</v>
      </c>
      <c r="H37" s="150">
        <v>494</v>
      </c>
      <c r="I37" s="150">
        <v>508</v>
      </c>
      <c r="J37" s="150">
        <v>441</v>
      </c>
      <c r="K37" s="150">
        <v>507</v>
      </c>
      <c r="L37" s="150">
        <v>427</v>
      </c>
      <c r="M37" s="150">
        <v>519</v>
      </c>
      <c r="N37" s="150">
        <v>546</v>
      </c>
      <c r="O37" s="150">
        <v>342</v>
      </c>
      <c r="P37" s="150">
        <v>511</v>
      </c>
      <c r="Q37" s="150">
        <v>5264</v>
      </c>
    </row>
    <row r="38" spans="2:17" ht="12.75" customHeight="1" x14ac:dyDescent="0.2">
      <c r="B38" s="442"/>
      <c r="C38" s="90" t="s">
        <v>616</v>
      </c>
      <c r="D38" s="440"/>
      <c r="E38" s="151"/>
      <c r="F38" s="151"/>
      <c r="G38" s="151"/>
      <c r="H38" s="151"/>
      <c r="I38" s="150">
        <v>1</v>
      </c>
      <c r="J38" s="151"/>
      <c r="K38" s="151"/>
      <c r="L38" s="151"/>
      <c r="M38" s="151"/>
      <c r="N38" s="151"/>
      <c r="O38" s="151"/>
      <c r="P38" s="151"/>
      <c r="Q38" s="150">
        <v>1</v>
      </c>
    </row>
    <row r="39" spans="2:17" ht="12.75" customHeight="1" thickBot="1" x14ac:dyDescent="0.25">
      <c r="B39" s="443"/>
      <c r="C39" s="126" t="s">
        <v>17</v>
      </c>
      <c r="D39" s="92" t="s">
        <v>264</v>
      </c>
      <c r="E39" s="153">
        <v>438</v>
      </c>
      <c r="F39" s="153">
        <v>466</v>
      </c>
      <c r="G39" s="153">
        <v>554</v>
      </c>
      <c r="H39" s="153">
        <v>518</v>
      </c>
      <c r="I39" s="153">
        <v>530</v>
      </c>
      <c r="J39" s="153">
        <v>458</v>
      </c>
      <c r="K39" s="153">
        <v>526</v>
      </c>
      <c r="L39" s="153">
        <v>452</v>
      </c>
      <c r="M39" s="153">
        <v>544</v>
      </c>
      <c r="N39" s="153">
        <v>605</v>
      </c>
      <c r="O39" s="153">
        <v>359</v>
      </c>
      <c r="P39" s="153">
        <v>519</v>
      </c>
      <c r="Q39" s="153">
        <v>5969</v>
      </c>
    </row>
    <row r="40" spans="2:17" ht="12.75" customHeight="1" x14ac:dyDescent="0.2">
      <c r="B40" s="446" t="s">
        <v>314</v>
      </c>
      <c r="C40" s="84" t="s">
        <v>383</v>
      </c>
      <c r="D40" s="445" t="s">
        <v>269</v>
      </c>
      <c r="E40" s="284">
        <v>12</v>
      </c>
      <c r="F40" s="284">
        <v>9</v>
      </c>
      <c r="G40" s="284">
        <v>1</v>
      </c>
      <c r="H40" s="284">
        <v>5</v>
      </c>
      <c r="I40" s="284">
        <v>14</v>
      </c>
      <c r="J40" s="2"/>
      <c r="K40" s="2"/>
      <c r="L40" s="284">
        <v>19</v>
      </c>
      <c r="M40" s="284">
        <v>14</v>
      </c>
      <c r="N40" s="284">
        <v>14</v>
      </c>
      <c r="O40" s="284">
        <v>12</v>
      </c>
      <c r="P40" s="284">
        <v>14</v>
      </c>
      <c r="Q40" s="284">
        <v>114</v>
      </c>
    </row>
    <row r="41" spans="2:17" ht="12.75" customHeight="1" x14ac:dyDescent="0.2">
      <c r="B41" s="446"/>
      <c r="C41" s="84" t="s">
        <v>384</v>
      </c>
      <c r="D41" s="445"/>
      <c r="E41" s="284">
        <v>9</v>
      </c>
      <c r="F41" s="284">
        <v>9</v>
      </c>
      <c r="G41" s="284">
        <v>1</v>
      </c>
      <c r="H41" s="284">
        <v>6</v>
      </c>
      <c r="I41" s="284">
        <v>4</v>
      </c>
      <c r="J41" s="284">
        <v>4</v>
      </c>
      <c r="K41" s="284">
        <v>16</v>
      </c>
      <c r="L41" s="284">
        <v>5</v>
      </c>
      <c r="M41" s="284">
        <v>48</v>
      </c>
      <c r="N41" s="2"/>
      <c r="O41" s="284">
        <v>25</v>
      </c>
      <c r="P41" s="284">
        <v>9</v>
      </c>
      <c r="Q41" s="284">
        <v>136</v>
      </c>
    </row>
    <row r="42" spans="2:17" ht="12.75" customHeight="1" x14ac:dyDescent="0.2">
      <c r="B42" s="446"/>
      <c r="C42" s="84" t="s">
        <v>385</v>
      </c>
      <c r="D42" s="445"/>
      <c r="E42" s="284">
        <v>1620</v>
      </c>
      <c r="F42" s="284">
        <v>116</v>
      </c>
      <c r="G42" s="284">
        <v>214</v>
      </c>
      <c r="H42" s="284">
        <v>3650</v>
      </c>
      <c r="I42" s="284">
        <v>2715</v>
      </c>
      <c r="J42" s="284">
        <v>1420</v>
      </c>
      <c r="K42" s="284">
        <v>2362</v>
      </c>
      <c r="L42" s="284">
        <v>2406</v>
      </c>
      <c r="M42" s="284">
        <v>4102</v>
      </c>
      <c r="N42" s="284">
        <v>4379</v>
      </c>
      <c r="O42" s="284">
        <v>119</v>
      </c>
      <c r="P42" s="284">
        <v>160</v>
      </c>
      <c r="Q42" s="284">
        <v>23263</v>
      </c>
    </row>
    <row r="43" spans="2:17" ht="12.75" customHeight="1" x14ac:dyDescent="0.2">
      <c r="B43" s="446"/>
      <c r="C43" s="84" t="s">
        <v>388</v>
      </c>
      <c r="D43" s="445"/>
      <c r="E43" s="284">
        <v>27</v>
      </c>
      <c r="F43" s="284">
        <v>44</v>
      </c>
      <c r="G43" s="284">
        <v>37</v>
      </c>
      <c r="H43" s="284">
        <v>50</v>
      </c>
      <c r="I43" s="284">
        <v>68</v>
      </c>
      <c r="J43" s="284">
        <v>40</v>
      </c>
      <c r="K43" s="284">
        <v>68</v>
      </c>
      <c r="L43" s="284">
        <v>55</v>
      </c>
      <c r="M43" s="284">
        <v>69</v>
      </c>
      <c r="N43" s="284">
        <v>95</v>
      </c>
      <c r="O43" s="284">
        <v>58</v>
      </c>
      <c r="P43" s="284">
        <v>78</v>
      </c>
      <c r="Q43" s="284">
        <v>689</v>
      </c>
    </row>
    <row r="44" spans="2:17" ht="12.75" customHeight="1" x14ac:dyDescent="0.2">
      <c r="B44" s="446"/>
      <c r="C44" s="84" t="s">
        <v>390</v>
      </c>
      <c r="D44" s="296" t="s">
        <v>270</v>
      </c>
      <c r="E44" s="284">
        <v>2</v>
      </c>
      <c r="F44" s="2"/>
      <c r="G44" s="284">
        <v>2</v>
      </c>
      <c r="H44" s="284">
        <v>2</v>
      </c>
      <c r="I44" s="284">
        <v>2</v>
      </c>
      <c r="J44" s="2"/>
      <c r="K44" s="284">
        <v>2</v>
      </c>
      <c r="L44" s="284">
        <v>5</v>
      </c>
      <c r="M44" s="284">
        <v>21</v>
      </c>
      <c r="N44" s="284">
        <v>13</v>
      </c>
      <c r="O44" s="284">
        <v>10</v>
      </c>
      <c r="P44" s="284">
        <v>11</v>
      </c>
      <c r="Q44" s="284">
        <v>70</v>
      </c>
    </row>
    <row r="45" spans="2:17" ht="12.75" customHeight="1" x14ac:dyDescent="0.2">
      <c r="B45" s="446"/>
      <c r="C45" s="84" t="s">
        <v>386</v>
      </c>
      <c r="D45" s="445" t="s">
        <v>269</v>
      </c>
      <c r="E45" s="2"/>
      <c r="F45" s="284">
        <v>2</v>
      </c>
      <c r="G45" s="284">
        <v>2</v>
      </c>
      <c r="H45" s="284">
        <v>8</v>
      </c>
      <c r="I45" s="284">
        <v>12</v>
      </c>
      <c r="J45" s="284">
        <v>33</v>
      </c>
      <c r="K45" s="284">
        <v>27</v>
      </c>
      <c r="L45" s="284">
        <v>29</v>
      </c>
      <c r="M45" s="284">
        <v>33</v>
      </c>
      <c r="N45" s="284">
        <v>21</v>
      </c>
      <c r="O45" s="284">
        <v>12</v>
      </c>
      <c r="P45" s="284">
        <v>2</v>
      </c>
      <c r="Q45" s="284">
        <v>181</v>
      </c>
    </row>
    <row r="46" spans="2:17" ht="12.75" customHeight="1" x14ac:dyDescent="0.2">
      <c r="B46" s="446"/>
      <c r="C46" s="84" t="s">
        <v>387</v>
      </c>
      <c r="D46" s="445"/>
      <c r="E46" s="2"/>
      <c r="F46" s="284">
        <v>4</v>
      </c>
      <c r="G46" s="284">
        <v>3</v>
      </c>
      <c r="H46" s="284">
        <v>20</v>
      </c>
      <c r="I46" s="2"/>
      <c r="J46" s="2"/>
      <c r="K46" s="284">
        <v>15</v>
      </c>
      <c r="L46" s="284">
        <v>8</v>
      </c>
      <c r="M46" s="2"/>
      <c r="N46" s="284">
        <v>12</v>
      </c>
      <c r="O46" s="284">
        <v>1</v>
      </c>
      <c r="P46" s="2"/>
      <c r="Q46" s="284">
        <v>63</v>
      </c>
    </row>
    <row r="47" spans="2:17" ht="12.75" customHeight="1" x14ac:dyDescent="0.2">
      <c r="B47" s="446"/>
      <c r="C47" s="84" t="s">
        <v>389</v>
      </c>
      <c r="D47" s="445"/>
      <c r="E47" s="2"/>
      <c r="F47" s="2"/>
      <c r="G47" s="2"/>
      <c r="H47" s="284">
        <v>766</v>
      </c>
      <c r="I47" s="284">
        <v>2769</v>
      </c>
      <c r="J47" s="284">
        <v>447</v>
      </c>
      <c r="K47" s="284">
        <v>3044</v>
      </c>
      <c r="L47" s="284">
        <v>341</v>
      </c>
      <c r="M47" s="284">
        <v>2303</v>
      </c>
      <c r="N47" s="284">
        <v>996</v>
      </c>
      <c r="O47" s="284">
        <v>82</v>
      </c>
      <c r="P47" s="284">
        <v>23</v>
      </c>
      <c r="Q47" s="284">
        <v>10771</v>
      </c>
    </row>
    <row r="48" spans="2:17" ht="12.75" customHeight="1" thickBot="1" x14ac:dyDescent="0.25">
      <c r="B48" s="446"/>
      <c r="C48" s="300" t="s">
        <v>17</v>
      </c>
      <c r="D48" s="85" t="s">
        <v>264</v>
      </c>
      <c r="E48" s="127">
        <v>1670</v>
      </c>
      <c r="F48" s="127">
        <v>184</v>
      </c>
      <c r="G48" s="127">
        <v>260</v>
      </c>
      <c r="H48" s="127">
        <v>4507</v>
      </c>
      <c r="I48" s="127">
        <v>5584</v>
      </c>
      <c r="J48" s="127">
        <v>1944</v>
      </c>
      <c r="K48" s="127">
        <v>5534</v>
      </c>
      <c r="L48" s="127">
        <v>2868</v>
      </c>
      <c r="M48" s="127">
        <v>6590</v>
      </c>
      <c r="N48" s="127">
        <v>5530</v>
      </c>
      <c r="O48" s="127">
        <v>319</v>
      </c>
      <c r="P48" s="127">
        <v>297</v>
      </c>
      <c r="Q48" s="127">
        <v>35287</v>
      </c>
    </row>
    <row r="49" spans="2:17" ht="12.75" customHeight="1" thickBot="1" x14ac:dyDescent="0.25">
      <c r="B49" s="158" t="s">
        <v>315</v>
      </c>
      <c r="C49" s="91" t="s">
        <v>391</v>
      </c>
      <c r="D49" s="87" t="s">
        <v>270</v>
      </c>
      <c r="E49" s="156">
        <v>442</v>
      </c>
      <c r="F49" s="156">
        <v>646</v>
      </c>
      <c r="G49" s="156">
        <v>3345</v>
      </c>
      <c r="H49" s="156">
        <v>1214</v>
      </c>
      <c r="I49" s="156">
        <v>1361</v>
      </c>
      <c r="J49" s="156">
        <v>1910</v>
      </c>
      <c r="K49" s="156">
        <v>2754</v>
      </c>
      <c r="L49" s="156">
        <v>3148</v>
      </c>
      <c r="M49" s="156">
        <v>3410</v>
      </c>
      <c r="N49" s="156">
        <v>147</v>
      </c>
      <c r="O49" s="156">
        <v>6</v>
      </c>
      <c r="P49" s="156">
        <v>2</v>
      </c>
      <c r="Q49" s="156">
        <v>18385</v>
      </c>
    </row>
    <row r="50" spans="2:17" ht="12.75" customHeight="1" thickBot="1" x14ac:dyDescent="0.25">
      <c r="B50" s="158" t="s">
        <v>316</v>
      </c>
      <c r="C50" s="91" t="s">
        <v>392</v>
      </c>
      <c r="D50" s="87" t="s">
        <v>270</v>
      </c>
      <c r="E50" s="156">
        <v>765</v>
      </c>
      <c r="F50" s="156">
        <v>539</v>
      </c>
      <c r="G50" s="156">
        <v>1018</v>
      </c>
      <c r="H50" s="156">
        <v>1205</v>
      </c>
      <c r="I50" s="156">
        <v>1619</v>
      </c>
      <c r="J50" s="156">
        <v>2971</v>
      </c>
      <c r="K50" s="156">
        <v>4724</v>
      </c>
      <c r="L50" s="156">
        <v>4361</v>
      </c>
      <c r="M50" s="156">
        <v>3393</v>
      </c>
      <c r="N50" s="156">
        <v>3552</v>
      </c>
      <c r="O50" s="156">
        <v>968</v>
      </c>
      <c r="P50" s="156">
        <v>840</v>
      </c>
      <c r="Q50" s="156">
        <v>25955</v>
      </c>
    </row>
    <row r="51" spans="2:17" ht="12.75" customHeight="1" x14ac:dyDescent="0.2">
      <c r="B51" s="446" t="s">
        <v>317</v>
      </c>
      <c r="C51" s="84" t="s">
        <v>393</v>
      </c>
      <c r="D51" s="445" t="s">
        <v>271</v>
      </c>
      <c r="E51" s="284">
        <v>44989</v>
      </c>
      <c r="F51" s="284">
        <v>40262</v>
      </c>
      <c r="G51" s="284">
        <v>52346</v>
      </c>
      <c r="H51" s="284">
        <v>74761</v>
      </c>
      <c r="I51" s="284">
        <v>65321</v>
      </c>
      <c r="J51" s="284">
        <v>81316</v>
      </c>
      <c r="K51" s="284">
        <v>110869</v>
      </c>
      <c r="L51" s="284">
        <v>110433</v>
      </c>
      <c r="M51" s="284">
        <v>90769</v>
      </c>
      <c r="N51" s="284">
        <v>73982</v>
      </c>
      <c r="O51" s="284">
        <v>64635</v>
      </c>
      <c r="P51" s="284">
        <v>66041</v>
      </c>
      <c r="Q51" s="284">
        <v>875724</v>
      </c>
    </row>
    <row r="52" spans="2:17" ht="12.75" customHeight="1" x14ac:dyDescent="0.2">
      <c r="B52" s="446"/>
      <c r="C52" s="84" t="s">
        <v>394</v>
      </c>
      <c r="D52" s="445"/>
      <c r="E52" s="284">
        <v>43226</v>
      </c>
      <c r="F52" s="284">
        <v>34601</v>
      </c>
      <c r="G52" s="284">
        <v>40236</v>
      </c>
      <c r="H52" s="284">
        <v>55163</v>
      </c>
      <c r="I52" s="284">
        <v>49787</v>
      </c>
      <c r="J52" s="284">
        <v>62296</v>
      </c>
      <c r="K52" s="284">
        <v>117000</v>
      </c>
      <c r="L52" s="284">
        <v>90062</v>
      </c>
      <c r="M52" s="284">
        <v>65143</v>
      </c>
      <c r="N52" s="284">
        <v>62298</v>
      </c>
      <c r="O52" s="284">
        <v>51100</v>
      </c>
      <c r="P52" s="284">
        <v>56505</v>
      </c>
      <c r="Q52" s="284">
        <v>727417</v>
      </c>
    </row>
    <row r="53" spans="2:17" ht="12.75" customHeight="1" x14ac:dyDescent="0.2">
      <c r="B53" s="446"/>
      <c r="C53" s="84" t="s">
        <v>395</v>
      </c>
      <c r="D53" s="445"/>
      <c r="E53" s="284">
        <v>139188</v>
      </c>
      <c r="F53" s="284">
        <v>134595</v>
      </c>
      <c r="G53" s="284">
        <v>171462</v>
      </c>
      <c r="H53" s="284">
        <v>225144</v>
      </c>
      <c r="I53" s="284">
        <v>216131</v>
      </c>
      <c r="J53" s="284">
        <v>273492</v>
      </c>
      <c r="K53" s="284">
        <v>551708</v>
      </c>
      <c r="L53" s="284">
        <v>302265</v>
      </c>
      <c r="M53" s="284">
        <v>248381</v>
      </c>
      <c r="N53" s="284">
        <v>214891</v>
      </c>
      <c r="O53" s="284">
        <v>184152</v>
      </c>
      <c r="P53" s="284">
        <v>210621</v>
      </c>
      <c r="Q53" s="284">
        <v>2872030</v>
      </c>
    </row>
    <row r="54" spans="2:17" ht="12.75" customHeight="1" x14ac:dyDescent="0.2">
      <c r="B54" s="446"/>
      <c r="C54" s="84" t="s">
        <v>397</v>
      </c>
      <c r="D54" s="445"/>
      <c r="E54" s="284">
        <v>14258</v>
      </c>
      <c r="F54" s="284">
        <v>12232</v>
      </c>
      <c r="G54" s="284">
        <v>14422</v>
      </c>
      <c r="H54" s="284">
        <v>18744</v>
      </c>
      <c r="I54" s="284">
        <v>16089</v>
      </c>
      <c r="J54" s="284">
        <v>19435</v>
      </c>
      <c r="K54" s="284">
        <v>26830</v>
      </c>
      <c r="L54" s="284">
        <v>19488</v>
      </c>
      <c r="M54" s="284">
        <v>18978</v>
      </c>
      <c r="N54" s="284">
        <v>19396</v>
      </c>
      <c r="O54" s="284">
        <v>17573</v>
      </c>
      <c r="P54" s="284">
        <v>21600</v>
      </c>
      <c r="Q54" s="284">
        <v>219045</v>
      </c>
    </row>
    <row r="55" spans="2:17" ht="12.75" customHeight="1" x14ac:dyDescent="0.2">
      <c r="B55" s="446"/>
      <c r="C55" s="84" t="s">
        <v>396</v>
      </c>
      <c r="D55" s="296" t="s">
        <v>272</v>
      </c>
      <c r="E55" s="284">
        <v>954</v>
      </c>
      <c r="F55" s="284">
        <v>864</v>
      </c>
      <c r="G55" s="284">
        <v>1250</v>
      </c>
      <c r="H55" s="284">
        <v>1677</v>
      </c>
      <c r="I55" s="284">
        <v>1786</v>
      </c>
      <c r="J55" s="284">
        <v>1852</v>
      </c>
      <c r="K55" s="284">
        <v>3054</v>
      </c>
      <c r="L55" s="284">
        <v>3013</v>
      </c>
      <c r="M55" s="284">
        <v>2331</v>
      </c>
      <c r="N55" s="284">
        <v>1743</v>
      </c>
      <c r="O55" s="284">
        <v>1140</v>
      </c>
      <c r="P55" s="284">
        <v>1460</v>
      </c>
      <c r="Q55" s="284">
        <v>21124</v>
      </c>
    </row>
    <row r="56" spans="2:17" ht="12.75" customHeight="1" x14ac:dyDescent="0.2">
      <c r="B56" s="446"/>
      <c r="C56" s="84" t="s">
        <v>617</v>
      </c>
      <c r="D56" s="296" t="s">
        <v>269</v>
      </c>
      <c r="E56" s="2"/>
      <c r="F56" s="2"/>
      <c r="G56" s="284">
        <v>11</v>
      </c>
      <c r="H56" s="284">
        <v>12</v>
      </c>
      <c r="I56" s="284">
        <v>9</v>
      </c>
      <c r="J56" s="284">
        <v>37</v>
      </c>
      <c r="K56" s="284">
        <v>33</v>
      </c>
      <c r="L56" s="284">
        <v>9</v>
      </c>
      <c r="M56" s="284">
        <v>35</v>
      </c>
      <c r="N56" s="284">
        <v>31</v>
      </c>
      <c r="O56" s="284">
        <v>35</v>
      </c>
      <c r="P56" s="284">
        <v>28</v>
      </c>
      <c r="Q56" s="284">
        <v>240</v>
      </c>
    </row>
    <row r="57" spans="2:17" ht="12.75" customHeight="1" thickBot="1" x14ac:dyDescent="0.25">
      <c r="B57" s="446"/>
      <c r="C57" s="300" t="s">
        <v>17</v>
      </c>
      <c r="D57" s="85" t="s">
        <v>264</v>
      </c>
      <c r="E57" s="127">
        <v>242615</v>
      </c>
      <c r="F57" s="127">
        <v>222554</v>
      </c>
      <c r="G57" s="127">
        <v>279727</v>
      </c>
      <c r="H57" s="127">
        <v>375501</v>
      </c>
      <c r="I57" s="127">
        <v>349123</v>
      </c>
      <c r="J57" s="127">
        <v>438428</v>
      </c>
      <c r="K57" s="127">
        <v>809494</v>
      </c>
      <c r="L57" s="127">
        <v>525270</v>
      </c>
      <c r="M57" s="127">
        <v>425637</v>
      </c>
      <c r="N57" s="127">
        <v>372341</v>
      </c>
      <c r="O57" s="127">
        <v>318635</v>
      </c>
      <c r="P57" s="127">
        <v>356255</v>
      </c>
      <c r="Q57" s="127">
        <v>4715580</v>
      </c>
    </row>
    <row r="58" spans="2:17" ht="12.75" customHeight="1" thickBot="1" x14ac:dyDescent="0.25">
      <c r="B58" s="158" t="s">
        <v>318</v>
      </c>
      <c r="C58" s="91" t="s">
        <v>398</v>
      </c>
      <c r="D58" s="87" t="s">
        <v>270</v>
      </c>
      <c r="E58" s="156">
        <v>343</v>
      </c>
      <c r="F58" s="156">
        <v>283</v>
      </c>
      <c r="G58" s="156">
        <v>255</v>
      </c>
      <c r="H58" s="156">
        <v>814</v>
      </c>
      <c r="I58" s="156">
        <v>1373</v>
      </c>
      <c r="J58" s="156">
        <v>2397</v>
      </c>
      <c r="K58" s="156">
        <v>4091</v>
      </c>
      <c r="L58" s="156">
        <v>3440</v>
      </c>
      <c r="M58" s="156">
        <v>1673</v>
      </c>
      <c r="N58" s="156">
        <v>1430</v>
      </c>
      <c r="O58" s="156">
        <v>309</v>
      </c>
      <c r="P58" s="156">
        <v>999</v>
      </c>
      <c r="Q58" s="156">
        <v>17407</v>
      </c>
    </row>
    <row r="59" spans="2:17" ht="12.75" customHeight="1" thickBot="1" x14ac:dyDescent="0.25">
      <c r="B59" s="158" t="s">
        <v>319</v>
      </c>
      <c r="C59" s="91" t="s">
        <v>399</v>
      </c>
      <c r="D59" s="87" t="s">
        <v>270</v>
      </c>
      <c r="E59" s="283"/>
      <c r="F59" s="156">
        <v>3</v>
      </c>
      <c r="G59" s="283"/>
      <c r="H59" s="283"/>
      <c r="I59" s="283"/>
      <c r="J59" s="283"/>
      <c r="K59" s="156">
        <v>4</v>
      </c>
      <c r="L59" s="283"/>
      <c r="M59" s="283"/>
      <c r="N59" s="283"/>
      <c r="O59" s="156">
        <v>9</v>
      </c>
      <c r="P59" s="283"/>
      <c r="Q59" s="156">
        <v>16</v>
      </c>
    </row>
    <row r="60" spans="2:17" s="86" customFormat="1" ht="12.75" customHeight="1" thickBot="1" x14ac:dyDescent="0.25">
      <c r="B60" s="158" t="s">
        <v>320</v>
      </c>
      <c r="C60" s="91" t="s">
        <v>400</v>
      </c>
      <c r="D60" s="87" t="s">
        <v>270</v>
      </c>
      <c r="E60" s="156">
        <v>611</v>
      </c>
      <c r="F60" s="156">
        <v>1</v>
      </c>
      <c r="G60" s="156">
        <v>4</v>
      </c>
      <c r="H60" s="156">
        <v>137</v>
      </c>
      <c r="I60" s="156">
        <v>3</v>
      </c>
      <c r="J60" s="283"/>
      <c r="K60" s="156">
        <v>8</v>
      </c>
      <c r="L60" s="156">
        <v>11</v>
      </c>
      <c r="M60" s="283"/>
      <c r="N60" s="156">
        <v>33</v>
      </c>
      <c r="O60" s="283"/>
      <c r="P60" s="156">
        <v>1</v>
      </c>
      <c r="Q60" s="156">
        <v>809</v>
      </c>
    </row>
    <row r="61" spans="2:17" ht="12.75" customHeight="1" thickBot="1" x14ac:dyDescent="0.25">
      <c r="B61" s="146" t="s">
        <v>321</v>
      </c>
      <c r="C61" s="300" t="s">
        <v>401</v>
      </c>
      <c r="D61" s="85" t="s">
        <v>270</v>
      </c>
      <c r="E61" s="127">
        <v>1450</v>
      </c>
      <c r="F61" s="127">
        <v>1219</v>
      </c>
      <c r="G61" s="127">
        <v>1429</v>
      </c>
      <c r="H61" s="127">
        <v>1593</v>
      </c>
      <c r="I61" s="127">
        <v>2625</v>
      </c>
      <c r="J61" s="127">
        <v>2903</v>
      </c>
      <c r="K61" s="127">
        <v>7297</v>
      </c>
      <c r="L61" s="127">
        <v>3839</v>
      </c>
      <c r="M61" s="127">
        <v>2332</v>
      </c>
      <c r="N61" s="127">
        <v>1792</v>
      </c>
      <c r="O61" s="127">
        <v>1649</v>
      </c>
      <c r="P61" s="127">
        <v>2512</v>
      </c>
      <c r="Q61" s="127">
        <v>30640</v>
      </c>
    </row>
    <row r="62" spans="2:17" ht="12.75" customHeight="1" x14ac:dyDescent="0.2">
      <c r="B62" s="441" t="s">
        <v>322</v>
      </c>
      <c r="C62" s="89" t="s">
        <v>402</v>
      </c>
      <c r="D62" s="297" t="s">
        <v>271</v>
      </c>
      <c r="E62" s="147">
        <v>2980</v>
      </c>
      <c r="F62" s="147">
        <v>3272</v>
      </c>
      <c r="G62" s="147">
        <v>6214</v>
      </c>
      <c r="H62" s="147">
        <v>1707</v>
      </c>
      <c r="I62" s="147">
        <v>5325</v>
      </c>
      <c r="J62" s="147">
        <v>4705</v>
      </c>
      <c r="K62" s="147">
        <v>5780</v>
      </c>
      <c r="L62" s="147">
        <v>5769</v>
      </c>
      <c r="M62" s="147">
        <v>5072</v>
      </c>
      <c r="N62" s="147">
        <v>5351</v>
      </c>
      <c r="O62" s="147">
        <v>6141</v>
      </c>
      <c r="P62" s="147">
        <v>5570</v>
      </c>
      <c r="Q62" s="147">
        <v>57886</v>
      </c>
    </row>
    <row r="63" spans="2:17" ht="12.75" customHeight="1" x14ac:dyDescent="0.2">
      <c r="B63" s="442"/>
      <c r="C63" s="90" t="s">
        <v>403</v>
      </c>
      <c r="D63" s="298" t="s">
        <v>270</v>
      </c>
      <c r="E63" s="150">
        <v>2596</v>
      </c>
      <c r="F63" s="150">
        <v>4397</v>
      </c>
      <c r="G63" s="150">
        <v>1977</v>
      </c>
      <c r="H63" s="150">
        <v>2167</v>
      </c>
      <c r="I63" s="150">
        <v>2451</v>
      </c>
      <c r="J63" s="150">
        <v>5854</v>
      </c>
      <c r="K63" s="150">
        <v>19664</v>
      </c>
      <c r="L63" s="150">
        <v>7959</v>
      </c>
      <c r="M63" s="150">
        <v>4975</v>
      </c>
      <c r="N63" s="150">
        <v>4104</v>
      </c>
      <c r="O63" s="150">
        <v>2309</v>
      </c>
      <c r="P63" s="150">
        <v>3329</v>
      </c>
      <c r="Q63" s="150">
        <v>61782</v>
      </c>
    </row>
    <row r="64" spans="2:17" ht="12.75" customHeight="1" thickBot="1" x14ac:dyDescent="0.25">
      <c r="B64" s="443"/>
      <c r="C64" s="126" t="s">
        <v>17</v>
      </c>
      <c r="D64" s="92" t="s">
        <v>264</v>
      </c>
      <c r="E64" s="153">
        <v>5576</v>
      </c>
      <c r="F64" s="153">
        <v>7669</v>
      </c>
      <c r="G64" s="153">
        <v>8191</v>
      </c>
      <c r="H64" s="153">
        <v>3874</v>
      </c>
      <c r="I64" s="153">
        <v>7776</v>
      </c>
      <c r="J64" s="153">
        <v>10559</v>
      </c>
      <c r="K64" s="153">
        <v>25444</v>
      </c>
      <c r="L64" s="153">
        <v>13728</v>
      </c>
      <c r="M64" s="153">
        <v>10047</v>
      </c>
      <c r="N64" s="153">
        <v>9455</v>
      </c>
      <c r="O64" s="153">
        <v>8450</v>
      </c>
      <c r="P64" s="153">
        <v>8899</v>
      </c>
      <c r="Q64" s="153">
        <v>119668</v>
      </c>
    </row>
    <row r="65" spans="2:17" ht="12.75" customHeight="1" thickBot="1" x14ac:dyDescent="0.25">
      <c r="B65" s="146" t="s">
        <v>323</v>
      </c>
      <c r="C65" s="300" t="s">
        <v>404</v>
      </c>
      <c r="D65" s="85" t="s">
        <v>269</v>
      </c>
      <c r="E65" s="127">
        <v>109</v>
      </c>
      <c r="F65" s="127">
        <v>383</v>
      </c>
      <c r="G65" s="127">
        <v>540</v>
      </c>
      <c r="H65" s="127">
        <v>221</v>
      </c>
      <c r="I65" s="127">
        <v>149</v>
      </c>
      <c r="J65" s="127">
        <v>209</v>
      </c>
      <c r="K65" s="127">
        <v>230</v>
      </c>
      <c r="L65" s="127">
        <v>155</v>
      </c>
      <c r="M65" s="127">
        <v>256</v>
      </c>
      <c r="N65" s="127">
        <v>288</v>
      </c>
      <c r="O65" s="127">
        <v>330</v>
      </c>
      <c r="P65" s="127">
        <v>159</v>
      </c>
      <c r="Q65" s="127">
        <v>3029</v>
      </c>
    </row>
    <row r="66" spans="2:17" ht="12.75" customHeight="1" x14ac:dyDescent="0.2">
      <c r="B66" s="447" t="s">
        <v>324</v>
      </c>
      <c r="C66" s="89" t="s">
        <v>405</v>
      </c>
      <c r="D66" s="444" t="s">
        <v>271</v>
      </c>
      <c r="E66" s="147">
        <v>6412</v>
      </c>
      <c r="F66" s="147">
        <v>7181</v>
      </c>
      <c r="G66" s="147">
        <v>14419</v>
      </c>
      <c r="H66" s="147">
        <v>7917</v>
      </c>
      <c r="I66" s="147">
        <v>10265</v>
      </c>
      <c r="J66" s="147">
        <v>10329</v>
      </c>
      <c r="K66" s="147">
        <v>12749</v>
      </c>
      <c r="L66" s="147">
        <v>13588</v>
      </c>
      <c r="M66" s="147">
        <v>18578</v>
      </c>
      <c r="N66" s="147">
        <v>10911</v>
      </c>
      <c r="O66" s="147">
        <v>16597</v>
      </c>
      <c r="P66" s="147">
        <v>18539</v>
      </c>
      <c r="Q66" s="147">
        <v>147485</v>
      </c>
    </row>
    <row r="67" spans="2:17" ht="12.75" customHeight="1" x14ac:dyDescent="0.2">
      <c r="B67" s="448"/>
      <c r="C67" s="90" t="s">
        <v>406</v>
      </c>
      <c r="D67" s="440"/>
      <c r="E67" s="150">
        <v>2415</v>
      </c>
      <c r="F67" s="150">
        <v>1486</v>
      </c>
      <c r="G67" s="150">
        <v>2871</v>
      </c>
      <c r="H67" s="150">
        <v>2230</v>
      </c>
      <c r="I67" s="150">
        <v>3642</v>
      </c>
      <c r="J67" s="150">
        <v>5273</v>
      </c>
      <c r="K67" s="150">
        <v>5435</v>
      </c>
      <c r="L67" s="150">
        <v>6694</v>
      </c>
      <c r="M67" s="150">
        <v>4175</v>
      </c>
      <c r="N67" s="150">
        <v>3253</v>
      </c>
      <c r="O67" s="150">
        <v>2833</v>
      </c>
      <c r="P67" s="150">
        <v>2865</v>
      </c>
      <c r="Q67" s="150">
        <v>43172</v>
      </c>
    </row>
    <row r="68" spans="2:17" ht="12.75" customHeight="1" x14ac:dyDescent="0.2">
      <c r="B68" s="448"/>
      <c r="C68" s="90" t="s">
        <v>618</v>
      </c>
      <c r="D68" s="440"/>
      <c r="E68" s="151"/>
      <c r="F68" s="151"/>
      <c r="G68" s="151"/>
      <c r="H68" s="151"/>
      <c r="I68" s="151"/>
      <c r="J68" s="150">
        <v>2003</v>
      </c>
      <c r="K68" s="150">
        <v>2035</v>
      </c>
      <c r="L68" s="150">
        <v>3715</v>
      </c>
      <c r="M68" s="150">
        <v>2416</v>
      </c>
      <c r="N68" s="150">
        <v>2174</v>
      </c>
      <c r="O68" s="150">
        <v>2119</v>
      </c>
      <c r="P68" s="150">
        <v>2430</v>
      </c>
      <c r="Q68" s="150">
        <v>16892</v>
      </c>
    </row>
    <row r="69" spans="2:17" ht="12.75" customHeight="1" thickBot="1" x14ac:dyDescent="0.25">
      <c r="B69" s="449"/>
      <c r="C69" s="126" t="s">
        <v>17</v>
      </c>
      <c r="D69" s="92" t="s">
        <v>264</v>
      </c>
      <c r="E69" s="153">
        <v>8827</v>
      </c>
      <c r="F69" s="153">
        <v>8667</v>
      </c>
      <c r="G69" s="153">
        <v>17290</v>
      </c>
      <c r="H69" s="153">
        <v>10147</v>
      </c>
      <c r="I69" s="153">
        <v>13907</v>
      </c>
      <c r="J69" s="153">
        <v>17605</v>
      </c>
      <c r="K69" s="153">
        <v>20219</v>
      </c>
      <c r="L69" s="153">
        <v>23997</v>
      </c>
      <c r="M69" s="153">
        <v>25169</v>
      </c>
      <c r="N69" s="153">
        <v>16338</v>
      </c>
      <c r="O69" s="153">
        <v>21549</v>
      </c>
      <c r="P69" s="153">
        <v>23834</v>
      </c>
      <c r="Q69" s="153">
        <v>207549</v>
      </c>
    </row>
    <row r="70" spans="2:17" ht="12.75" customHeight="1" x14ac:dyDescent="0.2">
      <c r="B70" s="451" t="s">
        <v>325</v>
      </c>
      <c r="C70" s="84" t="s">
        <v>407</v>
      </c>
      <c r="D70" s="296" t="s">
        <v>271</v>
      </c>
      <c r="E70" s="284">
        <v>1570</v>
      </c>
      <c r="F70" s="284">
        <v>729</v>
      </c>
      <c r="G70" s="284">
        <v>1073</v>
      </c>
      <c r="H70" s="284">
        <v>1077</v>
      </c>
      <c r="I70" s="284">
        <v>1399</v>
      </c>
      <c r="J70" s="284">
        <v>1627</v>
      </c>
      <c r="K70" s="284">
        <v>1632</v>
      </c>
      <c r="L70" s="284">
        <v>1856</v>
      </c>
      <c r="M70" s="284">
        <v>1807</v>
      </c>
      <c r="N70" s="284">
        <v>1852</v>
      </c>
      <c r="O70" s="284">
        <v>1891</v>
      </c>
      <c r="P70" s="284">
        <v>2224</v>
      </c>
      <c r="Q70" s="284">
        <v>18737</v>
      </c>
    </row>
    <row r="71" spans="2:17" ht="12.75" customHeight="1" x14ac:dyDescent="0.2">
      <c r="B71" s="451"/>
      <c r="C71" s="84" t="s">
        <v>408</v>
      </c>
      <c r="D71" s="445" t="s">
        <v>269</v>
      </c>
      <c r="E71" s="284">
        <v>44</v>
      </c>
      <c r="F71" s="284">
        <v>14</v>
      </c>
      <c r="G71" s="284">
        <v>15</v>
      </c>
      <c r="H71" s="284">
        <v>30</v>
      </c>
      <c r="I71" s="284">
        <v>72</v>
      </c>
      <c r="J71" s="284">
        <v>54</v>
      </c>
      <c r="K71" s="284">
        <v>59</v>
      </c>
      <c r="L71" s="284">
        <v>46</v>
      </c>
      <c r="M71" s="284">
        <v>76</v>
      </c>
      <c r="N71" s="284">
        <v>61</v>
      </c>
      <c r="O71" s="284">
        <v>31</v>
      </c>
      <c r="P71" s="284">
        <v>65</v>
      </c>
      <c r="Q71" s="284">
        <v>567</v>
      </c>
    </row>
    <row r="72" spans="2:17" ht="12.75" customHeight="1" x14ac:dyDescent="0.2">
      <c r="B72" s="451"/>
      <c r="C72" s="84" t="s">
        <v>409</v>
      </c>
      <c r="D72" s="445"/>
      <c r="E72" s="284">
        <v>10</v>
      </c>
      <c r="F72" s="2"/>
      <c r="G72" s="284">
        <v>8</v>
      </c>
      <c r="H72" s="284">
        <v>20</v>
      </c>
      <c r="I72" s="284">
        <v>26</v>
      </c>
      <c r="J72" s="284">
        <v>17</v>
      </c>
      <c r="K72" s="284">
        <v>12</v>
      </c>
      <c r="L72" s="284">
        <v>8</v>
      </c>
      <c r="M72" s="284">
        <v>15</v>
      </c>
      <c r="N72" s="284">
        <v>15</v>
      </c>
      <c r="O72" s="284">
        <v>13</v>
      </c>
      <c r="P72" s="284">
        <v>9</v>
      </c>
      <c r="Q72" s="284">
        <v>153</v>
      </c>
    </row>
    <row r="73" spans="2:17" ht="12.75" customHeight="1" x14ac:dyDescent="0.2">
      <c r="B73" s="451"/>
      <c r="C73" s="84" t="s">
        <v>410</v>
      </c>
      <c r="D73" s="445"/>
      <c r="E73" s="284">
        <v>17</v>
      </c>
      <c r="F73" s="284">
        <v>10</v>
      </c>
      <c r="G73" s="284">
        <v>21</v>
      </c>
      <c r="H73" s="284">
        <v>16</v>
      </c>
      <c r="I73" s="284">
        <v>12</v>
      </c>
      <c r="J73" s="284">
        <v>12</v>
      </c>
      <c r="K73" s="284">
        <v>17</v>
      </c>
      <c r="L73" s="284">
        <v>18</v>
      </c>
      <c r="M73" s="284">
        <v>2</v>
      </c>
      <c r="N73" s="284">
        <v>1</v>
      </c>
      <c r="O73" s="284">
        <v>18</v>
      </c>
      <c r="P73" s="284">
        <v>12</v>
      </c>
      <c r="Q73" s="284">
        <v>156</v>
      </c>
    </row>
    <row r="74" spans="2:17" ht="12.75" customHeight="1" x14ac:dyDescent="0.2">
      <c r="B74" s="451"/>
      <c r="C74" s="84" t="s">
        <v>411</v>
      </c>
      <c r="D74" s="296" t="s">
        <v>271</v>
      </c>
      <c r="E74" s="284">
        <v>5198</v>
      </c>
      <c r="F74" s="284">
        <v>939</v>
      </c>
      <c r="G74" s="284">
        <v>1047</v>
      </c>
      <c r="H74" s="284">
        <v>1393</v>
      </c>
      <c r="I74" s="284">
        <v>3799</v>
      </c>
      <c r="J74" s="284">
        <v>19278</v>
      </c>
      <c r="K74" s="284">
        <v>6561</v>
      </c>
      <c r="L74" s="284">
        <v>6303</v>
      </c>
      <c r="M74" s="284">
        <v>3707</v>
      </c>
      <c r="N74" s="284">
        <v>3147</v>
      </c>
      <c r="O74" s="284">
        <v>3357</v>
      </c>
      <c r="P74" s="284">
        <v>3378</v>
      </c>
      <c r="Q74" s="284">
        <v>58107</v>
      </c>
    </row>
    <row r="75" spans="2:17" ht="12.75" customHeight="1" x14ac:dyDescent="0.2">
      <c r="B75" s="451"/>
      <c r="C75" s="84" t="s">
        <v>412</v>
      </c>
      <c r="D75" s="445" t="s">
        <v>269</v>
      </c>
      <c r="E75" s="284">
        <v>54</v>
      </c>
      <c r="F75" s="284">
        <v>28</v>
      </c>
      <c r="G75" s="284">
        <v>18</v>
      </c>
      <c r="H75" s="284">
        <v>56</v>
      </c>
      <c r="I75" s="284">
        <v>41</v>
      </c>
      <c r="J75" s="284">
        <v>51</v>
      </c>
      <c r="K75" s="284">
        <v>63</v>
      </c>
      <c r="L75" s="284">
        <v>22</v>
      </c>
      <c r="M75" s="284">
        <v>41</v>
      </c>
      <c r="N75" s="284">
        <v>29</v>
      </c>
      <c r="O75" s="284">
        <v>30</v>
      </c>
      <c r="P75" s="284">
        <v>75</v>
      </c>
      <c r="Q75" s="284">
        <v>508</v>
      </c>
    </row>
    <row r="76" spans="2:17" ht="12.75" customHeight="1" x14ac:dyDescent="0.2">
      <c r="B76" s="451"/>
      <c r="C76" s="84" t="s">
        <v>413</v>
      </c>
      <c r="D76" s="445"/>
      <c r="E76" s="284">
        <v>35</v>
      </c>
      <c r="F76" s="284">
        <v>19</v>
      </c>
      <c r="G76" s="284">
        <v>4</v>
      </c>
      <c r="H76" s="284">
        <v>26</v>
      </c>
      <c r="I76" s="284">
        <v>40</v>
      </c>
      <c r="J76" s="284">
        <v>47</v>
      </c>
      <c r="K76" s="284">
        <v>33</v>
      </c>
      <c r="L76" s="284">
        <v>110</v>
      </c>
      <c r="M76" s="284">
        <v>22</v>
      </c>
      <c r="N76" s="284">
        <v>79</v>
      </c>
      <c r="O76" s="284">
        <v>44</v>
      </c>
      <c r="P76" s="284">
        <v>90</v>
      </c>
      <c r="Q76" s="284">
        <v>549</v>
      </c>
    </row>
    <row r="77" spans="2:17" ht="12.75" customHeight="1" x14ac:dyDescent="0.2">
      <c r="B77" s="451"/>
      <c r="C77" s="84" t="s">
        <v>414</v>
      </c>
      <c r="D77" s="445"/>
      <c r="E77" s="284">
        <v>97</v>
      </c>
      <c r="F77" s="284">
        <v>31</v>
      </c>
      <c r="G77" s="284">
        <v>88</v>
      </c>
      <c r="H77" s="284">
        <v>180</v>
      </c>
      <c r="I77" s="284">
        <v>281</v>
      </c>
      <c r="J77" s="284">
        <v>140</v>
      </c>
      <c r="K77" s="284">
        <v>136</v>
      </c>
      <c r="L77" s="284">
        <v>142</v>
      </c>
      <c r="M77" s="284">
        <v>84</v>
      </c>
      <c r="N77" s="284">
        <v>135</v>
      </c>
      <c r="O77" s="284">
        <v>85</v>
      </c>
      <c r="P77" s="284">
        <v>136</v>
      </c>
      <c r="Q77" s="284">
        <v>1535</v>
      </c>
    </row>
    <row r="78" spans="2:17" ht="12.75" customHeight="1" x14ac:dyDescent="0.2">
      <c r="B78" s="451"/>
      <c r="C78" s="84" t="s">
        <v>415</v>
      </c>
      <c r="D78" s="296" t="s">
        <v>271</v>
      </c>
      <c r="E78" s="284">
        <v>33</v>
      </c>
      <c r="F78" s="284">
        <v>6</v>
      </c>
      <c r="G78" s="284">
        <v>10</v>
      </c>
      <c r="H78" s="284">
        <v>22</v>
      </c>
      <c r="I78" s="284">
        <v>37</v>
      </c>
      <c r="J78" s="284">
        <v>54</v>
      </c>
      <c r="K78" s="284">
        <v>71</v>
      </c>
      <c r="L78" s="284">
        <v>84</v>
      </c>
      <c r="M78" s="284">
        <v>61</v>
      </c>
      <c r="N78" s="284">
        <v>54</v>
      </c>
      <c r="O78" s="284">
        <v>45</v>
      </c>
      <c r="P78" s="284">
        <v>24</v>
      </c>
      <c r="Q78" s="284">
        <v>501</v>
      </c>
    </row>
    <row r="79" spans="2:17" ht="12.75" customHeight="1" x14ac:dyDescent="0.2">
      <c r="B79" s="451"/>
      <c r="C79" s="84" t="s">
        <v>416</v>
      </c>
      <c r="D79" s="296" t="s">
        <v>269</v>
      </c>
      <c r="E79" s="284">
        <v>120</v>
      </c>
      <c r="F79" s="284">
        <v>13</v>
      </c>
      <c r="G79" s="284">
        <v>38</v>
      </c>
      <c r="H79" s="284">
        <v>85</v>
      </c>
      <c r="I79" s="284">
        <v>82</v>
      </c>
      <c r="J79" s="284">
        <v>84</v>
      </c>
      <c r="K79" s="284">
        <v>91</v>
      </c>
      <c r="L79" s="284">
        <v>66</v>
      </c>
      <c r="M79" s="284">
        <v>78</v>
      </c>
      <c r="N79" s="284">
        <v>90</v>
      </c>
      <c r="O79" s="284">
        <v>89</v>
      </c>
      <c r="P79" s="284">
        <v>145</v>
      </c>
      <c r="Q79" s="284">
        <v>981</v>
      </c>
    </row>
    <row r="80" spans="2:17" ht="12.75" customHeight="1" x14ac:dyDescent="0.2">
      <c r="B80" s="451"/>
      <c r="C80" s="84" t="s">
        <v>417</v>
      </c>
      <c r="D80" s="296" t="s">
        <v>270</v>
      </c>
      <c r="E80" s="284">
        <v>702</v>
      </c>
      <c r="F80" s="284">
        <v>308</v>
      </c>
      <c r="G80" s="2"/>
      <c r="H80" s="284">
        <v>17</v>
      </c>
      <c r="I80" s="2"/>
      <c r="J80" s="2"/>
      <c r="K80" s="2"/>
      <c r="L80" s="2"/>
      <c r="M80" s="2"/>
      <c r="N80" s="2"/>
      <c r="O80" s="2"/>
      <c r="P80" s="2"/>
      <c r="Q80" s="284">
        <v>1027</v>
      </c>
    </row>
    <row r="81" spans="2:17" ht="12.75" customHeight="1" x14ac:dyDescent="0.2">
      <c r="B81" s="451"/>
      <c r="C81" s="84" t="s">
        <v>418</v>
      </c>
      <c r="D81" s="445" t="s">
        <v>269</v>
      </c>
      <c r="E81" s="284">
        <v>36</v>
      </c>
      <c r="F81" s="2"/>
      <c r="G81" s="2"/>
      <c r="H81" s="2"/>
      <c r="I81" s="2"/>
      <c r="J81" s="2"/>
      <c r="K81" s="2"/>
      <c r="L81" s="2"/>
      <c r="M81" s="2"/>
      <c r="N81" s="2"/>
      <c r="O81" s="2"/>
      <c r="P81" s="2"/>
      <c r="Q81" s="284">
        <v>36</v>
      </c>
    </row>
    <row r="82" spans="2:17" ht="12.75" customHeight="1" x14ac:dyDescent="0.2">
      <c r="B82" s="451"/>
      <c r="C82" s="84" t="s">
        <v>419</v>
      </c>
      <c r="D82" s="445"/>
      <c r="E82" s="284">
        <v>17</v>
      </c>
      <c r="F82" s="284">
        <v>2</v>
      </c>
      <c r="G82" s="284">
        <v>16</v>
      </c>
      <c r="H82" s="284">
        <v>39</v>
      </c>
      <c r="I82" s="284">
        <v>79</v>
      </c>
      <c r="J82" s="284">
        <v>33</v>
      </c>
      <c r="K82" s="284">
        <v>56</v>
      </c>
      <c r="L82" s="284">
        <v>79</v>
      </c>
      <c r="M82" s="284">
        <v>16</v>
      </c>
      <c r="N82" s="284">
        <v>34</v>
      </c>
      <c r="O82" s="284">
        <v>16</v>
      </c>
      <c r="P82" s="284">
        <v>30</v>
      </c>
      <c r="Q82" s="284">
        <v>417</v>
      </c>
    </row>
    <row r="83" spans="2:17" ht="12.75" customHeight="1" x14ac:dyDescent="0.2">
      <c r="B83" s="451"/>
      <c r="C83" s="84" t="s">
        <v>420</v>
      </c>
      <c r="D83" s="445"/>
      <c r="E83" s="284">
        <v>104</v>
      </c>
      <c r="F83" s="284">
        <v>16</v>
      </c>
      <c r="G83" s="284">
        <v>19</v>
      </c>
      <c r="H83" s="284">
        <v>107</v>
      </c>
      <c r="I83" s="284">
        <v>89</v>
      </c>
      <c r="J83" s="284">
        <v>97</v>
      </c>
      <c r="K83" s="284">
        <v>96</v>
      </c>
      <c r="L83" s="284">
        <v>123</v>
      </c>
      <c r="M83" s="284">
        <v>106</v>
      </c>
      <c r="N83" s="284">
        <v>155</v>
      </c>
      <c r="O83" s="284">
        <v>62</v>
      </c>
      <c r="P83" s="284">
        <v>178</v>
      </c>
      <c r="Q83" s="284">
        <v>1152</v>
      </c>
    </row>
    <row r="84" spans="2:17" ht="12.75" customHeight="1" x14ac:dyDescent="0.2">
      <c r="B84" s="451"/>
      <c r="C84" s="84" t="s">
        <v>421</v>
      </c>
      <c r="D84" s="445"/>
      <c r="E84" s="284">
        <v>173</v>
      </c>
      <c r="F84" s="284">
        <v>24</v>
      </c>
      <c r="G84" s="284">
        <v>60</v>
      </c>
      <c r="H84" s="284">
        <v>61</v>
      </c>
      <c r="I84" s="284">
        <v>84</v>
      </c>
      <c r="J84" s="284">
        <v>70</v>
      </c>
      <c r="K84" s="284">
        <v>80</v>
      </c>
      <c r="L84" s="284">
        <v>69</v>
      </c>
      <c r="M84" s="284">
        <v>66</v>
      </c>
      <c r="N84" s="284">
        <v>80</v>
      </c>
      <c r="O84" s="284">
        <v>112</v>
      </c>
      <c r="P84" s="284">
        <v>66</v>
      </c>
      <c r="Q84" s="284">
        <v>945</v>
      </c>
    </row>
    <row r="85" spans="2:17" ht="12.75" customHeight="1" thickBot="1" x14ac:dyDescent="0.25">
      <c r="B85" s="451"/>
      <c r="C85" s="300" t="s">
        <v>17</v>
      </c>
      <c r="D85" s="85" t="s">
        <v>264</v>
      </c>
      <c r="E85" s="127">
        <v>8210</v>
      </c>
      <c r="F85" s="127">
        <v>2139</v>
      </c>
      <c r="G85" s="127">
        <v>2417</v>
      </c>
      <c r="H85" s="127">
        <v>3129</v>
      </c>
      <c r="I85" s="127">
        <v>6041</v>
      </c>
      <c r="J85" s="127">
        <v>21564</v>
      </c>
      <c r="K85" s="127">
        <v>8907</v>
      </c>
      <c r="L85" s="127">
        <v>8926</v>
      </c>
      <c r="M85" s="127">
        <v>6081</v>
      </c>
      <c r="N85" s="127">
        <v>5732</v>
      </c>
      <c r="O85" s="127">
        <v>5793</v>
      </c>
      <c r="P85" s="127">
        <v>6432</v>
      </c>
      <c r="Q85" s="127">
        <v>85371</v>
      </c>
    </row>
    <row r="86" spans="2:17" ht="12.75" customHeight="1" thickBot="1" x14ac:dyDescent="0.25">
      <c r="B86" s="93" t="s">
        <v>327</v>
      </c>
      <c r="C86" s="91" t="s">
        <v>422</v>
      </c>
      <c r="D86" s="87" t="s">
        <v>270</v>
      </c>
      <c r="E86" s="156">
        <v>4</v>
      </c>
      <c r="F86" s="283"/>
      <c r="G86" s="156">
        <v>1907</v>
      </c>
      <c r="H86" s="156">
        <v>964</v>
      </c>
      <c r="I86" s="156">
        <v>1156</v>
      </c>
      <c r="J86" s="156">
        <v>1382</v>
      </c>
      <c r="K86" s="156">
        <v>1592</v>
      </c>
      <c r="L86" s="156">
        <v>2203</v>
      </c>
      <c r="M86" s="156">
        <v>2299</v>
      </c>
      <c r="N86" s="156">
        <v>953</v>
      </c>
      <c r="O86" s="283"/>
      <c r="P86" s="156">
        <v>7</v>
      </c>
      <c r="Q86" s="156">
        <v>12467</v>
      </c>
    </row>
    <row r="87" spans="2:17" ht="12.75" customHeight="1" x14ac:dyDescent="0.2">
      <c r="B87" s="451" t="s">
        <v>341</v>
      </c>
      <c r="C87" s="84" t="s">
        <v>426</v>
      </c>
      <c r="D87" s="445" t="s">
        <v>269</v>
      </c>
      <c r="E87" s="284">
        <v>2</v>
      </c>
      <c r="F87" s="2"/>
      <c r="G87" s="284">
        <v>2</v>
      </c>
      <c r="H87" s="284">
        <v>5</v>
      </c>
      <c r="I87" s="284">
        <v>2</v>
      </c>
      <c r="J87" s="284">
        <v>11</v>
      </c>
      <c r="K87" s="284">
        <v>1</v>
      </c>
      <c r="L87" s="284">
        <v>1</v>
      </c>
      <c r="M87" s="284">
        <v>6</v>
      </c>
      <c r="N87" s="284">
        <v>6</v>
      </c>
      <c r="O87" s="2"/>
      <c r="P87" s="2"/>
      <c r="Q87" s="284">
        <v>36</v>
      </c>
    </row>
    <row r="88" spans="2:17" ht="12.75" customHeight="1" x14ac:dyDescent="0.2">
      <c r="B88" s="451"/>
      <c r="C88" s="84" t="s">
        <v>423</v>
      </c>
      <c r="D88" s="445"/>
      <c r="E88" s="284">
        <v>1701</v>
      </c>
      <c r="F88" s="284">
        <v>1389</v>
      </c>
      <c r="G88" s="284">
        <v>1307</v>
      </c>
      <c r="H88" s="284">
        <v>1792</v>
      </c>
      <c r="I88" s="284">
        <v>2114</v>
      </c>
      <c r="J88" s="284">
        <v>4287</v>
      </c>
      <c r="K88" s="284">
        <v>5828</v>
      </c>
      <c r="L88" s="284">
        <v>5224</v>
      </c>
      <c r="M88" s="284">
        <v>2566</v>
      </c>
      <c r="N88" s="284">
        <v>1721</v>
      </c>
      <c r="O88" s="284">
        <v>1501</v>
      </c>
      <c r="P88" s="284">
        <v>1119</v>
      </c>
      <c r="Q88" s="284">
        <v>30549</v>
      </c>
    </row>
    <row r="89" spans="2:17" ht="12.75" customHeight="1" x14ac:dyDescent="0.2">
      <c r="B89" s="451"/>
      <c r="C89" s="84" t="s">
        <v>424</v>
      </c>
      <c r="D89" s="445"/>
      <c r="E89" s="284">
        <v>1840</v>
      </c>
      <c r="F89" s="284">
        <v>1672</v>
      </c>
      <c r="G89" s="284">
        <v>2018</v>
      </c>
      <c r="H89" s="284">
        <v>1905</v>
      </c>
      <c r="I89" s="284">
        <v>1989</v>
      </c>
      <c r="J89" s="284">
        <v>2320</v>
      </c>
      <c r="K89" s="284">
        <v>3343</v>
      </c>
      <c r="L89" s="284">
        <v>4115</v>
      </c>
      <c r="M89" s="284">
        <v>2428</v>
      </c>
      <c r="N89" s="284">
        <v>2165</v>
      </c>
      <c r="O89" s="284">
        <v>2196</v>
      </c>
      <c r="P89" s="284">
        <v>2130</v>
      </c>
      <c r="Q89" s="284">
        <v>28121</v>
      </c>
    </row>
    <row r="90" spans="2:17" ht="12.75" customHeight="1" x14ac:dyDescent="0.2">
      <c r="B90" s="451"/>
      <c r="C90" s="84" t="s">
        <v>425</v>
      </c>
      <c r="D90" s="445"/>
      <c r="E90" s="284">
        <v>58</v>
      </c>
      <c r="F90" s="284">
        <v>19</v>
      </c>
      <c r="G90" s="284">
        <v>33</v>
      </c>
      <c r="H90" s="284">
        <v>127</v>
      </c>
      <c r="I90" s="284">
        <v>26</v>
      </c>
      <c r="J90" s="284">
        <v>164</v>
      </c>
      <c r="K90" s="284">
        <v>72</v>
      </c>
      <c r="L90" s="284">
        <v>177</v>
      </c>
      <c r="M90" s="284">
        <v>57</v>
      </c>
      <c r="N90" s="284">
        <v>132</v>
      </c>
      <c r="O90" s="284">
        <v>101</v>
      </c>
      <c r="P90" s="284">
        <v>79</v>
      </c>
      <c r="Q90" s="284">
        <v>1045</v>
      </c>
    </row>
    <row r="91" spans="2:17" ht="12.75" customHeight="1" x14ac:dyDescent="0.2">
      <c r="B91" s="451"/>
      <c r="C91" s="84" t="s">
        <v>598</v>
      </c>
      <c r="D91" s="445"/>
      <c r="E91" s="2"/>
      <c r="F91" s="2"/>
      <c r="G91" s="2"/>
      <c r="H91" s="2"/>
      <c r="I91" s="2"/>
      <c r="J91" s="2"/>
      <c r="K91" s="284">
        <v>46</v>
      </c>
      <c r="L91" s="2"/>
      <c r="M91" s="2"/>
      <c r="N91" s="2"/>
      <c r="O91" s="2"/>
      <c r="P91" s="2"/>
      <c r="Q91" s="284">
        <v>46</v>
      </c>
    </row>
    <row r="92" spans="2:17" ht="12.75" customHeight="1" x14ac:dyDescent="0.2">
      <c r="B92" s="451"/>
      <c r="C92" s="84" t="s">
        <v>619</v>
      </c>
      <c r="D92" s="445"/>
      <c r="E92" s="2"/>
      <c r="F92" s="2"/>
      <c r="G92" s="2"/>
      <c r="H92" s="2"/>
      <c r="I92" s="2"/>
      <c r="J92" s="2"/>
      <c r="K92" s="2"/>
      <c r="L92" s="2"/>
      <c r="M92" s="2"/>
      <c r="N92" s="2"/>
      <c r="O92" s="2"/>
      <c r="P92" s="284">
        <v>4</v>
      </c>
      <c r="Q92" s="284">
        <v>4</v>
      </c>
    </row>
    <row r="93" spans="2:17" ht="12.75" customHeight="1" thickBot="1" x14ac:dyDescent="0.25">
      <c r="B93" s="451"/>
      <c r="C93" s="300" t="s">
        <v>17</v>
      </c>
      <c r="D93" s="85" t="s">
        <v>264</v>
      </c>
      <c r="E93" s="127">
        <v>3601</v>
      </c>
      <c r="F93" s="127">
        <v>3080</v>
      </c>
      <c r="G93" s="127">
        <v>3360</v>
      </c>
      <c r="H93" s="127">
        <v>3829</v>
      </c>
      <c r="I93" s="127">
        <v>4131</v>
      </c>
      <c r="J93" s="127">
        <v>6782</v>
      </c>
      <c r="K93" s="127">
        <v>9290</v>
      </c>
      <c r="L93" s="127">
        <v>9517</v>
      </c>
      <c r="M93" s="127">
        <v>5057</v>
      </c>
      <c r="N93" s="127">
        <v>4024</v>
      </c>
      <c r="O93" s="127">
        <v>3798</v>
      </c>
      <c r="P93" s="127">
        <v>3332</v>
      </c>
      <c r="Q93" s="127">
        <v>59801</v>
      </c>
    </row>
    <row r="94" spans="2:17" ht="12.75" customHeight="1" x14ac:dyDescent="0.2">
      <c r="B94" s="447" t="s">
        <v>328</v>
      </c>
      <c r="C94" s="89" t="s">
        <v>428</v>
      </c>
      <c r="D94" s="444" t="s">
        <v>269</v>
      </c>
      <c r="E94" s="147">
        <v>1018</v>
      </c>
      <c r="F94" s="147">
        <v>1018</v>
      </c>
      <c r="G94" s="147">
        <v>1288</v>
      </c>
      <c r="H94" s="147">
        <v>1269</v>
      </c>
      <c r="I94" s="147">
        <v>1491</v>
      </c>
      <c r="J94" s="147">
        <v>1539</v>
      </c>
      <c r="K94" s="147">
        <v>1719</v>
      </c>
      <c r="L94" s="147">
        <v>1951</v>
      </c>
      <c r="M94" s="147">
        <v>1447</v>
      </c>
      <c r="N94" s="147">
        <v>1300</v>
      </c>
      <c r="O94" s="147">
        <v>1267</v>
      </c>
      <c r="P94" s="147">
        <v>1359</v>
      </c>
      <c r="Q94" s="147">
        <v>16666</v>
      </c>
    </row>
    <row r="95" spans="2:17" ht="12.75" customHeight="1" x14ac:dyDescent="0.2">
      <c r="B95" s="448"/>
      <c r="C95" s="90" t="s">
        <v>436</v>
      </c>
      <c r="D95" s="440"/>
      <c r="E95" s="150">
        <v>12</v>
      </c>
      <c r="F95" s="150">
        <v>8</v>
      </c>
      <c r="G95" s="150">
        <v>5</v>
      </c>
      <c r="H95" s="150">
        <v>25</v>
      </c>
      <c r="I95" s="150">
        <v>19</v>
      </c>
      <c r="J95" s="150">
        <v>33</v>
      </c>
      <c r="K95" s="150">
        <v>39</v>
      </c>
      <c r="L95" s="150">
        <v>28</v>
      </c>
      <c r="M95" s="150">
        <v>37</v>
      </c>
      <c r="N95" s="150">
        <v>14</v>
      </c>
      <c r="O95" s="150">
        <v>9</v>
      </c>
      <c r="P95" s="150">
        <v>6</v>
      </c>
      <c r="Q95" s="150">
        <v>235</v>
      </c>
    </row>
    <row r="96" spans="2:17" ht="12.75" customHeight="1" x14ac:dyDescent="0.2">
      <c r="B96" s="448"/>
      <c r="C96" s="90" t="s">
        <v>429</v>
      </c>
      <c r="D96" s="298" t="s">
        <v>270</v>
      </c>
      <c r="E96" s="150">
        <v>1207</v>
      </c>
      <c r="F96" s="150">
        <v>1131</v>
      </c>
      <c r="G96" s="150">
        <v>1032</v>
      </c>
      <c r="H96" s="150">
        <v>1098</v>
      </c>
      <c r="I96" s="150">
        <v>1171</v>
      </c>
      <c r="J96" s="150">
        <v>1473</v>
      </c>
      <c r="K96" s="150">
        <v>1642</v>
      </c>
      <c r="L96" s="150">
        <v>1501</v>
      </c>
      <c r="M96" s="150">
        <v>1371</v>
      </c>
      <c r="N96" s="150">
        <v>1231</v>
      </c>
      <c r="O96" s="150">
        <v>1419</v>
      </c>
      <c r="P96" s="150">
        <v>1215</v>
      </c>
      <c r="Q96" s="150">
        <v>15491</v>
      </c>
    </row>
    <row r="97" spans="2:17" ht="12.75" customHeight="1" x14ac:dyDescent="0.2">
      <c r="B97" s="448"/>
      <c r="C97" s="90" t="s">
        <v>430</v>
      </c>
      <c r="D97" s="440" t="s">
        <v>269</v>
      </c>
      <c r="E97" s="150">
        <v>60</v>
      </c>
      <c r="F97" s="150">
        <v>54</v>
      </c>
      <c r="G97" s="150">
        <v>59</v>
      </c>
      <c r="H97" s="150">
        <v>49</v>
      </c>
      <c r="I97" s="150">
        <v>62</v>
      </c>
      <c r="J97" s="150">
        <v>35</v>
      </c>
      <c r="K97" s="150">
        <v>30</v>
      </c>
      <c r="L97" s="150">
        <v>40</v>
      </c>
      <c r="M97" s="150">
        <v>38</v>
      </c>
      <c r="N97" s="150">
        <v>32</v>
      </c>
      <c r="O97" s="150">
        <v>46</v>
      </c>
      <c r="P97" s="150">
        <v>90</v>
      </c>
      <c r="Q97" s="150">
        <v>595</v>
      </c>
    </row>
    <row r="98" spans="2:17" ht="12.75" customHeight="1" x14ac:dyDescent="0.2">
      <c r="B98" s="448"/>
      <c r="C98" s="90" t="s">
        <v>437</v>
      </c>
      <c r="D98" s="440"/>
      <c r="E98" s="150">
        <v>1452</v>
      </c>
      <c r="F98" s="151"/>
      <c r="G98" s="151"/>
      <c r="H98" s="150">
        <v>752</v>
      </c>
      <c r="I98" s="150">
        <v>2164</v>
      </c>
      <c r="J98" s="150">
        <v>1096</v>
      </c>
      <c r="K98" s="150">
        <v>2926</v>
      </c>
      <c r="L98" s="150">
        <v>4522</v>
      </c>
      <c r="M98" s="150">
        <v>4139</v>
      </c>
      <c r="N98" s="150">
        <v>5501</v>
      </c>
      <c r="O98" s="150">
        <v>2581</v>
      </c>
      <c r="P98" s="150">
        <v>1473</v>
      </c>
      <c r="Q98" s="150">
        <v>26606</v>
      </c>
    </row>
    <row r="99" spans="2:17" ht="12.75" customHeight="1" x14ac:dyDescent="0.2">
      <c r="B99" s="448"/>
      <c r="C99" s="90" t="s">
        <v>431</v>
      </c>
      <c r="D99" s="440" t="s">
        <v>270</v>
      </c>
      <c r="E99" s="150">
        <v>336661</v>
      </c>
      <c r="F99" s="150">
        <v>307187</v>
      </c>
      <c r="G99" s="150">
        <v>348888</v>
      </c>
      <c r="H99" s="150">
        <v>376478</v>
      </c>
      <c r="I99" s="150">
        <v>408366</v>
      </c>
      <c r="J99" s="150">
        <v>444270</v>
      </c>
      <c r="K99" s="150">
        <v>517429</v>
      </c>
      <c r="L99" s="150">
        <v>462575</v>
      </c>
      <c r="M99" s="150">
        <v>422240</v>
      </c>
      <c r="N99" s="150">
        <v>421533</v>
      </c>
      <c r="O99" s="150">
        <v>339009</v>
      </c>
      <c r="P99" s="150">
        <v>386521</v>
      </c>
      <c r="Q99" s="150">
        <v>4771157</v>
      </c>
    </row>
    <row r="100" spans="2:17" ht="12.75" customHeight="1" x14ac:dyDescent="0.2">
      <c r="B100" s="448"/>
      <c r="C100" s="90" t="s">
        <v>432</v>
      </c>
      <c r="D100" s="440"/>
      <c r="E100" s="150">
        <v>846231</v>
      </c>
      <c r="F100" s="150">
        <v>771909</v>
      </c>
      <c r="G100" s="150">
        <v>845671</v>
      </c>
      <c r="H100" s="150">
        <v>885226</v>
      </c>
      <c r="I100" s="150">
        <v>1058394</v>
      </c>
      <c r="J100" s="150">
        <v>1138489</v>
      </c>
      <c r="K100" s="150">
        <v>1304345</v>
      </c>
      <c r="L100" s="150">
        <v>1235473</v>
      </c>
      <c r="M100" s="150">
        <v>1163196</v>
      </c>
      <c r="N100" s="150">
        <v>1104507</v>
      </c>
      <c r="O100" s="150">
        <v>905090</v>
      </c>
      <c r="P100" s="150">
        <v>919253</v>
      </c>
      <c r="Q100" s="150">
        <v>12177784</v>
      </c>
    </row>
    <row r="101" spans="2:17" ht="12.75" customHeight="1" x14ac:dyDescent="0.2">
      <c r="B101" s="448"/>
      <c r="C101" s="90" t="s">
        <v>433</v>
      </c>
      <c r="D101" s="440" t="s">
        <v>269</v>
      </c>
      <c r="E101" s="150">
        <v>203</v>
      </c>
      <c r="F101" s="150">
        <v>274</v>
      </c>
      <c r="G101" s="150">
        <v>306</v>
      </c>
      <c r="H101" s="150">
        <v>326</v>
      </c>
      <c r="I101" s="150">
        <v>284</v>
      </c>
      <c r="J101" s="150">
        <v>308</v>
      </c>
      <c r="K101" s="150">
        <v>361</v>
      </c>
      <c r="L101" s="150">
        <v>365</v>
      </c>
      <c r="M101" s="150">
        <v>344</v>
      </c>
      <c r="N101" s="150">
        <v>344</v>
      </c>
      <c r="O101" s="150">
        <v>344</v>
      </c>
      <c r="P101" s="150">
        <v>251</v>
      </c>
      <c r="Q101" s="150">
        <v>3710</v>
      </c>
    </row>
    <row r="102" spans="2:17" ht="12.75" customHeight="1" x14ac:dyDescent="0.2">
      <c r="B102" s="448"/>
      <c r="C102" s="90" t="s">
        <v>438</v>
      </c>
      <c r="D102" s="440"/>
      <c r="E102" s="150">
        <v>793</v>
      </c>
      <c r="F102" s="151"/>
      <c r="G102" s="150">
        <v>6939</v>
      </c>
      <c r="H102" s="150">
        <v>22373</v>
      </c>
      <c r="I102" s="150">
        <v>31618</v>
      </c>
      <c r="J102" s="150">
        <v>37739</v>
      </c>
      <c r="K102" s="150">
        <v>42520</v>
      </c>
      <c r="L102" s="150">
        <v>39249</v>
      </c>
      <c r="M102" s="150">
        <v>36745</v>
      </c>
      <c r="N102" s="150">
        <v>69369</v>
      </c>
      <c r="O102" s="150">
        <v>36803</v>
      </c>
      <c r="P102" s="150">
        <v>6558</v>
      </c>
      <c r="Q102" s="150">
        <v>330706</v>
      </c>
    </row>
    <row r="103" spans="2:17" ht="12.75" customHeight="1" x14ac:dyDescent="0.2">
      <c r="B103" s="448"/>
      <c r="C103" s="90" t="s">
        <v>434</v>
      </c>
      <c r="D103" s="440"/>
      <c r="E103" s="150">
        <v>1848</v>
      </c>
      <c r="F103" s="150">
        <v>1856</v>
      </c>
      <c r="G103" s="150">
        <v>1870</v>
      </c>
      <c r="H103" s="150">
        <v>1665</v>
      </c>
      <c r="I103" s="150">
        <v>2100</v>
      </c>
      <c r="J103" s="150">
        <v>1776</v>
      </c>
      <c r="K103" s="150">
        <v>1846</v>
      </c>
      <c r="L103" s="150">
        <v>1691</v>
      </c>
      <c r="M103" s="150">
        <v>1835</v>
      </c>
      <c r="N103" s="150">
        <v>1960</v>
      </c>
      <c r="O103" s="150">
        <v>1465</v>
      </c>
      <c r="P103" s="150">
        <v>1599</v>
      </c>
      <c r="Q103" s="150">
        <v>21511</v>
      </c>
    </row>
    <row r="104" spans="2:17" ht="12.75" customHeight="1" x14ac:dyDescent="0.2">
      <c r="B104" s="448"/>
      <c r="C104" s="90" t="s">
        <v>435</v>
      </c>
      <c r="D104" s="440"/>
      <c r="E104" s="150">
        <v>342</v>
      </c>
      <c r="F104" s="150">
        <v>596</v>
      </c>
      <c r="G104" s="150">
        <v>712</v>
      </c>
      <c r="H104" s="150">
        <v>642</v>
      </c>
      <c r="I104" s="150">
        <v>279</v>
      </c>
      <c r="J104" s="150">
        <v>299</v>
      </c>
      <c r="K104" s="150">
        <v>240</v>
      </c>
      <c r="L104" s="150">
        <v>216</v>
      </c>
      <c r="M104" s="150">
        <v>571</v>
      </c>
      <c r="N104" s="150">
        <v>714</v>
      </c>
      <c r="O104" s="150">
        <v>577</v>
      </c>
      <c r="P104" s="150">
        <v>381</v>
      </c>
      <c r="Q104" s="150">
        <v>5569</v>
      </c>
    </row>
    <row r="105" spans="2:17" ht="12.75" customHeight="1" thickBot="1" x14ac:dyDescent="0.25">
      <c r="B105" s="449"/>
      <c r="C105" s="126" t="s">
        <v>17</v>
      </c>
      <c r="D105" s="92" t="s">
        <v>264</v>
      </c>
      <c r="E105" s="153">
        <v>1189827</v>
      </c>
      <c r="F105" s="153">
        <v>1084033</v>
      </c>
      <c r="G105" s="153">
        <v>1206770</v>
      </c>
      <c r="H105" s="153">
        <v>1289903</v>
      </c>
      <c r="I105" s="153">
        <v>1505948</v>
      </c>
      <c r="J105" s="153">
        <v>1627057</v>
      </c>
      <c r="K105" s="153">
        <v>1873097</v>
      </c>
      <c r="L105" s="153">
        <v>1747611</v>
      </c>
      <c r="M105" s="153">
        <v>1631963</v>
      </c>
      <c r="N105" s="153">
        <v>1606505</v>
      </c>
      <c r="O105" s="153">
        <v>1288610</v>
      </c>
      <c r="P105" s="153">
        <v>1318706</v>
      </c>
      <c r="Q105" s="153">
        <v>17370030</v>
      </c>
    </row>
    <row r="106" spans="2:17" ht="12.75" customHeight="1" x14ac:dyDescent="0.2">
      <c r="B106" s="451" t="s">
        <v>329</v>
      </c>
      <c r="C106" s="84" t="s">
        <v>439</v>
      </c>
      <c r="D106" s="445" t="s">
        <v>269</v>
      </c>
      <c r="E106" s="284">
        <v>2619</v>
      </c>
      <c r="F106" s="284">
        <v>1541</v>
      </c>
      <c r="G106" s="284">
        <v>4316</v>
      </c>
      <c r="H106" s="284">
        <v>7626</v>
      </c>
      <c r="I106" s="284">
        <v>6517</v>
      </c>
      <c r="J106" s="284">
        <v>9221</v>
      </c>
      <c r="K106" s="284">
        <v>12742</v>
      </c>
      <c r="L106" s="284">
        <v>14624</v>
      </c>
      <c r="M106" s="284">
        <v>10819</v>
      </c>
      <c r="N106" s="284">
        <v>7181</v>
      </c>
      <c r="O106" s="284">
        <v>4237</v>
      </c>
      <c r="P106" s="284">
        <v>2822</v>
      </c>
      <c r="Q106" s="284">
        <v>84265</v>
      </c>
    </row>
    <row r="107" spans="2:17" ht="12.75" customHeight="1" x14ac:dyDescent="0.2">
      <c r="B107" s="451"/>
      <c r="C107" s="84" t="s">
        <v>440</v>
      </c>
      <c r="D107" s="445"/>
      <c r="E107" s="284">
        <v>136</v>
      </c>
      <c r="F107" s="284">
        <v>185</v>
      </c>
      <c r="G107" s="284">
        <v>468</v>
      </c>
      <c r="H107" s="284">
        <v>712</v>
      </c>
      <c r="I107" s="284">
        <v>4896</v>
      </c>
      <c r="J107" s="284">
        <v>2818</v>
      </c>
      <c r="K107" s="284">
        <v>1815</v>
      </c>
      <c r="L107" s="284">
        <v>368</v>
      </c>
      <c r="M107" s="284">
        <v>1022</v>
      </c>
      <c r="N107" s="284">
        <v>10836</v>
      </c>
      <c r="O107" s="284">
        <v>13397</v>
      </c>
      <c r="P107" s="284">
        <v>4358</v>
      </c>
      <c r="Q107" s="284">
        <v>41011</v>
      </c>
    </row>
    <row r="108" spans="2:17" ht="12.75" customHeight="1" x14ac:dyDescent="0.2">
      <c r="B108" s="451"/>
      <c r="C108" s="84" t="s">
        <v>441</v>
      </c>
      <c r="D108" s="445"/>
      <c r="E108" s="284">
        <v>1060</v>
      </c>
      <c r="F108" s="284">
        <v>1036</v>
      </c>
      <c r="G108" s="284">
        <v>789</v>
      </c>
      <c r="H108" s="284">
        <v>492</v>
      </c>
      <c r="I108" s="284">
        <v>373</v>
      </c>
      <c r="J108" s="284">
        <v>507</v>
      </c>
      <c r="K108" s="284">
        <v>448</v>
      </c>
      <c r="L108" s="284">
        <v>426</v>
      </c>
      <c r="M108" s="284">
        <v>396</v>
      </c>
      <c r="N108" s="284">
        <v>563</v>
      </c>
      <c r="O108" s="284">
        <v>504</v>
      </c>
      <c r="P108" s="284">
        <v>659</v>
      </c>
      <c r="Q108" s="284">
        <v>7253</v>
      </c>
    </row>
    <row r="109" spans="2:17" ht="12.75" customHeight="1" x14ac:dyDescent="0.2">
      <c r="B109" s="451"/>
      <c r="C109" s="84" t="s">
        <v>442</v>
      </c>
      <c r="D109" s="296" t="s">
        <v>270</v>
      </c>
      <c r="E109" s="284">
        <v>26332</v>
      </c>
      <c r="F109" s="284">
        <v>29722</v>
      </c>
      <c r="G109" s="284">
        <v>39971</v>
      </c>
      <c r="H109" s="284">
        <v>89402</v>
      </c>
      <c r="I109" s="284">
        <v>130272</v>
      </c>
      <c r="J109" s="284">
        <v>168869</v>
      </c>
      <c r="K109" s="284">
        <v>247426</v>
      </c>
      <c r="L109" s="284">
        <v>228070</v>
      </c>
      <c r="M109" s="284">
        <v>173363</v>
      </c>
      <c r="N109" s="284">
        <v>135532</v>
      </c>
      <c r="O109" s="284">
        <v>34114</v>
      </c>
      <c r="P109" s="284">
        <v>48919</v>
      </c>
      <c r="Q109" s="284">
        <v>1351992</v>
      </c>
    </row>
    <row r="110" spans="2:17" ht="12.75" customHeight="1" x14ac:dyDescent="0.2">
      <c r="B110" s="451"/>
      <c r="C110" s="84" t="s">
        <v>443</v>
      </c>
      <c r="D110" s="445" t="s">
        <v>269</v>
      </c>
      <c r="E110" s="284">
        <v>50</v>
      </c>
      <c r="F110" s="284">
        <v>70</v>
      </c>
      <c r="G110" s="284">
        <v>68</v>
      </c>
      <c r="H110" s="284">
        <v>1501</v>
      </c>
      <c r="I110" s="284">
        <v>794</v>
      </c>
      <c r="J110" s="284">
        <v>346</v>
      </c>
      <c r="K110" s="284">
        <v>277</v>
      </c>
      <c r="L110" s="284">
        <v>61</v>
      </c>
      <c r="M110" s="284">
        <v>951</v>
      </c>
      <c r="N110" s="284">
        <v>1488</v>
      </c>
      <c r="O110" s="284">
        <v>1548</v>
      </c>
      <c r="P110" s="284">
        <v>66</v>
      </c>
      <c r="Q110" s="284">
        <v>7220</v>
      </c>
    </row>
    <row r="111" spans="2:17" ht="12.75" customHeight="1" x14ac:dyDescent="0.2">
      <c r="B111" s="451"/>
      <c r="C111" s="84" t="s">
        <v>444</v>
      </c>
      <c r="D111" s="445"/>
      <c r="E111" s="2"/>
      <c r="F111" s="2"/>
      <c r="G111" s="2"/>
      <c r="H111" s="2"/>
      <c r="I111" s="284">
        <v>1</v>
      </c>
      <c r="J111" s="284">
        <v>5</v>
      </c>
      <c r="K111" s="284">
        <v>4</v>
      </c>
      <c r="L111" s="284">
        <v>11</v>
      </c>
      <c r="M111" s="284">
        <v>4</v>
      </c>
      <c r="N111" s="284">
        <v>2</v>
      </c>
      <c r="O111" s="2"/>
      <c r="P111" s="2"/>
      <c r="Q111" s="284">
        <v>27</v>
      </c>
    </row>
    <row r="112" spans="2:17" ht="12.75" customHeight="1" x14ac:dyDescent="0.2">
      <c r="B112" s="451"/>
      <c r="C112" s="84" t="s">
        <v>445</v>
      </c>
      <c r="D112" s="445"/>
      <c r="E112" s="2"/>
      <c r="F112" s="2"/>
      <c r="G112" s="2"/>
      <c r="H112" s="2"/>
      <c r="I112" s="2"/>
      <c r="J112" s="284">
        <v>5</v>
      </c>
      <c r="K112" s="2"/>
      <c r="L112" s="284">
        <v>9</v>
      </c>
      <c r="M112" s="284">
        <v>11</v>
      </c>
      <c r="N112" s="2"/>
      <c r="O112" s="284">
        <v>10</v>
      </c>
      <c r="P112" s="2"/>
      <c r="Q112" s="284">
        <v>35</v>
      </c>
    </row>
    <row r="113" spans="2:17" ht="12.75" customHeight="1" thickBot="1" x14ac:dyDescent="0.25">
      <c r="B113" s="451"/>
      <c r="C113" s="300" t="s">
        <v>17</v>
      </c>
      <c r="D113" s="85" t="s">
        <v>264</v>
      </c>
      <c r="E113" s="127">
        <v>30197</v>
      </c>
      <c r="F113" s="127">
        <v>32554</v>
      </c>
      <c r="G113" s="127">
        <v>45612</v>
      </c>
      <c r="H113" s="127">
        <v>99733</v>
      </c>
      <c r="I113" s="127">
        <v>142853</v>
      </c>
      <c r="J113" s="127">
        <v>181771</v>
      </c>
      <c r="K113" s="127">
        <v>262712</v>
      </c>
      <c r="L113" s="127">
        <v>243569</v>
      </c>
      <c r="M113" s="127">
        <v>186566</v>
      </c>
      <c r="N113" s="127">
        <v>155602</v>
      </c>
      <c r="O113" s="127">
        <v>53810</v>
      </c>
      <c r="P113" s="127">
        <v>56824</v>
      </c>
      <c r="Q113" s="127">
        <v>1491803</v>
      </c>
    </row>
    <row r="114" spans="2:17" ht="12.75" customHeight="1" thickBot="1" x14ac:dyDescent="0.25">
      <c r="B114" s="93" t="s">
        <v>331</v>
      </c>
      <c r="C114" s="91" t="s">
        <v>446</v>
      </c>
      <c r="D114" s="87" t="s">
        <v>270</v>
      </c>
      <c r="E114" s="156">
        <v>20</v>
      </c>
      <c r="F114" s="156">
        <v>13</v>
      </c>
      <c r="G114" s="283"/>
      <c r="H114" s="283"/>
      <c r="I114" s="283"/>
      <c r="J114" s="283"/>
      <c r="K114" s="156">
        <v>10</v>
      </c>
      <c r="L114" s="156">
        <v>4</v>
      </c>
      <c r="M114" s="283"/>
      <c r="N114" s="156">
        <v>11</v>
      </c>
      <c r="O114" s="283"/>
      <c r="P114" s="156">
        <v>7</v>
      </c>
      <c r="Q114" s="156">
        <v>65</v>
      </c>
    </row>
    <row r="115" spans="2:17" ht="12.75" customHeight="1" x14ac:dyDescent="0.2">
      <c r="B115" s="447" t="s">
        <v>332</v>
      </c>
      <c r="C115" s="89" t="s">
        <v>447</v>
      </c>
      <c r="D115" s="297" t="s">
        <v>269</v>
      </c>
      <c r="E115" s="304">
        <v>27</v>
      </c>
      <c r="F115" s="304">
        <v>27</v>
      </c>
      <c r="G115" s="304">
        <v>51</v>
      </c>
      <c r="H115" s="304">
        <v>67</v>
      </c>
      <c r="I115" s="304">
        <v>16</v>
      </c>
      <c r="J115" s="304">
        <v>28</v>
      </c>
      <c r="K115" s="304">
        <v>101</v>
      </c>
      <c r="L115" s="304">
        <v>5</v>
      </c>
      <c r="M115" s="304">
        <v>25</v>
      </c>
      <c r="N115" s="304">
        <v>7</v>
      </c>
      <c r="O115" s="304">
        <v>31</v>
      </c>
      <c r="P115" s="304">
        <v>55</v>
      </c>
      <c r="Q115" s="304">
        <v>440</v>
      </c>
    </row>
    <row r="116" spans="2:17" ht="12.75" customHeight="1" x14ac:dyDescent="0.2">
      <c r="B116" s="448"/>
      <c r="C116" s="90" t="s">
        <v>448</v>
      </c>
      <c r="D116" s="298" t="s">
        <v>270</v>
      </c>
      <c r="E116" s="151"/>
      <c r="F116" s="150">
        <v>1</v>
      </c>
      <c r="G116" s="150">
        <v>7</v>
      </c>
      <c r="H116" s="150">
        <v>4</v>
      </c>
      <c r="I116" s="150">
        <v>2</v>
      </c>
      <c r="J116" s="151"/>
      <c r="K116" s="150">
        <v>1</v>
      </c>
      <c r="L116" s="151"/>
      <c r="M116" s="151"/>
      <c r="N116" s="151"/>
      <c r="O116" s="151"/>
      <c r="P116" s="151"/>
      <c r="Q116" s="150">
        <v>15</v>
      </c>
    </row>
    <row r="117" spans="2:17" ht="12.75" customHeight="1" thickBot="1" x14ac:dyDescent="0.25">
      <c r="B117" s="449"/>
      <c r="C117" s="126" t="s">
        <v>17</v>
      </c>
      <c r="D117" s="92" t="s">
        <v>264</v>
      </c>
      <c r="E117" s="153">
        <v>27</v>
      </c>
      <c r="F117" s="153">
        <v>28</v>
      </c>
      <c r="G117" s="153">
        <v>58</v>
      </c>
      <c r="H117" s="153">
        <v>71</v>
      </c>
      <c r="I117" s="153">
        <v>18</v>
      </c>
      <c r="J117" s="153">
        <v>28</v>
      </c>
      <c r="K117" s="153">
        <v>102</v>
      </c>
      <c r="L117" s="153">
        <v>5</v>
      </c>
      <c r="M117" s="153">
        <v>25</v>
      </c>
      <c r="N117" s="153">
        <v>7</v>
      </c>
      <c r="O117" s="153">
        <v>31</v>
      </c>
      <c r="P117" s="153">
        <v>55</v>
      </c>
      <c r="Q117" s="153">
        <v>455</v>
      </c>
    </row>
    <row r="118" spans="2:17" ht="12.75" customHeight="1" thickBot="1" x14ac:dyDescent="0.25">
      <c r="B118" s="299" t="s">
        <v>333</v>
      </c>
      <c r="C118" s="300" t="s">
        <v>449</v>
      </c>
      <c r="D118" s="85" t="s">
        <v>270</v>
      </c>
      <c r="E118" s="127">
        <v>6502</v>
      </c>
      <c r="F118" s="127">
        <v>6643</v>
      </c>
      <c r="G118" s="127">
        <v>5682</v>
      </c>
      <c r="H118" s="127">
        <v>6400</v>
      </c>
      <c r="I118" s="127">
        <v>7136</v>
      </c>
      <c r="J118" s="127">
        <v>12598</v>
      </c>
      <c r="K118" s="127">
        <v>22375</v>
      </c>
      <c r="L118" s="127">
        <v>19650</v>
      </c>
      <c r="M118" s="127">
        <v>11156</v>
      </c>
      <c r="N118" s="127">
        <v>10524</v>
      </c>
      <c r="O118" s="127">
        <v>5166</v>
      </c>
      <c r="P118" s="127">
        <v>9896</v>
      </c>
      <c r="Q118" s="127">
        <v>123728</v>
      </c>
    </row>
    <row r="119" spans="2:17" ht="12.75" customHeight="1" x14ac:dyDescent="0.2">
      <c r="B119" s="447" t="s">
        <v>334</v>
      </c>
      <c r="C119" s="89" t="s">
        <v>450</v>
      </c>
      <c r="D119" s="297" t="s">
        <v>271</v>
      </c>
      <c r="E119" s="147">
        <v>31845</v>
      </c>
      <c r="F119" s="147">
        <v>26829</v>
      </c>
      <c r="G119" s="147">
        <v>38932</v>
      </c>
      <c r="H119" s="147">
        <v>54015</v>
      </c>
      <c r="I119" s="147">
        <v>53107</v>
      </c>
      <c r="J119" s="147">
        <v>60332</v>
      </c>
      <c r="K119" s="147">
        <v>78053</v>
      </c>
      <c r="L119" s="147">
        <v>86488</v>
      </c>
      <c r="M119" s="147">
        <v>80279</v>
      </c>
      <c r="N119" s="147">
        <v>62479</v>
      </c>
      <c r="O119" s="147">
        <v>41854</v>
      </c>
      <c r="P119" s="147">
        <v>43372</v>
      </c>
      <c r="Q119" s="147">
        <v>657585</v>
      </c>
    </row>
    <row r="120" spans="2:17" ht="12.75" customHeight="1" x14ac:dyDescent="0.2">
      <c r="B120" s="448"/>
      <c r="C120" s="90" t="s">
        <v>620</v>
      </c>
      <c r="D120" s="298" t="s">
        <v>269</v>
      </c>
      <c r="E120" s="151"/>
      <c r="F120" s="151"/>
      <c r="G120" s="151"/>
      <c r="H120" s="151"/>
      <c r="I120" s="151"/>
      <c r="J120" s="150">
        <v>1</v>
      </c>
      <c r="K120" s="151"/>
      <c r="L120" s="150">
        <v>1</v>
      </c>
      <c r="M120" s="151"/>
      <c r="N120" s="151"/>
      <c r="O120" s="151"/>
      <c r="P120" s="151"/>
      <c r="Q120" s="150">
        <v>2</v>
      </c>
    </row>
    <row r="121" spans="2:17" ht="12.75" customHeight="1" thickBot="1" x14ac:dyDescent="0.25">
      <c r="B121" s="449"/>
      <c r="C121" s="126" t="s">
        <v>17</v>
      </c>
      <c r="D121" s="92" t="s">
        <v>264</v>
      </c>
      <c r="E121" s="153">
        <v>31845</v>
      </c>
      <c r="F121" s="153">
        <v>26829</v>
      </c>
      <c r="G121" s="153">
        <v>38932</v>
      </c>
      <c r="H121" s="153">
        <v>54015</v>
      </c>
      <c r="I121" s="153">
        <v>53107</v>
      </c>
      <c r="J121" s="153">
        <v>60333</v>
      </c>
      <c r="K121" s="153">
        <v>78053</v>
      </c>
      <c r="L121" s="153">
        <v>86489</v>
      </c>
      <c r="M121" s="153">
        <v>80279</v>
      </c>
      <c r="N121" s="153">
        <v>62479</v>
      </c>
      <c r="O121" s="153">
        <v>41854</v>
      </c>
      <c r="P121" s="153">
        <v>43372</v>
      </c>
      <c r="Q121" s="153">
        <v>657587</v>
      </c>
    </row>
    <row r="122" spans="2:17" ht="12.75" customHeight="1" x14ac:dyDescent="0.2">
      <c r="B122" s="451" t="s">
        <v>336</v>
      </c>
      <c r="C122" s="84" t="s">
        <v>452</v>
      </c>
      <c r="D122" s="296" t="s">
        <v>270</v>
      </c>
      <c r="E122" s="284">
        <v>10</v>
      </c>
      <c r="F122" s="284">
        <v>2</v>
      </c>
      <c r="G122" s="2"/>
      <c r="H122" s="2"/>
      <c r="I122" s="284">
        <v>10</v>
      </c>
      <c r="J122" s="2"/>
      <c r="K122" s="2"/>
      <c r="L122" s="2"/>
      <c r="M122" s="284">
        <v>12</v>
      </c>
      <c r="N122" s="2"/>
      <c r="O122" s="284">
        <v>8</v>
      </c>
      <c r="P122" s="284">
        <v>8</v>
      </c>
      <c r="Q122" s="284">
        <v>50</v>
      </c>
    </row>
    <row r="123" spans="2:17" ht="12.75" customHeight="1" x14ac:dyDescent="0.2">
      <c r="B123" s="451"/>
      <c r="C123" s="84" t="s">
        <v>451</v>
      </c>
      <c r="D123" s="296" t="s">
        <v>269</v>
      </c>
      <c r="E123" s="284">
        <v>1700</v>
      </c>
      <c r="F123" s="284">
        <v>1617</v>
      </c>
      <c r="G123" s="284">
        <v>2469</v>
      </c>
      <c r="H123" s="284">
        <v>2337</v>
      </c>
      <c r="I123" s="284">
        <v>2409</v>
      </c>
      <c r="J123" s="284">
        <v>2361</v>
      </c>
      <c r="K123" s="284">
        <v>2675</v>
      </c>
      <c r="L123" s="284">
        <v>2360</v>
      </c>
      <c r="M123" s="284">
        <v>2579</v>
      </c>
      <c r="N123" s="284">
        <v>2364</v>
      </c>
      <c r="O123" s="284">
        <v>2133</v>
      </c>
      <c r="P123" s="284">
        <v>2816</v>
      </c>
      <c r="Q123" s="284">
        <v>27820</v>
      </c>
    </row>
    <row r="124" spans="2:17" ht="12.75" customHeight="1" thickBot="1" x14ac:dyDescent="0.25">
      <c r="B124" s="451"/>
      <c r="C124" s="300" t="s">
        <v>17</v>
      </c>
      <c r="D124" s="85" t="s">
        <v>264</v>
      </c>
      <c r="E124" s="127">
        <v>1710</v>
      </c>
      <c r="F124" s="127">
        <v>1619</v>
      </c>
      <c r="G124" s="127">
        <v>2469</v>
      </c>
      <c r="H124" s="127">
        <v>2337</v>
      </c>
      <c r="I124" s="127">
        <v>2419</v>
      </c>
      <c r="J124" s="127">
        <v>2361</v>
      </c>
      <c r="K124" s="127">
        <v>2675</v>
      </c>
      <c r="L124" s="127">
        <v>2360</v>
      </c>
      <c r="M124" s="127">
        <v>2591</v>
      </c>
      <c r="N124" s="127">
        <v>2364</v>
      </c>
      <c r="O124" s="127">
        <v>2141</v>
      </c>
      <c r="P124" s="127">
        <v>2824</v>
      </c>
      <c r="Q124" s="127">
        <v>27870</v>
      </c>
    </row>
    <row r="125" spans="2:17" ht="12.75" customHeight="1" thickBot="1" x14ac:dyDescent="0.25">
      <c r="B125" s="93" t="s">
        <v>337</v>
      </c>
      <c r="C125" s="91" t="s">
        <v>453</v>
      </c>
      <c r="D125" s="87" t="s">
        <v>270</v>
      </c>
      <c r="E125" s="156">
        <v>1251</v>
      </c>
      <c r="F125" s="156">
        <v>981</v>
      </c>
      <c r="G125" s="156">
        <v>857</v>
      </c>
      <c r="H125" s="156">
        <v>1550</v>
      </c>
      <c r="I125" s="156">
        <v>2509</v>
      </c>
      <c r="J125" s="156">
        <v>6632</v>
      </c>
      <c r="K125" s="156">
        <v>9559</v>
      </c>
      <c r="L125" s="156">
        <v>5038</v>
      </c>
      <c r="M125" s="156">
        <v>2988</v>
      </c>
      <c r="N125" s="156">
        <v>2837</v>
      </c>
      <c r="O125" s="156">
        <v>1173</v>
      </c>
      <c r="P125" s="156">
        <v>2849</v>
      </c>
      <c r="Q125" s="156">
        <v>38224</v>
      </c>
    </row>
    <row r="126" spans="2:17" ht="12.75" customHeight="1" thickBot="1" x14ac:dyDescent="0.25">
      <c r="B126" s="93" t="s">
        <v>338</v>
      </c>
      <c r="C126" s="91" t="s">
        <v>454</v>
      </c>
      <c r="D126" s="87" t="s">
        <v>270</v>
      </c>
      <c r="E126" s="156">
        <v>2</v>
      </c>
      <c r="F126" s="283"/>
      <c r="G126" s="156">
        <v>57</v>
      </c>
      <c r="H126" s="156">
        <v>206</v>
      </c>
      <c r="I126" s="156">
        <v>226</v>
      </c>
      <c r="J126" s="156">
        <v>1816</v>
      </c>
      <c r="K126" s="156">
        <v>4513</v>
      </c>
      <c r="L126" s="156">
        <v>2214</v>
      </c>
      <c r="M126" s="156">
        <v>795</v>
      </c>
      <c r="N126" s="156">
        <v>690</v>
      </c>
      <c r="O126" s="156">
        <v>92</v>
      </c>
      <c r="P126" s="156">
        <v>115</v>
      </c>
      <c r="Q126" s="156">
        <v>10726</v>
      </c>
    </row>
    <row r="127" spans="2:17" ht="12.75" customHeight="1" thickBot="1" x14ac:dyDescent="0.25">
      <c r="B127" s="93" t="s">
        <v>339</v>
      </c>
      <c r="C127" s="91" t="s">
        <v>455</v>
      </c>
      <c r="D127" s="87" t="s">
        <v>270</v>
      </c>
      <c r="E127" s="156">
        <v>1</v>
      </c>
      <c r="F127" s="156">
        <v>2</v>
      </c>
      <c r="G127" s="156">
        <v>33</v>
      </c>
      <c r="H127" s="283"/>
      <c r="I127" s="283"/>
      <c r="J127" s="283"/>
      <c r="K127" s="156">
        <v>2</v>
      </c>
      <c r="L127" s="156">
        <v>4</v>
      </c>
      <c r="M127" s="283"/>
      <c r="N127" s="283"/>
      <c r="O127" s="283"/>
      <c r="P127" s="156">
        <v>1</v>
      </c>
      <c r="Q127" s="156">
        <v>43</v>
      </c>
    </row>
    <row r="128" spans="2:17" ht="12.75" customHeight="1" thickBot="1" x14ac:dyDescent="0.25">
      <c r="B128" s="93" t="s">
        <v>330</v>
      </c>
      <c r="C128" s="91" t="s">
        <v>456</v>
      </c>
      <c r="D128" s="87" t="s">
        <v>270</v>
      </c>
      <c r="E128" s="283"/>
      <c r="F128" s="156">
        <v>35</v>
      </c>
      <c r="G128" s="156">
        <v>14</v>
      </c>
      <c r="H128" s="283"/>
      <c r="I128" s="283"/>
      <c r="J128" s="283"/>
      <c r="K128" s="283"/>
      <c r="L128" s="283"/>
      <c r="M128" s="156">
        <v>5</v>
      </c>
      <c r="N128" s="283"/>
      <c r="O128" s="156">
        <v>2</v>
      </c>
      <c r="P128" s="283"/>
      <c r="Q128" s="156">
        <v>56</v>
      </c>
    </row>
    <row r="129" spans="2:17" ht="12.75" customHeight="1" thickBot="1" x14ac:dyDescent="0.25">
      <c r="B129" s="93" t="s">
        <v>340</v>
      </c>
      <c r="C129" s="91" t="s">
        <v>457</v>
      </c>
      <c r="D129" s="87" t="s">
        <v>270</v>
      </c>
      <c r="E129" s="283"/>
      <c r="F129" s="156">
        <v>2</v>
      </c>
      <c r="G129" s="156">
        <v>1</v>
      </c>
      <c r="H129" s="283"/>
      <c r="I129" s="283"/>
      <c r="J129" s="283"/>
      <c r="K129" s="156">
        <v>1</v>
      </c>
      <c r="L129" s="283"/>
      <c r="M129" s="283"/>
      <c r="N129" s="283"/>
      <c r="O129" s="283"/>
      <c r="P129" s="156">
        <v>3</v>
      </c>
      <c r="Q129" s="156">
        <v>7</v>
      </c>
    </row>
    <row r="130" spans="2:17" ht="12.75" customHeight="1" x14ac:dyDescent="0.2">
      <c r="B130" s="451" t="s">
        <v>342</v>
      </c>
      <c r="C130" s="84" t="s">
        <v>458</v>
      </c>
      <c r="D130" s="445" t="s">
        <v>269</v>
      </c>
      <c r="E130" s="284">
        <v>624</v>
      </c>
      <c r="F130" s="284">
        <v>651</v>
      </c>
      <c r="G130" s="284">
        <v>1249</v>
      </c>
      <c r="H130" s="284">
        <v>9200</v>
      </c>
      <c r="I130" s="284">
        <v>30348</v>
      </c>
      <c r="J130" s="284">
        <v>37960</v>
      </c>
      <c r="K130" s="284">
        <v>45123</v>
      </c>
      <c r="L130" s="284">
        <v>52993</v>
      </c>
      <c r="M130" s="284">
        <v>45481</v>
      </c>
      <c r="N130" s="284">
        <v>31391</v>
      </c>
      <c r="O130" s="284">
        <v>1503</v>
      </c>
      <c r="P130" s="284">
        <v>511</v>
      </c>
      <c r="Q130" s="284">
        <v>257034</v>
      </c>
    </row>
    <row r="131" spans="2:17" ht="12.75" customHeight="1" x14ac:dyDescent="0.2">
      <c r="B131" s="451"/>
      <c r="C131" s="84" t="s">
        <v>459</v>
      </c>
      <c r="D131" s="445"/>
      <c r="E131" s="284">
        <v>4</v>
      </c>
      <c r="F131" s="284">
        <v>6</v>
      </c>
      <c r="G131" s="284">
        <v>10</v>
      </c>
      <c r="H131" s="284">
        <v>193</v>
      </c>
      <c r="I131" s="284">
        <v>1584</v>
      </c>
      <c r="J131" s="284">
        <v>2506</v>
      </c>
      <c r="K131" s="284">
        <v>3475</v>
      </c>
      <c r="L131" s="284">
        <v>4589</v>
      </c>
      <c r="M131" s="284">
        <v>3267</v>
      </c>
      <c r="N131" s="284">
        <v>991</v>
      </c>
      <c r="O131" s="284">
        <v>11</v>
      </c>
      <c r="P131" s="284">
        <v>5</v>
      </c>
      <c r="Q131" s="284">
        <v>16641</v>
      </c>
    </row>
    <row r="132" spans="2:17" ht="12.75" customHeight="1" x14ac:dyDescent="0.2">
      <c r="B132" s="451"/>
      <c r="C132" s="84" t="s">
        <v>460</v>
      </c>
      <c r="D132" s="445"/>
      <c r="E132" s="284">
        <v>162</v>
      </c>
      <c r="F132" s="284">
        <v>164</v>
      </c>
      <c r="G132" s="284">
        <v>21</v>
      </c>
      <c r="H132" s="284">
        <v>396</v>
      </c>
      <c r="I132" s="284">
        <v>19438</v>
      </c>
      <c r="J132" s="284">
        <v>25779</v>
      </c>
      <c r="K132" s="284">
        <v>33205</v>
      </c>
      <c r="L132" s="284">
        <v>34759</v>
      </c>
      <c r="M132" s="284">
        <v>30609</v>
      </c>
      <c r="N132" s="284">
        <v>38900</v>
      </c>
      <c r="O132" s="284">
        <v>1396</v>
      </c>
      <c r="P132" s="284">
        <v>978</v>
      </c>
      <c r="Q132" s="284">
        <v>185807</v>
      </c>
    </row>
    <row r="133" spans="2:17" ht="12.75" customHeight="1" x14ac:dyDescent="0.2">
      <c r="B133" s="451"/>
      <c r="C133" s="84" t="s">
        <v>466</v>
      </c>
      <c r="D133" s="445"/>
      <c r="E133" s="284">
        <v>20</v>
      </c>
      <c r="F133" s="284">
        <v>9</v>
      </c>
      <c r="G133" s="284">
        <v>11</v>
      </c>
      <c r="H133" s="284">
        <v>12</v>
      </c>
      <c r="I133" s="284">
        <v>20</v>
      </c>
      <c r="J133" s="284">
        <v>18</v>
      </c>
      <c r="K133" s="284">
        <v>16</v>
      </c>
      <c r="L133" s="284">
        <v>20</v>
      </c>
      <c r="M133" s="284">
        <v>11</v>
      </c>
      <c r="N133" s="284">
        <v>10</v>
      </c>
      <c r="O133" s="284">
        <v>14</v>
      </c>
      <c r="P133" s="284">
        <v>6</v>
      </c>
      <c r="Q133" s="284">
        <v>167</v>
      </c>
    </row>
    <row r="134" spans="2:17" ht="12.75" customHeight="1" x14ac:dyDescent="0.2">
      <c r="B134" s="451"/>
      <c r="C134" s="84" t="s">
        <v>461</v>
      </c>
      <c r="D134" s="296" t="s">
        <v>270</v>
      </c>
      <c r="E134" s="284">
        <v>3943</v>
      </c>
      <c r="F134" s="284">
        <v>5924</v>
      </c>
      <c r="G134" s="284">
        <v>20163</v>
      </c>
      <c r="H134" s="284">
        <v>96024</v>
      </c>
      <c r="I134" s="284">
        <v>210421</v>
      </c>
      <c r="J134" s="284">
        <v>271693</v>
      </c>
      <c r="K134" s="284">
        <v>322971</v>
      </c>
      <c r="L134" s="284">
        <v>317583</v>
      </c>
      <c r="M134" s="284">
        <v>283967</v>
      </c>
      <c r="N134" s="284">
        <v>191574</v>
      </c>
      <c r="O134" s="284">
        <v>8955</v>
      </c>
      <c r="P134" s="284">
        <v>4106</v>
      </c>
      <c r="Q134" s="284">
        <v>1737324</v>
      </c>
    </row>
    <row r="135" spans="2:17" ht="12.75" customHeight="1" x14ac:dyDescent="0.2">
      <c r="B135" s="451"/>
      <c r="C135" s="84" t="s">
        <v>462</v>
      </c>
      <c r="D135" s="296" t="s">
        <v>269</v>
      </c>
      <c r="E135" s="284">
        <v>3</v>
      </c>
      <c r="F135" s="284">
        <v>2</v>
      </c>
      <c r="G135" s="284">
        <v>13</v>
      </c>
      <c r="H135" s="284">
        <v>71</v>
      </c>
      <c r="I135" s="284">
        <v>273</v>
      </c>
      <c r="J135" s="284">
        <v>286</v>
      </c>
      <c r="K135" s="284">
        <v>364</v>
      </c>
      <c r="L135" s="284">
        <v>361</v>
      </c>
      <c r="M135" s="284">
        <v>222</v>
      </c>
      <c r="N135" s="284">
        <v>161</v>
      </c>
      <c r="O135" s="284">
        <v>12</v>
      </c>
      <c r="P135" s="284">
        <v>3</v>
      </c>
      <c r="Q135" s="284">
        <v>1771</v>
      </c>
    </row>
    <row r="136" spans="2:17" ht="12.75" customHeight="1" x14ac:dyDescent="0.2">
      <c r="B136" s="451"/>
      <c r="C136" s="84" t="s">
        <v>463</v>
      </c>
      <c r="D136" s="296" t="s">
        <v>270</v>
      </c>
      <c r="E136" s="284">
        <v>1224</v>
      </c>
      <c r="F136" s="284">
        <v>1210</v>
      </c>
      <c r="G136" s="284">
        <v>3416</v>
      </c>
      <c r="H136" s="284">
        <v>32306</v>
      </c>
      <c r="I136" s="284">
        <v>93311</v>
      </c>
      <c r="J136" s="284">
        <v>153541</v>
      </c>
      <c r="K136" s="284">
        <v>197793</v>
      </c>
      <c r="L136" s="284">
        <v>187157</v>
      </c>
      <c r="M136" s="284">
        <v>144027</v>
      </c>
      <c r="N136" s="284">
        <v>79736</v>
      </c>
      <c r="O136" s="284">
        <v>1808</v>
      </c>
      <c r="P136" s="284">
        <v>835</v>
      </c>
      <c r="Q136" s="284">
        <v>896364</v>
      </c>
    </row>
    <row r="137" spans="2:17" ht="12.75" customHeight="1" x14ac:dyDescent="0.2">
      <c r="B137" s="451"/>
      <c r="C137" s="84" t="s">
        <v>467</v>
      </c>
      <c r="D137" s="445" t="s">
        <v>269</v>
      </c>
      <c r="E137" s="284">
        <v>11</v>
      </c>
      <c r="F137" s="284">
        <v>30</v>
      </c>
      <c r="G137" s="284">
        <v>20</v>
      </c>
      <c r="H137" s="284">
        <v>70</v>
      </c>
      <c r="I137" s="284">
        <v>163</v>
      </c>
      <c r="J137" s="284">
        <v>371</v>
      </c>
      <c r="K137" s="284">
        <v>385</v>
      </c>
      <c r="L137" s="284">
        <v>662</v>
      </c>
      <c r="M137" s="284">
        <v>325</v>
      </c>
      <c r="N137" s="284">
        <v>180</v>
      </c>
      <c r="O137" s="284">
        <v>60</v>
      </c>
      <c r="P137" s="284">
        <v>34</v>
      </c>
      <c r="Q137" s="284">
        <v>2311</v>
      </c>
    </row>
    <row r="138" spans="2:17" ht="12.75" customHeight="1" x14ac:dyDescent="0.2">
      <c r="B138" s="451"/>
      <c r="C138" s="84" t="s">
        <v>464</v>
      </c>
      <c r="D138" s="445"/>
      <c r="E138" s="284">
        <v>176</v>
      </c>
      <c r="F138" s="284">
        <v>167</v>
      </c>
      <c r="G138" s="284">
        <v>1077</v>
      </c>
      <c r="H138" s="284">
        <v>10341</v>
      </c>
      <c r="I138" s="284">
        <v>22902</v>
      </c>
      <c r="J138" s="284">
        <v>28122</v>
      </c>
      <c r="K138" s="284">
        <v>28851</v>
      </c>
      <c r="L138" s="284">
        <v>24886</v>
      </c>
      <c r="M138" s="284">
        <v>26612</v>
      </c>
      <c r="N138" s="284">
        <v>39546</v>
      </c>
      <c r="O138" s="284">
        <v>14629</v>
      </c>
      <c r="P138" s="284">
        <v>645</v>
      </c>
      <c r="Q138" s="284">
        <v>197954</v>
      </c>
    </row>
    <row r="139" spans="2:17" ht="12.75" customHeight="1" x14ac:dyDescent="0.2">
      <c r="B139" s="451"/>
      <c r="C139" s="84" t="s">
        <v>465</v>
      </c>
      <c r="D139" s="445"/>
      <c r="E139" s="284">
        <v>344</v>
      </c>
      <c r="F139" s="284">
        <v>259</v>
      </c>
      <c r="G139" s="284">
        <v>421</v>
      </c>
      <c r="H139" s="284">
        <v>980</v>
      </c>
      <c r="I139" s="284">
        <v>2285</v>
      </c>
      <c r="J139" s="284">
        <v>3021</v>
      </c>
      <c r="K139" s="284">
        <v>4092</v>
      </c>
      <c r="L139" s="284">
        <v>3589</v>
      </c>
      <c r="M139" s="284">
        <v>4091</v>
      </c>
      <c r="N139" s="284">
        <v>3976</v>
      </c>
      <c r="O139" s="284">
        <v>600</v>
      </c>
      <c r="P139" s="284">
        <v>431</v>
      </c>
      <c r="Q139" s="284">
        <v>24089</v>
      </c>
    </row>
    <row r="140" spans="2:17" ht="12.75" customHeight="1" x14ac:dyDescent="0.2">
      <c r="B140" s="451"/>
      <c r="C140" s="84" t="s">
        <v>469</v>
      </c>
      <c r="D140" s="445"/>
      <c r="E140" s="284">
        <v>5</v>
      </c>
      <c r="F140" s="2"/>
      <c r="G140" s="2"/>
      <c r="H140" s="284">
        <v>28</v>
      </c>
      <c r="I140" s="284">
        <v>62</v>
      </c>
      <c r="J140" s="284">
        <v>486</v>
      </c>
      <c r="K140" s="284">
        <v>850</v>
      </c>
      <c r="L140" s="284">
        <v>1241</v>
      </c>
      <c r="M140" s="284">
        <v>415</v>
      </c>
      <c r="N140" s="284">
        <v>109</v>
      </c>
      <c r="O140" s="284">
        <v>7</v>
      </c>
      <c r="P140" s="284">
        <v>1</v>
      </c>
      <c r="Q140" s="284">
        <v>3204</v>
      </c>
    </row>
    <row r="141" spans="2:17" ht="12.75" customHeight="1" x14ac:dyDescent="0.2">
      <c r="B141" s="451"/>
      <c r="C141" s="84" t="s">
        <v>468</v>
      </c>
      <c r="D141" s="445"/>
      <c r="E141" s="2"/>
      <c r="F141" s="2"/>
      <c r="G141" s="2"/>
      <c r="H141" s="284">
        <v>4</v>
      </c>
      <c r="I141" s="284">
        <v>3</v>
      </c>
      <c r="J141" s="284">
        <v>2</v>
      </c>
      <c r="K141" s="284">
        <v>3</v>
      </c>
      <c r="L141" s="284">
        <v>7</v>
      </c>
      <c r="M141" s="284">
        <v>3</v>
      </c>
      <c r="N141" s="2"/>
      <c r="O141" s="2"/>
      <c r="P141" s="284">
        <v>4</v>
      </c>
      <c r="Q141" s="284">
        <v>26</v>
      </c>
    </row>
    <row r="142" spans="2:17" ht="12.75" customHeight="1" x14ac:dyDescent="0.2">
      <c r="B142" s="451"/>
      <c r="C142" s="84" t="s">
        <v>599</v>
      </c>
      <c r="D142" s="445"/>
      <c r="E142" s="2"/>
      <c r="F142" s="2"/>
      <c r="G142" s="2"/>
      <c r="H142" s="2"/>
      <c r="I142" s="284">
        <v>89</v>
      </c>
      <c r="J142" s="284">
        <v>514</v>
      </c>
      <c r="K142" s="284">
        <v>718</v>
      </c>
      <c r="L142" s="284">
        <v>807</v>
      </c>
      <c r="M142" s="284">
        <v>431</v>
      </c>
      <c r="N142" s="284">
        <v>237</v>
      </c>
      <c r="O142" s="284">
        <v>4</v>
      </c>
      <c r="P142" s="2"/>
      <c r="Q142" s="284">
        <v>2800</v>
      </c>
    </row>
    <row r="143" spans="2:17" ht="12.75" customHeight="1" thickBot="1" x14ac:dyDescent="0.25">
      <c r="B143" s="451"/>
      <c r="C143" s="300" t="s">
        <v>17</v>
      </c>
      <c r="D143" s="85" t="s">
        <v>264</v>
      </c>
      <c r="E143" s="127">
        <v>6516</v>
      </c>
      <c r="F143" s="127">
        <v>8422</v>
      </c>
      <c r="G143" s="127">
        <v>26401</v>
      </c>
      <c r="H143" s="127">
        <v>149625</v>
      </c>
      <c r="I143" s="127">
        <v>380899</v>
      </c>
      <c r="J143" s="127">
        <v>524299</v>
      </c>
      <c r="K143" s="127">
        <v>637846</v>
      </c>
      <c r="L143" s="127">
        <v>628654</v>
      </c>
      <c r="M143" s="127">
        <v>539461</v>
      </c>
      <c r="N143" s="127">
        <v>386811</v>
      </c>
      <c r="O143" s="127">
        <v>28999</v>
      </c>
      <c r="P143" s="127">
        <v>7559</v>
      </c>
      <c r="Q143" s="127">
        <v>3325492</v>
      </c>
    </row>
    <row r="144" spans="2:17" ht="12.75" customHeight="1" thickBot="1" x14ac:dyDescent="0.25">
      <c r="B144" s="93" t="s">
        <v>592</v>
      </c>
      <c r="C144" s="91" t="s">
        <v>600</v>
      </c>
      <c r="D144" s="87" t="s">
        <v>270</v>
      </c>
      <c r="E144" s="283"/>
      <c r="F144" s="283"/>
      <c r="G144" s="283"/>
      <c r="H144" s="283"/>
      <c r="I144" s="283"/>
      <c r="J144" s="156">
        <v>1</v>
      </c>
      <c r="K144" s="283"/>
      <c r="L144" s="283"/>
      <c r="M144" s="283"/>
      <c r="N144" s="283"/>
      <c r="O144" s="283"/>
      <c r="P144" s="283"/>
      <c r="Q144" s="156">
        <v>1</v>
      </c>
    </row>
    <row r="145" spans="2:17" ht="12.75" customHeight="1" thickBot="1" x14ac:dyDescent="0.25">
      <c r="B145" s="93" t="s">
        <v>343</v>
      </c>
      <c r="C145" s="91" t="s">
        <v>470</v>
      </c>
      <c r="D145" s="87" t="s">
        <v>270</v>
      </c>
      <c r="E145" s="156">
        <v>32</v>
      </c>
      <c r="F145" s="156">
        <v>91</v>
      </c>
      <c r="G145" s="156">
        <v>141</v>
      </c>
      <c r="H145" s="156">
        <v>1633</v>
      </c>
      <c r="I145" s="156">
        <v>1187</v>
      </c>
      <c r="J145" s="156">
        <v>654</v>
      </c>
      <c r="K145" s="156">
        <v>209</v>
      </c>
      <c r="L145" s="156">
        <v>327</v>
      </c>
      <c r="M145" s="156">
        <v>1222</v>
      </c>
      <c r="N145" s="156">
        <v>1774</v>
      </c>
      <c r="O145" s="156">
        <v>2</v>
      </c>
      <c r="P145" s="156">
        <v>2</v>
      </c>
      <c r="Q145" s="156">
        <v>7274</v>
      </c>
    </row>
    <row r="146" spans="2:17" ht="12.75" customHeight="1" x14ac:dyDescent="0.2">
      <c r="B146" s="451" t="s">
        <v>344</v>
      </c>
      <c r="C146" s="84" t="s">
        <v>473</v>
      </c>
      <c r="D146" s="296" t="s">
        <v>270</v>
      </c>
      <c r="E146" s="284">
        <v>88</v>
      </c>
      <c r="F146" s="284">
        <v>2</v>
      </c>
      <c r="G146" s="284">
        <v>8</v>
      </c>
      <c r="H146" s="284">
        <v>9</v>
      </c>
      <c r="I146" s="2"/>
      <c r="J146" s="284">
        <v>604</v>
      </c>
      <c r="K146" s="284">
        <v>1796</v>
      </c>
      <c r="L146" s="284">
        <v>1856</v>
      </c>
      <c r="M146" s="284">
        <v>559</v>
      </c>
      <c r="N146" s="284">
        <v>289</v>
      </c>
      <c r="O146" s="284">
        <v>4</v>
      </c>
      <c r="P146" s="284">
        <v>230</v>
      </c>
      <c r="Q146" s="284">
        <v>5445</v>
      </c>
    </row>
    <row r="147" spans="2:17" ht="12.75" customHeight="1" x14ac:dyDescent="0.2">
      <c r="B147" s="451"/>
      <c r="C147" s="84" t="s">
        <v>472</v>
      </c>
      <c r="D147" s="445" t="s">
        <v>269</v>
      </c>
      <c r="E147" s="284">
        <v>171</v>
      </c>
      <c r="F147" s="284">
        <v>203</v>
      </c>
      <c r="G147" s="284">
        <v>83</v>
      </c>
      <c r="H147" s="284">
        <v>101</v>
      </c>
      <c r="I147" s="284">
        <v>69</v>
      </c>
      <c r="J147" s="284">
        <v>2782</v>
      </c>
      <c r="K147" s="284">
        <v>2257</v>
      </c>
      <c r="L147" s="284">
        <v>87</v>
      </c>
      <c r="M147" s="284">
        <v>3634</v>
      </c>
      <c r="N147" s="284">
        <v>4491</v>
      </c>
      <c r="O147" s="284">
        <v>1775</v>
      </c>
      <c r="P147" s="284">
        <v>88</v>
      </c>
      <c r="Q147" s="284">
        <v>15741</v>
      </c>
    </row>
    <row r="148" spans="2:17" ht="12.75" customHeight="1" x14ac:dyDescent="0.2">
      <c r="B148" s="451"/>
      <c r="C148" s="84" t="s">
        <v>471</v>
      </c>
      <c r="D148" s="445"/>
      <c r="E148" s="2"/>
      <c r="F148" s="2"/>
      <c r="G148" s="284">
        <v>9</v>
      </c>
      <c r="H148" s="284">
        <v>6</v>
      </c>
      <c r="I148" s="284">
        <v>8</v>
      </c>
      <c r="J148" s="284">
        <v>26</v>
      </c>
      <c r="K148" s="284">
        <v>14</v>
      </c>
      <c r="L148" s="284">
        <v>11</v>
      </c>
      <c r="M148" s="284">
        <v>5</v>
      </c>
      <c r="N148" s="284">
        <v>24</v>
      </c>
      <c r="O148" s="284">
        <v>8</v>
      </c>
      <c r="P148" s="2"/>
      <c r="Q148" s="284">
        <v>111</v>
      </c>
    </row>
    <row r="149" spans="2:17" ht="12.75" customHeight="1" thickBot="1" x14ac:dyDescent="0.25">
      <c r="B149" s="451"/>
      <c r="C149" s="300" t="s">
        <v>17</v>
      </c>
      <c r="D149" s="85" t="s">
        <v>264</v>
      </c>
      <c r="E149" s="127">
        <v>259</v>
      </c>
      <c r="F149" s="127">
        <v>205</v>
      </c>
      <c r="G149" s="127">
        <v>100</v>
      </c>
      <c r="H149" s="127">
        <v>116</v>
      </c>
      <c r="I149" s="127">
        <v>77</v>
      </c>
      <c r="J149" s="127">
        <v>3412</v>
      </c>
      <c r="K149" s="127">
        <v>4067</v>
      </c>
      <c r="L149" s="127">
        <v>1954</v>
      </c>
      <c r="M149" s="127">
        <v>4198</v>
      </c>
      <c r="N149" s="127">
        <v>4804</v>
      </c>
      <c r="O149" s="127">
        <v>1787</v>
      </c>
      <c r="P149" s="127">
        <v>318</v>
      </c>
      <c r="Q149" s="127">
        <v>21297</v>
      </c>
    </row>
    <row r="150" spans="2:17" ht="12.75" customHeight="1" thickBot="1" x14ac:dyDescent="0.25">
      <c r="B150" s="93" t="s">
        <v>345</v>
      </c>
      <c r="C150" s="91" t="s">
        <v>474</v>
      </c>
      <c r="D150" s="87" t="s">
        <v>269</v>
      </c>
      <c r="E150" s="283"/>
      <c r="F150" s="156">
        <v>6</v>
      </c>
      <c r="G150" s="156">
        <v>23</v>
      </c>
      <c r="H150" s="156">
        <v>16</v>
      </c>
      <c r="I150" s="156">
        <v>48</v>
      </c>
      <c r="J150" s="156">
        <v>19</v>
      </c>
      <c r="K150" s="156">
        <v>46</v>
      </c>
      <c r="L150" s="156">
        <v>32</v>
      </c>
      <c r="M150" s="156">
        <v>26</v>
      </c>
      <c r="N150" s="156">
        <v>37</v>
      </c>
      <c r="O150" s="283"/>
      <c r="P150" s="156">
        <v>36</v>
      </c>
      <c r="Q150" s="156">
        <v>289</v>
      </c>
    </row>
    <row r="151" spans="2:17" ht="12.75" customHeight="1" thickBot="1" x14ac:dyDescent="0.25">
      <c r="B151" s="158" t="s">
        <v>346</v>
      </c>
      <c r="C151" s="91" t="s">
        <v>475</v>
      </c>
      <c r="D151" s="87" t="s">
        <v>269</v>
      </c>
      <c r="E151" s="156">
        <v>447</v>
      </c>
      <c r="F151" s="156">
        <v>396</v>
      </c>
      <c r="G151" s="156">
        <v>727</v>
      </c>
      <c r="H151" s="156">
        <v>568</v>
      </c>
      <c r="I151" s="156">
        <v>477</v>
      </c>
      <c r="J151" s="156">
        <v>518</v>
      </c>
      <c r="K151" s="156">
        <v>401</v>
      </c>
      <c r="L151" s="156">
        <v>114</v>
      </c>
      <c r="M151" s="156">
        <v>297</v>
      </c>
      <c r="N151" s="156">
        <v>250</v>
      </c>
      <c r="O151" s="156">
        <v>221</v>
      </c>
      <c r="P151" s="156">
        <v>335</v>
      </c>
      <c r="Q151" s="156">
        <v>4751</v>
      </c>
    </row>
    <row r="152" spans="2:17" ht="12.75" customHeight="1" x14ac:dyDescent="0.2">
      <c r="B152" s="447" t="s">
        <v>347</v>
      </c>
      <c r="C152" s="89" t="s">
        <v>476</v>
      </c>
      <c r="D152" s="297" t="s">
        <v>269</v>
      </c>
      <c r="E152" s="304">
        <v>592</v>
      </c>
      <c r="F152" s="304">
        <v>328</v>
      </c>
      <c r="G152" s="304">
        <v>640</v>
      </c>
      <c r="H152" s="304">
        <v>657</v>
      </c>
      <c r="I152" s="304">
        <v>604</v>
      </c>
      <c r="J152" s="304">
        <v>489</v>
      </c>
      <c r="K152" s="304">
        <v>554</v>
      </c>
      <c r="L152" s="304">
        <v>434</v>
      </c>
      <c r="M152" s="304">
        <v>494</v>
      </c>
      <c r="N152" s="304">
        <v>446</v>
      </c>
      <c r="O152" s="304">
        <v>401</v>
      </c>
      <c r="P152" s="304">
        <v>483</v>
      </c>
      <c r="Q152" s="304">
        <v>6122</v>
      </c>
    </row>
    <row r="153" spans="2:17" ht="12.75" customHeight="1" x14ac:dyDescent="0.2">
      <c r="B153" s="448"/>
      <c r="C153" s="90" t="s">
        <v>477</v>
      </c>
      <c r="D153" s="450" t="s">
        <v>269</v>
      </c>
      <c r="E153" s="150">
        <v>916</v>
      </c>
      <c r="F153" s="150">
        <v>610</v>
      </c>
      <c r="G153" s="150">
        <v>1156</v>
      </c>
      <c r="H153" s="150">
        <v>1168</v>
      </c>
      <c r="I153" s="150">
        <v>1134</v>
      </c>
      <c r="J153" s="150">
        <v>829</v>
      </c>
      <c r="K153" s="150">
        <v>1109</v>
      </c>
      <c r="L153" s="150">
        <v>776</v>
      </c>
      <c r="M153" s="150">
        <v>699</v>
      </c>
      <c r="N153" s="150">
        <v>861</v>
      </c>
      <c r="O153" s="150">
        <v>748</v>
      </c>
      <c r="P153" s="150">
        <v>750</v>
      </c>
      <c r="Q153" s="150">
        <v>10756</v>
      </c>
    </row>
    <row r="154" spans="2:17" ht="12.75" customHeight="1" x14ac:dyDescent="0.2">
      <c r="B154" s="448"/>
      <c r="C154" s="90" t="s">
        <v>358</v>
      </c>
      <c r="D154" s="450"/>
      <c r="E154" s="150">
        <v>48</v>
      </c>
      <c r="F154" s="150">
        <v>41</v>
      </c>
      <c r="G154" s="150">
        <v>121</v>
      </c>
      <c r="H154" s="150">
        <v>107</v>
      </c>
      <c r="I154" s="150">
        <v>129</v>
      </c>
      <c r="J154" s="150">
        <v>80</v>
      </c>
      <c r="K154" s="150">
        <v>76</v>
      </c>
      <c r="L154" s="150">
        <v>40</v>
      </c>
      <c r="M154" s="150">
        <v>63</v>
      </c>
      <c r="N154" s="150">
        <v>37</v>
      </c>
      <c r="O154" s="150">
        <v>55</v>
      </c>
      <c r="P154" s="150">
        <v>49</v>
      </c>
      <c r="Q154" s="150">
        <v>846</v>
      </c>
    </row>
    <row r="155" spans="2:17" ht="12.75" customHeight="1" x14ac:dyDescent="0.2">
      <c r="B155" s="448"/>
      <c r="C155" s="90" t="s">
        <v>478</v>
      </c>
      <c r="D155" s="298" t="s">
        <v>270</v>
      </c>
      <c r="E155" s="150">
        <v>1670</v>
      </c>
      <c r="F155" s="150">
        <v>2254</v>
      </c>
      <c r="G155" s="150">
        <v>1975</v>
      </c>
      <c r="H155" s="150">
        <v>2321</v>
      </c>
      <c r="I155" s="150">
        <v>2779</v>
      </c>
      <c r="J155" s="150">
        <v>5338</v>
      </c>
      <c r="K155" s="150">
        <v>9229</v>
      </c>
      <c r="L155" s="150">
        <v>9174</v>
      </c>
      <c r="M155" s="150">
        <v>4532</v>
      </c>
      <c r="N155" s="150">
        <v>3582</v>
      </c>
      <c r="O155" s="150">
        <v>1769</v>
      </c>
      <c r="P155" s="150">
        <v>2487</v>
      </c>
      <c r="Q155" s="150">
        <v>47110</v>
      </c>
    </row>
    <row r="156" spans="2:17" ht="12.75" customHeight="1" thickBot="1" x14ac:dyDescent="0.25">
      <c r="B156" s="449"/>
      <c r="C156" s="126" t="s">
        <v>17</v>
      </c>
      <c r="D156" s="92" t="s">
        <v>264</v>
      </c>
      <c r="E156" s="153">
        <v>3226</v>
      </c>
      <c r="F156" s="153">
        <v>3233</v>
      </c>
      <c r="G156" s="153">
        <v>3892</v>
      </c>
      <c r="H156" s="153">
        <v>4253</v>
      </c>
      <c r="I156" s="153">
        <v>4646</v>
      </c>
      <c r="J156" s="153">
        <v>6736</v>
      </c>
      <c r="K156" s="153">
        <v>10968</v>
      </c>
      <c r="L156" s="153">
        <v>10424</v>
      </c>
      <c r="M156" s="153">
        <v>5788</v>
      </c>
      <c r="N156" s="153">
        <v>4926</v>
      </c>
      <c r="O156" s="153">
        <v>2973</v>
      </c>
      <c r="P156" s="153">
        <v>3769</v>
      </c>
      <c r="Q156" s="153">
        <v>64834</v>
      </c>
    </row>
    <row r="157" spans="2:17" ht="12.75" customHeight="1" x14ac:dyDescent="0.2">
      <c r="B157" s="451" t="s">
        <v>348</v>
      </c>
      <c r="C157" s="84" t="s">
        <v>479</v>
      </c>
      <c r="D157" s="296" t="s">
        <v>269</v>
      </c>
      <c r="E157" s="284">
        <v>3</v>
      </c>
      <c r="F157" s="2"/>
      <c r="G157" s="2"/>
      <c r="H157" s="284">
        <v>806</v>
      </c>
      <c r="I157" s="284">
        <v>32</v>
      </c>
      <c r="J157" s="284">
        <v>1450</v>
      </c>
      <c r="K157" s="284">
        <v>2321</v>
      </c>
      <c r="L157" s="284">
        <v>5011</v>
      </c>
      <c r="M157" s="284">
        <v>2633</v>
      </c>
      <c r="N157" s="284">
        <v>1179</v>
      </c>
      <c r="O157" s="284">
        <v>13</v>
      </c>
      <c r="P157" s="284">
        <v>26</v>
      </c>
      <c r="Q157" s="284">
        <v>13474</v>
      </c>
    </row>
    <row r="158" spans="2:17" ht="12.75" customHeight="1" x14ac:dyDescent="0.2">
      <c r="B158" s="451"/>
      <c r="C158" s="84" t="s">
        <v>480</v>
      </c>
      <c r="D158" s="296" t="s">
        <v>270</v>
      </c>
      <c r="E158" s="2"/>
      <c r="F158" s="284">
        <v>1</v>
      </c>
      <c r="G158" s="2"/>
      <c r="H158" s="2"/>
      <c r="I158" s="2"/>
      <c r="J158" s="2"/>
      <c r="K158" s="284">
        <v>3</v>
      </c>
      <c r="L158" s="2"/>
      <c r="M158" s="2"/>
      <c r="N158" s="2"/>
      <c r="O158" s="2"/>
      <c r="P158" s="2"/>
      <c r="Q158" s="284">
        <v>4</v>
      </c>
    </row>
    <row r="159" spans="2:17" ht="12.75" customHeight="1" thickBot="1" x14ac:dyDescent="0.25">
      <c r="B159" s="451"/>
      <c r="C159" s="300" t="s">
        <v>17</v>
      </c>
      <c r="D159" s="85" t="s">
        <v>264</v>
      </c>
      <c r="E159" s="127">
        <v>3</v>
      </c>
      <c r="F159" s="127">
        <v>1</v>
      </c>
      <c r="G159" s="145"/>
      <c r="H159" s="127">
        <v>806</v>
      </c>
      <c r="I159" s="127">
        <v>32</v>
      </c>
      <c r="J159" s="127">
        <v>1450</v>
      </c>
      <c r="K159" s="127">
        <v>2324</v>
      </c>
      <c r="L159" s="127">
        <v>5011</v>
      </c>
      <c r="M159" s="127">
        <v>2633</v>
      </c>
      <c r="N159" s="127">
        <v>1179</v>
      </c>
      <c r="O159" s="127">
        <v>13</v>
      </c>
      <c r="P159" s="127">
        <v>26</v>
      </c>
      <c r="Q159" s="127">
        <v>13478</v>
      </c>
    </row>
    <row r="160" spans="2:17" ht="12.75" customHeight="1" thickBot="1" x14ac:dyDescent="0.25">
      <c r="B160" s="93" t="s">
        <v>349</v>
      </c>
      <c r="C160" s="91" t="s">
        <v>481</v>
      </c>
      <c r="D160" s="87" t="s">
        <v>270</v>
      </c>
      <c r="E160" s="156">
        <v>2</v>
      </c>
      <c r="F160" s="156">
        <v>1</v>
      </c>
      <c r="G160" s="156">
        <v>86</v>
      </c>
      <c r="H160" s="283"/>
      <c r="I160" s="283"/>
      <c r="J160" s="156">
        <v>9</v>
      </c>
      <c r="K160" s="283"/>
      <c r="L160" s="156">
        <v>6</v>
      </c>
      <c r="M160" s="283"/>
      <c r="N160" s="283"/>
      <c r="O160" s="283"/>
      <c r="P160" s="156">
        <v>1</v>
      </c>
      <c r="Q160" s="156">
        <v>105</v>
      </c>
    </row>
    <row r="161" spans="2:17" ht="12.75" customHeight="1" x14ac:dyDescent="0.2">
      <c r="B161" s="451" t="s">
        <v>352</v>
      </c>
      <c r="C161" s="84" t="s">
        <v>482</v>
      </c>
      <c r="D161" s="296" t="s">
        <v>270</v>
      </c>
      <c r="E161" s="284">
        <v>123</v>
      </c>
      <c r="F161" s="284">
        <v>179</v>
      </c>
      <c r="G161" s="284">
        <v>139</v>
      </c>
      <c r="H161" s="284">
        <v>124</v>
      </c>
      <c r="I161" s="284">
        <v>318</v>
      </c>
      <c r="J161" s="284">
        <v>106</v>
      </c>
      <c r="K161" s="284">
        <v>298</v>
      </c>
      <c r="L161" s="284">
        <v>244</v>
      </c>
      <c r="M161" s="284">
        <v>115</v>
      </c>
      <c r="N161" s="284">
        <v>96</v>
      </c>
      <c r="O161" s="284">
        <v>86</v>
      </c>
      <c r="P161" s="284">
        <v>115</v>
      </c>
      <c r="Q161" s="284">
        <v>1943</v>
      </c>
    </row>
    <row r="162" spans="2:17" ht="12.75" customHeight="1" x14ac:dyDescent="0.2">
      <c r="B162" s="451"/>
      <c r="C162" s="84" t="s">
        <v>483</v>
      </c>
      <c r="D162" s="445" t="s">
        <v>269</v>
      </c>
      <c r="E162" s="284">
        <v>88</v>
      </c>
      <c r="F162" s="284">
        <v>97</v>
      </c>
      <c r="G162" s="284">
        <v>102</v>
      </c>
      <c r="H162" s="284">
        <v>117</v>
      </c>
      <c r="I162" s="284">
        <v>149</v>
      </c>
      <c r="J162" s="284">
        <v>138</v>
      </c>
      <c r="K162" s="284">
        <v>177</v>
      </c>
      <c r="L162" s="284">
        <v>165</v>
      </c>
      <c r="M162" s="284">
        <v>128</v>
      </c>
      <c r="N162" s="284">
        <v>180</v>
      </c>
      <c r="O162" s="284">
        <v>140</v>
      </c>
      <c r="P162" s="284">
        <v>107</v>
      </c>
      <c r="Q162" s="284">
        <v>1588</v>
      </c>
    </row>
    <row r="163" spans="2:17" ht="12.75" customHeight="1" x14ac:dyDescent="0.2">
      <c r="B163" s="451"/>
      <c r="C163" s="84" t="s">
        <v>484</v>
      </c>
      <c r="D163" s="445"/>
      <c r="E163" s="284">
        <v>38</v>
      </c>
      <c r="F163" s="284">
        <v>9</v>
      </c>
      <c r="G163" s="284">
        <v>37</v>
      </c>
      <c r="H163" s="284">
        <v>21</v>
      </c>
      <c r="I163" s="284">
        <v>32</v>
      </c>
      <c r="J163" s="284">
        <v>60</v>
      </c>
      <c r="K163" s="284">
        <v>54</v>
      </c>
      <c r="L163" s="284">
        <v>45</v>
      </c>
      <c r="M163" s="284">
        <v>45</v>
      </c>
      <c r="N163" s="284">
        <v>48</v>
      </c>
      <c r="O163" s="284">
        <v>39</v>
      </c>
      <c r="P163" s="284">
        <v>41</v>
      </c>
      <c r="Q163" s="284">
        <v>469</v>
      </c>
    </row>
    <row r="164" spans="2:17" ht="12.75" customHeight="1" x14ac:dyDescent="0.2">
      <c r="B164" s="451"/>
      <c r="C164" s="84" t="s">
        <v>485</v>
      </c>
      <c r="D164" s="445"/>
      <c r="E164" s="284">
        <v>548</v>
      </c>
      <c r="F164" s="284">
        <v>426</v>
      </c>
      <c r="G164" s="284">
        <v>557</v>
      </c>
      <c r="H164" s="284">
        <v>431</v>
      </c>
      <c r="I164" s="284">
        <v>663</v>
      </c>
      <c r="J164" s="284">
        <v>652</v>
      </c>
      <c r="K164" s="284">
        <v>470</v>
      </c>
      <c r="L164" s="284">
        <v>707</v>
      </c>
      <c r="M164" s="284">
        <v>557</v>
      </c>
      <c r="N164" s="284">
        <v>534</v>
      </c>
      <c r="O164" s="284">
        <v>412</v>
      </c>
      <c r="P164" s="284">
        <v>533</v>
      </c>
      <c r="Q164" s="284">
        <v>6490</v>
      </c>
    </row>
    <row r="165" spans="2:17" ht="12.75" customHeight="1" thickBot="1" x14ac:dyDescent="0.25">
      <c r="B165" s="451"/>
      <c r="C165" s="300" t="s">
        <v>17</v>
      </c>
      <c r="D165" s="85" t="s">
        <v>264</v>
      </c>
      <c r="E165" s="127">
        <v>797</v>
      </c>
      <c r="F165" s="127">
        <v>711</v>
      </c>
      <c r="G165" s="127">
        <v>835</v>
      </c>
      <c r="H165" s="127">
        <v>693</v>
      </c>
      <c r="I165" s="127">
        <v>1162</v>
      </c>
      <c r="J165" s="127">
        <v>956</v>
      </c>
      <c r="K165" s="127">
        <v>999</v>
      </c>
      <c r="L165" s="127">
        <v>1161</v>
      </c>
      <c r="M165" s="127">
        <v>845</v>
      </c>
      <c r="N165" s="127">
        <v>858</v>
      </c>
      <c r="O165" s="127">
        <v>677</v>
      </c>
      <c r="P165" s="127">
        <v>796</v>
      </c>
      <c r="Q165" s="127">
        <v>10490</v>
      </c>
    </row>
    <row r="166" spans="2:17" ht="12.75" customHeight="1" thickBot="1" x14ac:dyDescent="0.25">
      <c r="B166" s="93" t="s">
        <v>593</v>
      </c>
      <c r="C166" s="91" t="s">
        <v>602</v>
      </c>
      <c r="D166" s="87" t="s">
        <v>270</v>
      </c>
      <c r="E166" s="283"/>
      <c r="F166" s="283"/>
      <c r="G166" s="283"/>
      <c r="H166" s="283"/>
      <c r="I166" s="283"/>
      <c r="J166" s="283"/>
      <c r="K166" s="283"/>
      <c r="L166" s="283"/>
      <c r="M166" s="283"/>
      <c r="N166" s="283"/>
      <c r="O166" s="156">
        <v>1</v>
      </c>
      <c r="P166" s="283"/>
      <c r="Q166" s="156">
        <v>1</v>
      </c>
    </row>
    <row r="167" spans="2:17" ht="12.75" customHeight="1" x14ac:dyDescent="0.2">
      <c r="B167" s="451" t="s">
        <v>353</v>
      </c>
      <c r="C167" s="84" t="s">
        <v>486</v>
      </c>
      <c r="D167" s="296" t="s">
        <v>269</v>
      </c>
      <c r="E167" s="284">
        <v>779</v>
      </c>
      <c r="F167" s="284">
        <v>160</v>
      </c>
      <c r="G167" s="284">
        <v>262</v>
      </c>
      <c r="H167" s="284">
        <v>967</v>
      </c>
      <c r="I167" s="284">
        <v>2063</v>
      </c>
      <c r="J167" s="284">
        <v>798</v>
      </c>
      <c r="K167" s="284">
        <v>2106</v>
      </c>
      <c r="L167" s="284">
        <v>199</v>
      </c>
      <c r="M167" s="284">
        <v>1781</v>
      </c>
      <c r="N167" s="284">
        <v>3259</v>
      </c>
      <c r="O167" s="284">
        <v>2895</v>
      </c>
      <c r="P167" s="284">
        <v>2627</v>
      </c>
      <c r="Q167" s="284">
        <v>17896</v>
      </c>
    </row>
    <row r="168" spans="2:17" ht="12.75" customHeight="1" x14ac:dyDescent="0.2">
      <c r="B168" s="451"/>
      <c r="C168" s="84" t="s">
        <v>487</v>
      </c>
      <c r="D168" s="296" t="s">
        <v>270</v>
      </c>
      <c r="E168" s="284">
        <v>6938</v>
      </c>
      <c r="F168" s="284">
        <v>3461</v>
      </c>
      <c r="G168" s="284">
        <v>1844</v>
      </c>
      <c r="H168" s="284">
        <v>7396</v>
      </c>
      <c r="I168" s="284">
        <v>19647</v>
      </c>
      <c r="J168" s="284">
        <v>68388</v>
      </c>
      <c r="K168" s="284">
        <v>147072</v>
      </c>
      <c r="L168" s="284">
        <v>106675</v>
      </c>
      <c r="M168" s="284">
        <v>32602</v>
      </c>
      <c r="N168" s="284">
        <v>10873</v>
      </c>
      <c r="O168" s="284">
        <v>3539</v>
      </c>
      <c r="P168" s="284">
        <v>5528</v>
      </c>
      <c r="Q168" s="284">
        <v>413963</v>
      </c>
    </row>
    <row r="169" spans="2:17" ht="12.75" customHeight="1" thickBot="1" x14ac:dyDescent="0.25">
      <c r="B169" s="451"/>
      <c r="C169" s="300" t="s">
        <v>17</v>
      </c>
      <c r="D169" s="85" t="s">
        <v>264</v>
      </c>
      <c r="E169" s="127">
        <v>7717</v>
      </c>
      <c r="F169" s="127">
        <v>3621</v>
      </c>
      <c r="G169" s="127">
        <v>2106</v>
      </c>
      <c r="H169" s="127">
        <v>8363</v>
      </c>
      <c r="I169" s="127">
        <v>21710</v>
      </c>
      <c r="J169" s="127">
        <v>69186</v>
      </c>
      <c r="K169" s="127">
        <v>149178</v>
      </c>
      <c r="L169" s="127">
        <v>106874</v>
      </c>
      <c r="M169" s="127">
        <v>34383</v>
      </c>
      <c r="N169" s="127">
        <v>14132</v>
      </c>
      <c r="O169" s="127">
        <v>6434</v>
      </c>
      <c r="P169" s="127">
        <v>8155</v>
      </c>
      <c r="Q169" s="127">
        <v>431859</v>
      </c>
    </row>
    <row r="170" spans="2:17" ht="12.75" customHeight="1" x14ac:dyDescent="0.2">
      <c r="B170" s="447" t="s">
        <v>350</v>
      </c>
      <c r="C170" s="89" t="s">
        <v>488</v>
      </c>
      <c r="D170" s="297" t="s">
        <v>271</v>
      </c>
      <c r="E170" s="147">
        <v>4</v>
      </c>
      <c r="F170" s="147">
        <v>22</v>
      </c>
      <c r="G170" s="147">
        <v>3920</v>
      </c>
      <c r="H170" s="147">
        <v>888</v>
      </c>
      <c r="I170" s="147">
        <v>2012</v>
      </c>
      <c r="J170" s="147">
        <v>539</v>
      </c>
      <c r="K170" s="147">
        <v>580</v>
      </c>
      <c r="L170" s="147">
        <v>550</v>
      </c>
      <c r="M170" s="147">
        <v>69</v>
      </c>
      <c r="N170" s="147">
        <v>29</v>
      </c>
      <c r="O170" s="147">
        <v>7</v>
      </c>
      <c r="P170" s="147">
        <v>3</v>
      </c>
      <c r="Q170" s="147">
        <v>8623</v>
      </c>
    </row>
    <row r="171" spans="2:17" ht="12.75" customHeight="1" x14ac:dyDescent="0.2">
      <c r="B171" s="448"/>
      <c r="C171" s="90" t="s">
        <v>489</v>
      </c>
      <c r="D171" s="298" t="s">
        <v>270</v>
      </c>
      <c r="E171" s="150">
        <v>5</v>
      </c>
      <c r="F171" s="150">
        <v>104</v>
      </c>
      <c r="G171" s="150">
        <v>1</v>
      </c>
      <c r="H171" s="150">
        <v>1</v>
      </c>
      <c r="I171" s="150">
        <v>1</v>
      </c>
      <c r="J171" s="151"/>
      <c r="K171" s="150">
        <v>1</v>
      </c>
      <c r="L171" s="151"/>
      <c r="M171" s="151"/>
      <c r="N171" s="151"/>
      <c r="O171" s="150">
        <v>4</v>
      </c>
      <c r="P171" s="150">
        <v>132</v>
      </c>
      <c r="Q171" s="150">
        <v>249</v>
      </c>
    </row>
    <row r="172" spans="2:17" ht="12.75" customHeight="1" thickBot="1" x14ac:dyDescent="0.25">
      <c r="B172" s="449"/>
      <c r="C172" s="126" t="s">
        <v>17</v>
      </c>
      <c r="D172" s="92" t="s">
        <v>264</v>
      </c>
      <c r="E172" s="153">
        <v>9</v>
      </c>
      <c r="F172" s="153">
        <v>126</v>
      </c>
      <c r="G172" s="153">
        <v>3921</v>
      </c>
      <c r="H172" s="153">
        <v>889</v>
      </c>
      <c r="I172" s="153">
        <v>2013</v>
      </c>
      <c r="J172" s="153">
        <v>539</v>
      </c>
      <c r="K172" s="153">
        <v>581</v>
      </c>
      <c r="L172" s="153">
        <v>550</v>
      </c>
      <c r="M172" s="153">
        <v>69</v>
      </c>
      <c r="N172" s="153">
        <v>29</v>
      </c>
      <c r="O172" s="153">
        <v>11</v>
      </c>
      <c r="P172" s="153">
        <v>135</v>
      </c>
      <c r="Q172" s="153">
        <v>8872</v>
      </c>
    </row>
    <row r="173" spans="2:17" ht="12.75" customHeight="1" thickBot="1" x14ac:dyDescent="0.25">
      <c r="B173" s="299" t="s">
        <v>354</v>
      </c>
      <c r="C173" s="300" t="s">
        <v>490</v>
      </c>
      <c r="D173" s="85" t="s">
        <v>270</v>
      </c>
      <c r="E173" s="145"/>
      <c r="F173" s="145"/>
      <c r="G173" s="145"/>
      <c r="H173" s="145"/>
      <c r="I173" s="145"/>
      <c r="J173" s="145"/>
      <c r="K173" s="145"/>
      <c r="L173" s="145"/>
      <c r="M173" s="145"/>
      <c r="N173" s="127">
        <v>26</v>
      </c>
      <c r="O173" s="145"/>
      <c r="P173" s="145"/>
      <c r="Q173" s="127">
        <v>26</v>
      </c>
    </row>
    <row r="174" spans="2:17" ht="12.75" customHeight="1" x14ac:dyDescent="0.2">
      <c r="B174" s="447" t="s">
        <v>355</v>
      </c>
      <c r="C174" s="89" t="s">
        <v>491</v>
      </c>
      <c r="D174" s="297" t="s">
        <v>272</v>
      </c>
      <c r="E174" s="147">
        <v>9</v>
      </c>
      <c r="F174" s="147">
        <v>8</v>
      </c>
      <c r="G174" s="147">
        <v>8</v>
      </c>
      <c r="H174" s="147">
        <v>8</v>
      </c>
      <c r="I174" s="147">
        <v>8</v>
      </c>
      <c r="J174" s="147">
        <v>6</v>
      </c>
      <c r="K174" s="147">
        <v>15</v>
      </c>
      <c r="L174" s="147">
        <v>8</v>
      </c>
      <c r="M174" s="147">
        <v>8</v>
      </c>
      <c r="N174" s="147">
        <v>8</v>
      </c>
      <c r="O174" s="147">
        <v>8</v>
      </c>
      <c r="P174" s="147">
        <v>2</v>
      </c>
      <c r="Q174" s="147">
        <v>96</v>
      </c>
    </row>
    <row r="175" spans="2:17" ht="12.75" customHeight="1" x14ac:dyDescent="0.2">
      <c r="B175" s="448"/>
      <c r="C175" s="90" t="s">
        <v>492</v>
      </c>
      <c r="D175" s="298" t="s">
        <v>271</v>
      </c>
      <c r="E175" s="150">
        <v>16583</v>
      </c>
      <c r="F175" s="150">
        <v>17883</v>
      </c>
      <c r="G175" s="150">
        <v>46485</v>
      </c>
      <c r="H175" s="150">
        <v>29263</v>
      </c>
      <c r="I175" s="150">
        <v>27539</v>
      </c>
      <c r="J175" s="150">
        <v>46790</v>
      </c>
      <c r="K175" s="150">
        <v>62370</v>
      </c>
      <c r="L175" s="150">
        <v>80948</v>
      </c>
      <c r="M175" s="150">
        <v>100050</v>
      </c>
      <c r="N175" s="150">
        <v>48185</v>
      </c>
      <c r="O175" s="150">
        <v>42184</v>
      </c>
      <c r="P175" s="150">
        <v>37028</v>
      </c>
      <c r="Q175" s="150">
        <v>555308</v>
      </c>
    </row>
    <row r="176" spans="2:17" ht="12.75" customHeight="1" x14ac:dyDescent="0.2">
      <c r="B176" s="448"/>
      <c r="C176" s="90" t="s">
        <v>493</v>
      </c>
      <c r="D176" s="298" t="s">
        <v>270</v>
      </c>
      <c r="E176" s="151"/>
      <c r="F176" s="150">
        <v>1</v>
      </c>
      <c r="G176" s="151"/>
      <c r="H176" s="151"/>
      <c r="I176" s="151"/>
      <c r="J176" s="151"/>
      <c r="K176" s="151"/>
      <c r="L176" s="151"/>
      <c r="M176" s="150">
        <v>5</v>
      </c>
      <c r="N176" s="151"/>
      <c r="O176" s="150">
        <v>14</v>
      </c>
      <c r="P176" s="151"/>
      <c r="Q176" s="150">
        <v>20</v>
      </c>
    </row>
    <row r="177" spans="2:17" ht="12.75" customHeight="1" thickBot="1" x14ac:dyDescent="0.25">
      <c r="B177" s="449"/>
      <c r="C177" s="126" t="s">
        <v>17</v>
      </c>
      <c r="D177" s="92" t="s">
        <v>264</v>
      </c>
      <c r="E177" s="153">
        <v>16592</v>
      </c>
      <c r="F177" s="153">
        <v>17892</v>
      </c>
      <c r="G177" s="153">
        <v>46493</v>
      </c>
      <c r="H177" s="153">
        <v>29271</v>
      </c>
      <c r="I177" s="153">
        <v>27547</v>
      </c>
      <c r="J177" s="153">
        <v>46796</v>
      </c>
      <c r="K177" s="153">
        <v>62385</v>
      </c>
      <c r="L177" s="153">
        <v>80956</v>
      </c>
      <c r="M177" s="153">
        <v>100063</v>
      </c>
      <c r="N177" s="153">
        <v>48193</v>
      </c>
      <c r="O177" s="153">
        <v>42206</v>
      </c>
      <c r="P177" s="153">
        <v>37030</v>
      </c>
      <c r="Q177" s="153">
        <v>555424</v>
      </c>
    </row>
    <row r="178" spans="2:17" ht="12.75" customHeight="1" x14ac:dyDescent="0.2">
      <c r="B178" s="451" t="s">
        <v>357</v>
      </c>
      <c r="C178" s="84" t="s">
        <v>497</v>
      </c>
      <c r="D178" s="296" t="s">
        <v>270</v>
      </c>
      <c r="E178" s="284">
        <v>550</v>
      </c>
      <c r="F178" s="284">
        <v>554</v>
      </c>
      <c r="G178" s="284">
        <v>798</v>
      </c>
      <c r="H178" s="284">
        <v>901</v>
      </c>
      <c r="I178" s="284">
        <v>1409</v>
      </c>
      <c r="J178" s="284">
        <v>3358</v>
      </c>
      <c r="K178" s="284">
        <v>4338</v>
      </c>
      <c r="L178" s="284">
        <v>3453</v>
      </c>
      <c r="M178" s="284">
        <v>2526</v>
      </c>
      <c r="N178" s="284">
        <v>1774</v>
      </c>
      <c r="O178" s="284">
        <v>766</v>
      </c>
      <c r="P178" s="284">
        <v>1288</v>
      </c>
      <c r="Q178" s="284">
        <v>21715</v>
      </c>
    </row>
    <row r="179" spans="2:17" ht="12.75" customHeight="1" x14ac:dyDescent="0.2">
      <c r="B179" s="451"/>
      <c r="C179" s="84" t="s">
        <v>494</v>
      </c>
      <c r="D179" s="445" t="s">
        <v>269</v>
      </c>
      <c r="E179" s="284">
        <v>439</v>
      </c>
      <c r="F179" s="284">
        <v>618</v>
      </c>
      <c r="G179" s="284">
        <v>556</v>
      </c>
      <c r="H179" s="284">
        <v>677</v>
      </c>
      <c r="I179" s="284">
        <v>595</v>
      </c>
      <c r="J179" s="284">
        <v>622</v>
      </c>
      <c r="K179" s="284">
        <v>838</v>
      </c>
      <c r="L179" s="284">
        <v>537</v>
      </c>
      <c r="M179" s="284">
        <v>357</v>
      </c>
      <c r="N179" s="284">
        <v>452</v>
      </c>
      <c r="O179" s="284">
        <v>362</v>
      </c>
      <c r="P179" s="284">
        <v>384</v>
      </c>
      <c r="Q179" s="284">
        <v>6437</v>
      </c>
    </row>
    <row r="180" spans="2:17" ht="12.75" customHeight="1" x14ac:dyDescent="0.2">
      <c r="B180" s="451"/>
      <c r="C180" s="84" t="s">
        <v>495</v>
      </c>
      <c r="D180" s="445"/>
      <c r="E180" s="284">
        <v>561</v>
      </c>
      <c r="F180" s="284">
        <v>554</v>
      </c>
      <c r="G180" s="284">
        <v>576</v>
      </c>
      <c r="H180" s="284">
        <v>747</v>
      </c>
      <c r="I180" s="284">
        <v>341</v>
      </c>
      <c r="J180" s="284">
        <v>265</v>
      </c>
      <c r="K180" s="284">
        <v>446</v>
      </c>
      <c r="L180" s="284">
        <v>206</v>
      </c>
      <c r="M180" s="284">
        <v>451</v>
      </c>
      <c r="N180" s="284">
        <v>312</v>
      </c>
      <c r="O180" s="284">
        <v>385</v>
      </c>
      <c r="P180" s="284">
        <v>294</v>
      </c>
      <c r="Q180" s="284">
        <v>5138</v>
      </c>
    </row>
    <row r="181" spans="2:17" ht="12.75" customHeight="1" x14ac:dyDescent="0.2">
      <c r="B181" s="451"/>
      <c r="C181" s="84" t="s">
        <v>496</v>
      </c>
      <c r="D181" s="445"/>
      <c r="E181" s="284">
        <v>617</v>
      </c>
      <c r="F181" s="284">
        <v>722</v>
      </c>
      <c r="G181" s="284">
        <v>374</v>
      </c>
      <c r="H181" s="284">
        <v>623</v>
      </c>
      <c r="I181" s="284">
        <v>760</v>
      </c>
      <c r="J181" s="284">
        <v>558</v>
      </c>
      <c r="K181" s="284">
        <v>413</v>
      </c>
      <c r="L181" s="284">
        <v>611</v>
      </c>
      <c r="M181" s="284">
        <v>531</v>
      </c>
      <c r="N181" s="284">
        <v>493</v>
      </c>
      <c r="O181" s="284">
        <v>605</v>
      </c>
      <c r="P181" s="284">
        <v>736</v>
      </c>
      <c r="Q181" s="284">
        <v>7043</v>
      </c>
    </row>
    <row r="182" spans="2:17" ht="12.75" customHeight="1" thickBot="1" x14ac:dyDescent="0.25">
      <c r="B182" s="451"/>
      <c r="C182" s="300" t="s">
        <v>17</v>
      </c>
      <c r="D182" s="85" t="s">
        <v>264</v>
      </c>
      <c r="E182" s="127">
        <v>2167</v>
      </c>
      <c r="F182" s="127">
        <v>2448</v>
      </c>
      <c r="G182" s="127">
        <v>2304</v>
      </c>
      <c r="H182" s="127">
        <v>2948</v>
      </c>
      <c r="I182" s="127">
        <v>3105</v>
      </c>
      <c r="J182" s="127">
        <v>4803</v>
      </c>
      <c r="K182" s="127">
        <v>6035</v>
      </c>
      <c r="L182" s="127">
        <v>4807</v>
      </c>
      <c r="M182" s="127">
        <v>3865</v>
      </c>
      <c r="N182" s="127">
        <v>3031</v>
      </c>
      <c r="O182" s="127">
        <v>2118</v>
      </c>
      <c r="P182" s="127">
        <v>2702</v>
      </c>
      <c r="Q182" s="127">
        <v>40333</v>
      </c>
    </row>
    <row r="183" spans="2:17" ht="12.75" customHeight="1" thickBot="1" x14ac:dyDescent="0.25">
      <c r="B183" s="93" t="s">
        <v>312</v>
      </c>
      <c r="C183" s="91" t="s">
        <v>507</v>
      </c>
      <c r="D183" s="87" t="s">
        <v>270</v>
      </c>
      <c r="E183" s="283"/>
      <c r="F183" s="283"/>
      <c r="G183" s="283"/>
      <c r="H183" s="283"/>
      <c r="I183" s="283"/>
      <c r="J183" s="283"/>
      <c r="K183" s="283"/>
      <c r="L183" s="283"/>
      <c r="M183" s="283"/>
      <c r="N183" s="156">
        <v>4</v>
      </c>
      <c r="O183" s="283"/>
      <c r="P183" s="283"/>
      <c r="Q183" s="156">
        <v>4</v>
      </c>
    </row>
    <row r="184" spans="2:17" ht="12.75" customHeight="1" thickBot="1" x14ac:dyDescent="0.25">
      <c r="B184" s="93" t="s">
        <v>351</v>
      </c>
      <c r="C184" s="91" t="s">
        <v>498</v>
      </c>
      <c r="D184" s="87" t="s">
        <v>271</v>
      </c>
      <c r="E184" s="156">
        <v>39175</v>
      </c>
      <c r="F184" s="156">
        <v>35917</v>
      </c>
      <c r="G184" s="156">
        <v>38700</v>
      </c>
      <c r="H184" s="156">
        <v>33461</v>
      </c>
      <c r="I184" s="156">
        <v>47167</v>
      </c>
      <c r="J184" s="156">
        <v>56598</v>
      </c>
      <c r="K184" s="156">
        <v>62533</v>
      </c>
      <c r="L184" s="156">
        <v>75203</v>
      </c>
      <c r="M184" s="156">
        <v>46024</v>
      </c>
      <c r="N184" s="156">
        <v>32186</v>
      </c>
      <c r="O184" s="156">
        <v>26370</v>
      </c>
      <c r="P184" s="156">
        <v>27244</v>
      </c>
      <c r="Q184" s="156">
        <v>520578</v>
      </c>
    </row>
    <row r="185" spans="2:17" ht="12.75" customHeight="1" x14ac:dyDescent="0.2">
      <c r="B185" s="451" t="s">
        <v>311</v>
      </c>
      <c r="C185" s="84" t="s">
        <v>601</v>
      </c>
      <c r="D185" s="445" t="s">
        <v>269</v>
      </c>
      <c r="E185" s="284">
        <v>1661</v>
      </c>
      <c r="F185" s="2"/>
      <c r="G185" s="2"/>
      <c r="H185" s="284">
        <v>554</v>
      </c>
      <c r="I185" s="284">
        <v>3108</v>
      </c>
      <c r="J185" s="284">
        <v>593</v>
      </c>
      <c r="K185" s="284">
        <v>1665</v>
      </c>
      <c r="L185" s="284">
        <v>922</v>
      </c>
      <c r="M185" s="284">
        <v>1742</v>
      </c>
      <c r="N185" s="284">
        <v>2913</v>
      </c>
      <c r="O185" s="284">
        <v>3425</v>
      </c>
      <c r="P185" s="284">
        <v>603</v>
      </c>
      <c r="Q185" s="284">
        <v>17186</v>
      </c>
    </row>
    <row r="186" spans="2:17" x14ac:dyDescent="0.2">
      <c r="B186" s="451"/>
      <c r="C186" s="84" t="s">
        <v>499</v>
      </c>
      <c r="D186" s="445"/>
      <c r="E186" s="284">
        <v>110</v>
      </c>
      <c r="F186" s="284">
        <v>119</v>
      </c>
      <c r="G186" s="284">
        <v>83</v>
      </c>
      <c r="H186" s="284">
        <v>109</v>
      </c>
      <c r="I186" s="284">
        <v>156</v>
      </c>
      <c r="J186" s="284">
        <v>107</v>
      </c>
      <c r="K186" s="284">
        <v>114</v>
      </c>
      <c r="L186" s="284">
        <v>90</v>
      </c>
      <c r="M186" s="284">
        <v>74</v>
      </c>
      <c r="N186" s="284">
        <v>88</v>
      </c>
      <c r="O186" s="284">
        <v>77</v>
      </c>
      <c r="P186" s="284">
        <v>77</v>
      </c>
      <c r="Q186" s="284">
        <v>1204</v>
      </c>
    </row>
    <row r="187" spans="2:17" ht="13.5" thickBot="1" x14ac:dyDescent="0.25">
      <c r="B187" s="451"/>
      <c r="C187" s="300" t="s">
        <v>17</v>
      </c>
      <c r="D187" s="85" t="s">
        <v>264</v>
      </c>
      <c r="E187" s="127">
        <v>1771</v>
      </c>
      <c r="F187" s="127">
        <v>119</v>
      </c>
      <c r="G187" s="127">
        <v>83</v>
      </c>
      <c r="H187" s="127">
        <v>663</v>
      </c>
      <c r="I187" s="127">
        <v>3264</v>
      </c>
      <c r="J187" s="127">
        <v>700</v>
      </c>
      <c r="K187" s="127">
        <v>1779</v>
      </c>
      <c r="L187" s="127">
        <v>1012</v>
      </c>
      <c r="M187" s="127">
        <v>1816</v>
      </c>
      <c r="N187" s="127">
        <v>3001</v>
      </c>
      <c r="O187" s="127">
        <v>3502</v>
      </c>
      <c r="P187" s="127">
        <v>680</v>
      </c>
      <c r="Q187" s="127">
        <v>18390</v>
      </c>
    </row>
    <row r="188" spans="2:17" x14ac:dyDescent="0.2">
      <c r="B188" s="447" t="s">
        <v>307</v>
      </c>
      <c r="C188" s="89" t="s">
        <v>500</v>
      </c>
      <c r="D188" s="444" t="s">
        <v>271</v>
      </c>
      <c r="E188" s="147">
        <v>1748</v>
      </c>
      <c r="F188" s="147">
        <v>1582</v>
      </c>
      <c r="G188" s="147">
        <v>3008</v>
      </c>
      <c r="H188" s="147">
        <v>3060</v>
      </c>
      <c r="I188" s="147">
        <v>3693</v>
      </c>
      <c r="J188" s="147">
        <v>4720</v>
      </c>
      <c r="K188" s="147">
        <v>5464</v>
      </c>
      <c r="L188" s="147">
        <v>5843</v>
      </c>
      <c r="M188" s="147">
        <v>5534</v>
      </c>
      <c r="N188" s="147">
        <v>4583</v>
      </c>
      <c r="O188" s="147">
        <v>3412</v>
      </c>
      <c r="P188" s="147">
        <v>3687</v>
      </c>
      <c r="Q188" s="147">
        <v>46334</v>
      </c>
    </row>
    <row r="189" spans="2:17" x14ac:dyDescent="0.2">
      <c r="B189" s="448"/>
      <c r="C189" s="90" t="s">
        <v>501</v>
      </c>
      <c r="D189" s="440"/>
      <c r="E189" s="150">
        <v>3654</v>
      </c>
      <c r="F189" s="150">
        <v>2635</v>
      </c>
      <c r="G189" s="150">
        <v>4127</v>
      </c>
      <c r="H189" s="150">
        <v>4829</v>
      </c>
      <c r="I189" s="150">
        <v>5052</v>
      </c>
      <c r="J189" s="150">
        <v>6325</v>
      </c>
      <c r="K189" s="150">
        <v>7318</v>
      </c>
      <c r="L189" s="150">
        <v>10908</v>
      </c>
      <c r="M189" s="150">
        <v>6606</v>
      </c>
      <c r="N189" s="150">
        <v>5746</v>
      </c>
      <c r="O189" s="150">
        <v>5049</v>
      </c>
      <c r="P189" s="150">
        <v>4695</v>
      </c>
      <c r="Q189" s="150">
        <v>66944</v>
      </c>
    </row>
    <row r="190" spans="2:17" ht="13.5" thickBot="1" x14ac:dyDescent="0.25">
      <c r="B190" s="449"/>
      <c r="C190" s="126" t="s">
        <v>17</v>
      </c>
      <c r="D190" s="92" t="s">
        <v>264</v>
      </c>
      <c r="E190" s="153">
        <v>5402</v>
      </c>
      <c r="F190" s="153">
        <v>4217</v>
      </c>
      <c r="G190" s="153">
        <v>7135</v>
      </c>
      <c r="H190" s="153">
        <v>7889</v>
      </c>
      <c r="I190" s="153">
        <v>8745</v>
      </c>
      <c r="J190" s="153">
        <v>11045</v>
      </c>
      <c r="K190" s="153">
        <v>12782</v>
      </c>
      <c r="L190" s="153">
        <v>16751</v>
      </c>
      <c r="M190" s="153">
        <v>12140</v>
      </c>
      <c r="N190" s="153">
        <v>10329</v>
      </c>
      <c r="O190" s="153">
        <v>8461</v>
      </c>
      <c r="P190" s="153">
        <v>8382</v>
      </c>
      <c r="Q190" s="153">
        <v>113278</v>
      </c>
    </row>
    <row r="191" spans="2:17" x14ac:dyDescent="0.2">
      <c r="B191" s="451" t="s">
        <v>326</v>
      </c>
      <c r="C191" s="84" t="s">
        <v>502</v>
      </c>
      <c r="D191" s="296" t="s">
        <v>271</v>
      </c>
      <c r="E191" s="284">
        <v>12224</v>
      </c>
      <c r="F191" s="284">
        <v>19861</v>
      </c>
      <c r="G191" s="284">
        <v>23949</v>
      </c>
      <c r="H191" s="284">
        <v>20386</v>
      </c>
      <c r="I191" s="284">
        <v>24423</v>
      </c>
      <c r="J191" s="284">
        <v>25718</v>
      </c>
      <c r="K191" s="284">
        <v>32286</v>
      </c>
      <c r="L191" s="284">
        <v>35423</v>
      </c>
      <c r="M191" s="284">
        <v>31066</v>
      </c>
      <c r="N191" s="284">
        <v>32012</v>
      </c>
      <c r="O191" s="284">
        <v>34306</v>
      </c>
      <c r="P191" s="284">
        <v>31845</v>
      </c>
      <c r="Q191" s="284">
        <v>323499</v>
      </c>
    </row>
    <row r="192" spans="2:17" x14ac:dyDescent="0.2">
      <c r="B192" s="451"/>
      <c r="C192" s="84" t="s">
        <v>508</v>
      </c>
      <c r="D192" s="296" t="s">
        <v>270</v>
      </c>
      <c r="E192" s="2"/>
      <c r="F192" s="2"/>
      <c r="G192" s="284">
        <v>8</v>
      </c>
      <c r="H192" s="284">
        <v>8</v>
      </c>
      <c r="I192" s="2"/>
      <c r="J192" s="284">
        <v>27</v>
      </c>
      <c r="K192" s="284">
        <v>12</v>
      </c>
      <c r="L192" s="284">
        <v>22</v>
      </c>
      <c r="M192" s="284">
        <v>24</v>
      </c>
      <c r="N192" s="284">
        <v>11</v>
      </c>
      <c r="O192" s="284">
        <v>9</v>
      </c>
      <c r="P192" s="284">
        <v>12</v>
      </c>
      <c r="Q192" s="284">
        <v>133</v>
      </c>
    </row>
    <row r="193" spans="2:17" ht="13.5" thickBot="1" x14ac:dyDescent="0.25">
      <c r="B193" s="451"/>
      <c r="C193" s="300" t="s">
        <v>17</v>
      </c>
      <c r="D193" s="85" t="s">
        <v>264</v>
      </c>
      <c r="E193" s="127">
        <v>12224</v>
      </c>
      <c r="F193" s="127">
        <v>19861</v>
      </c>
      <c r="G193" s="127">
        <v>23957</v>
      </c>
      <c r="H193" s="127">
        <v>20394</v>
      </c>
      <c r="I193" s="127">
        <v>24423</v>
      </c>
      <c r="J193" s="127">
        <v>25745</v>
      </c>
      <c r="K193" s="127">
        <v>32298</v>
      </c>
      <c r="L193" s="127">
        <v>35445</v>
      </c>
      <c r="M193" s="127">
        <v>31090</v>
      </c>
      <c r="N193" s="127">
        <v>32023</v>
      </c>
      <c r="O193" s="127">
        <v>34315</v>
      </c>
      <c r="P193" s="127">
        <v>31857</v>
      </c>
      <c r="Q193" s="127">
        <v>323632</v>
      </c>
    </row>
    <row r="194" spans="2:17" ht="13.5" thickBot="1" x14ac:dyDescent="0.25">
      <c r="B194" s="93" t="s">
        <v>356</v>
      </c>
      <c r="C194" s="91" t="s">
        <v>503</v>
      </c>
      <c r="D194" s="87" t="s">
        <v>269</v>
      </c>
      <c r="E194" s="156">
        <v>491</v>
      </c>
      <c r="F194" s="156">
        <v>507</v>
      </c>
      <c r="G194" s="156">
        <v>562</v>
      </c>
      <c r="H194" s="156">
        <v>584</v>
      </c>
      <c r="I194" s="156">
        <v>688</v>
      </c>
      <c r="J194" s="156">
        <v>531</v>
      </c>
      <c r="K194" s="156">
        <v>484</v>
      </c>
      <c r="L194" s="156">
        <v>600</v>
      </c>
      <c r="M194" s="156">
        <v>772</v>
      </c>
      <c r="N194" s="156">
        <v>981</v>
      </c>
      <c r="O194" s="156">
        <v>855</v>
      </c>
      <c r="P194" s="156">
        <v>845</v>
      </c>
      <c r="Q194" s="156">
        <v>7900</v>
      </c>
    </row>
    <row r="195" spans="2:17" x14ac:dyDescent="0.2">
      <c r="B195" s="451" t="s">
        <v>335</v>
      </c>
      <c r="C195" s="84" t="s">
        <v>504</v>
      </c>
      <c r="D195" s="296" t="s">
        <v>271</v>
      </c>
      <c r="E195" s="284">
        <v>4547</v>
      </c>
      <c r="F195" s="284">
        <v>2957</v>
      </c>
      <c r="G195" s="284">
        <v>5239</v>
      </c>
      <c r="H195" s="284">
        <v>9837</v>
      </c>
      <c r="I195" s="284">
        <v>9951</v>
      </c>
      <c r="J195" s="284">
        <v>8444</v>
      </c>
      <c r="K195" s="284">
        <v>5773</v>
      </c>
      <c r="L195" s="284">
        <v>6161</v>
      </c>
      <c r="M195" s="284">
        <v>4915</v>
      </c>
      <c r="N195" s="284">
        <v>5212</v>
      </c>
      <c r="O195" s="284">
        <v>5326</v>
      </c>
      <c r="P195" s="284">
        <v>5421</v>
      </c>
      <c r="Q195" s="284">
        <v>73783</v>
      </c>
    </row>
    <row r="196" spans="2:17" x14ac:dyDescent="0.2">
      <c r="B196" s="451"/>
      <c r="C196" s="84" t="s">
        <v>505</v>
      </c>
      <c r="D196" s="296" t="s">
        <v>272</v>
      </c>
      <c r="E196" s="284">
        <v>339</v>
      </c>
      <c r="F196" s="284">
        <v>212</v>
      </c>
      <c r="G196" s="284">
        <v>374</v>
      </c>
      <c r="H196" s="284">
        <v>357</v>
      </c>
      <c r="I196" s="284">
        <v>357</v>
      </c>
      <c r="J196" s="284">
        <v>312</v>
      </c>
      <c r="K196" s="284">
        <v>334</v>
      </c>
      <c r="L196" s="284">
        <v>355</v>
      </c>
      <c r="M196" s="284">
        <v>772</v>
      </c>
      <c r="N196" s="284">
        <v>883</v>
      </c>
      <c r="O196" s="284">
        <v>900</v>
      </c>
      <c r="P196" s="284">
        <v>794</v>
      </c>
      <c r="Q196" s="284">
        <v>5989</v>
      </c>
    </row>
    <row r="197" spans="2:17" ht="13.5" thickBot="1" x14ac:dyDescent="0.25">
      <c r="B197" s="451"/>
      <c r="C197" s="300" t="s">
        <v>17</v>
      </c>
      <c r="D197" s="146" t="s">
        <v>264</v>
      </c>
      <c r="E197" s="127">
        <v>4886</v>
      </c>
      <c r="F197" s="127">
        <v>3169</v>
      </c>
      <c r="G197" s="127">
        <v>5613</v>
      </c>
      <c r="H197" s="127">
        <v>10194</v>
      </c>
      <c r="I197" s="127">
        <v>10308</v>
      </c>
      <c r="J197" s="127">
        <v>8756</v>
      </c>
      <c r="K197" s="127">
        <v>6107</v>
      </c>
      <c r="L197" s="127">
        <v>6516</v>
      </c>
      <c r="M197" s="127">
        <v>5687</v>
      </c>
      <c r="N197" s="127">
        <v>6095</v>
      </c>
      <c r="O197" s="127">
        <v>6226</v>
      </c>
      <c r="P197" s="127">
        <v>6215</v>
      </c>
      <c r="Q197" s="127">
        <v>79772</v>
      </c>
    </row>
    <row r="198" spans="2:17" ht="13.5" thickBot="1" x14ac:dyDescent="0.25">
      <c r="B198" s="64" t="s">
        <v>17</v>
      </c>
      <c r="C198" s="301" t="s">
        <v>0</v>
      </c>
      <c r="D198" s="302" t="s">
        <v>0</v>
      </c>
      <c r="E198" s="156">
        <v>2005967</v>
      </c>
      <c r="F198" s="156">
        <v>1870414</v>
      </c>
      <c r="G198" s="156">
        <v>2335728</v>
      </c>
      <c r="H198" s="156">
        <v>3321824</v>
      </c>
      <c r="I198" s="156">
        <v>4500242</v>
      </c>
      <c r="J198" s="156">
        <v>5584021</v>
      </c>
      <c r="K198" s="156">
        <v>7148044</v>
      </c>
      <c r="L198" s="156">
        <v>6660700</v>
      </c>
      <c r="M198" s="156">
        <v>5786027</v>
      </c>
      <c r="N198" s="156">
        <v>4987112</v>
      </c>
      <c r="O198" s="156">
        <v>2525345</v>
      </c>
      <c r="P198" s="156">
        <v>2483756</v>
      </c>
      <c r="Q198" s="156">
        <v>49209180</v>
      </c>
    </row>
    <row r="199" spans="2:17" ht="13.5" thickBot="1" x14ac:dyDescent="0.25">
      <c r="B199" s="64" t="s">
        <v>295</v>
      </c>
      <c r="C199" s="303"/>
      <c r="D199" s="303"/>
      <c r="E199" s="157">
        <v>4.076408101090081</v>
      </c>
      <c r="F199" s="157">
        <v>3.8009452707807769</v>
      </c>
      <c r="G199" s="157">
        <v>4.7465290012960999</v>
      </c>
      <c r="H199" s="157">
        <v>6.7504152680455149</v>
      </c>
      <c r="I199" s="157">
        <v>9.1451269864687852</v>
      </c>
      <c r="J199" s="157">
        <v>11.347518897896693</v>
      </c>
      <c r="K199" s="157">
        <v>14.525834407319936</v>
      </c>
      <c r="L199" s="157">
        <v>13.535482607107047</v>
      </c>
      <c r="M199" s="157">
        <v>11.758023604538828</v>
      </c>
      <c r="N199" s="157">
        <v>10.134515551773063</v>
      </c>
      <c r="O199" s="157">
        <v>5.1318575111391818</v>
      </c>
      <c r="P199" s="157">
        <v>5.0473427925439927</v>
      </c>
      <c r="Q199" s="157">
        <v>100</v>
      </c>
    </row>
  </sheetData>
  <mergeCells count="61">
    <mergeCell ref="B195:B197"/>
    <mergeCell ref="B157:B159"/>
    <mergeCell ref="B161:B165"/>
    <mergeCell ref="D162:D164"/>
    <mergeCell ref="B170:B172"/>
    <mergeCell ref="B174:B177"/>
    <mergeCell ref="B178:B182"/>
    <mergeCell ref="D179:D181"/>
    <mergeCell ref="D188:D189"/>
    <mergeCell ref="B191:B193"/>
    <mergeCell ref="B167:B169"/>
    <mergeCell ref="B185:B187"/>
    <mergeCell ref="D185:D186"/>
    <mergeCell ref="B188:B190"/>
    <mergeCell ref="B70:B85"/>
    <mergeCell ref="B106:B113"/>
    <mergeCell ref="B115:B117"/>
    <mergeCell ref="B31:B35"/>
    <mergeCell ref="D71:D73"/>
    <mergeCell ref="D75:D77"/>
    <mergeCell ref="D81:D84"/>
    <mergeCell ref="B87:B93"/>
    <mergeCell ref="D87:D92"/>
    <mergeCell ref="B94:B105"/>
    <mergeCell ref="D94:D95"/>
    <mergeCell ref="D97:D98"/>
    <mergeCell ref="D99:D100"/>
    <mergeCell ref="D101:D104"/>
    <mergeCell ref="D106:D108"/>
    <mergeCell ref="D110:D112"/>
    <mergeCell ref="D130:D133"/>
    <mergeCell ref="D137:D142"/>
    <mergeCell ref="D147:D148"/>
    <mergeCell ref="D153:D154"/>
    <mergeCell ref="B119:B121"/>
    <mergeCell ref="B122:B124"/>
    <mergeCell ref="B130:B143"/>
    <mergeCell ref="B146:B149"/>
    <mergeCell ref="B152:B156"/>
    <mergeCell ref="D40:D43"/>
    <mergeCell ref="D45:D47"/>
    <mergeCell ref="D51:D54"/>
    <mergeCell ref="D66:D68"/>
    <mergeCell ref="B10:B12"/>
    <mergeCell ref="B15:B23"/>
    <mergeCell ref="B27:B30"/>
    <mergeCell ref="B36:B39"/>
    <mergeCell ref="B40:B48"/>
    <mergeCell ref="B51:B57"/>
    <mergeCell ref="B62:B64"/>
    <mergeCell ref="B66:B69"/>
    <mergeCell ref="D20:D21"/>
    <mergeCell ref="B24:B26"/>
    <mergeCell ref="D27:D29"/>
    <mergeCell ref="D32:D34"/>
    <mergeCell ref="D37:D38"/>
    <mergeCell ref="D6:D7"/>
    <mergeCell ref="B1:Q1"/>
    <mergeCell ref="E2:P2"/>
    <mergeCell ref="B4:B8"/>
    <mergeCell ref="D15:D19"/>
  </mergeCells>
  <printOptions horizontalCentered="1"/>
  <pageMargins left="0.19685039370078741" right="0.19685039370078741" top="0.39370078740157483" bottom="0.39370078740157483" header="8.11" footer="0.39370078740157483"/>
  <pageSetup scale="69" orientation="landscape" r:id="rId1"/>
  <headerFooter alignWithMargins="0"/>
  <rowBreaks count="3" manualBreakCount="3">
    <brk id="50" min="1" max="16" man="1"/>
    <brk id="105" min="1" max="16" man="1"/>
    <brk id="159" min="1" max="16"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1:J119"/>
  <sheetViews>
    <sheetView view="pageBreakPreview" zoomScaleNormal="100" zoomScaleSheetLayoutView="100" workbookViewId="0"/>
  </sheetViews>
  <sheetFormatPr defaultColWidth="9.140625" defaultRowHeight="12" x14ac:dyDescent="0.2"/>
  <cols>
    <col min="1" max="1" width="9.140625" style="94"/>
    <col min="2" max="2" width="34.7109375" style="96" bestFit="1" customWidth="1"/>
    <col min="3" max="5" width="10.140625" style="94" customWidth="1"/>
    <col min="6" max="8" width="6.5703125" style="94" customWidth="1"/>
    <col min="9" max="10" width="10" style="94" customWidth="1"/>
    <col min="11" max="16384" width="9.140625" style="94"/>
  </cols>
  <sheetData>
    <row r="1" spans="2:10" ht="30" customHeight="1" thickBot="1" x14ac:dyDescent="0.25">
      <c r="B1" s="422" t="s">
        <v>640</v>
      </c>
      <c r="C1" s="423"/>
      <c r="D1" s="423"/>
      <c r="E1" s="423"/>
      <c r="F1" s="423"/>
      <c r="G1" s="423"/>
      <c r="H1" s="423"/>
      <c r="I1" s="423"/>
      <c r="J1" s="423"/>
    </row>
    <row r="2" spans="2:10" ht="12.75" customHeight="1" x14ac:dyDescent="0.2">
      <c r="B2" s="69" t="s">
        <v>264</v>
      </c>
      <c r="C2" s="424" t="s">
        <v>1</v>
      </c>
      <c r="D2" s="424"/>
      <c r="E2" s="424"/>
      <c r="F2" s="424" t="s">
        <v>506</v>
      </c>
      <c r="G2" s="424"/>
      <c r="H2" s="424"/>
      <c r="I2" s="424" t="s">
        <v>266</v>
      </c>
      <c r="J2" s="424"/>
    </row>
    <row r="3" spans="2:10" ht="15.75" customHeight="1" thickBot="1" x14ac:dyDescent="0.25">
      <c r="B3" s="95" t="s">
        <v>267</v>
      </c>
      <c r="C3" s="254">
        <v>2021</v>
      </c>
      <c r="D3" s="254">
        <v>2022</v>
      </c>
      <c r="E3" s="254">
        <v>2023</v>
      </c>
      <c r="F3" s="254">
        <v>2021</v>
      </c>
      <c r="G3" s="254">
        <v>2022</v>
      </c>
      <c r="H3" s="254">
        <v>2023</v>
      </c>
      <c r="I3" s="103" t="s">
        <v>589</v>
      </c>
      <c r="J3" s="103" t="s">
        <v>607</v>
      </c>
    </row>
    <row r="4" spans="2:10" ht="15.75" customHeight="1" x14ac:dyDescent="0.2">
      <c r="B4" s="46" t="s">
        <v>63</v>
      </c>
      <c r="C4" s="47">
        <v>48827</v>
      </c>
      <c r="D4" s="47">
        <v>210478</v>
      </c>
      <c r="E4" s="47">
        <v>292505</v>
      </c>
      <c r="F4" s="48">
        <v>0.19758204286082062</v>
      </c>
      <c r="G4" s="48">
        <v>0.47230081323890966</v>
      </c>
      <c r="H4" s="48">
        <v>0.5944114492458521</v>
      </c>
      <c r="I4" s="48">
        <v>331.06887582689905</v>
      </c>
      <c r="J4" s="48">
        <v>38.971769020990315</v>
      </c>
    </row>
    <row r="5" spans="2:10" ht="15.75" customHeight="1" x14ac:dyDescent="0.2">
      <c r="B5" s="46" t="s">
        <v>85</v>
      </c>
      <c r="C5" s="47">
        <v>121333</v>
      </c>
      <c r="D5" s="47">
        <v>251708</v>
      </c>
      <c r="E5" s="47">
        <v>262124</v>
      </c>
      <c r="F5" s="48">
        <v>0.49098289893771779</v>
      </c>
      <c r="G5" s="48">
        <v>0.56481861809186462</v>
      </c>
      <c r="H5" s="48">
        <v>0.53267296874282399</v>
      </c>
      <c r="I5" s="48">
        <v>107.45221827532494</v>
      </c>
      <c r="J5" s="48">
        <v>4.1381283074038171</v>
      </c>
    </row>
    <row r="6" spans="2:10" ht="15.75" customHeight="1" x14ac:dyDescent="0.2">
      <c r="B6" s="46" t="s">
        <v>105</v>
      </c>
      <c r="C6" s="47">
        <v>6088</v>
      </c>
      <c r="D6" s="47">
        <v>71636</v>
      </c>
      <c r="E6" s="47">
        <v>67647</v>
      </c>
      <c r="F6" s="48">
        <v>2.4635539290488374E-2</v>
      </c>
      <c r="G6" s="48">
        <v>0.16074716149518017</v>
      </c>
      <c r="H6" s="48">
        <v>0.13746825287476849</v>
      </c>
      <c r="I6" s="48">
        <v>1076.6754270696451</v>
      </c>
      <c r="J6" s="48">
        <v>-5.5684292813669103</v>
      </c>
    </row>
    <row r="7" spans="2:10" ht="15.75" customHeight="1" x14ac:dyDescent="0.2">
      <c r="B7" s="46" t="s">
        <v>155</v>
      </c>
      <c r="C7" s="47">
        <v>197983</v>
      </c>
      <c r="D7" s="47">
        <v>220179</v>
      </c>
      <c r="E7" s="47">
        <v>194351</v>
      </c>
      <c r="F7" s="48">
        <v>0.80115275547778586</v>
      </c>
      <c r="G7" s="48">
        <v>0.49406931250833763</v>
      </c>
      <c r="H7" s="48">
        <v>0.39494866608222284</v>
      </c>
      <c r="I7" s="48">
        <v>11.21106357616563</v>
      </c>
      <c r="J7" s="48">
        <v>-11.730455674701039</v>
      </c>
    </row>
    <row r="8" spans="2:10" ht="15.75" customHeight="1" x14ac:dyDescent="0.2">
      <c r="B8" s="46" t="s">
        <v>173</v>
      </c>
      <c r="C8" s="47">
        <v>124483</v>
      </c>
      <c r="D8" s="47">
        <v>227850</v>
      </c>
      <c r="E8" s="47">
        <v>187053</v>
      </c>
      <c r="F8" s="48">
        <v>0.5037296053708713</v>
      </c>
      <c r="G8" s="48">
        <v>0.51128260576632978</v>
      </c>
      <c r="H8" s="48">
        <v>0.38011809991550355</v>
      </c>
      <c r="I8" s="48">
        <v>83.037041202413178</v>
      </c>
      <c r="J8" s="48">
        <v>-17.905200789993415</v>
      </c>
    </row>
    <row r="9" spans="2:10" ht="15.75" customHeight="1" x14ac:dyDescent="0.2">
      <c r="B9" s="46" t="s">
        <v>227</v>
      </c>
      <c r="C9" s="47">
        <v>25965</v>
      </c>
      <c r="D9" s="47">
        <v>43192</v>
      </c>
      <c r="E9" s="47">
        <v>19913</v>
      </c>
      <c r="F9" s="48">
        <v>0.10506928017042225</v>
      </c>
      <c r="G9" s="48">
        <v>9.6920422682726867E-2</v>
      </c>
      <c r="H9" s="48">
        <v>4.046602686734467E-2</v>
      </c>
      <c r="I9" s="48">
        <v>66.347005584440595</v>
      </c>
      <c r="J9" s="48">
        <v>-53.896554917577326</v>
      </c>
    </row>
    <row r="10" spans="2:10" ht="15.75" customHeight="1" x14ac:dyDescent="0.2">
      <c r="B10" s="46" t="s">
        <v>243</v>
      </c>
      <c r="C10" s="47">
        <v>126970</v>
      </c>
      <c r="D10" s="47">
        <v>206714</v>
      </c>
      <c r="E10" s="47">
        <v>176547</v>
      </c>
      <c r="F10" s="48">
        <v>0.51379343359285623</v>
      </c>
      <c r="G10" s="48">
        <v>0.46385460859504546</v>
      </c>
      <c r="H10" s="48">
        <v>0.35876842491583888</v>
      </c>
      <c r="I10" s="48">
        <v>62.8053870993148</v>
      </c>
      <c r="J10" s="48">
        <v>-14.593593080294513</v>
      </c>
    </row>
    <row r="11" spans="2:10" ht="15.75" customHeight="1" thickBot="1" x14ac:dyDescent="0.25">
      <c r="B11" s="46" t="s">
        <v>274</v>
      </c>
      <c r="C11" s="47">
        <v>227155</v>
      </c>
      <c r="D11" s="47">
        <v>263106</v>
      </c>
      <c r="E11" s="47">
        <v>215192</v>
      </c>
      <c r="F11" s="48">
        <v>0.91919939676919959</v>
      </c>
      <c r="G11" s="48">
        <v>0.59039509007134505</v>
      </c>
      <c r="H11" s="48">
        <v>0.43730051994363656</v>
      </c>
      <c r="I11" s="48">
        <v>15.826638198586869</v>
      </c>
      <c r="J11" s="48">
        <v>-18.210911191687</v>
      </c>
    </row>
    <row r="12" spans="2:10" ht="15.75" customHeight="1" thickBot="1" x14ac:dyDescent="0.25">
      <c r="B12" s="52" t="s">
        <v>275</v>
      </c>
      <c r="C12" s="100">
        <v>878804</v>
      </c>
      <c r="D12" s="100">
        <v>1494863</v>
      </c>
      <c r="E12" s="100">
        <v>1415332</v>
      </c>
      <c r="F12" s="101">
        <v>3.556144952470162</v>
      </c>
      <c r="G12" s="101">
        <v>3.3543886324497394</v>
      </c>
      <c r="H12" s="101">
        <v>2.8761544085879911</v>
      </c>
      <c r="I12" s="101">
        <v>70.10197950851385</v>
      </c>
      <c r="J12" s="101">
        <v>-5.3202868757872794</v>
      </c>
    </row>
    <row r="13" spans="2:10" ht="15.75" customHeight="1" x14ac:dyDescent="0.2">
      <c r="B13" s="46" t="s">
        <v>29</v>
      </c>
      <c r="C13" s="47">
        <v>6992</v>
      </c>
      <c r="D13" s="47">
        <v>41708</v>
      </c>
      <c r="E13" s="47">
        <v>48383</v>
      </c>
      <c r="F13" s="48">
        <v>2.8293641708129882E-2</v>
      </c>
      <c r="G13" s="48">
        <v>9.3590410012297939E-2</v>
      </c>
      <c r="H13" s="48">
        <v>9.8321085618577678E-2</v>
      </c>
      <c r="I13" s="48">
        <v>496.51029748283753</v>
      </c>
      <c r="J13" s="48">
        <v>16.004123909082189</v>
      </c>
    </row>
    <row r="14" spans="2:10" ht="15.75" customHeight="1" x14ac:dyDescent="0.2">
      <c r="B14" s="46" t="s">
        <v>56</v>
      </c>
      <c r="C14" s="47">
        <v>17788</v>
      </c>
      <c r="D14" s="47">
        <v>84582</v>
      </c>
      <c r="E14" s="47">
        <v>106717</v>
      </c>
      <c r="F14" s="48">
        <v>7.1980448899344157E-2</v>
      </c>
      <c r="G14" s="48">
        <v>0.18979725855136145</v>
      </c>
      <c r="H14" s="48">
        <v>0.21686400789446197</v>
      </c>
      <c r="I14" s="48">
        <v>375.500337306049</v>
      </c>
      <c r="J14" s="48">
        <v>26.169870658059633</v>
      </c>
    </row>
    <row r="15" spans="2:10" ht="15.75" customHeight="1" x14ac:dyDescent="0.2">
      <c r="B15" s="46" t="s">
        <v>140</v>
      </c>
      <c r="C15" s="47">
        <v>30094</v>
      </c>
      <c r="D15" s="47">
        <v>77863</v>
      </c>
      <c r="E15" s="47">
        <v>69257</v>
      </c>
      <c r="F15" s="48">
        <v>0.12177758203153041</v>
      </c>
      <c r="G15" s="48">
        <v>0.17472019983666331</v>
      </c>
      <c r="H15" s="48">
        <v>0.14074000013818561</v>
      </c>
      <c r="I15" s="48">
        <v>158.73263773509669</v>
      </c>
      <c r="J15" s="48">
        <v>-11.05274649063098</v>
      </c>
    </row>
    <row r="16" spans="2:10" ht="15.75" customHeight="1" x14ac:dyDescent="0.2">
      <c r="B16" s="46" t="s">
        <v>233</v>
      </c>
      <c r="C16" s="47">
        <v>3815</v>
      </c>
      <c r="D16" s="47">
        <v>17333</v>
      </c>
      <c r="E16" s="47">
        <v>25713</v>
      </c>
      <c r="F16" s="48">
        <v>1.5437677791263659E-2</v>
      </c>
      <c r="G16" s="48">
        <v>3.8894278717348234E-2</v>
      </c>
      <c r="H16" s="48">
        <v>5.2252445580275877E-2</v>
      </c>
      <c r="I16" s="48">
        <v>354.33813892529491</v>
      </c>
      <c r="J16" s="48">
        <v>48.347083597761497</v>
      </c>
    </row>
    <row r="17" spans="2:10" ht="15.75" customHeight="1" x14ac:dyDescent="0.2">
      <c r="B17" s="46" t="s">
        <v>253</v>
      </c>
      <c r="C17" s="47">
        <v>11446</v>
      </c>
      <c r="D17" s="47">
        <v>18395</v>
      </c>
      <c r="E17" s="47">
        <v>22753</v>
      </c>
      <c r="F17" s="48">
        <v>4.6317079947261815E-2</v>
      </c>
      <c r="G17" s="48">
        <v>4.1277347083922042E-2</v>
      </c>
      <c r="H17" s="48">
        <v>4.6237307754366158E-2</v>
      </c>
      <c r="I17" s="48">
        <v>60.711165472654201</v>
      </c>
      <c r="J17" s="48">
        <v>23.691220440337048</v>
      </c>
    </row>
    <row r="18" spans="2:10" ht="15.75" customHeight="1" thickBot="1" x14ac:dyDescent="0.25">
      <c r="B18" s="46" t="s">
        <v>276</v>
      </c>
      <c r="C18" s="47">
        <v>11639</v>
      </c>
      <c r="D18" s="47">
        <v>41062</v>
      </c>
      <c r="E18" s="47">
        <v>48512</v>
      </c>
      <c r="F18" s="48">
        <v>4.7098068627134393E-2</v>
      </c>
      <c r="G18" s="48">
        <v>9.2140822286491272E-2</v>
      </c>
      <c r="H18" s="48">
        <v>9.858323182788252E-2</v>
      </c>
      <c r="I18" s="48">
        <v>252.79663201305954</v>
      </c>
      <c r="J18" s="48">
        <v>18.143295504359262</v>
      </c>
    </row>
    <row r="19" spans="2:10" ht="15.75" customHeight="1" thickBot="1" x14ac:dyDescent="0.25">
      <c r="B19" s="52" t="s">
        <v>277</v>
      </c>
      <c r="C19" s="100">
        <v>81774</v>
      </c>
      <c r="D19" s="100">
        <v>280943</v>
      </c>
      <c r="E19" s="100">
        <v>321335</v>
      </c>
      <c r="F19" s="101">
        <v>0.33090449900466434</v>
      </c>
      <c r="G19" s="101">
        <v>0.63042031648808428</v>
      </c>
      <c r="H19" s="101">
        <v>0.65299807881374983</v>
      </c>
      <c r="I19" s="101">
        <v>243.56030033996134</v>
      </c>
      <c r="J19" s="101">
        <v>14.377293614718999</v>
      </c>
    </row>
    <row r="20" spans="2:10" ht="15.75" customHeight="1" thickBot="1" x14ac:dyDescent="0.25">
      <c r="B20" s="52" t="s">
        <v>278</v>
      </c>
      <c r="C20" s="100">
        <v>26125</v>
      </c>
      <c r="D20" s="100">
        <v>41132</v>
      </c>
      <c r="E20" s="100">
        <v>47777</v>
      </c>
      <c r="F20" s="101">
        <v>0.10571673192575703</v>
      </c>
      <c r="G20" s="101">
        <v>9.229789835585113E-2</v>
      </c>
      <c r="H20" s="101">
        <v>9.7089608077192108E-2</v>
      </c>
      <c r="I20" s="101">
        <v>57.443062200956938</v>
      </c>
      <c r="J20" s="101">
        <v>16.155304872119032</v>
      </c>
    </row>
    <row r="21" spans="2:10" ht="15.75" customHeight="1" thickBot="1" x14ac:dyDescent="0.25">
      <c r="B21" s="52" t="s">
        <v>279</v>
      </c>
      <c r="C21" s="100">
        <v>8099</v>
      </c>
      <c r="D21" s="100">
        <v>27642</v>
      </c>
      <c r="E21" s="100">
        <v>32474</v>
      </c>
      <c r="F21" s="101">
        <v>3.2773198540352391E-2</v>
      </c>
      <c r="G21" s="101">
        <v>6.2027095846358959E-2</v>
      </c>
      <c r="H21" s="101">
        <v>6.5991751945470342E-2</v>
      </c>
      <c r="I21" s="101">
        <v>241.30139523397949</v>
      </c>
      <c r="J21" s="101">
        <v>17.48064539468924</v>
      </c>
    </row>
    <row r="22" spans="2:10" ht="15.75" customHeight="1" thickBot="1" x14ac:dyDescent="0.25">
      <c r="B22" s="52" t="s">
        <v>280</v>
      </c>
      <c r="C22" s="100">
        <v>115998</v>
      </c>
      <c r="D22" s="100">
        <v>349717</v>
      </c>
      <c r="E22" s="100">
        <v>401586</v>
      </c>
      <c r="F22" s="101">
        <v>0.46939442947077376</v>
      </c>
      <c r="G22" s="101">
        <v>0.7847453106902943</v>
      </c>
      <c r="H22" s="101">
        <v>0.81607943883641221</v>
      </c>
      <c r="I22" s="101">
        <v>201.48537043742132</v>
      </c>
      <c r="J22" s="101">
        <v>14.831706780053587</v>
      </c>
    </row>
    <row r="23" spans="2:10" ht="15.75" customHeight="1" x14ac:dyDescent="0.2">
      <c r="B23" s="46" t="s">
        <v>37</v>
      </c>
      <c r="C23" s="47">
        <v>62730</v>
      </c>
      <c r="D23" s="47">
        <v>98147</v>
      </c>
      <c r="E23" s="47">
        <v>64771</v>
      </c>
      <c r="F23" s="48">
        <v>0.25384155382594215</v>
      </c>
      <c r="G23" s="48">
        <v>0.22023635684945347</v>
      </c>
      <c r="H23" s="48">
        <v>0.13162381490608052</v>
      </c>
      <c r="I23" s="48">
        <v>56.459429300175351</v>
      </c>
      <c r="J23" s="48">
        <v>-34.006133656657873</v>
      </c>
    </row>
    <row r="24" spans="2:10" ht="15.75" customHeight="1" x14ac:dyDescent="0.2">
      <c r="B24" s="46" t="s">
        <v>49</v>
      </c>
      <c r="C24" s="47">
        <v>52587</v>
      </c>
      <c r="D24" s="47">
        <v>146438</v>
      </c>
      <c r="E24" s="47">
        <v>120819</v>
      </c>
      <c r="F24" s="48">
        <v>0.21279715911118793</v>
      </c>
      <c r="G24" s="48">
        <v>0.32859864921312182</v>
      </c>
      <c r="H24" s="48">
        <v>0.245521262496144</v>
      </c>
      <c r="I24" s="48">
        <v>178.46806244889422</v>
      </c>
      <c r="J24" s="48">
        <v>-17.494775946134201</v>
      </c>
    </row>
    <row r="25" spans="2:10" ht="15.75" customHeight="1" x14ac:dyDescent="0.2">
      <c r="B25" s="46" t="s">
        <v>116</v>
      </c>
      <c r="C25" s="47">
        <v>836624</v>
      </c>
      <c r="D25" s="47">
        <v>1208895</v>
      </c>
      <c r="E25" s="47">
        <v>1051721</v>
      </c>
      <c r="F25" s="48">
        <v>3.3854604834700308</v>
      </c>
      <c r="G25" s="48">
        <v>2.7126924981254654</v>
      </c>
      <c r="H25" s="48">
        <v>2.1372455302039173</v>
      </c>
      <c r="I25" s="48">
        <v>44.496810992751819</v>
      </c>
      <c r="J25" s="48">
        <v>-13.001460011001782</v>
      </c>
    </row>
    <row r="26" spans="2:10" ht="15.75" customHeight="1" x14ac:dyDescent="0.2">
      <c r="B26" s="46" t="s">
        <v>122</v>
      </c>
      <c r="C26" s="47">
        <v>225238</v>
      </c>
      <c r="D26" s="47">
        <v>843028</v>
      </c>
      <c r="E26" s="47">
        <v>765776</v>
      </c>
      <c r="F26" s="48">
        <v>0.91144211542559472</v>
      </c>
      <c r="G26" s="48">
        <v>1.8917074942900043</v>
      </c>
      <c r="H26" s="48">
        <v>1.5561649269506219</v>
      </c>
      <c r="I26" s="48">
        <v>274.28320265674529</v>
      </c>
      <c r="J26" s="48">
        <v>-9.1636339481013671</v>
      </c>
    </row>
    <row r="27" spans="2:10" ht="15.75" customHeight="1" x14ac:dyDescent="0.2">
      <c r="B27" s="46" t="s">
        <v>134</v>
      </c>
      <c r="C27" s="47">
        <v>83831</v>
      </c>
      <c r="D27" s="47">
        <v>92439</v>
      </c>
      <c r="E27" s="47">
        <v>70090</v>
      </c>
      <c r="F27" s="48">
        <v>0.33922830063418707</v>
      </c>
      <c r="G27" s="48">
        <v>0.20742792536508126</v>
      </c>
      <c r="H27" s="48">
        <v>0.1424327737223014</v>
      </c>
      <c r="I27" s="48">
        <v>10.268277844711383</v>
      </c>
      <c r="J27" s="48">
        <v>-24.177024848819222</v>
      </c>
    </row>
    <row r="28" spans="2:10" ht="15.75" customHeight="1" x14ac:dyDescent="0.2">
      <c r="B28" s="46" t="s">
        <v>145</v>
      </c>
      <c r="C28" s="47">
        <v>246249</v>
      </c>
      <c r="D28" s="47">
        <v>480123</v>
      </c>
      <c r="E28" s="47">
        <v>363070</v>
      </c>
      <c r="F28" s="48">
        <v>0.99646467062146382</v>
      </c>
      <c r="G28" s="48">
        <v>1.0773690521323132</v>
      </c>
      <c r="H28" s="48">
        <v>0.7378094900179194</v>
      </c>
      <c r="I28" s="48">
        <v>94.974598881619826</v>
      </c>
      <c r="J28" s="48">
        <v>-24.379794344365923</v>
      </c>
    </row>
    <row r="29" spans="2:10" ht="15.75" customHeight="1" x14ac:dyDescent="0.2">
      <c r="B29" s="46" t="s">
        <v>146</v>
      </c>
      <c r="C29" s="47">
        <v>65882</v>
      </c>
      <c r="D29" s="47">
        <v>171691</v>
      </c>
      <c r="E29" s="47">
        <v>200905</v>
      </c>
      <c r="F29" s="48">
        <v>0.26659635340603732</v>
      </c>
      <c r="G29" s="48">
        <v>0.38526496320661369</v>
      </c>
      <c r="H29" s="48">
        <v>0.40826731922783516</v>
      </c>
      <c r="I29" s="48">
        <v>160.60380680610788</v>
      </c>
      <c r="J29" s="48">
        <v>17.015452178623224</v>
      </c>
    </row>
    <row r="30" spans="2:10" ht="15.75" customHeight="1" x14ac:dyDescent="0.2">
      <c r="B30" s="46" t="s">
        <v>158</v>
      </c>
      <c r="C30" s="47">
        <v>191768</v>
      </c>
      <c r="D30" s="47">
        <v>272844</v>
      </c>
      <c r="E30" s="47">
        <v>257781</v>
      </c>
      <c r="F30" s="48">
        <v>0.77600330135650042</v>
      </c>
      <c r="G30" s="48">
        <v>0.61224661526314894</v>
      </c>
      <c r="H30" s="48">
        <v>0.52384737969622741</v>
      </c>
      <c r="I30" s="48">
        <v>42.27816945475783</v>
      </c>
      <c r="J30" s="48">
        <v>-5.5207371245107097</v>
      </c>
    </row>
    <row r="31" spans="2:10" ht="15.75" customHeight="1" x14ac:dyDescent="0.2">
      <c r="B31" s="46" t="s">
        <v>230</v>
      </c>
      <c r="C31" s="47">
        <v>10083</v>
      </c>
      <c r="D31" s="47">
        <v>497914</v>
      </c>
      <c r="E31" s="47">
        <v>820683</v>
      </c>
      <c r="F31" s="48">
        <v>4.0801600306503663E-2</v>
      </c>
      <c r="G31" s="48">
        <v>1.1172910571320445</v>
      </c>
      <c r="H31" s="48">
        <v>1.6677437014800898</v>
      </c>
      <c r="I31" s="48">
        <v>4838.1533273827235</v>
      </c>
      <c r="J31" s="48">
        <v>64.824246757472167</v>
      </c>
    </row>
    <row r="32" spans="2:10" ht="15.75" customHeight="1" x14ac:dyDescent="0.2">
      <c r="B32" s="46" t="s">
        <v>250</v>
      </c>
      <c r="C32" s="47">
        <v>326633</v>
      </c>
      <c r="D32" s="47">
        <v>494629</v>
      </c>
      <c r="E32" s="47">
        <v>384680</v>
      </c>
      <c r="F32" s="48">
        <v>1.3217444325016572</v>
      </c>
      <c r="G32" s="48">
        <v>1.1099197015913713</v>
      </c>
      <c r="H32" s="48">
        <v>0.78172406042937514</v>
      </c>
      <c r="I32" s="48">
        <v>51.432647650421117</v>
      </c>
      <c r="J32" s="48">
        <v>-22.228579399913876</v>
      </c>
    </row>
    <row r="33" spans="2:10" ht="15.75" customHeight="1" x14ac:dyDescent="0.2">
      <c r="B33" s="46" t="s">
        <v>257</v>
      </c>
      <c r="C33" s="47">
        <v>21856</v>
      </c>
      <c r="D33" s="47">
        <v>34599</v>
      </c>
      <c r="E33" s="47">
        <v>35911</v>
      </c>
      <c r="F33" s="48">
        <v>8.844190977873094E-2</v>
      </c>
      <c r="G33" s="48">
        <v>7.7638213196880607E-2</v>
      </c>
      <c r="H33" s="48">
        <v>7.2976221103460776E-2</v>
      </c>
      <c r="I33" s="48">
        <v>58.304355783308928</v>
      </c>
      <c r="J33" s="48">
        <v>3.7920171103211073</v>
      </c>
    </row>
    <row r="34" spans="2:10" ht="15.75" customHeight="1" thickBot="1" x14ac:dyDescent="0.25">
      <c r="B34" s="46" t="s">
        <v>281</v>
      </c>
      <c r="C34" s="47">
        <v>529195</v>
      </c>
      <c r="D34" s="47">
        <v>598048</v>
      </c>
      <c r="E34" s="47">
        <v>554283</v>
      </c>
      <c r="F34" s="48">
        <v>2.1414264479024303</v>
      </c>
      <c r="G34" s="48">
        <v>1.3419861304074698</v>
      </c>
      <c r="H34" s="48">
        <v>1.126381297148215</v>
      </c>
      <c r="I34" s="48">
        <v>13.010893904893281</v>
      </c>
      <c r="J34" s="48">
        <v>-7.3179744769650599</v>
      </c>
    </row>
    <row r="35" spans="2:10" ht="15.75" customHeight="1" thickBot="1" x14ac:dyDescent="0.25">
      <c r="B35" s="52" t="s">
        <v>282</v>
      </c>
      <c r="C35" s="53">
        <v>2652676</v>
      </c>
      <c r="D35" s="53">
        <v>4938795</v>
      </c>
      <c r="E35" s="53">
        <v>4690490</v>
      </c>
      <c r="F35" s="54">
        <v>10.734248328340266</v>
      </c>
      <c r="G35" s="54">
        <v>11.082378656772969</v>
      </c>
      <c r="H35" s="54">
        <v>9.5317377773821867</v>
      </c>
      <c r="I35" s="54">
        <v>86.181614339632887</v>
      </c>
      <c r="J35" s="54">
        <v>-5.027643382646982</v>
      </c>
    </row>
    <row r="36" spans="2:10" ht="15.75" customHeight="1" x14ac:dyDescent="0.2">
      <c r="B36" s="46" t="s">
        <v>38</v>
      </c>
      <c r="C36" s="47">
        <v>8226</v>
      </c>
      <c r="D36" s="47">
        <v>24335</v>
      </c>
      <c r="E36" s="47">
        <v>23651</v>
      </c>
      <c r="F36" s="48">
        <v>3.3287113371149368E-2</v>
      </c>
      <c r="G36" s="48">
        <v>5.4606373541029783E-2</v>
      </c>
      <c r="H36" s="48">
        <v>4.8062170513713094E-2</v>
      </c>
      <c r="I36" s="48">
        <v>195.83029418915635</v>
      </c>
      <c r="J36" s="48">
        <v>-2.8107663858639818</v>
      </c>
    </row>
    <row r="37" spans="2:10" ht="15.75" customHeight="1" x14ac:dyDescent="0.2">
      <c r="B37" s="46" t="s">
        <v>69</v>
      </c>
      <c r="C37" s="47">
        <v>33641</v>
      </c>
      <c r="D37" s="47">
        <v>89515</v>
      </c>
      <c r="E37" s="47">
        <v>248119</v>
      </c>
      <c r="F37" s="48">
        <v>0.13613077813260832</v>
      </c>
      <c r="G37" s="48">
        <v>0.20086663355353529</v>
      </c>
      <c r="H37" s="48">
        <v>0.50421283183340992</v>
      </c>
      <c r="I37" s="48">
        <v>166.08899854344401</v>
      </c>
      <c r="J37" s="48">
        <v>177.18147796458695</v>
      </c>
    </row>
    <row r="38" spans="2:10" ht="15.75" customHeight="1" x14ac:dyDescent="0.2">
      <c r="B38" s="46" t="s">
        <v>78</v>
      </c>
      <c r="C38" s="47">
        <v>49319</v>
      </c>
      <c r="D38" s="47">
        <v>152995</v>
      </c>
      <c r="E38" s="47">
        <v>178800</v>
      </c>
      <c r="F38" s="48">
        <v>0.19957295700847505</v>
      </c>
      <c r="G38" s="48">
        <v>0.34331218902444427</v>
      </c>
      <c r="H38" s="48">
        <v>0.36334683894346542</v>
      </c>
      <c r="I38" s="48">
        <v>210.21513007157486</v>
      </c>
      <c r="J38" s="48">
        <v>16.866564266806105</v>
      </c>
    </row>
    <row r="39" spans="2:10" ht="15.75" customHeight="1" x14ac:dyDescent="0.2">
      <c r="B39" s="46" t="s">
        <v>88</v>
      </c>
      <c r="C39" s="47">
        <v>55397</v>
      </c>
      <c r="D39" s="47">
        <v>97954</v>
      </c>
      <c r="E39" s="47">
        <v>120347</v>
      </c>
      <c r="F39" s="48">
        <v>0.22416803056425502</v>
      </c>
      <c r="G39" s="48">
        <v>0.21980327568678987</v>
      </c>
      <c r="H39" s="48">
        <v>0.24456209186985031</v>
      </c>
      <c r="I39" s="48">
        <v>76.821849558640366</v>
      </c>
      <c r="J39" s="48">
        <v>22.860730546991444</v>
      </c>
    </row>
    <row r="40" spans="2:10" ht="15.75" customHeight="1" x14ac:dyDescent="0.2">
      <c r="B40" s="46" t="s">
        <v>112</v>
      </c>
      <c r="C40" s="47">
        <v>52651</v>
      </c>
      <c r="D40" s="47">
        <v>231579</v>
      </c>
      <c r="E40" s="47">
        <v>274159</v>
      </c>
      <c r="F40" s="48">
        <v>0.21305613981332186</v>
      </c>
      <c r="G40" s="48">
        <v>0.51965027237551409</v>
      </c>
      <c r="H40" s="48">
        <v>0.55712978757215625</v>
      </c>
      <c r="I40" s="48">
        <v>339.83779985185464</v>
      </c>
      <c r="J40" s="48">
        <v>18.386814002996818</v>
      </c>
    </row>
    <row r="41" spans="2:10" ht="15.75" customHeight="1" x14ac:dyDescent="0.2">
      <c r="B41" s="46" t="s">
        <v>119</v>
      </c>
      <c r="C41" s="47">
        <v>1153092</v>
      </c>
      <c r="D41" s="47">
        <v>2331076</v>
      </c>
      <c r="E41" s="47">
        <v>2504494</v>
      </c>
      <c r="F41" s="48">
        <v>4.6660714966405754</v>
      </c>
      <c r="G41" s="48">
        <v>5.2308036494156376</v>
      </c>
      <c r="H41" s="48">
        <v>5.0894853358661942</v>
      </c>
      <c r="I41" s="48">
        <v>102.15871760449296</v>
      </c>
      <c r="J41" s="48">
        <v>7.4393970852945159</v>
      </c>
    </row>
    <row r="42" spans="2:10" ht="15.75" customHeight="1" x14ac:dyDescent="0.2">
      <c r="B42" s="46" t="s">
        <v>165</v>
      </c>
      <c r="C42" s="47">
        <v>9618</v>
      </c>
      <c r="D42" s="47">
        <v>89766</v>
      </c>
      <c r="E42" s="47">
        <v>95444</v>
      </c>
      <c r="F42" s="48">
        <v>3.8919943642561954E-2</v>
      </c>
      <c r="G42" s="48">
        <v>0.20142986345938277</v>
      </c>
      <c r="H42" s="48">
        <v>0.19395568062707</v>
      </c>
      <c r="I42" s="48">
        <v>833.31253898939485</v>
      </c>
      <c r="J42" s="48">
        <v>6.3253347592629723</v>
      </c>
    </row>
    <row r="43" spans="2:10" ht="15.75" customHeight="1" x14ac:dyDescent="0.2">
      <c r="B43" s="46" t="s">
        <v>194</v>
      </c>
      <c r="C43" s="47">
        <v>90681</v>
      </c>
      <c r="D43" s="47">
        <v>173621</v>
      </c>
      <c r="E43" s="47">
        <v>140388</v>
      </c>
      <c r="F43" s="48">
        <v>0.36694732890945736</v>
      </c>
      <c r="G43" s="48">
        <v>0.38959577483324975</v>
      </c>
      <c r="H43" s="48">
        <v>0.28528823280534243</v>
      </c>
      <c r="I43" s="48">
        <v>91.463481876026947</v>
      </c>
      <c r="J43" s="48">
        <v>-19.14111772193456</v>
      </c>
    </row>
    <row r="44" spans="2:10" ht="15.75" customHeight="1" x14ac:dyDescent="0.2">
      <c r="B44" s="46" t="s">
        <v>220</v>
      </c>
      <c r="C44" s="47">
        <v>2951</v>
      </c>
      <c r="D44" s="47">
        <v>30602</v>
      </c>
      <c r="E44" s="47">
        <v>38932</v>
      </c>
      <c r="F44" s="48">
        <v>1.1941438312455846E-2</v>
      </c>
      <c r="G44" s="48">
        <v>6.8669169636432853E-2</v>
      </c>
      <c r="H44" s="48">
        <v>7.9115319539972015E-2</v>
      </c>
      <c r="I44" s="48">
        <v>937.00440528634363</v>
      </c>
      <c r="J44" s="48">
        <v>27.220443108293576</v>
      </c>
    </row>
    <row r="45" spans="2:10" ht="15.75" customHeight="1" x14ac:dyDescent="0.2">
      <c r="B45" s="46" t="s">
        <v>237</v>
      </c>
      <c r="C45" s="47">
        <v>6687</v>
      </c>
      <c r="D45" s="47">
        <v>29814</v>
      </c>
      <c r="E45" s="47">
        <v>39051</v>
      </c>
      <c r="F45" s="48">
        <v>2.7059436799522957E-2</v>
      </c>
      <c r="G45" s="48">
        <v>6.6900941884210474E-2</v>
      </c>
      <c r="H45" s="48">
        <v>7.9357144337702842E-2</v>
      </c>
      <c r="I45" s="48">
        <v>345.85015702108569</v>
      </c>
      <c r="J45" s="48">
        <v>30.982088951499296</v>
      </c>
    </row>
    <row r="46" spans="2:10" ht="15.75" customHeight="1" thickBot="1" x14ac:dyDescent="0.25">
      <c r="B46" s="46" t="s">
        <v>283</v>
      </c>
      <c r="C46" s="47">
        <v>83128</v>
      </c>
      <c r="D46" s="47">
        <v>142785</v>
      </c>
      <c r="E46" s="47">
        <v>198650</v>
      </c>
      <c r="F46" s="48">
        <v>0.33638355948418491</v>
      </c>
      <c r="G46" s="48">
        <v>0.32040152233638536</v>
      </c>
      <c r="H46" s="48">
        <v>0.40368484091789375</v>
      </c>
      <c r="I46" s="48">
        <v>71.765229525550964</v>
      </c>
      <c r="J46" s="48">
        <v>39.125258255418984</v>
      </c>
    </row>
    <row r="47" spans="2:10" ht="15.75" customHeight="1" thickBot="1" x14ac:dyDescent="0.25">
      <c r="B47" s="52" t="s">
        <v>284</v>
      </c>
      <c r="C47" s="100">
        <v>1545391</v>
      </c>
      <c r="D47" s="100">
        <v>3394042</v>
      </c>
      <c r="E47" s="100">
        <v>3862035</v>
      </c>
      <c r="F47" s="101">
        <v>6.2535382226785678</v>
      </c>
      <c r="G47" s="101">
        <v>7.6160396657466123</v>
      </c>
      <c r="H47" s="101">
        <v>7.8482002748267705</v>
      </c>
      <c r="I47" s="101">
        <v>119.62351275502445</v>
      </c>
      <c r="J47" s="101">
        <v>13.788662603468078</v>
      </c>
    </row>
    <row r="48" spans="2:10" ht="15.75" customHeight="1" thickBot="1" x14ac:dyDescent="0.25">
      <c r="B48" s="52" t="s">
        <v>285</v>
      </c>
      <c r="C48" s="100">
        <v>4198067</v>
      </c>
      <c r="D48" s="100">
        <v>8332837</v>
      </c>
      <c r="E48" s="100">
        <v>8552525</v>
      </c>
      <c r="F48" s="101">
        <v>16.987786551018836</v>
      </c>
      <c r="G48" s="101">
        <v>18.698418322519579</v>
      </c>
      <c r="H48" s="101">
        <v>17.379938052208956</v>
      </c>
      <c r="I48" s="101">
        <v>98.492234640371393</v>
      </c>
      <c r="J48" s="101">
        <v>2.6364130247597548</v>
      </c>
    </row>
    <row r="49" spans="2:10" ht="15.75" customHeight="1" x14ac:dyDescent="0.2">
      <c r="B49" s="46" t="s">
        <v>22</v>
      </c>
      <c r="C49" s="47">
        <v>3085215</v>
      </c>
      <c r="D49" s="47">
        <v>5679194</v>
      </c>
      <c r="E49" s="47">
        <v>6193259</v>
      </c>
      <c r="F49" s="48">
        <v>12.484549170844955</v>
      </c>
      <c r="G49" s="48">
        <v>12.743792437886793</v>
      </c>
      <c r="H49" s="48">
        <v>12.585576512349931</v>
      </c>
      <c r="I49" s="48">
        <v>84.077738504447822</v>
      </c>
      <c r="J49" s="48">
        <v>9.0517245933137698</v>
      </c>
    </row>
    <row r="50" spans="2:10" ht="15.75" customHeight="1" x14ac:dyDescent="0.2">
      <c r="B50" s="46" t="s">
        <v>34</v>
      </c>
      <c r="C50" s="47">
        <v>284095</v>
      </c>
      <c r="D50" s="47">
        <v>454638</v>
      </c>
      <c r="E50" s="47">
        <v>496482</v>
      </c>
      <c r="F50" s="48">
        <v>1.1496112901989644</v>
      </c>
      <c r="G50" s="48">
        <v>1.0201821431660858</v>
      </c>
      <c r="H50" s="48">
        <v>1.008921506109226</v>
      </c>
      <c r="I50" s="48">
        <v>60.030271564089475</v>
      </c>
      <c r="J50" s="48">
        <v>9.2038061050770068</v>
      </c>
    </row>
    <row r="51" spans="2:10" ht="15.75" customHeight="1" x14ac:dyDescent="0.2">
      <c r="B51" s="46" t="s">
        <v>43</v>
      </c>
      <c r="C51" s="47">
        <v>339529</v>
      </c>
      <c r="D51" s="47">
        <v>596173</v>
      </c>
      <c r="E51" s="47">
        <v>596355</v>
      </c>
      <c r="F51" s="48">
        <v>1.3739290439816405</v>
      </c>
      <c r="G51" s="48">
        <v>1.3377787356924737</v>
      </c>
      <c r="H51" s="48">
        <v>1.2118775399224291</v>
      </c>
      <c r="I51" s="48">
        <v>75.58824135788106</v>
      </c>
      <c r="J51" s="48">
        <v>3.0528051421315625E-2</v>
      </c>
    </row>
    <row r="52" spans="2:10" ht="15.75" customHeight="1" x14ac:dyDescent="0.2">
      <c r="B52" s="46" t="s">
        <v>68</v>
      </c>
      <c r="C52" s="47">
        <v>89734</v>
      </c>
      <c r="D52" s="47">
        <v>295454</v>
      </c>
      <c r="E52" s="47">
        <v>384158</v>
      </c>
      <c r="F52" s="48">
        <v>0.36311522383256961</v>
      </c>
      <c r="G52" s="48">
        <v>0.66298218566638234</v>
      </c>
      <c r="H52" s="48">
        <v>0.78066328274521135</v>
      </c>
      <c r="I52" s="48">
        <v>229.25535471504671</v>
      </c>
      <c r="J52" s="48">
        <v>30.022947734672741</v>
      </c>
    </row>
    <row r="53" spans="2:10" ht="15.75" customHeight="1" x14ac:dyDescent="0.2">
      <c r="B53" s="46" t="s">
        <v>70</v>
      </c>
      <c r="C53" s="47">
        <v>111499</v>
      </c>
      <c r="D53" s="47">
        <v>356127</v>
      </c>
      <c r="E53" s="47">
        <v>319835</v>
      </c>
      <c r="F53" s="48">
        <v>0.45118889542545393</v>
      </c>
      <c r="G53" s="48">
        <v>0.79912899075596111</v>
      </c>
      <c r="H53" s="48">
        <v>0.6499498670776469</v>
      </c>
      <c r="I53" s="48">
        <v>219.39927712356166</v>
      </c>
      <c r="J53" s="48">
        <v>-10.190746559513881</v>
      </c>
    </row>
    <row r="54" spans="2:10" ht="15.75" customHeight="1" x14ac:dyDescent="0.2">
      <c r="B54" s="46" t="s">
        <v>90</v>
      </c>
      <c r="C54" s="47">
        <v>32809</v>
      </c>
      <c r="D54" s="47">
        <v>117281</v>
      </c>
      <c r="E54" s="47">
        <v>117123</v>
      </c>
      <c r="F54" s="48">
        <v>0.13276402900486747</v>
      </c>
      <c r="G54" s="48">
        <v>0.26317197843704598</v>
      </c>
      <c r="H54" s="48">
        <v>0.23801046877838647</v>
      </c>
      <c r="I54" s="48">
        <v>257.46593922399342</v>
      </c>
      <c r="J54" s="48">
        <v>-0.1347191787246016</v>
      </c>
    </row>
    <row r="55" spans="2:10" ht="15.75" customHeight="1" x14ac:dyDescent="0.2">
      <c r="B55" s="46" t="s">
        <v>91</v>
      </c>
      <c r="C55" s="47">
        <v>621493</v>
      </c>
      <c r="D55" s="47">
        <v>986090</v>
      </c>
      <c r="E55" s="47">
        <v>1031824</v>
      </c>
      <c r="F55" s="48">
        <v>2.5149170861142398</v>
      </c>
      <c r="G55" s="48">
        <v>2.2127305890722853</v>
      </c>
      <c r="H55" s="48">
        <v>2.0968120175950911</v>
      </c>
      <c r="I55" s="48">
        <v>58.664699361054751</v>
      </c>
      <c r="J55" s="48">
        <v>4.6379133750469022</v>
      </c>
    </row>
    <row r="56" spans="2:10" ht="15.75" customHeight="1" x14ac:dyDescent="0.2">
      <c r="B56" s="46" t="s">
        <v>113</v>
      </c>
      <c r="C56" s="47">
        <v>645601</v>
      </c>
      <c r="D56" s="47">
        <v>1244756</v>
      </c>
      <c r="E56" s="47">
        <v>1232220</v>
      </c>
      <c r="F56" s="48">
        <v>2.6124718793493078</v>
      </c>
      <c r="G56" s="48">
        <v>2.7931625684585195</v>
      </c>
      <c r="H56" s="48">
        <v>2.5040449769738085</v>
      </c>
      <c r="I56" s="48">
        <v>92.805773225258321</v>
      </c>
      <c r="J56" s="48">
        <v>-1.007105006925052</v>
      </c>
    </row>
    <row r="57" spans="2:10" ht="15.75" customHeight="1" x14ac:dyDescent="0.2">
      <c r="B57" s="46" t="s">
        <v>118</v>
      </c>
      <c r="C57" s="47">
        <v>392746</v>
      </c>
      <c r="D57" s="47">
        <v>3370739</v>
      </c>
      <c r="E57" s="47">
        <v>3800922</v>
      </c>
      <c r="F57" s="48">
        <v>1.5892755443794593</v>
      </c>
      <c r="G57" s="48">
        <v>7.563749042256716</v>
      </c>
      <c r="H57" s="48">
        <v>7.7240100322744656</v>
      </c>
      <c r="I57" s="48">
        <v>758.2490973810045</v>
      </c>
      <c r="J57" s="48">
        <v>12.762275572211315</v>
      </c>
    </row>
    <row r="58" spans="2:10" ht="15.75" customHeight="1" x14ac:dyDescent="0.2">
      <c r="B58" s="46" t="s">
        <v>120</v>
      </c>
      <c r="C58" s="47">
        <v>36947</v>
      </c>
      <c r="D58" s="47">
        <v>136608</v>
      </c>
      <c r="E58" s="47">
        <v>163165</v>
      </c>
      <c r="F58" s="48">
        <v>0.1495087500272132</v>
      </c>
      <c r="G58" s="48">
        <v>0.3065406811873021</v>
      </c>
      <c r="H58" s="48">
        <v>0.33157431194748621</v>
      </c>
      <c r="I58" s="48">
        <v>269.74043900722654</v>
      </c>
      <c r="J58" s="48">
        <v>19.440296322323729</v>
      </c>
    </row>
    <row r="59" spans="2:10" ht="15.75" customHeight="1" x14ac:dyDescent="0.2">
      <c r="B59" s="46" t="s">
        <v>121</v>
      </c>
      <c r="C59" s="47">
        <v>104848</v>
      </c>
      <c r="D59" s="47">
        <v>298165</v>
      </c>
      <c r="E59" s="47">
        <v>324690</v>
      </c>
      <c r="F59" s="48">
        <v>0.42427513527088129</v>
      </c>
      <c r="G59" s="48">
        <v>0.66906551743830478</v>
      </c>
      <c r="H59" s="48">
        <v>0.65981591239683324</v>
      </c>
      <c r="I59" s="48">
        <v>184.37833816572561</v>
      </c>
      <c r="J59" s="48">
        <v>8.8960810289604755</v>
      </c>
    </row>
    <row r="60" spans="2:10" ht="15.75" customHeight="1" x14ac:dyDescent="0.2">
      <c r="B60" s="46" t="s">
        <v>123</v>
      </c>
      <c r="C60" s="47">
        <v>192872</v>
      </c>
      <c r="D60" s="47">
        <v>415696</v>
      </c>
      <c r="E60" s="47">
        <v>364984</v>
      </c>
      <c r="F60" s="48">
        <v>0.7804707184683104</v>
      </c>
      <c r="G60" s="48">
        <v>0.93279848183735015</v>
      </c>
      <c r="H60" s="48">
        <v>0.74169900819318668</v>
      </c>
      <c r="I60" s="48">
        <v>115.52947032228629</v>
      </c>
      <c r="J60" s="48">
        <v>-12.199299488087448</v>
      </c>
    </row>
    <row r="61" spans="2:10" ht="15.75" customHeight="1" x14ac:dyDescent="0.2">
      <c r="B61" s="46" t="s">
        <v>124</v>
      </c>
      <c r="C61" s="47">
        <v>219591</v>
      </c>
      <c r="D61" s="47">
        <v>382835</v>
      </c>
      <c r="E61" s="47">
        <v>390044</v>
      </c>
      <c r="F61" s="48">
        <v>0.88859111503574784</v>
      </c>
      <c r="G61" s="48">
        <v>0.85906024304828998</v>
      </c>
      <c r="H61" s="48">
        <v>0.79262446559767918</v>
      </c>
      <c r="I61" s="48">
        <v>74.340023042838737</v>
      </c>
      <c r="J61" s="48">
        <v>1.883056669322293</v>
      </c>
    </row>
    <row r="62" spans="2:10" ht="15.75" customHeight="1" x14ac:dyDescent="0.2">
      <c r="B62" s="97" t="s">
        <v>125</v>
      </c>
      <c r="C62" s="98">
        <v>116806</v>
      </c>
      <c r="D62" s="98">
        <v>420661</v>
      </c>
      <c r="E62" s="98">
        <v>602176</v>
      </c>
      <c r="F62" s="99">
        <v>0.47266406083521439</v>
      </c>
      <c r="G62" s="99">
        <v>0.94393966304265997</v>
      </c>
      <c r="H62" s="99">
        <v>1.2237066335996658</v>
      </c>
      <c r="I62" s="99">
        <v>260.13646559252095</v>
      </c>
      <c r="J62" s="99">
        <v>43.149947344774056</v>
      </c>
    </row>
    <row r="63" spans="2:10" ht="15.75" customHeight="1" x14ac:dyDescent="0.2">
      <c r="B63" s="46"/>
      <c r="C63" s="47"/>
      <c r="D63" s="47"/>
      <c r="E63" s="47"/>
      <c r="F63" s="48"/>
      <c r="G63" s="48"/>
      <c r="H63" s="48"/>
      <c r="I63" s="48"/>
      <c r="J63" s="48"/>
    </row>
    <row r="64" spans="2:10" ht="15.75" customHeight="1" x14ac:dyDescent="0.2">
      <c r="B64" s="46"/>
      <c r="C64" s="47"/>
      <c r="D64" s="47"/>
      <c r="E64" s="47"/>
      <c r="F64" s="48"/>
      <c r="G64" s="48"/>
      <c r="H64" s="48"/>
      <c r="I64" s="48"/>
      <c r="J64" s="48"/>
    </row>
    <row r="65" spans="2:10" ht="15.75" customHeight="1" thickBot="1" x14ac:dyDescent="0.25">
      <c r="B65" s="422" t="s">
        <v>640</v>
      </c>
      <c r="C65" s="423"/>
      <c r="D65" s="423"/>
      <c r="E65" s="423"/>
      <c r="F65" s="423"/>
      <c r="G65" s="423"/>
      <c r="H65" s="423"/>
      <c r="I65" s="423"/>
      <c r="J65" s="423"/>
    </row>
    <row r="66" spans="2:10" ht="15.75" customHeight="1" x14ac:dyDescent="0.2">
      <c r="B66" s="69" t="s">
        <v>264</v>
      </c>
      <c r="C66" s="424" t="s">
        <v>1</v>
      </c>
      <c r="D66" s="424"/>
      <c r="E66" s="424"/>
      <c r="F66" s="424" t="s">
        <v>506</v>
      </c>
      <c r="G66" s="424"/>
      <c r="H66" s="424"/>
      <c r="I66" s="424" t="s">
        <v>266</v>
      </c>
      <c r="J66" s="424"/>
    </row>
    <row r="67" spans="2:10" ht="15.75" customHeight="1" thickBot="1" x14ac:dyDescent="0.25">
      <c r="B67" s="95" t="s">
        <v>267</v>
      </c>
      <c r="C67" s="102">
        <v>2021</v>
      </c>
      <c r="D67" s="102">
        <v>2022</v>
      </c>
      <c r="E67" s="102">
        <v>2023</v>
      </c>
      <c r="F67" s="102">
        <v>2021</v>
      </c>
      <c r="G67" s="102">
        <v>2022</v>
      </c>
      <c r="H67" s="102">
        <v>2023</v>
      </c>
      <c r="I67" s="103" t="s">
        <v>589</v>
      </c>
      <c r="J67" s="103" t="s">
        <v>607</v>
      </c>
    </row>
    <row r="68" spans="2:10" ht="15.75" customHeight="1" x14ac:dyDescent="0.2">
      <c r="B68" s="46" t="s">
        <v>126</v>
      </c>
      <c r="C68" s="47">
        <v>962</v>
      </c>
      <c r="D68" s="47">
        <v>4070</v>
      </c>
      <c r="E68" s="47">
        <v>3975</v>
      </c>
      <c r="F68" s="48">
        <v>3.892803678950364E-3</v>
      </c>
      <c r="G68" s="48">
        <v>9.1328514613516019E-3</v>
      </c>
      <c r="H68" s="48">
        <v>8.0777611006726795E-3</v>
      </c>
      <c r="I68" s="48">
        <v>323.07692307692309</v>
      </c>
      <c r="J68" s="48">
        <v>-2.3341523341523343</v>
      </c>
    </row>
    <row r="69" spans="2:10" ht="15.75" customHeight="1" x14ac:dyDescent="0.2">
      <c r="B69" s="46" t="s">
        <v>159</v>
      </c>
      <c r="C69" s="47">
        <v>8499</v>
      </c>
      <c r="D69" s="47">
        <v>13186</v>
      </c>
      <c r="E69" s="47">
        <v>15633</v>
      </c>
      <c r="F69" s="48">
        <v>3.4391827928689341E-2</v>
      </c>
      <c r="G69" s="48">
        <v>2.9588643579700789E-2</v>
      </c>
      <c r="H69" s="48">
        <v>3.1768462713664403E-2</v>
      </c>
      <c r="I69" s="48">
        <v>55.14766443110954</v>
      </c>
      <c r="J69" s="48">
        <v>18.557561049598057</v>
      </c>
    </row>
    <row r="70" spans="2:10" ht="15.75" customHeight="1" x14ac:dyDescent="0.2">
      <c r="B70" s="46" t="s">
        <v>160</v>
      </c>
      <c r="C70" s="47">
        <v>76257</v>
      </c>
      <c r="D70" s="47">
        <v>165842</v>
      </c>
      <c r="E70" s="47">
        <v>222327</v>
      </c>
      <c r="F70" s="48">
        <v>0.30857955316602692</v>
      </c>
      <c r="G70" s="48">
        <v>0.3721401356396738</v>
      </c>
      <c r="H70" s="48">
        <v>0.45179984710169929</v>
      </c>
      <c r="I70" s="48">
        <v>117.47773974848211</v>
      </c>
      <c r="J70" s="48">
        <v>34.059526537306596</v>
      </c>
    </row>
    <row r="71" spans="2:10" ht="15.75" customHeight="1" x14ac:dyDescent="0.2">
      <c r="B71" s="46" t="s">
        <v>191</v>
      </c>
      <c r="C71" s="47">
        <v>54633</v>
      </c>
      <c r="D71" s="47">
        <v>191789</v>
      </c>
      <c r="E71" s="47">
        <v>203325</v>
      </c>
      <c r="F71" s="48">
        <v>0.22107644843253144</v>
      </c>
      <c r="G71" s="48">
        <v>0.43036374666367622</v>
      </c>
      <c r="H71" s="48">
        <v>0.41318510082874782</v>
      </c>
      <c r="I71" s="48">
        <v>251.04973184705216</v>
      </c>
      <c r="J71" s="48">
        <v>6.0149435056233678</v>
      </c>
    </row>
    <row r="72" spans="2:10" ht="15.75" customHeight="1" x14ac:dyDescent="0.2">
      <c r="B72" s="46" t="s">
        <v>201</v>
      </c>
      <c r="C72" s="47">
        <v>585076</v>
      </c>
      <c r="D72" s="47">
        <v>1135903</v>
      </c>
      <c r="E72" s="47">
        <v>1539123</v>
      </c>
      <c r="F72" s="48">
        <v>2.3675530200265729</v>
      </c>
      <c r="G72" s="48">
        <v>2.5489025487724</v>
      </c>
      <c r="H72" s="48">
        <v>3.1277151946039337</v>
      </c>
      <c r="I72" s="48">
        <v>94.146230575173135</v>
      </c>
      <c r="J72" s="48">
        <v>35.497749367683681</v>
      </c>
    </row>
    <row r="73" spans="2:10" ht="15.75" customHeight="1" x14ac:dyDescent="0.2">
      <c r="B73" s="46" t="s">
        <v>202</v>
      </c>
      <c r="C73" s="47">
        <v>26379</v>
      </c>
      <c r="D73" s="47">
        <v>74812</v>
      </c>
      <c r="E73" s="47">
        <v>92901</v>
      </c>
      <c r="F73" s="48">
        <v>0.10674456158735099</v>
      </c>
      <c r="G73" s="48">
        <v>0.16787392715642163</v>
      </c>
      <c r="H73" s="48">
        <v>0.18878794566379686</v>
      </c>
      <c r="I73" s="48">
        <v>183.60438227377838</v>
      </c>
      <c r="J73" s="48">
        <v>24.179276051970273</v>
      </c>
    </row>
    <row r="74" spans="2:10" ht="15.75" customHeight="1" x14ac:dyDescent="0.2">
      <c r="B74" s="46" t="s">
        <v>221</v>
      </c>
      <c r="C74" s="47">
        <v>37963</v>
      </c>
      <c r="D74" s="47">
        <v>196462</v>
      </c>
      <c r="E74" s="47">
        <v>235303</v>
      </c>
      <c r="F74" s="48">
        <v>0.15362006867358907</v>
      </c>
      <c r="G74" s="48">
        <v>0.44084969626537057</v>
      </c>
      <c r="H74" s="48">
        <v>0.47816891076014678</v>
      </c>
      <c r="I74" s="48">
        <v>417.50915364960622</v>
      </c>
      <c r="J74" s="48">
        <v>19.770235465382619</v>
      </c>
    </row>
    <row r="75" spans="2:10" ht="15.75" customHeight="1" x14ac:dyDescent="0.2">
      <c r="B75" s="46" t="s">
        <v>261</v>
      </c>
      <c r="C75" s="47">
        <v>157723</v>
      </c>
      <c r="D75" s="47">
        <v>569795</v>
      </c>
      <c r="E75" s="47">
        <v>686480</v>
      </c>
      <c r="F75" s="48">
        <v>0.63823770754167186</v>
      </c>
      <c r="G75" s="48">
        <v>1.2785879848699842</v>
      </c>
      <c r="H75" s="48">
        <v>1.3950242617332782</v>
      </c>
      <c r="I75" s="48">
        <v>261.26310049897603</v>
      </c>
      <c r="J75" s="48">
        <v>20.478417676532789</v>
      </c>
    </row>
    <row r="76" spans="2:10" ht="15.75" customHeight="1" thickBot="1" x14ac:dyDescent="0.25">
      <c r="B76" s="46" t="s">
        <v>590</v>
      </c>
      <c r="C76" s="47"/>
      <c r="D76" s="47">
        <v>12</v>
      </c>
      <c r="E76" s="47"/>
      <c r="F76" s="48"/>
      <c r="G76" s="48">
        <v>2.6927326175975238E-5</v>
      </c>
      <c r="H76" s="48"/>
      <c r="I76" s="48"/>
      <c r="J76" s="48">
        <v>-100</v>
      </c>
    </row>
    <row r="77" spans="2:10" ht="15.75" customHeight="1" thickBot="1" x14ac:dyDescent="0.25">
      <c r="B77" s="52" t="s">
        <v>286</v>
      </c>
      <c r="C77" s="100">
        <v>7221277</v>
      </c>
      <c r="D77" s="100">
        <v>17106288</v>
      </c>
      <c r="E77" s="100">
        <v>19016304</v>
      </c>
      <c r="F77" s="101">
        <v>29.221427933804208</v>
      </c>
      <c r="G77" s="101">
        <v>38.385549719680924</v>
      </c>
      <c r="H77" s="101">
        <v>38.643814020066991</v>
      </c>
      <c r="I77" s="101">
        <v>136.88729846535455</v>
      </c>
      <c r="J77" s="101">
        <v>11.165578411868196</v>
      </c>
    </row>
    <row r="78" spans="2:10" ht="15.75" customHeight="1" x14ac:dyDescent="0.2">
      <c r="B78" s="46" t="s">
        <v>30</v>
      </c>
      <c r="C78" s="47">
        <v>89748</v>
      </c>
      <c r="D78" s="47">
        <v>145032</v>
      </c>
      <c r="E78" s="47">
        <v>142482</v>
      </c>
      <c r="F78" s="48">
        <v>0.3631718758611614</v>
      </c>
      <c r="G78" s="48">
        <v>0.32544366416283671</v>
      </c>
      <c r="H78" s="48">
        <v>0.28954353638894209</v>
      </c>
      <c r="I78" s="48">
        <v>61.599144270624414</v>
      </c>
      <c r="J78" s="48">
        <v>-1.7582326658944234</v>
      </c>
    </row>
    <row r="79" spans="2:10" ht="15.75" customHeight="1" x14ac:dyDescent="0.2">
      <c r="B79" s="46" t="s">
        <v>53</v>
      </c>
      <c r="C79" s="47">
        <v>131347</v>
      </c>
      <c r="D79" s="47">
        <v>200698</v>
      </c>
      <c r="E79" s="47">
        <v>177893</v>
      </c>
      <c r="F79" s="48">
        <v>0.53150528567473332</v>
      </c>
      <c r="G79" s="48">
        <v>0.45035504240548985</v>
      </c>
      <c r="H79" s="48">
        <v>0.36150368691370188</v>
      </c>
      <c r="I79" s="48">
        <v>52.79983555010773</v>
      </c>
      <c r="J79" s="48">
        <v>-11.362843675572252</v>
      </c>
    </row>
    <row r="80" spans="2:10" ht="15.75" customHeight="1" x14ac:dyDescent="0.2">
      <c r="B80" s="46" t="s">
        <v>58</v>
      </c>
      <c r="C80" s="47">
        <v>1402795</v>
      </c>
      <c r="D80" s="47">
        <v>2882512</v>
      </c>
      <c r="E80" s="47">
        <v>2893092</v>
      </c>
      <c r="F80" s="48">
        <v>5.6765130320303285</v>
      </c>
      <c r="G80" s="48">
        <v>6.4681950691802275</v>
      </c>
      <c r="H80" s="48">
        <v>5.8791713253502698</v>
      </c>
      <c r="I80" s="48">
        <v>105.48348119290416</v>
      </c>
      <c r="J80" s="48">
        <v>0.36704096982076745</v>
      </c>
    </row>
    <row r="81" spans="2:10" ht="15.75" customHeight="1" x14ac:dyDescent="0.2">
      <c r="B81" s="46" t="s">
        <v>81</v>
      </c>
      <c r="C81" s="47">
        <v>47597</v>
      </c>
      <c r="D81" s="47">
        <v>93209</v>
      </c>
      <c r="E81" s="47">
        <v>96227</v>
      </c>
      <c r="F81" s="48">
        <v>0.19260475749168449</v>
      </c>
      <c r="G81" s="48">
        <v>0.20915576212803966</v>
      </c>
      <c r="H81" s="48">
        <v>0.19554684715331569</v>
      </c>
      <c r="I81" s="48">
        <v>95.829569090488903</v>
      </c>
      <c r="J81" s="48">
        <v>3.2378847536182129</v>
      </c>
    </row>
    <row r="82" spans="2:10" ht="15.75" customHeight="1" x14ac:dyDescent="0.2">
      <c r="B82" s="46" t="s">
        <v>106</v>
      </c>
      <c r="C82" s="47">
        <v>2471</v>
      </c>
      <c r="D82" s="47">
        <v>11254</v>
      </c>
      <c r="E82" s="47">
        <v>14232</v>
      </c>
      <c r="F82" s="48">
        <v>9.9990830464515065E-3</v>
      </c>
      <c r="G82" s="48">
        <v>2.5253344065368777E-2</v>
      </c>
      <c r="H82" s="48">
        <v>2.8921432952144294E-2</v>
      </c>
      <c r="I82" s="48">
        <v>355.44314042897611</v>
      </c>
      <c r="J82" s="48">
        <v>26.461702505775722</v>
      </c>
    </row>
    <row r="83" spans="2:10" ht="15.75" customHeight="1" x14ac:dyDescent="0.2">
      <c r="B83" s="46" t="s">
        <v>111</v>
      </c>
      <c r="C83" s="47">
        <v>29464</v>
      </c>
      <c r="D83" s="47">
        <v>61327</v>
      </c>
      <c r="E83" s="47">
        <v>66948</v>
      </c>
      <c r="F83" s="48">
        <v>0.11922824074489972</v>
      </c>
      <c r="G83" s="48">
        <v>0.13761434436616946</v>
      </c>
      <c r="H83" s="48">
        <v>0.13604778620574454</v>
      </c>
      <c r="I83" s="48">
        <v>108.14213956014119</v>
      </c>
      <c r="J83" s="48">
        <v>9.1656203629722626</v>
      </c>
    </row>
    <row r="84" spans="2:10" ht="15.75" customHeight="1" x14ac:dyDescent="0.2">
      <c r="B84" s="46" t="s">
        <v>133</v>
      </c>
      <c r="C84" s="47">
        <v>20812</v>
      </c>
      <c r="D84" s="47">
        <v>29417</v>
      </c>
      <c r="E84" s="47">
        <v>29844</v>
      </c>
      <c r="F84" s="48">
        <v>8.4217287075171496E-2</v>
      </c>
      <c r="G84" s="48">
        <v>6.6010096176555302E-2</v>
      </c>
      <c r="H84" s="48">
        <v>6.0647220701503253E-2</v>
      </c>
      <c r="I84" s="48">
        <v>41.346338650778399</v>
      </c>
      <c r="J84" s="48">
        <v>1.4515416255906448</v>
      </c>
    </row>
    <row r="85" spans="2:10" ht="15.75" customHeight="1" x14ac:dyDescent="0.2">
      <c r="B85" s="46" t="s">
        <v>143</v>
      </c>
      <c r="C85" s="47">
        <v>145931</v>
      </c>
      <c r="D85" s="47">
        <v>193823</v>
      </c>
      <c r="E85" s="47">
        <v>174681</v>
      </c>
      <c r="F85" s="48">
        <v>0.59052051317349852</v>
      </c>
      <c r="G85" s="48">
        <v>0.43492792845050404</v>
      </c>
      <c r="H85" s="48">
        <v>0.35497644951612689</v>
      </c>
      <c r="I85" s="48">
        <v>32.818249720758438</v>
      </c>
      <c r="J85" s="48">
        <v>-9.8760209056716697</v>
      </c>
    </row>
    <row r="86" spans="2:10" ht="15.75" customHeight="1" x14ac:dyDescent="0.2">
      <c r="B86" s="46" t="s">
        <v>148</v>
      </c>
      <c r="C86" s="47">
        <v>182045</v>
      </c>
      <c r="D86" s="47">
        <v>266184</v>
      </c>
      <c r="E86" s="47">
        <v>251066</v>
      </c>
      <c r="F86" s="48">
        <v>0.73665846749950004</v>
      </c>
      <c r="G86" s="48">
        <v>0.59730194923548274</v>
      </c>
      <c r="H86" s="48">
        <v>0.5102015518242734</v>
      </c>
      <c r="I86" s="48">
        <v>46.218792056909002</v>
      </c>
      <c r="J86" s="48">
        <v>-5.6795299492080664</v>
      </c>
    </row>
    <row r="87" spans="2:10" ht="15.75" customHeight="1" x14ac:dyDescent="0.2">
      <c r="B87" s="46" t="s">
        <v>153</v>
      </c>
      <c r="C87" s="47">
        <v>44760</v>
      </c>
      <c r="D87" s="47">
        <v>97240</v>
      </c>
      <c r="E87" s="47">
        <v>117936</v>
      </c>
      <c r="F87" s="48">
        <v>0.18112462855490469</v>
      </c>
      <c r="G87" s="48">
        <v>0.21820109977931934</v>
      </c>
      <c r="H87" s="48">
        <v>0.23966259953935423</v>
      </c>
      <c r="I87" s="48">
        <v>117.24754244861484</v>
      </c>
      <c r="J87" s="48">
        <v>21.28342245989305</v>
      </c>
    </row>
    <row r="88" spans="2:10" ht="15.75" customHeight="1" x14ac:dyDescent="0.2">
      <c r="B88" s="46" t="s">
        <v>157</v>
      </c>
      <c r="C88" s="47">
        <v>114227</v>
      </c>
      <c r="D88" s="47">
        <v>251619</v>
      </c>
      <c r="E88" s="47">
        <v>277810</v>
      </c>
      <c r="F88" s="48">
        <v>0.46222794785391191</v>
      </c>
      <c r="G88" s="48">
        <v>0.56461890708939277</v>
      </c>
      <c r="H88" s="48">
        <v>0.56454913493783065</v>
      </c>
      <c r="I88" s="48">
        <v>120.279793744036</v>
      </c>
      <c r="J88" s="48">
        <v>10.408991371875732</v>
      </c>
    </row>
    <row r="89" spans="2:10" ht="15.75" customHeight="1" x14ac:dyDescent="0.2">
      <c r="B89" s="46" t="s">
        <v>167</v>
      </c>
      <c r="C89" s="47">
        <v>7163</v>
      </c>
      <c r="D89" s="47">
        <v>16321</v>
      </c>
      <c r="E89" s="47">
        <v>14356</v>
      </c>
      <c r="F89" s="48">
        <v>2.8985605771643927E-2</v>
      </c>
      <c r="G89" s="48">
        <v>3.6623407543174322E-2</v>
      </c>
      <c r="H89" s="48">
        <v>2.9173418455662136E-2</v>
      </c>
      <c r="I89" s="48">
        <v>127.85145888594164</v>
      </c>
      <c r="J89" s="48">
        <v>-12.039703449543532</v>
      </c>
    </row>
    <row r="90" spans="2:10" ht="15.75" customHeight="1" x14ac:dyDescent="0.2">
      <c r="B90" s="46" t="s">
        <v>205</v>
      </c>
      <c r="C90" s="47">
        <v>496178</v>
      </c>
      <c r="D90" s="47">
        <v>886555</v>
      </c>
      <c r="E90" s="47">
        <v>990005</v>
      </c>
      <c r="F90" s="48">
        <v>2.0078207316156278</v>
      </c>
      <c r="G90" s="48">
        <v>1.9893796381618105</v>
      </c>
      <c r="H90" s="48">
        <v>2.0118299065336998</v>
      </c>
      <c r="I90" s="48">
        <v>78.676805501251565</v>
      </c>
      <c r="J90" s="48">
        <v>11.668762795314448</v>
      </c>
    </row>
    <row r="91" spans="2:10" ht="15.75" customHeight="1" x14ac:dyDescent="0.2">
      <c r="B91" s="46" t="s">
        <v>218</v>
      </c>
      <c r="C91" s="47">
        <v>238852</v>
      </c>
      <c r="D91" s="47">
        <v>357787</v>
      </c>
      <c r="E91" s="47">
        <v>311738</v>
      </c>
      <c r="F91" s="48">
        <v>0.96653216665764285</v>
      </c>
      <c r="G91" s="48">
        <v>0.80285393754363765</v>
      </c>
      <c r="H91" s="48">
        <v>0.63349562012616345</v>
      </c>
      <c r="I91" s="48">
        <v>49.794433372967362</v>
      </c>
      <c r="J91" s="48">
        <v>-12.870506754018452</v>
      </c>
    </row>
    <row r="92" spans="2:10" ht="15.75" customHeight="1" x14ac:dyDescent="0.2">
      <c r="B92" s="46" t="s">
        <v>222</v>
      </c>
      <c r="C92" s="47">
        <v>18580</v>
      </c>
      <c r="D92" s="47">
        <v>48622</v>
      </c>
      <c r="E92" s="47">
        <v>53600</v>
      </c>
      <c r="F92" s="48">
        <v>7.5185335088251315E-2</v>
      </c>
      <c r="G92" s="48">
        <v>0.10910503777735567</v>
      </c>
      <c r="H92" s="48">
        <v>0.10892276603674356</v>
      </c>
      <c r="I92" s="48">
        <v>161.68998923573736</v>
      </c>
      <c r="J92" s="48">
        <v>10.238163794167249</v>
      </c>
    </row>
    <row r="93" spans="2:10" ht="15.75" customHeight="1" thickBot="1" x14ac:dyDescent="0.25">
      <c r="B93" s="46" t="s">
        <v>287</v>
      </c>
      <c r="C93" s="47">
        <v>1800</v>
      </c>
      <c r="D93" s="47">
        <v>3085</v>
      </c>
      <c r="E93" s="47">
        <v>3299</v>
      </c>
      <c r="F93" s="48">
        <v>7.2838322475162736E-3</v>
      </c>
      <c r="G93" s="48">
        <v>6.9225667710736344E-3</v>
      </c>
      <c r="H93" s="48">
        <v>6.704033678268973E-3</v>
      </c>
      <c r="I93" s="48">
        <v>71.388888888888886</v>
      </c>
      <c r="J93" s="48">
        <v>6.9367909238249599</v>
      </c>
    </row>
    <row r="94" spans="2:10" ht="15.75" customHeight="1" thickBot="1" x14ac:dyDescent="0.25">
      <c r="B94" s="52" t="s">
        <v>288</v>
      </c>
      <c r="C94" s="100">
        <v>2973770</v>
      </c>
      <c r="D94" s="100">
        <v>5544685</v>
      </c>
      <c r="E94" s="100">
        <v>5615209</v>
      </c>
      <c r="F94" s="101">
        <v>12.033578790386928</v>
      </c>
      <c r="G94" s="101">
        <v>12.441961794836438</v>
      </c>
      <c r="H94" s="101">
        <v>11.410897316313745</v>
      </c>
      <c r="I94" s="101">
        <v>86.453054540196447</v>
      </c>
      <c r="J94" s="101">
        <v>1.2719207673655042</v>
      </c>
    </row>
    <row r="95" spans="2:10" ht="15.75" customHeight="1" thickBot="1" x14ac:dyDescent="0.25">
      <c r="B95" s="52" t="s">
        <v>289</v>
      </c>
      <c r="C95" s="100">
        <v>10195047</v>
      </c>
      <c r="D95" s="100">
        <v>22650973</v>
      </c>
      <c r="E95" s="100">
        <v>24631513</v>
      </c>
      <c r="F95" s="101">
        <v>41.255006724191134</v>
      </c>
      <c r="G95" s="101">
        <v>50.827511514517361</v>
      </c>
      <c r="H95" s="101">
        <v>50.054711336380734</v>
      </c>
      <c r="I95" s="101">
        <v>122.17624891773427</v>
      </c>
      <c r="J95" s="101">
        <v>8.7437303465948233</v>
      </c>
    </row>
    <row r="96" spans="2:10" ht="15.75" customHeight="1" x14ac:dyDescent="0.2">
      <c r="B96" s="46" t="s">
        <v>35</v>
      </c>
      <c r="C96" s="47">
        <v>470618</v>
      </c>
      <c r="D96" s="47">
        <v>683834</v>
      </c>
      <c r="E96" s="47">
        <v>855445</v>
      </c>
      <c r="F96" s="48">
        <v>1.9043903137008966</v>
      </c>
      <c r="G96" s="48">
        <v>1.5344850973518209</v>
      </c>
      <c r="H96" s="48">
        <v>1.7383849923936956</v>
      </c>
      <c r="I96" s="48">
        <v>45.305534424947624</v>
      </c>
      <c r="J96" s="48">
        <v>25.095417893816336</v>
      </c>
    </row>
    <row r="97" spans="2:10" ht="15.75" customHeight="1" x14ac:dyDescent="0.2">
      <c r="B97" s="46" t="s">
        <v>47</v>
      </c>
      <c r="C97" s="47">
        <v>220932</v>
      </c>
      <c r="D97" s="47">
        <v>239966</v>
      </c>
      <c r="E97" s="47">
        <v>309216</v>
      </c>
      <c r="F97" s="48">
        <v>0.89401757006014748</v>
      </c>
      <c r="G97" s="48">
        <v>0.53847022942867284</v>
      </c>
      <c r="H97" s="48">
        <v>0.62837056012719583</v>
      </c>
      <c r="I97" s="48">
        <v>8.615320551119801</v>
      </c>
      <c r="J97" s="48">
        <v>28.858254919446921</v>
      </c>
    </row>
    <row r="98" spans="2:10" ht="15.75" customHeight="1" x14ac:dyDescent="0.2">
      <c r="B98" s="46" t="s">
        <v>80</v>
      </c>
      <c r="C98" s="47">
        <v>10178</v>
      </c>
      <c r="D98" s="47">
        <v>36445</v>
      </c>
      <c r="E98" s="47">
        <v>31950</v>
      </c>
      <c r="F98" s="48">
        <v>4.1186024786233684E-2</v>
      </c>
      <c r="G98" s="48">
        <v>8.1780533540284792E-2</v>
      </c>
      <c r="H98" s="48">
        <v>6.4926909978991726E-2</v>
      </c>
      <c r="I98" s="48">
        <v>258.07624287679306</v>
      </c>
      <c r="J98" s="48">
        <v>-12.33365345040472</v>
      </c>
    </row>
    <row r="99" spans="2:10" ht="15.75" customHeight="1" x14ac:dyDescent="0.2">
      <c r="B99" s="46" t="s">
        <v>109</v>
      </c>
      <c r="C99" s="47">
        <v>291852</v>
      </c>
      <c r="D99" s="47">
        <v>1514813</v>
      </c>
      <c r="E99" s="47">
        <v>1633977</v>
      </c>
      <c r="F99" s="48">
        <v>1.1810005606122886</v>
      </c>
      <c r="G99" s="48">
        <v>3.3991553122172982</v>
      </c>
      <c r="H99" s="48">
        <v>3.3204719119481365</v>
      </c>
      <c r="I99" s="48">
        <v>419.03464769814838</v>
      </c>
      <c r="J99" s="48">
        <v>7.8665815516502695</v>
      </c>
    </row>
    <row r="100" spans="2:10" ht="15.75" customHeight="1" x14ac:dyDescent="0.2">
      <c r="B100" s="46" t="s">
        <v>136</v>
      </c>
      <c r="C100" s="47">
        <v>366076</v>
      </c>
      <c r="D100" s="47">
        <v>712136</v>
      </c>
      <c r="E100" s="47">
        <v>826319</v>
      </c>
      <c r="F100" s="48">
        <v>1.481353429912093</v>
      </c>
      <c r="G100" s="48">
        <v>1.5979931961378584</v>
      </c>
      <c r="H100" s="48">
        <v>1.679196849043207</v>
      </c>
      <c r="I100" s="48">
        <v>94.532282913930445</v>
      </c>
      <c r="J100" s="48">
        <v>16.033875551860881</v>
      </c>
    </row>
    <row r="101" spans="2:10" ht="15.75" customHeight="1" x14ac:dyDescent="0.2">
      <c r="B101" s="46" t="s">
        <v>138</v>
      </c>
      <c r="C101" s="47">
        <v>102840</v>
      </c>
      <c r="D101" s="47">
        <v>147487</v>
      </c>
      <c r="E101" s="47">
        <v>169906</v>
      </c>
      <c r="F101" s="48">
        <v>0.41614961574142978</v>
      </c>
      <c r="G101" s="48">
        <v>0.33095254630967164</v>
      </c>
      <c r="H101" s="48">
        <v>0.34527297548953262</v>
      </c>
      <c r="I101" s="48">
        <v>43.414041229093741</v>
      </c>
      <c r="J101" s="48">
        <v>15.200661753239268</v>
      </c>
    </row>
    <row r="102" spans="2:10" ht="15.75" customHeight="1" x14ac:dyDescent="0.2">
      <c r="B102" s="46" t="s">
        <v>178</v>
      </c>
      <c r="C102" s="47">
        <v>192441</v>
      </c>
      <c r="D102" s="47">
        <v>274257</v>
      </c>
      <c r="E102" s="47">
        <v>288377</v>
      </c>
      <c r="F102" s="48">
        <v>0.77872664530237734</v>
      </c>
      <c r="G102" s="48">
        <v>0.61541730792037008</v>
      </c>
      <c r="H102" s="48">
        <v>0.58602277054809693</v>
      </c>
      <c r="I102" s="48">
        <v>42.514848706876393</v>
      </c>
      <c r="J102" s="48">
        <v>5.1484556456170676</v>
      </c>
    </row>
    <row r="103" spans="2:10" ht="15.75" customHeight="1" x14ac:dyDescent="0.2">
      <c r="B103" s="46" t="s">
        <v>193</v>
      </c>
      <c r="C103" s="47">
        <v>272604</v>
      </c>
      <c r="D103" s="47">
        <v>419673</v>
      </c>
      <c r="E103" s="47">
        <v>470644</v>
      </c>
      <c r="F103" s="48">
        <v>1.1031121144455147</v>
      </c>
      <c r="G103" s="48">
        <v>0.94172264652083804</v>
      </c>
      <c r="H103" s="48">
        <v>0.95641504288427481</v>
      </c>
      <c r="I103" s="48">
        <v>53.949685257736498</v>
      </c>
      <c r="J103" s="48">
        <v>12.145408448959071</v>
      </c>
    </row>
    <row r="104" spans="2:10" ht="15.75" customHeight="1" x14ac:dyDescent="0.2">
      <c r="B104" s="46" t="s">
        <v>207</v>
      </c>
      <c r="C104" s="47">
        <v>4694422</v>
      </c>
      <c r="D104" s="47">
        <v>5232611</v>
      </c>
      <c r="E104" s="47">
        <v>6313675</v>
      </c>
      <c r="F104" s="48">
        <v>18.996323526138802</v>
      </c>
      <c r="G104" s="48">
        <v>11.741685262416331</v>
      </c>
      <c r="H104" s="48">
        <v>12.830278821959643</v>
      </c>
      <c r="I104" s="48">
        <v>11.464435877302893</v>
      </c>
      <c r="J104" s="48">
        <v>20.660125509043191</v>
      </c>
    </row>
    <row r="105" spans="2:10" ht="15.75" customHeight="1" x14ac:dyDescent="0.2">
      <c r="B105" s="46" t="s">
        <v>234</v>
      </c>
      <c r="C105" s="47">
        <v>41440</v>
      </c>
      <c r="D105" s="47">
        <v>74101</v>
      </c>
      <c r="E105" s="47">
        <v>78185</v>
      </c>
      <c r="F105" s="48">
        <v>0.167690004631708</v>
      </c>
      <c r="G105" s="48">
        <v>0.16627848308049509</v>
      </c>
      <c r="H105" s="48">
        <v>0.15888295639147004</v>
      </c>
      <c r="I105" s="48">
        <v>78.815154440154444</v>
      </c>
      <c r="J105" s="48">
        <v>5.5113966073332348</v>
      </c>
    </row>
    <row r="106" spans="2:10" ht="15.75" customHeight="1" x14ac:dyDescent="0.2">
      <c r="B106" s="46" t="s">
        <v>245</v>
      </c>
      <c r="C106" s="47">
        <v>18979</v>
      </c>
      <c r="D106" s="47">
        <v>45249</v>
      </c>
      <c r="E106" s="47">
        <v>120928</v>
      </c>
      <c r="F106" s="48">
        <v>7.6799917903117423E-2</v>
      </c>
      <c r="G106" s="48">
        <v>0.10153621517805862</v>
      </c>
      <c r="H106" s="48">
        <v>0.24574276588230082</v>
      </c>
      <c r="I106" s="48">
        <v>138.41614415933401</v>
      </c>
      <c r="J106" s="48">
        <v>167.25010497469557</v>
      </c>
    </row>
    <row r="107" spans="2:10" ht="15.75" customHeight="1" thickBot="1" x14ac:dyDescent="0.25">
      <c r="B107" s="46" t="s">
        <v>247</v>
      </c>
      <c r="C107" s="47">
        <v>2060008</v>
      </c>
      <c r="D107" s="47">
        <v>675467</v>
      </c>
      <c r="E107" s="47">
        <v>839729</v>
      </c>
      <c r="F107" s="48">
        <v>8.3359737225230575</v>
      </c>
      <c r="G107" s="48">
        <v>1.5157100191756221</v>
      </c>
      <c r="H107" s="48">
        <v>1.7064478619639669</v>
      </c>
      <c r="I107" s="48">
        <v>-67.210467143816913</v>
      </c>
      <c r="J107" s="48">
        <v>24.31828645959018</v>
      </c>
    </row>
    <row r="108" spans="2:10" ht="15.75" customHeight="1" thickBot="1" x14ac:dyDescent="0.25">
      <c r="B108" s="52" t="s">
        <v>290</v>
      </c>
      <c r="C108" s="100">
        <v>8742390</v>
      </c>
      <c r="D108" s="100">
        <v>10056039</v>
      </c>
      <c r="E108" s="100">
        <v>11938351</v>
      </c>
      <c r="F108" s="101">
        <v>35.376723445757662</v>
      </c>
      <c r="G108" s="101">
        <v>22.565186849277321</v>
      </c>
      <c r="H108" s="101">
        <v>24.260414418610512</v>
      </c>
      <c r="I108" s="101">
        <v>15.026199929309948</v>
      </c>
      <c r="J108" s="101">
        <v>18.718224939262864</v>
      </c>
    </row>
    <row r="109" spans="2:10" ht="15.75" customHeight="1" x14ac:dyDescent="0.2">
      <c r="B109" s="46" t="s">
        <v>23</v>
      </c>
      <c r="C109" s="47">
        <v>371759</v>
      </c>
      <c r="D109" s="47">
        <v>1013478</v>
      </c>
      <c r="E109" s="47">
        <v>1334337</v>
      </c>
      <c r="F109" s="48">
        <v>1.5043501069468903</v>
      </c>
      <c r="G109" s="48">
        <v>2.2741877231812526</v>
      </c>
      <c r="H109" s="48">
        <v>2.7115611355442217</v>
      </c>
      <c r="I109" s="48">
        <v>172.61693731691767</v>
      </c>
      <c r="J109" s="48">
        <v>31.659197338274733</v>
      </c>
    </row>
    <row r="110" spans="2:10" ht="15.75" customHeight="1" x14ac:dyDescent="0.2">
      <c r="B110" s="46" t="s">
        <v>33</v>
      </c>
      <c r="C110" s="47">
        <v>15674</v>
      </c>
      <c r="D110" s="47">
        <v>118847</v>
      </c>
      <c r="E110" s="47">
        <v>192770</v>
      </c>
      <c r="F110" s="48">
        <v>6.3425992581983379E-2</v>
      </c>
      <c r="G110" s="48">
        <v>0.26668599450301078</v>
      </c>
      <c r="H110" s="48">
        <v>0.3917358509123704</v>
      </c>
      <c r="I110" s="48">
        <v>658.24295010845992</v>
      </c>
      <c r="J110" s="48">
        <v>62.200139675380953</v>
      </c>
    </row>
    <row r="111" spans="2:10" ht="15.75" customHeight="1" x14ac:dyDescent="0.2">
      <c r="B111" s="46" t="s">
        <v>107</v>
      </c>
      <c r="C111" s="47">
        <v>15206</v>
      </c>
      <c r="D111" s="47">
        <v>99869</v>
      </c>
      <c r="E111" s="47">
        <v>159039</v>
      </c>
      <c r="F111" s="48">
        <v>6.1532196197629146E-2</v>
      </c>
      <c r="G111" s="48">
        <v>0.22410042815570591</v>
      </c>
      <c r="H111" s="48">
        <v>0.32318969753204585</v>
      </c>
      <c r="I111" s="48">
        <v>556.77364198342764</v>
      </c>
      <c r="J111" s="48">
        <v>59.247614374831031</v>
      </c>
    </row>
    <row r="112" spans="2:10" ht="15.75" customHeight="1" x14ac:dyDescent="0.2">
      <c r="B112" s="46" t="s">
        <v>129</v>
      </c>
      <c r="C112" s="47">
        <v>7153</v>
      </c>
      <c r="D112" s="47">
        <v>30610</v>
      </c>
      <c r="E112" s="47">
        <v>78782</v>
      </c>
      <c r="F112" s="48">
        <v>2.8945140036935504E-2</v>
      </c>
      <c r="G112" s="48">
        <v>6.8687121187216829E-2</v>
      </c>
      <c r="H112" s="48">
        <v>0.16009614466243899</v>
      </c>
      <c r="I112" s="48">
        <v>327.9323360827625</v>
      </c>
      <c r="J112" s="48">
        <v>157.3734073832081</v>
      </c>
    </row>
    <row r="113" spans="2:10" ht="15.75" customHeight="1" x14ac:dyDescent="0.2">
      <c r="B113" s="46" t="s">
        <v>132</v>
      </c>
      <c r="C113" s="47">
        <v>72034</v>
      </c>
      <c r="D113" s="47">
        <v>197416</v>
      </c>
      <c r="E113" s="47">
        <v>248868</v>
      </c>
      <c r="F113" s="48">
        <v>0.29149087339865959</v>
      </c>
      <c r="G113" s="48">
        <v>0.44299041869636063</v>
      </c>
      <c r="H113" s="48">
        <v>0.50573490556030398</v>
      </c>
      <c r="I113" s="48">
        <v>174.05947191603966</v>
      </c>
      <c r="J113" s="48">
        <v>26.062730477772824</v>
      </c>
    </row>
    <row r="114" spans="2:10" x14ac:dyDescent="0.2">
      <c r="B114" s="46" t="s">
        <v>172</v>
      </c>
      <c r="C114" s="47">
        <v>34705</v>
      </c>
      <c r="D114" s="47">
        <v>114267</v>
      </c>
      <c r="E114" s="47">
        <v>155155</v>
      </c>
      <c r="F114" s="48">
        <v>0.14043633230558461</v>
      </c>
      <c r="G114" s="48">
        <v>0.25640873167918021</v>
      </c>
      <c r="H114" s="48">
        <v>0.31529686127669676</v>
      </c>
      <c r="I114" s="48">
        <v>229.25226912548624</v>
      </c>
      <c r="J114" s="48">
        <v>35.782859443233832</v>
      </c>
    </row>
    <row r="115" spans="2:10" ht="12.75" thickBot="1" x14ac:dyDescent="0.25">
      <c r="B115" s="46" t="s">
        <v>259</v>
      </c>
      <c r="C115" s="47">
        <v>2746</v>
      </c>
      <c r="D115" s="47">
        <v>15448</v>
      </c>
      <c r="E115" s="47">
        <v>31007</v>
      </c>
      <c r="F115" s="48">
        <v>1.111189075093316E-2</v>
      </c>
      <c r="G115" s="48">
        <v>3.4664444563872125E-2</v>
      </c>
      <c r="H115" s="48">
        <v>6.3010600867561703E-2</v>
      </c>
      <c r="I115" s="48">
        <v>462.56372906045158</v>
      </c>
      <c r="J115" s="48">
        <v>100.71853961677887</v>
      </c>
    </row>
    <row r="116" spans="2:10" ht="12.75" thickBot="1" x14ac:dyDescent="0.25">
      <c r="B116" s="52" t="s">
        <v>291</v>
      </c>
      <c r="C116" s="100">
        <v>519277</v>
      </c>
      <c r="D116" s="100">
        <v>1589935</v>
      </c>
      <c r="E116" s="100">
        <v>2199958</v>
      </c>
      <c r="F116" s="101">
        <v>2.1012925322186158</v>
      </c>
      <c r="G116" s="101">
        <v>3.5677248619665991</v>
      </c>
      <c r="H116" s="101">
        <v>4.4706251963556394</v>
      </c>
      <c r="I116" s="101">
        <v>206.18244212626402</v>
      </c>
      <c r="J116" s="101">
        <v>38.367794909854808</v>
      </c>
    </row>
    <row r="117" spans="2:10" ht="12.75" thickBot="1" x14ac:dyDescent="0.25">
      <c r="B117" s="52" t="s">
        <v>292</v>
      </c>
      <c r="C117" s="100">
        <v>62423</v>
      </c>
      <c r="D117" s="100">
        <v>89322</v>
      </c>
      <c r="E117" s="100">
        <v>68908</v>
      </c>
      <c r="F117" s="101">
        <v>0.25259925577039355</v>
      </c>
      <c r="G117" s="101">
        <v>0.20043355239087168</v>
      </c>
      <c r="H117" s="101">
        <v>0.14003078287425233</v>
      </c>
      <c r="I117" s="101">
        <v>43.091488714095767</v>
      </c>
      <c r="J117" s="101">
        <v>-22.854391975101318</v>
      </c>
    </row>
    <row r="118" spans="2:10" ht="12.75" thickBot="1" x14ac:dyDescent="0.25">
      <c r="B118" s="52" t="s">
        <v>293</v>
      </c>
      <c r="C118" s="100">
        <v>260</v>
      </c>
      <c r="D118" s="100">
        <v>709</v>
      </c>
      <c r="E118" s="100">
        <v>1007</v>
      </c>
      <c r="F118" s="101">
        <v>1.0521091024190174E-3</v>
      </c>
      <c r="G118" s="101">
        <v>1.590956188230537E-3</v>
      </c>
      <c r="H118" s="101">
        <v>2.0463661455037453E-3</v>
      </c>
      <c r="I118" s="101">
        <v>172.69230769230768</v>
      </c>
      <c r="J118" s="101">
        <v>42.031029619181943</v>
      </c>
    </row>
    <row r="119" spans="2:10" ht="12.75" thickBot="1" x14ac:dyDescent="0.25">
      <c r="B119" s="52" t="s">
        <v>294</v>
      </c>
      <c r="C119" s="100">
        <v>24712266</v>
      </c>
      <c r="D119" s="100">
        <v>44564395</v>
      </c>
      <c r="E119" s="100">
        <v>49209180</v>
      </c>
      <c r="F119" s="101">
        <v>100</v>
      </c>
      <c r="G119" s="101">
        <v>100</v>
      </c>
      <c r="H119" s="101">
        <v>100</v>
      </c>
      <c r="I119" s="101">
        <v>80.333098551140552</v>
      </c>
      <c r="J119" s="101">
        <v>10.422636726023095</v>
      </c>
    </row>
  </sheetData>
  <mergeCells count="8">
    <mergeCell ref="C66:E66"/>
    <mergeCell ref="F66:H66"/>
    <mergeCell ref="I66:J66"/>
    <mergeCell ref="B1:J1"/>
    <mergeCell ref="C2:E2"/>
    <mergeCell ref="F2:H2"/>
    <mergeCell ref="I2:J2"/>
    <mergeCell ref="B65:J65"/>
  </mergeCells>
  <printOptions horizontalCentered="1"/>
  <pageMargins left="0.78740157480314965" right="0.62992125984251968" top="0.59055118110236227" bottom="0" header="0.23622047244094491" footer="0.11811023622047245"/>
  <pageSetup scale="74" orientation="portrait" r:id="rId1"/>
  <headerFooter alignWithMargins="0"/>
  <rowBreaks count="1" manualBreakCount="1">
    <brk id="64" min="1" max="9"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1:O120"/>
  <sheetViews>
    <sheetView view="pageBreakPreview" zoomScaleNormal="100" zoomScaleSheetLayoutView="100" workbookViewId="0"/>
  </sheetViews>
  <sheetFormatPr defaultColWidth="9.140625" defaultRowHeight="12" x14ac:dyDescent="0.2"/>
  <cols>
    <col min="1" max="1" width="9.140625" style="94"/>
    <col min="2" max="2" width="31.140625" style="96" customWidth="1"/>
    <col min="3" max="8" width="9.140625" style="94" customWidth="1"/>
    <col min="9" max="9" width="9" style="94" customWidth="1"/>
    <col min="10" max="10" width="9.42578125" style="94" customWidth="1"/>
    <col min="11" max="14" width="9.140625" style="94" customWidth="1"/>
    <col min="15" max="15" width="10.140625" style="94" customWidth="1"/>
    <col min="16" max="16384" width="9.140625" style="94"/>
  </cols>
  <sheetData>
    <row r="1" spans="2:15" ht="30" customHeight="1" thickBot="1" x14ac:dyDescent="0.25">
      <c r="B1" s="422" t="s">
        <v>621</v>
      </c>
      <c r="C1" s="423"/>
      <c r="D1" s="423"/>
      <c r="E1" s="423"/>
      <c r="F1" s="423"/>
      <c r="G1" s="423"/>
      <c r="H1" s="423"/>
      <c r="I1" s="423"/>
      <c r="J1" s="423"/>
      <c r="K1" s="423"/>
      <c r="L1" s="423"/>
      <c r="M1" s="423"/>
      <c r="N1" s="423"/>
      <c r="O1" s="423"/>
    </row>
    <row r="2" spans="2:15" ht="18" customHeight="1" thickBot="1" x14ac:dyDescent="0.25">
      <c r="B2" s="69" t="s">
        <v>264</v>
      </c>
      <c r="C2" s="452" t="s">
        <v>265</v>
      </c>
      <c r="D2" s="452"/>
      <c r="E2" s="452"/>
      <c r="F2" s="452"/>
      <c r="G2" s="452"/>
      <c r="H2" s="452"/>
      <c r="I2" s="452"/>
      <c r="J2" s="452"/>
      <c r="K2" s="452"/>
      <c r="L2" s="452"/>
      <c r="M2" s="452"/>
      <c r="N2" s="452"/>
      <c r="O2" s="452"/>
    </row>
    <row r="3" spans="2:15" ht="18" customHeight="1" thickBot="1" x14ac:dyDescent="0.25">
      <c r="B3" s="95" t="s">
        <v>267</v>
      </c>
      <c r="C3" s="71" t="s">
        <v>5</v>
      </c>
      <c r="D3" s="71" t="s">
        <v>6</v>
      </c>
      <c r="E3" s="71" t="s">
        <v>7</v>
      </c>
      <c r="F3" s="71" t="s">
        <v>8</v>
      </c>
      <c r="G3" s="71" t="s">
        <v>9</v>
      </c>
      <c r="H3" s="71" t="s">
        <v>10</v>
      </c>
      <c r="I3" s="71" t="s">
        <v>11</v>
      </c>
      <c r="J3" s="71" t="s">
        <v>12</v>
      </c>
      <c r="K3" s="71" t="s">
        <v>13</v>
      </c>
      <c r="L3" s="71" t="s">
        <v>14</v>
      </c>
      <c r="M3" s="71" t="s">
        <v>15</v>
      </c>
      <c r="N3" s="71" t="s">
        <v>16</v>
      </c>
      <c r="O3" s="106" t="s">
        <v>17</v>
      </c>
    </row>
    <row r="4" spans="2:15" ht="18" customHeight="1" x14ac:dyDescent="0.2">
      <c r="B4" s="46" t="s">
        <v>63</v>
      </c>
      <c r="C4" s="47">
        <v>19679</v>
      </c>
      <c r="D4" s="47">
        <v>19030</v>
      </c>
      <c r="E4" s="47">
        <v>16693</v>
      </c>
      <c r="F4" s="47">
        <v>11088</v>
      </c>
      <c r="G4" s="47">
        <v>23295</v>
      </c>
      <c r="H4" s="47">
        <v>19610</v>
      </c>
      <c r="I4" s="47">
        <v>31293</v>
      </c>
      <c r="J4" s="47">
        <v>41538</v>
      </c>
      <c r="K4" s="47">
        <v>32743</v>
      </c>
      <c r="L4" s="47">
        <v>27569</v>
      </c>
      <c r="M4" s="47">
        <v>24381</v>
      </c>
      <c r="N4" s="47">
        <v>25586</v>
      </c>
      <c r="O4" s="107">
        <v>292505</v>
      </c>
    </row>
    <row r="5" spans="2:15" ht="18" customHeight="1" x14ac:dyDescent="0.2">
      <c r="B5" s="46" t="s">
        <v>85</v>
      </c>
      <c r="C5" s="47">
        <v>17354</v>
      </c>
      <c r="D5" s="47">
        <v>15255</v>
      </c>
      <c r="E5" s="47">
        <v>16719</v>
      </c>
      <c r="F5" s="47">
        <v>17391</v>
      </c>
      <c r="G5" s="47">
        <v>25687</v>
      </c>
      <c r="H5" s="47">
        <v>19450</v>
      </c>
      <c r="I5" s="47">
        <v>29613</v>
      </c>
      <c r="J5" s="47">
        <v>33919</v>
      </c>
      <c r="K5" s="47">
        <v>27466</v>
      </c>
      <c r="L5" s="47">
        <v>23000</v>
      </c>
      <c r="M5" s="47">
        <v>17114</v>
      </c>
      <c r="N5" s="47">
        <v>19156</v>
      </c>
      <c r="O5" s="107">
        <v>262124</v>
      </c>
    </row>
    <row r="6" spans="2:15" ht="18" customHeight="1" x14ac:dyDescent="0.2">
      <c r="B6" s="46" t="s">
        <v>105</v>
      </c>
      <c r="C6" s="47">
        <v>3675</v>
      </c>
      <c r="D6" s="47">
        <v>2658</v>
      </c>
      <c r="E6" s="47">
        <v>3493</v>
      </c>
      <c r="F6" s="47">
        <v>5318</v>
      </c>
      <c r="G6" s="47">
        <v>5688</v>
      </c>
      <c r="H6" s="47">
        <v>7635</v>
      </c>
      <c r="I6" s="47">
        <v>8354</v>
      </c>
      <c r="J6" s="47">
        <v>5808</v>
      </c>
      <c r="K6" s="47">
        <v>8726</v>
      </c>
      <c r="L6" s="47">
        <v>7317</v>
      </c>
      <c r="M6" s="47">
        <v>3598</v>
      </c>
      <c r="N6" s="47">
        <v>5377</v>
      </c>
      <c r="O6" s="107">
        <v>67647</v>
      </c>
    </row>
    <row r="7" spans="2:15" ht="18" customHeight="1" x14ac:dyDescent="0.2">
      <c r="B7" s="46" t="s">
        <v>155</v>
      </c>
      <c r="C7" s="47">
        <v>14770</v>
      </c>
      <c r="D7" s="47">
        <v>14744</v>
      </c>
      <c r="E7" s="47">
        <v>10999</v>
      </c>
      <c r="F7" s="47">
        <v>10042</v>
      </c>
      <c r="G7" s="47">
        <v>15577</v>
      </c>
      <c r="H7" s="47">
        <v>15070</v>
      </c>
      <c r="I7" s="47">
        <v>21572</v>
      </c>
      <c r="J7" s="47">
        <v>25392</v>
      </c>
      <c r="K7" s="47">
        <v>19537</v>
      </c>
      <c r="L7" s="47">
        <v>15409</v>
      </c>
      <c r="M7" s="47">
        <v>13611</v>
      </c>
      <c r="N7" s="47">
        <v>17628</v>
      </c>
      <c r="O7" s="107">
        <v>194351</v>
      </c>
    </row>
    <row r="8" spans="2:15" ht="18" customHeight="1" x14ac:dyDescent="0.2">
      <c r="B8" s="46" t="s">
        <v>173</v>
      </c>
      <c r="C8" s="47">
        <v>12730</v>
      </c>
      <c r="D8" s="47">
        <v>13903</v>
      </c>
      <c r="E8" s="47">
        <v>9780</v>
      </c>
      <c r="F8" s="47">
        <v>10812</v>
      </c>
      <c r="G8" s="47">
        <v>12960</v>
      </c>
      <c r="H8" s="47">
        <v>19469</v>
      </c>
      <c r="I8" s="47">
        <v>20033</v>
      </c>
      <c r="J8" s="47">
        <v>20619</v>
      </c>
      <c r="K8" s="47">
        <v>20675</v>
      </c>
      <c r="L8" s="47">
        <v>16365</v>
      </c>
      <c r="M8" s="47">
        <v>13686</v>
      </c>
      <c r="N8" s="47">
        <v>16021</v>
      </c>
      <c r="O8" s="107">
        <v>187053</v>
      </c>
    </row>
    <row r="9" spans="2:15" ht="18" customHeight="1" x14ac:dyDescent="0.2">
      <c r="B9" s="46" t="s">
        <v>227</v>
      </c>
      <c r="C9" s="47">
        <v>2011</v>
      </c>
      <c r="D9" s="47">
        <v>2091</v>
      </c>
      <c r="E9" s="47">
        <v>2292</v>
      </c>
      <c r="F9" s="47">
        <v>1772</v>
      </c>
      <c r="G9" s="47">
        <v>1517</v>
      </c>
      <c r="H9" s="47">
        <v>1687</v>
      </c>
      <c r="I9" s="47">
        <v>1843</v>
      </c>
      <c r="J9" s="47">
        <v>1806</v>
      </c>
      <c r="K9" s="47">
        <v>1756</v>
      </c>
      <c r="L9" s="47">
        <v>1257</v>
      </c>
      <c r="M9" s="47">
        <v>928</v>
      </c>
      <c r="N9" s="47">
        <v>953</v>
      </c>
      <c r="O9" s="107">
        <v>19913</v>
      </c>
    </row>
    <row r="10" spans="2:15" ht="18" customHeight="1" x14ac:dyDescent="0.2">
      <c r="B10" s="46" t="s">
        <v>243</v>
      </c>
      <c r="C10" s="47">
        <v>12147</v>
      </c>
      <c r="D10" s="47">
        <v>13576</v>
      </c>
      <c r="E10" s="47">
        <v>10765</v>
      </c>
      <c r="F10" s="47">
        <v>7484</v>
      </c>
      <c r="G10" s="47">
        <v>14736</v>
      </c>
      <c r="H10" s="47">
        <v>14857</v>
      </c>
      <c r="I10" s="47">
        <v>21240</v>
      </c>
      <c r="J10" s="47">
        <v>21816</v>
      </c>
      <c r="K10" s="47">
        <v>15554</v>
      </c>
      <c r="L10" s="47">
        <v>14060</v>
      </c>
      <c r="M10" s="47">
        <v>12060</v>
      </c>
      <c r="N10" s="47">
        <v>18252</v>
      </c>
      <c r="O10" s="107">
        <v>176547</v>
      </c>
    </row>
    <row r="11" spans="2:15" ht="18" customHeight="1" thickBot="1" x14ac:dyDescent="0.25">
      <c r="B11" s="46" t="s">
        <v>274</v>
      </c>
      <c r="C11" s="47">
        <v>16215</v>
      </c>
      <c r="D11" s="47">
        <v>15801</v>
      </c>
      <c r="E11" s="47">
        <v>16744</v>
      </c>
      <c r="F11" s="47">
        <v>15669</v>
      </c>
      <c r="G11" s="47">
        <v>18643</v>
      </c>
      <c r="H11" s="47">
        <v>17153</v>
      </c>
      <c r="I11" s="47">
        <v>21315</v>
      </c>
      <c r="J11" s="47">
        <v>21547</v>
      </c>
      <c r="K11" s="47">
        <v>20457</v>
      </c>
      <c r="L11" s="47">
        <v>20215</v>
      </c>
      <c r="M11" s="47">
        <v>16595</v>
      </c>
      <c r="N11" s="47">
        <v>14838</v>
      </c>
      <c r="O11" s="107">
        <v>215192</v>
      </c>
    </row>
    <row r="12" spans="2:15" ht="18" customHeight="1" thickBot="1" x14ac:dyDescent="0.25">
      <c r="B12" s="104" t="s">
        <v>275</v>
      </c>
      <c r="C12" s="100">
        <v>98581</v>
      </c>
      <c r="D12" s="100">
        <v>97058</v>
      </c>
      <c r="E12" s="100">
        <v>87485</v>
      </c>
      <c r="F12" s="100">
        <v>79576</v>
      </c>
      <c r="G12" s="100">
        <v>118103</v>
      </c>
      <c r="H12" s="100">
        <v>114931</v>
      </c>
      <c r="I12" s="100">
        <v>155263</v>
      </c>
      <c r="J12" s="100">
        <v>172445</v>
      </c>
      <c r="K12" s="100">
        <v>146914</v>
      </c>
      <c r="L12" s="100">
        <v>125192</v>
      </c>
      <c r="M12" s="100">
        <v>101973</v>
      </c>
      <c r="N12" s="100">
        <v>117811</v>
      </c>
      <c r="O12" s="59">
        <v>1415332</v>
      </c>
    </row>
    <row r="13" spans="2:15" ht="18" customHeight="1" x14ac:dyDescent="0.2">
      <c r="B13" s="46" t="s">
        <v>29</v>
      </c>
      <c r="C13" s="47">
        <v>2471</v>
      </c>
      <c r="D13" s="47">
        <v>1731</v>
      </c>
      <c r="E13" s="47">
        <v>2531</v>
      </c>
      <c r="F13" s="47">
        <v>4187</v>
      </c>
      <c r="G13" s="47">
        <v>5955</v>
      </c>
      <c r="H13" s="47">
        <v>4619</v>
      </c>
      <c r="I13" s="47">
        <v>3901</v>
      </c>
      <c r="J13" s="47">
        <v>4225</v>
      </c>
      <c r="K13" s="47">
        <v>7175</v>
      </c>
      <c r="L13" s="47">
        <v>6483</v>
      </c>
      <c r="M13" s="47">
        <v>3321</v>
      </c>
      <c r="N13" s="47">
        <v>1784</v>
      </c>
      <c r="O13" s="107">
        <v>48383</v>
      </c>
    </row>
    <row r="14" spans="2:15" ht="18" customHeight="1" x14ac:dyDescent="0.2">
      <c r="B14" s="46" t="s">
        <v>56</v>
      </c>
      <c r="C14" s="47">
        <v>4549</v>
      </c>
      <c r="D14" s="47">
        <v>3884</v>
      </c>
      <c r="E14" s="47">
        <v>5804</v>
      </c>
      <c r="F14" s="47">
        <v>7215</v>
      </c>
      <c r="G14" s="47">
        <v>11173</v>
      </c>
      <c r="H14" s="47">
        <v>11689</v>
      </c>
      <c r="I14" s="47">
        <v>12136</v>
      </c>
      <c r="J14" s="47">
        <v>9765</v>
      </c>
      <c r="K14" s="47">
        <v>14185</v>
      </c>
      <c r="L14" s="47">
        <v>12577</v>
      </c>
      <c r="M14" s="47">
        <v>7343</v>
      </c>
      <c r="N14" s="47">
        <v>6397</v>
      </c>
      <c r="O14" s="107">
        <v>106717</v>
      </c>
    </row>
    <row r="15" spans="2:15" ht="18" customHeight="1" x14ac:dyDescent="0.2">
      <c r="B15" s="46" t="s">
        <v>140</v>
      </c>
      <c r="C15" s="47">
        <v>3336</v>
      </c>
      <c r="D15" s="47">
        <v>2431</v>
      </c>
      <c r="E15" s="47">
        <v>4229</v>
      </c>
      <c r="F15" s="47">
        <v>5484</v>
      </c>
      <c r="G15" s="47">
        <v>6952</v>
      </c>
      <c r="H15" s="47">
        <v>8296</v>
      </c>
      <c r="I15" s="47">
        <v>7088</v>
      </c>
      <c r="J15" s="47">
        <v>5456</v>
      </c>
      <c r="K15" s="47">
        <v>7898</v>
      </c>
      <c r="L15" s="47">
        <v>9409</v>
      </c>
      <c r="M15" s="47">
        <v>4595</v>
      </c>
      <c r="N15" s="47">
        <v>4083</v>
      </c>
      <c r="O15" s="107">
        <v>69257</v>
      </c>
    </row>
    <row r="16" spans="2:15" ht="18" customHeight="1" x14ac:dyDescent="0.2">
      <c r="B16" s="46" t="s">
        <v>233</v>
      </c>
      <c r="C16" s="47">
        <v>878</v>
      </c>
      <c r="D16" s="47">
        <v>1505</v>
      </c>
      <c r="E16" s="47">
        <v>1135</v>
      </c>
      <c r="F16" s="47">
        <v>1852</v>
      </c>
      <c r="G16" s="47">
        <v>3156</v>
      </c>
      <c r="H16" s="47">
        <v>2730</v>
      </c>
      <c r="I16" s="47">
        <v>2640</v>
      </c>
      <c r="J16" s="47">
        <v>2341</v>
      </c>
      <c r="K16" s="47">
        <v>3441</v>
      </c>
      <c r="L16" s="47">
        <v>3707</v>
      </c>
      <c r="M16" s="47">
        <v>1718</v>
      </c>
      <c r="N16" s="47">
        <v>610</v>
      </c>
      <c r="O16" s="107">
        <v>25713</v>
      </c>
    </row>
    <row r="17" spans="2:15" ht="18" customHeight="1" x14ac:dyDescent="0.2">
      <c r="B17" s="46" t="s">
        <v>253</v>
      </c>
      <c r="C17" s="47">
        <v>1238</v>
      </c>
      <c r="D17" s="47">
        <v>883</v>
      </c>
      <c r="E17" s="47">
        <v>1288</v>
      </c>
      <c r="F17" s="47">
        <v>1472</v>
      </c>
      <c r="G17" s="47">
        <v>1757</v>
      </c>
      <c r="H17" s="47">
        <v>2135</v>
      </c>
      <c r="I17" s="47">
        <v>2282</v>
      </c>
      <c r="J17" s="47">
        <v>2835</v>
      </c>
      <c r="K17" s="47">
        <v>2785</v>
      </c>
      <c r="L17" s="47">
        <v>2440</v>
      </c>
      <c r="M17" s="47">
        <v>1788</v>
      </c>
      <c r="N17" s="47">
        <v>1850</v>
      </c>
      <c r="O17" s="107">
        <v>22753</v>
      </c>
    </row>
    <row r="18" spans="2:15" ht="18" customHeight="1" thickBot="1" x14ac:dyDescent="0.25">
      <c r="B18" s="46" t="s">
        <v>276</v>
      </c>
      <c r="C18" s="47">
        <v>1634</v>
      </c>
      <c r="D18" s="47">
        <v>1579</v>
      </c>
      <c r="E18" s="47">
        <v>2694</v>
      </c>
      <c r="F18" s="47">
        <v>3381</v>
      </c>
      <c r="G18" s="47">
        <v>5192</v>
      </c>
      <c r="H18" s="47">
        <v>4677</v>
      </c>
      <c r="I18" s="47">
        <v>4393</v>
      </c>
      <c r="J18" s="47">
        <v>5506</v>
      </c>
      <c r="K18" s="47">
        <v>7349</v>
      </c>
      <c r="L18" s="47">
        <v>6875</v>
      </c>
      <c r="M18" s="47">
        <v>3149</v>
      </c>
      <c r="N18" s="47">
        <v>2083</v>
      </c>
      <c r="O18" s="107">
        <v>48512</v>
      </c>
    </row>
    <row r="19" spans="2:15" ht="18" customHeight="1" thickBot="1" x14ac:dyDescent="0.25">
      <c r="B19" s="104" t="s">
        <v>277</v>
      </c>
      <c r="C19" s="100">
        <v>14106</v>
      </c>
      <c r="D19" s="100">
        <v>12013</v>
      </c>
      <c r="E19" s="100">
        <v>17681</v>
      </c>
      <c r="F19" s="100">
        <v>23591</v>
      </c>
      <c r="G19" s="100">
        <v>34185</v>
      </c>
      <c r="H19" s="100">
        <v>34146</v>
      </c>
      <c r="I19" s="100">
        <v>32440</v>
      </c>
      <c r="J19" s="100">
        <v>30128</v>
      </c>
      <c r="K19" s="100">
        <v>42833</v>
      </c>
      <c r="L19" s="100">
        <v>41491</v>
      </c>
      <c r="M19" s="100">
        <v>21914</v>
      </c>
      <c r="N19" s="100">
        <v>16807</v>
      </c>
      <c r="O19" s="59">
        <v>321335</v>
      </c>
    </row>
    <row r="20" spans="2:15" ht="18" customHeight="1" thickBot="1" x14ac:dyDescent="0.25">
      <c r="B20" s="104" t="s">
        <v>278</v>
      </c>
      <c r="C20" s="100">
        <v>2416</v>
      </c>
      <c r="D20" s="100">
        <v>2249</v>
      </c>
      <c r="E20" s="100">
        <v>2736</v>
      </c>
      <c r="F20" s="100">
        <v>3207</v>
      </c>
      <c r="G20" s="100">
        <v>3308</v>
      </c>
      <c r="H20" s="100">
        <v>5280</v>
      </c>
      <c r="I20" s="100">
        <v>6285</v>
      </c>
      <c r="J20" s="100">
        <v>6184</v>
      </c>
      <c r="K20" s="100">
        <v>4917</v>
      </c>
      <c r="L20" s="100">
        <v>4389</v>
      </c>
      <c r="M20" s="100">
        <v>3402</v>
      </c>
      <c r="N20" s="100">
        <v>3404</v>
      </c>
      <c r="O20" s="59">
        <v>47777</v>
      </c>
    </row>
    <row r="21" spans="2:15" ht="18" customHeight="1" thickBot="1" x14ac:dyDescent="0.25">
      <c r="B21" s="104" t="s">
        <v>279</v>
      </c>
      <c r="C21" s="100">
        <v>1729</v>
      </c>
      <c r="D21" s="100">
        <v>1467</v>
      </c>
      <c r="E21" s="100">
        <v>1851</v>
      </c>
      <c r="F21" s="100">
        <v>2545</v>
      </c>
      <c r="G21" s="100">
        <v>3147</v>
      </c>
      <c r="H21" s="100">
        <v>3171</v>
      </c>
      <c r="I21" s="100">
        <v>3333</v>
      </c>
      <c r="J21" s="100">
        <v>2304</v>
      </c>
      <c r="K21" s="100">
        <v>3848</v>
      </c>
      <c r="L21" s="100">
        <v>4918</v>
      </c>
      <c r="M21" s="100">
        <v>2716</v>
      </c>
      <c r="N21" s="100">
        <v>1445</v>
      </c>
      <c r="O21" s="59">
        <v>32474</v>
      </c>
    </row>
    <row r="22" spans="2:15" ht="18" customHeight="1" thickBot="1" x14ac:dyDescent="0.25">
      <c r="B22" s="104" t="s">
        <v>280</v>
      </c>
      <c r="C22" s="100">
        <v>18251</v>
      </c>
      <c r="D22" s="100">
        <v>15729</v>
      </c>
      <c r="E22" s="100">
        <v>22268</v>
      </c>
      <c r="F22" s="100">
        <v>29343</v>
      </c>
      <c r="G22" s="100">
        <v>40640</v>
      </c>
      <c r="H22" s="100">
        <v>42597</v>
      </c>
      <c r="I22" s="100">
        <v>42058</v>
      </c>
      <c r="J22" s="100">
        <v>38616</v>
      </c>
      <c r="K22" s="100">
        <v>51598</v>
      </c>
      <c r="L22" s="100">
        <v>50798</v>
      </c>
      <c r="M22" s="100">
        <v>28032</v>
      </c>
      <c r="N22" s="100">
        <v>21656</v>
      </c>
      <c r="O22" s="59">
        <v>401586</v>
      </c>
    </row>
    <row r="23" spans="2:15" ht="18" customHeight="1" x14ac:dyDescent="0.2">
      <c r="B23" s="46" t="s">
        <v>37</v>
      </c>
      <c r="C23" s="47">
        <v>11698</v>
      </c>
      <c r="D23" s="47">
        <v>4191</v>
      </c>
      <c r="E23" s="47">
        <v>1417</v>
      </c>
      <c r="F23" s="47">
        <v>2923</v>
      </c>
      <c r="G23" s="47">
        <v>4262</v>
      </c>
      <c r="H23" s="47">
        <v>7723</v>
      </c>
      <c r="I23" s="47">
        <v>8165</v>
      </c>
      <c r="J23" s="47">
        <v>8563</v>
      </c>
      <c r="K23" s="47">
        <v>3345</v>
      </c>
      <c r="L23" s="47">
        <v>2612</v>
      </c>
      <c r="M23" s="47">
        <v>2510</v>
      </c>
      <c r="N23" s="47">
        <v>7362</v>
      </c>
      <c r="O23" s="107">
        <v>64771</v>
      </c>
    </row>
    <row r="24" spans="2:15" ht="18" customHeight="1" x14ac:dyDescent="0.2">
      <c r="B24" s="46" t="s">
        <v>49</v>
      </c>
      <c r="C24" s="47">
        <v>6234</v>
      </c>
      <c r="D24" s="47">
        <v>3726</v>
      </c>
      <c r="E24" s="47">
        <v>2161</v>
      </c>
      <c r="F24" s="47">
        <v>5064</v>
      </c>
      <c r="G24" s="47">
        <v>8604</v>
      </c>
      <c r="H24" s="47">
        <v>19219</v>
      </c>
      <c r="I24" s="47">
        <v>30596</v>
      </c>
      <c r="J24" s="47">
        <v>21156</v>
      </c>
      <c r="K24" s="47">
        <v>3791</v>
      </c>
      <c r="L24" s="47">
        <v>3374</v>
      </c>
      <c r="M24" s="47">
        <v>3125</v>
      </c>
      <c r="N24" s="47">
        <v>13769</v>
      </c>
      <c r="O24" s="107">
        <v>120819</v>
      </c>
    </row>
    <row r="25" spans="2:15" ht="18" customHeight="1" x14ac:dyDescent="0.2">
      <c r="B25" s="46" t="s">
        <v>116</v>
      </c>
      <c r="C25" s="47">
        <v>62015</v>
      </c>
      <c r="D25" s="47">
        <v>66128</v>
      </c>
      <c r="E25" s="47">
        <v>79018</v>
      </c>
      <c r="F25" s="47">
        <v>61193</v>
      </c>
      <c r="G25" s="47">
        <v>84000</v>
      </c>
      <c r="H25" s="47">
        <v>117593</v>
      </c>
      <c r="I25" s="47">
        <v>134444</v>
      </c>
      <c r="J25" s="47">
        <v>145478</v>
      </c>
      <c r="K25" s="47">
        <v>102994</v>
      </c>
      <c r="L25" s="47">
        <v>73126</v>
      </c>
      <c r="M25" s="47">
        <v>61547</v>
      </c>
      <c r="N25" s="47">
        <v>64185</v>
      </c>
      <c r="O25" s="107">
        <v>1051721</v>
      </c>
    </row>
    <row r="26" spans="2:15" ht="18" customHeight="1" x14ac:dyDescent="0.2">
      <c r="B26" s="46" t="s">
        <v>122</v>
      </c>
      <c r="C26" s="47">
        <v>46643</v>
      </c>
      <c r="D26" s="47">
        <v>34858</v>
      </c>
      <c r="E26" s="47">
        <v>40474</v>
      </c>
      <c r="F26" s="47">
        <v>72743</v>
      </c>
      <c r="G26" s="47">
        <v>69661</v>
      </c>
      <c r="H26" s="47">
        <v>92385</v>
      </c>
      <c r="I26" s="47">
        <v>125682</v>
      </c>
      <c r="J26" s="47">
        <v>140998</v>
      </c>
      <c r="K26" s="47">
        <v>101941</v>
      </c>
      <c r="L26" s="47">
        <v>34696</v>
      </c>
      <c r="M26" s="47">
        <v>1822</v>
      </c>
      <c r="N26" s="47">
        <v>3873</v>
      </c>
      <c r="O26" s="107">
        <v>765776</v>
      </c>
    </row>
    <row r="27" spans="2:15" ht="18" customHeight="1" x14ac:dyDescent="0.2">
      <c r="B27" s="46" t="s">
        <v>134</v>
      </c>
      <c r="C27" s="47">
        <v>4736</v>
      </c>
      <c r="D27" s="47">
        <v>2667</v>
      </c>
      <c r="E27" s="47">
        <v>2857</v>
      </c>
      <c r="F27" s="47">
        <v>4139</v>
      </c>
      <c r="G27" s="47">
        <v>2955</v>
      </c>
      <c r="H27" s="47">
        <v>11707</v>
      </c>
      <c r="I27" s="47">
        <v>17790</v>
      </c>
      <c r="J27" s="47">
        <v>8854</v>
      </c>
      <c r="K27" s="47">
        <v>2295</v>
      </c>
      <c r="L27" s="47">
        <v>3248</v>
      </c>
      <c r="M27" s="47">
        <v>1892</v>
      </c>
      <c r="N27" s="47">
        <v>6950</v>
      </c>
      <c r="O27" s="107">
        <v>70090</v>
      </c>
    </row>
    <row r="28" spans="2:15" ht="18" customHeight="1" x14ac:dyDescent="0.2">
      <c r="B28" s="46" t="s">
        <v>145</v>
      </c>
      <c r="C28" s="47">
        <v>40223</v>
      </c>
      <c r="D28" s="47">
        <v>19575</v>
      </c>
      <c r="E28" s="47">
        <v>9693</v>
      </c>
      <c r="F28" s="47">
        <v>16904</v>
      </c>
      <c r="G28" s="47">
        <v>24614</v>
      </c>
      <c r="H28" s="47">
        <v>52487</v>
      </c>
      <c r="I28" s="47">
        <v>66007</v>
      </c>
      <c r="J28" s="47">
        <v>72505</v>
      </c>
      <c r="K28" s="47">
        <v>24274</v>
      </c>
      <c r="L28" s="47">
        <v>10982</v>
      </c>
      <c r="M28" s="47">
        <v>10721</v>
      </c>
      <c r="N28" s="47">
        <v>15085</v>
      </c>
      <c r="O28" s="107">
        <v>363070</v>
      </c>
    </row>
    <row r="29" spans="2:15" ht="18" customHeight="1" x14ac:dyDescent="0.2">
      <c r="B29" s="46" t="s">
        <v>146</v>
      </c>
      <c r="C29" s="47">
        <v>11142</v>
      </c>
      <c r="D29" s="47">
        <v>14240</v>
      </c>
      <c r="E29" s="47">
        <v>10000</v>
      </c>
      <c r="F29" s="47">
        <v>12744</v>
      </c>
      <c r="G29" s="47">
        <v>14274</v>
      </c>
      <c r="H29" s="47">
        <v>19025</v>
      </c>
      <c r="I29" s="47">
        <v>24332</v>
      </c>
      <c r="J29" s="47">
        <v>28114</v>
      </c>
      <c r="K29" s="47">
        <v>17653</v>
      </c>
      <c r="L29" s="47">
        <v>17143</v>
      </c>
      <c r="M29" s="47">
        <v>16094</v>
      </c>
      <c r="N29" s="47">
        <v>16144</v>
      </c>
      <c r="O29" s="107">
        <v>200905</v>
      </c>
    </row>
    <row r="30" spans="2:15" ht="18" customHeight="1" x14ac:dyDescent="0.2">
      <c r="B30" s="46" t="s">
        <v>158</v>
      </c>
      <c r="C30" s="47">
        <v>13290</v>
      </c>
      <c r="D30" s="47">
        <v>12888</v>
      </c>
      <c r="E30" s="47">
        <v>13558</v>
      </c>
      <c r="F30" s="47">
        <v>13025</v>
      </c>
      <c r="G30" s="47">
        <v>16816</v>
      </c>
      <c r="H30" s="47">
        <v>25180</v>
      </c>
      <c r="I30" s="47">
        <v>35908</v>
      </c>
      <c r="J30" s="47">
        <v>39539</v>
      </c>
      <c r="K30" s="47">
        <v>31633</v>
      </c>
      <c r="L30" s="47">
        <v>20676</v>
      </c>
      <c r="M30" s="47">
        <v>14689</v>
      </c>
      <c r="N30" s="47">
        <v>20579</v>
      </c>
      <c r="O30" s="107">
        <v>257781</v>
      </c>
    </row>
    <row r="31" spans="2:15" ht="18" customHeight="1" x14ac:dyDescent="0.2">
      <c r="B31" s="46" t="s">
        <v>230</v>
      </c>
      <c r="C31" s="47">
        <v>30640</v>
      </c>
      <c r="D31" s="47">
        <v>21990</v>
      </c>
      <c r="E31" s="47">
        <v>28246</v>
      </c>
      <c r="F31" s="47">
        <v>29062</v>
      </c>
      <c r="G31" s="47">
        <v>59761</v>
      </c>
      <c r="H31" s="47">
        <v>116309</v>
      </c>
      <c r="I31" s="47">
        <v>225895</v>
      </c>
      <c r="J31" s="47">
        <v>128841</v>
      </c>
      <c r="K31" s="47">
        <v>56831</v>
      </c>
      <c r="L31" s="47">
        <v>36144</v>
      </c>
      <c r="M31" s="47">
        <v>50249</v>
      </c>
      <c r="N31" s="47">
        <v>36715</v>
      </c>
      <c r="O31" s="107">
        <v>820683</v>
      </c>
    </row>
    <row r="32" spans="2:15" ht="18" customHeight="1" x14ac:dyDescent="0.2">
      <c r="B32" s="46" t="s">
        <v>250</v>
      </c>
      <c r="C32" s="47">
        <v>20953</v>
      </c>
      <c r="D32" s="47">
        <v>15945</v>
      </c>
      <c r="E32" s="47">
        <v>14307</v>
      </c>
      <c r="F32" s="47">
        <v>20478</v>
      </c>
      <c r="G32" s="47">
        <v>27796</v>
      </c>
      <c r="H32" s="47">
        <v>54642</v>
      </c>
      <c r="I32" s="47">
        <v>73902</v>
      </c>
      <c r="J32" s="47">
        <v>64175</v>
      </c>
      <c r="K32" s="47">
        <v>43238</v>
      </c>
      <c r="L32" s="47">
        <v>21746</v>
      </c>
      <c r="M32" s="47">
        <v>12364</v>
      </c>
      <c r="N32" s="47">
        <v>15134</v>
      </c>
      <c r="O32" s="107">
        <v>384680</v>
      </c>
    </row>
    <row r="33" spans="2:15" ht="18" customHeight="1" x14ac:dyDescent="0.2">
      <c r="B33" s="46" t="s">
        <v>257</v>
      </c>
      <c r="C33" s="47">
        <v>2239</v>
      </c>
      <c r="D33" s="47">
        <v>2114</v>
      </c>
      <c r="E33" s="47">
        <v>1991</v>
      </c>
      <c r="F33" s="47">
        <v>2294</v>
      </c>
      <c r="G33" s="47">
        <v>3097</v>
      </c>
      <c r="H33" s="47">
        <v>4311</v>
      </c>
      <c r="I33" s="47">
        <v>5062</v>
      </c>
      <c r="J33" s="47">
        <v>4163</v>
      </c>
      <c r="K33" s="47">
        <v>3734</v>
      </c>
      <c r="L33" s="47">
        <v>2584</v>
      </c>
      <c r="M33" s="47">
        <v>2231</v>
      </c>
      <c r="N33" s="47">
        <v>2091</v>
      </c>
      <c r="O33" s="107">
        <v>35911</v>
      </c>
    </row>
    <row r="34" spans="2:15" ht="18" customHeight="1" thickBot="1" x14ac:dyDescent="0.25">
      <c r="B34" s="46" t="s">
        <v>281</v>
      </c>
      <c r="C34" s="47">
        <v>35552</v>
      </c>
      <c r="D34" s="47">
        <v>27365</v>
      </c>
      <c r="E34" s="47">
        <v>33187</v>
      </c>
      <c r="F34" s="47">
        <v>34062</v>
      </c>
      <c r="G34" s="47">
        <v>49014</v>
      </c>
      <c r="H34" s="47">
        <v>78060</v>
      </c>
      <c r="I34" s="47">
        <v>90121</v>
      </c>
      <c r="J34" s="47">
        <v>64993</v>
      </c>
      <c r="K34" s="47">
        <v>45285</v>
      </c>
      <c r="L34" s="47">
        <v>32993</v>
      </c>
      <c r="M34" s="47">
        <v>30851</v>
      </c>
      <c r="N34" s="47">
        <v>32800</v>
      </c>
      <c r="O34" s="107">
        <v>554283</v>
      </c>
    </row>
    <row r="35" spans="2:15" ht="18" customHeight="1" thickBot="1" x14ac:dyDescent="0.25">
      <c r="B35" s="104" t="s">
        <v>282</v>
      </c>
      <c r="C35" s="100">
        <v>285365</v>
      </c>
      <c r="D35" s="100">
        <v>225687</v>
      </c>
      <c r="E35" s="100">
        <v>236909</v>
      </c>
      <c r="F35" s="100">
        <v>274631</v>
      </c>
      <c r="G35" s="100">
        <v>364854</v>
      </c>
      <c r="H35" s="100">
        <v>598641</v>
      </c>
      <c r="I35" s="100">
        <v>837904</v>
      </c>
      <c r="J35" s="100">
        <v>727379</v>
      </c>
      <c r="K35" s="100">
        <v>437014</v>
      </c>
      <c r="L35" s="100">
        <v>259324</v>
      </c>
      <c r="M35" s="100">
        <v>208095</v>
      </c>
      <c r="N35" s="100">
        <v>234687</v>
      </c>
      <c r="O35" s="59">
        <v>4690490</v>
      </c>
    </row>
    <row r="36" spans="2:15" ht="18" customHeight="1" x14ac:dyDescent="0.2">
      <c r="B36" s="46" t="s">
        <v>38</v>
      </c>
      <c r="C36" s="47">
        <v>1558</v>
      </c>
      <c r="D36" s="47">
        <v>1554</v>
      </c>
      <c r="E36" s="47">
        <v>1561</v>
      </c>
      <c r="F36" s="47">
        <v>1656</v>
      </c>
      <c r="G36" s="47">
        <v>2152</v>
      </c>
      <c r="H36" s="47">
        <v>2136</v>
      </c>
      <c r="I36" s="47">
        <v>2578</v>
      </c>
      <c r="J36" s="47">
        <v>2208</v>
      </c>
      <c r="K36" s="47">
        <v>2138</v>
      </c>
      <c r="L36" s="47">
        <v>2253</v>
      </c>
      <c r="M36" s="47">
        <v>1841</v>
      </c>
      <c r="N36" s="47">
        <v>2016</v>
      </c>
      <c r="O36" s="107">
        <v>23651</v>
      </c>
    </row>
    <row r="37" spans="2:15" ht="18" customHeight="1" x14ac:dyDescent="0.2">
      <c r="B37" s="46" t="s">
        <v>69</v>
      </c>
      <c r="C37" s="47">
        <v>8899</v>
      </c>
      <c r="D37" s="47">
        <v>8888</v>
      </c>
      <c r="E37" s="47">
        <v>13424</v>
      </c>
      <c r="F37" s="47">
        <v>17231</v>
      </c>
      <c r="G37" s="47">
        <v>18308</v>
      </c>
      <c r="H37" s="47">
        <v>22215</v>
      </c>
      <c r="I37" s="47">
        <v>25041</v>
      </c>
      <c r="J37" s="47">
        <v>24038</v>
      </c>
      <c r="K37" s="47">
        <v>31825</v>
      </c>
      <c r="L37" s="47">
        <v>28938</v>
      </c>
      <c r="M37" s="47">
        <v>24271</v>
      </c>
      <c r="N37" s="47">
        <v>25041</v>
      </c>
      <c r="O37" s="107">
        <v>248119</v>
      </c>
    </row>
    <row r="38" spans="2:15" ht="18" customHeight="1" x14ac:dyDescent="0.2">
      <c r="B38" s="46" t="s">
        <v>78</v>
      </c>
      <c r="C38" s="47">
        <v>24040</v>
      </c>
      <c r="D38" s="47">
        <v>20988</v>
      </c>
      <c r="E38" s="47">
        <v>14825</v>
      </c>
      <c r="F38" s="47">
        <v>12530</v>
      </c>
      <c r="G38" s="47">
        <v>13949</v>
      </c>
      <c r="H38" s="47">
        <v>8982</v>
      </c>
      <c r="I38" s="47">
        <v>8353</v>
      </c>
      <c r="J38" s="47">
        <v>6787</v>
      </c>
      <c r="K38" s="47">
        <v>14238</v>
      </c>
      <c r="L38" s="47">
        <v>19971</v>
      </c>
      <c r="M38" s="47">
        <v>15370</v>
      </c>
      <c r="N38" s="47">
        <v>18767</v>
      </c>
      <c r="O38" s="107">
        <v>178800</v>
      </c>
    </row>
    <row r="39" spans="2:15" ht="18" customHeight="1" x14ac:dyDescent="0.2">
      <c r="B39" s="46" t="s">
        <v>88</v>
      </c>
      <c r="C39" s="47">
        <v>6367</v>
      </c>
      <c r="D39" s="47">
        <v>5390</v>
      </c>
      <c r="E39" s="47">
        <v>6976</v>
      </c>
      <c r="F39" s="47">
        <v>10408</v>
      </c>
      <c r="G39" s="47">
        <v>10808</v>
      </c>
      <c r="H39" s="47">
        <v>13681</v>
      </c>
      <c r="I39" s="47">
        <v>14763</v>
      </c>
      <c r="J39" s="47">
        <v>11355</v>
      </c>
      <c r="K39" s="47">
        <v>11094</v>
      </c>
      <c r="L39" s="47">
        <v>12277</v>
      </c>
      <c r="M39" s="47">
        <v>9034</v>
      </c>
      <c r="N39" s="47">
        <v>8194</v>
      </c>
      <c r="O39" s="107">
        <v>120347</v>
      </c>
    </row>
    <row r="40" spans="2:15" ht="18" customHeight="1" x14ac:dyDescent="0.2">
      <c r="B40" s="46" t="s">
        <v>112</v>
      </c>
      <c r="C40" s="47">
        <v>12731</v>
      </c>
      <c r="D40" s="47">
        <v>12981</v>
      </c>
      <c r="E40" s="47">
        <v>16436</v>
      </c>
      <c r="F40" s="47">
        <v>23325</v>
      </c>
      <c r="G40" s="47">
        <v>28223</v>
      </c>
      <c r="H40" s="47">
        <v>29728</v>
      </c>
      <c r="I40" s="47">
        <v>24704</v>
      </c>
      <c r="J40" s="47">
        <v>23110</v>
      </c>
      <c r="K40" s="47">
        <v>28728</v>
      </c>
      <c r="L40" s="47">
        <v>29034</v>
      </c>
      <c r="M40" s="47">
        <v>21987</v>
      </c>
      <c r="N40" s="47">
        <v>23172</v>
      </c>
      <c r="O40" s="107">
        <v>274159</v>
      </c>
    </row>
    <row r="41" spans="2:15" ht="18" customHeight="1" x14ac:dyDescent="0.2">
      <c r="B41" s="46" t="s">
        <v>119</v>
      </c>
      <c r="C41" s="47">
        <v>113508</v>
      </c>
      <c r="D41" s="47">
        <v>112291</v>
      </c>
      <c r="E41" s="47">
        <v>245991</v>
      </c>
      <c r="F41" s="47">
        <v>151777</v>
      </c>
      <c r="G41" s="47">
        <v>170610</v>
      </c>
      <c r="H41" s="47">
        <v>210565</v>
      </c>
      <c r="I41" s="47">
        <v>249360</v>
      </c>
      <c r="J41" s="47">
        <v>280951</v>
      </c>
      <c r="K41" s="47">
        <v>332093</v>
      </c>
      <c r="L41" s="47">
        <v>220574</v>
      </c>
      <c r="M41" s="47">
        <v>203618</v>
      </c>
      <c r="N41" s="47">
        <v>213156</v>
      </c>
      <c r="O41" s="107">
        <v>2504494</v>
      </c>
    </row>
    <row r="42" spans="2:15" ht="18" customHeight="1" x14ac:dyDescent="0.2">
      <c r="B42" s="46" t="s">
        <v>165</v>
      </c>
      <c r="C42" s="47">
        <v>7416</v>
      </c>
      <c r="D42" s="47">
        <v>11769</v>
      </c>
      <c r="E42" s="47">
        <v>9821</v>
      </c>
      <c r="F42" s="47">
        <v>8024</v>
      </c>
      <c r="G42" s="47">
        <v>9360</v>
      </c>
      <c r="H42" s="47">
        <v>4545</v>
      </c>
      <c r="I42" s="47">
        <v>3140</v>
      </c>
      <c r="J42" s="47">
        <v>4208</v>
      </c>
      <c r="K42" s="47">
        <v>7755</v>
      </c>
      <c r="L42" s="47">
        <v>9865</v>
      </c>
      <c r="M42" s="47">
        <v>8575</v>
      </c>
      <c r="N42" s="47">
        <v>10966</v>
      </c>
      <c r="O42" s="107">
        <v>95444</v>
      </c>
    </row>
    <row r="43" spans="2:15" ht="18" customHeight="1" x14ac:dyDescent="0.2">
      <c r="B43" s="46" t="s">
        <v>194</v>
      </c>
      <c r="C43" s="47">
        <v>9105</v>
      </c>
      <c r="D43" s="47">
        <v>9056</v>
      </c>
      <c r="E43" s="47">
        <v>8374</v>
      </c>
      <c r="F43" s="47">
        <v>8323</v>
      </c>
      <c r="G43" s="47">
        <v>11534</v>
      </c>
      <c r="H43" s="47">
        <v>14104</v>
      </c>
      <c r="I43" s="47">
        <v>18196</v>
      </c>
      <c r="J43" s="47">
        <v>15267</v>
      </c>
      <c r="K43" s="47">
        <v>14273</v>
      </c>
      <c r="L43" s="47">
        <v>12352</v>
      </c>
      <c r="M43" s="47">
        <v>9469</v>
      </c>
      <c r="N43" s="47">
        <v>10335</v>
      </c>
      <c r="O43" s="107">
        <v>140388</v>
      </c>
    </row>
    <row r="44" spans="2:15" ht="18" customHeight="1" x14ac:dyDescent="0.2">
      <c r="B44" s="46" t="s">
        <v>220</v>
      </c>
      <c r="C44" s="47">
        <v>2096</v>
      </c>
      <c r="D44" s="47">
        <v>1795</v>
      </c>
      <c r="E44" s="47">
        <v>2702</v>
      </c>
      <c r="F44" s="47">
        <v>2881</v>
      </c>
      <c r="G44" s="47">
        <v>3015</v>
      </c>
      <c r="H44" s="47">
        <v>3290</v>
      </c>
      <c r="I44" s="47">
        <v>1511</v>
      </c>
      <c r="J44" s="47">
        <v>1486</v>
      </c>
      <c r="K44" s="47">
        <v>3960</v>
      </c>
      <c r="L44" s="47">
        <v>4199</v>
      </c>
      <c r="M44" s="47">
        <v>4605</v>
      </c>
      <c r="N44" s="47">
        <v>7392</v>
      </c>
      <c r="O44" s="107">
        <v>38932</v>
      </c>
    </row>
    <row r="45" spans="2:15" ht="18" customHeight="1" x14ac:dyDescent="0.2">
      <c r="B45" s="46" t="s">
        <v>237</v>
      </c>
      <c r="C45" s="47">
        <v>2283</v>
      </c>
      <c r="D45" s="47">
        <v>2439</v>
      </c>
      <c r="E45" s="47">
        <v>3272</v>
      </c>
      <c r="F45" s="47">
        <v>4308</v>
      </c>
      <c r="G45" s="47">
        <v>3501</v>
      </c>
      <c r="H45" s="47">
        <v>3080</v>
      </c>
      <c r="I45" s="47">
        <v>3251</v>
      </c>
      <c r="J45" s="47">
        <v>2223</v>
      </c>
      <c r="K45" s="47">
        <v>3072</v>
      </c>
      <c r="L45" s="47">
        <v>4217</v>
      </c>
      <c r="M45" s="47">
        <v>3304</v>
      </c>
      <c r="N45" s="47">
        <v>4101</v>
      </c>
      <c r="O45" s="107">
        <v>39051</v>
      </c>
    </row>
    <row r="46" spans="2:15" ht="18" customHeight="1" thickBot="1" x14ac:dyDescent="0.25">
      <c r="B46" s="46" t="s">
        <v>283</v>
      </c>
      <c r="C46" s="47">
        <v>13370</v>
      </c>
      <c r="D46" s="47">
        <v>11059</v>
      </c>
      <c r="E46" s="47">
        <v>13018</v>
      </c>
      <c r="F46" s="47">
        <v>14091</v>
      </c>
      <c r="G46" s="47">
        <v>16405</v>
      </c>
      <c r="H46" s="47">
        <v>17525</v>
      </c>
      <c r="I46" s="47">
        <v>20911</v>
      </c>
      <c r="J46" s="47">
        <v>20718</v>
      </c>
      <c r="K46" s="47">
        <v>19758</v>
      </c>
      <c r="L46" s="47">
        <v>19901</v>
      </c>
      <c r="M46" s="47">
        <v>16970</v>
      </c>
      <c r="N46" s="47">
        <v>14924</v>
      </c>
      <c r="O46" s="107">
        <v>198650</v>
      </c>
    </row>
    <row r="47" spans="2:15" ht="18" customHeight="1" thickBot="1" x14ac:dyDescent="0.25">
      <c r="B47" s="104" t="s">
        <v>284</v>
      </c>
      <c r="C47" s="100">
        <v>201373</v>
      </c>
      <c r="D47" s="100">
        <v>198210</v>
      </c>
      <c r="E47" s="100">
        <v>336400</v>
      </c>
      <c r="F47" s="100">
        <v>254554</v>
      </c>
      <c r="G47" s="100">
        <v>287865</v>
      </c>
      <c r="H47" s="100">
        <v>329851</v>
      </c>
      <c r="I47" s="100">
        <v>371808</v>
      </c>
      <c r="J47" s="100">
        <v>392351</v>
      </c>
      <c r="K47" s="100">
        <v>468934</v>
      </c>
      <c r="L47" s="100">
        <v>363581</v>
      </c>
      <c r="M47" s="100">
        <v>319044</v>
      </c>
      <c r="N47" s="100">
        <v>338064</v>
      </c>
      <c r="O47" s="59">
        <v>3862035</v>
      </c>
    </row>
    <row r="48" spans="2:15" ht="18" customHeight="1" thickBot="1" x14ac:dyDescent="0.25">
      <c r="B48" s="104" t="s">
        <v>285</v>
      </c>
      <c r="C48" s="100">
        <v>486738</v>
      </c>
      <c r="D48" s="100">
        <v>423897</v>
      </c>
      <c r="E48" s="100">
        <v>573309</v>
      </c>
      <c r="F48" s="100">
        <v>529185</v>
      </c>
      <c r="G48" s="100">
        <v>652719</v>
      </c>
      <c r="H48" s="100">
        <v>928492</v>
      </c>
      <c r="I48" s="100">
        <v>1209712</v>
      </c>
      <c r="J48" s="100">
        <v>1119730</v>
      </c>
      <c r="K48" s="100">
        <v>905948</v>
      </c>
      <c r="L48" s="100">
        <v>622905</v>
      </c>
      <c r="M48" s="100">
        <v>527139</v>
      </c>
      <c r="N48" s="100">
        <v>572751</v>
      </c>
      <c r="O48" s="59">
        <v>8552525</v>
      </c>
    </row>
    <row r="49" spans="2:15" ht="18" customHeight="1" x14ac:dyDescent="0.2">
      <c r="B49" s="46" t="s">
        <v>22</v>
      </c>
      <c r="C49" s="47">
        <v>139955</v>
      </c>
      <c r="D49" s="47">
        <v>148169</v>
      </c>
      <c r="E49" s="47">
        <v>216723</v>
      </c>
      <c r="F49" s="47">
        <v>461489</v>
      </c>
      <c r="G49" s="47">
        <v>617617</v>
      </c>
      <c r="H49" s="47">
        <v>686174</v>
      </c>
      <c r="I49" s="47">
        <v>941597</v>
      </c>
      <c r="J49" s="47">
        <v>871270</v>
      </c>
      <c r="K49" s="47">
        <v>772209</v>
      </c>
      <c r="L49" s="47">
        <v>860635</v>
      </c>
      <c r="M49" s="47">
        <v>244005</v>
      </c>
      <c r="N49" s="47">
        <v>233416</v>
      </c>
      <c r="O49" s="107">
        <v>6193259</v>
      </c>
    </row>
    <row r="50" spans="2:15" ht="18" customHeight="1" x14ac:dyDescent="0.2">
      <c r="B50" s="46" t="s">
        <v>34</v>
      </c>
      <c r="C50" s="47">
        <v>15323</v>
      </c>
      <c r="D50" s="47">
        <v>17540</v>
      </c>
      <c r="E50" s="47">
        <v>17425</v>
      </c>
      <c r="F50" s="47">
        <v>23695</v>
      </c>
      <c r="G50" s="47">
        <v>34147</v>
      </c>
      <c r="H50" s="47">
        <v>45459</v>
      </c>
      <c r="I50" s="47">
        <v>130861</v>
      </c>
      <c r="J50" s="47">
        <v>85072</v>
      </c>
      <c r="K50" s="47">
        <v>42625</v>
      </c>
      <c r="L50" s="47">
        <v>37968</v>
      </c>
      <c r="M50" s="47">
        <v>17720</v>
      </c>
      <c r="N50" s="47">
        <v>28647</v>
      </c>
      <c r="O50" s="107">
        <v>496482</v>
      </c>
    </row>
    <row r="51" spans="2:15" ht="18" customHeight="1" x14ac:dyDescent="0.2">
      <c r="B51" s="46" t="s">
        <v>43</v>
      </c>
      <c r="C51" s="47">
        <v>17437</v>
      </c>
      <c r="D51" s="47">
        <v>20638</v>
      </c>
      <c r="E51" s="47">
        <v>19478</v>
      </c>
      <c r="F51" s="47">
        <v>33649</v>
      </c>
      <c r="G51" s="47">
        <v>58157</v>
      </c>
      <c r="H51" s="47">
        <v>54306</v>
      </c>
      <c r="I51" s="47">
        <v>157997</v>
      </c>
      <c r="J51" s="47">
        <v>79673</v>
      </c>
      <c r="K51" s="47">
        <v>55938</v>
      </c>
      <c r="L51" s="47">
        <v>49381</v>
      </c>
      <c r="M51" s="47">
        <v>24273</v>
      </c>
      <c r="N51" s="47">
        <v>25428</v>
      </c>
      <c r="O51" s="107">
        <v>596355</v>
      </c>
    </row>
    <row r="52" spans="2:15" ht="18" customHeight="1" x14ac:dyDescent="0.2">
      <c r="B52" s="46" t="s">
        <v>68</v>
      </c>
      <c r="C52" s="47">
        <v>3175</v>
      </c>
      <c r="D52" s="47">
        <v>4223</v>
      </c>
      <c r="E52" s="47">
        <v>5322</v>
      </c>
      <c r="F52" s="47">
        <v>7297</v>
      </c>
      <c r="G52" s="47">
        <v>20120</v>
      </c>
      <c r="H52" s="47">
        <v>68040</v>
      </c>
      <c r="I52" s="47">
        <v>89570</v>
      </c>
      <c r="J52" s="47">
        <v>81271</v>
      </c>
      <c r="K52" s="47">
        <v>68686</v>
      </c>
      <c r="L52" s="47">
        <v>24331</v>
      </c>
      <c r="M52" s="47">
        <v>7278</v>
      </c>
      <c r="N52" s="47">
        <v>4845</v>
      </c>
      <c r="O52" s="107">
        <v>384158</v>
      </c>
    </row>
    <row r="53" spans="2:15" ht="18" customHeight="1" x14ac:dyDescent="0.2">
      <c r="B53" s="46" t="s">
        <v>70</v>
      </c>
      <c r="C53" s="47">
        <v>7173</v>
      </c>
      <c r="D53" s="47">
        <v>9571</v>
      </c>
      <c r="E53" s="47">
        <v>9924</v>
      </c>
      <c r="F53" s="47">
        <v>18339</v>
      </c>
      <c r="G53" s="47">
        <v>31004</v>
      </c>
      <c r="H53" s="47">
        <v>39543</v>
      </c>
      <c r="I53" s="47">
        <v>77965</v>
      </c>
      <c r="J53" s="47">
        <v>33986</v>
      </c>
      <c r="K53" s="47">
        <v>38348</v>
      </c>
      <c r="L53" s="47">
        <v>36563</v>
      </c>
      <c r="M53" s="47">
        <v>9349</v>
      </c>
      <c r="N53" s="47">
        <v>8070</v>
      </c>
      <c r="O53" s="107">
        <v>319835</v>
      </c>
    </row>
    <row r="54" spans="2:15" ht="18" customHeight="1" x14ac:dyDescent="0.2">
      <c r="B54" s="46" t="s">
        <v>90</v>
      </c>
      <c r="C54" s="47">
        <v>2845</v>
      </c>
      <c r="D54" s="47">
        <v>2928</v>
      </c>
      <c r="E54" s="47">
        <v>4138</v>
      </c>
      <c r="F54" s="47">
        <v>9305</v>
      </c>
      <c r="G54" s="47">
        <v>14962</v>
      </c>
      <c r="H54" s="47">
        <v>15477</v>
      </c>
      <c r="I54" s="47">
        <v>14545</v>
      </c>
      <c r="J54" s="47">
        <v>13277</v>
      </c>
      <c r="K54" s="47">
        <v>16343</v>
      </c>
      <c r="L54" s="47">
        <v>14821</v>
      </c>
      <c r="M54" s="47">
        <v>4641</v>
      </c>
      <c r="N54" s="47">
        <v>3841</v>
      </c>
      <c r="O54" s="107">
        <v>117123</v>
      </c>
    </row>
    <row r="55" spans="2:15" ht="18" customHeight="1" x14ac:dyDescent="0.2">
      <c r="B55" s="46" t="s">
        <v>91</v>
      </c>
      <c r="C55" s="47">
        <v>38286</v>
      </c>
      <c r="D55" s="47">
        <v>48978</v>
      </c>
      <c r="E55" s="47">
        <v>42770</v>
      </c>
      <c r="F55" s="47">
        <v>71709</v>
      </c>
      <c r="G55" s="47">
        <v>82749</v>
      </c>
      <c r="H55" s="47">
        <v>82152</v>
      </c>
      <c r="I55" s="47">
        <v>217506</v>
      </c>
      <c r="J55" s="47">
        <v>155831</v>
      </c>
      <c r="K55" s="47">
        <v>80746</v>
      </c>
      <c r="L55" s="47">
        <v>101137</v>
      </c>
      <c r="M55" s="47">
        <v>54339</v>
      </c>
      <c r="N55" s="47">
        <v>55621</v>
      </c>
      <c r="O55" s="107">
        <v>1031824</v>
      </c>
    </row>
    <row r="56" spans="2:15" ht="18" customHeight="1" x14ac:dyDescent="0.2">
      <c r="B56" s="46" t="s">
        <v>113</v>
      </c>
      <c r="C56" s="47">
        <v>34223</v>
      </c>
      <c r="D56" s="47">
        <v>36731</v>
      </c>
      <c r="E56" s="47">
        <v>32859</v>
      </c>
      <c r="F56" s="47">
        <v>128734</v>
      </c>
      <c r="G56" s="47">
        <v>117933</v>
      </c>
      <c r="H56" s="47">
        <v>91656</v>
      </c>
      <c r="I56" s="47">
        <v>251687</v>
      </c>
      <c r="J56" s="47">
        <v>200624</v>
      </c>
      <c r="K56" s="47">
        <v>113611</v>
      </c>
      <c r="L56" s="47">
        <v>135273</v>
      </c>
      <c r="M56" s="47">
        <v>39778</v>
      </c>
      <c r="N56" s="47">
        <v>49111</v>
      </c>
      <c r="O56" s="107">
        <v>1232220</v>
      </c>
    </row>
    <row r="57" spans="2:15" ht="18" customHeight="1" x14ac:dyDescent="0.2">
      <c r="B57" s="46" t="s">
        <v>118</v>
      </c>
      <c r="C57" s="47">
        <v>60367</v>
      </c>
      <c r="D57" s="47">
        <v>75607</v>
      </c>
      <c r="E57" s="47">
        <v>113835</v>
      </c>
      <c r="F57" s="47">
        <v>279734</v>
      </c>
      <c r="G57" s="47">
        <v>452724</v>
      </c>
      <c r="H57" s="47">
        <v>507037</v>
      </c>
      <c r="I57" s="47">
        <v>574436</v>
      </c>
      <c r="J57" s="47">
        <v>588448</v>
      </c>
      <c r="K57" s="47">
        <v>505233</v>
      </c>
      <c r="L57" s="47">
        <v>441449</v>
      </c>
      <c r="M57" s="47">
        <v>112932</v>
      </c>
      <c r="N57" s="47">
        <v>89120</v>
      </c>
      <c r="O57" s="107">
        <v>3800922</v>
      </c>
    </row>
    <row r="58" spans="2:15" ht="18" customHeight="1" x14ac:dyDescent="0.2">
      <c r="B58" s="46" t="s">
        <v>120</v>
      </c>
      <c r="C58" s="47">
        <v>4549</v>
      </c>
      <c r="D58" s="47">
        <v>4326</v>
      </c>
      <c r="E58" s="47">
        <v>6708</v>
      </c>
      <c r="F58" s="47">
        <v>13598</v>
      </c>
      <c r="G58" s="47">
        <v>17738</v>
      </c>
      <c r="H58" s="47">
        <v>21843</v>
      </c>
      <c r="I58" s="47">
        <v>24267</v>
      </c>
      <c r="J58" s="47">
        <v>21734</v>
      </c>
      <c r="K58" s="47">
        <v>19734</v>
      </c>
      <c r="L58" s="47">
        <v>17477</v>
      </c>
      <c r="M58" s="47">
        <v>6988</v>
      </c>
      <c r="N58" s="47">
        <v>4203</v>
      </c>
      <c r="O58" s="107">
        <v>163165</v>
      </c>
    </row>
    <row r="59" spans="2:15" ht="18" customHeight="1" x14ac:dyDescent="0.2">
      <c r="B59" s="97" t="s">
        <v>121</v>
      </c>
      <c r="C59" s="98">
        <v>13799</v>
      </c>
      <c r="D59" s="98">
        <v>14363</v>
      </c>
      <c r="E59" s="98">
        <v>18020</v>
      </c>
      <c r="F59" s="98">
        <v>26210</v>
      </c>
      <c r="G59" s="98">
        <v>26057</v>
      </c>
      <c r="H59" s="98">
        <v>27107</v>
      </c>
      <c r="I59" s="98">
        <v>34768</v>
      </c>
      <c r="J59" s="98">
        <v>49409</v>
      </c>
      <c r="K59" s="98">
        <v>33494</v>
      </c>
      <c r="L59" s="98">
        <v>34487</v>
      </c>
      <c r="M59" s="98">
        <v>23242</v>
      </c>
      <c r="N59" s="98">
        <v>23734</v>
      </c>
      <c r="O59" s="108">
        <v>324690</v>
      </c>
    </row>
    <row r="60" spans="2:15" ht="18" customHeight="1" x14ac:dyDescent="0.2">
      <c r="B60" s="46"/>
      <c r="C60" s="47"/>
      <c r="D60" s="47"/>
      <c r="E60" s="47"/>
      <c r="F60" s="47"/>
      <c r="G60" s="47"/>
      <c r="H60" s="47"/>
      <c r="I60" s="47"/>
      <c r="J60" s="47"/>
      <c r="K60" s="47"/>
      <c r="L60" s="47"/>
      <c r="M60" s="47"/>
      <c r="N60" s="47"/>
      <c r="O60" s="47"/>
    </row>
    <row r="61" spans="2:15" ht="18" customHeight="1" x14ac:dyDescent="0.2">
      <c r="B61" s="46"/>
      <c r="C61" s="47"/>
      <c r="D61" s="47"/>
      <c r="E61" s="47"/>
      <c r="F61" s="47"/>
      <c r="G61" s="47"/>
      <c r="H61" s="47"/>
      <c r="I61" s="47"/>
      <c r="J61" s="47"/>
      <c r="K61" s="47"/>
      <c r="L61" s="47"/>
      <c r="M61" s="47"/>
      <c r="N61" s="47"/>
      <c r="O61" s="47"/>
    </row>
    <row r="62" spans="2:15" ht="30" customHeight="1" thickBot="1" x14ac:dyDescent="0.25">
      <c r="B62" s="422" t="s">
        <v>621</v>
      </c>
      <c r="C62" s="423"/>
      <c r="D62" s="423"/>
      <c r="E62" s="423"/>
      <c r="F62" s="423"/>
      <c r="G62" s="423"/>
      <c r="H62" s="423"/>
      <c r="I62" s="423"/>
      <c r="J62" s="423"/>
      <c r="K62" s="423"/>
      <c r="L62" s="423"/>
      <c r="M62" s="423"/>
      <c r="N62" s="423"/>
      <c r="O62" s="423"/>
    </row>
    <row r="63" spans="2:15" ht="18" customHeight="1" thickBot="1" x14ac:dyDescent="0.25">
      <c r="B63" s="69" t="s">
        <v>264</v>
      </c>
      <c r="C63" s="452" t="s">
        <v>265</v>
      </c>
      <c r="D63" s="452"/>
      <c r="E63" s="452"/>
      <c r="F63" s="452"/>
      <c r="G63" s="452"/>
      <c r="H63" s="452"/>
      <c r="I63" s="452"/>
      <c r="J63" s="452"/>
      <c r="K63" s="452"/>
      <c r="L63" s="452"/>
      <c r="M63" s="452"/>
      <c r="N63" s="452"/>
      <c r="O63" s="452"/>
    </row>
    <row r="64" spans="2:15" ht="18" customHeight="1" thickBot="1" x14ac:dyDescent="0.25">
      <c r="B64" s="95" t="s">
        <v>267</v>
      </c>
      <c r="C64" s="71" t="s">
        <v>5</v>
      </c>
      <c r="D64" s="71" t="s">
        <v>6</v>
      </c>
      <c r="E64" s="71" t="s">
        <v>7</v>
      </c>
      <c r="F64" s="71" t="s">
        <v>8</v>
      </c>
      <c r="G64" s="71" t="s">
        <v>9</v>
      </c>
      <c r="H64" s="71" t="s">
        <v>10</v>
      </c>
      <c r="I64" s="71" t="s">
        <v>11</v>
      </c>
      <c r="J64" s="71" t="s">
        <v>12</v>
      </c>
      <c r="K64" s="71" t="s">
        <v>13</v>
      </c>
      <c r="L64" s="71" t="s">
        <v>14</v>
      </c>
      <c r="M64" s="71" t="s">
        <v>15</v>
      </c>
      <c r="N64" s="71" t="s">
        <v>16</v>
      </c>
      <c r="O64" s="106" t="s">
        <v>17</v>
      </c>
    </row>
    <row r="65" spans="2:15" ht="18" customHeight="1" x14ac:dyDescent="0.2">
      <c r="B65" s="46" t="s">
        <v>123</v>
      </c>
      <c r="C65" s="78">
        <v>13331</v>
      </c>
      <c r="D65" s="78">
        <v>10693</v>
      </c>
      <c r="E65" s="78">
        <v>12571</v>
      </c>
      <c r="F65" s="78">
        <v>21837</v>
      </c>
      <c r="G65" s="78">
        <v>30728</v>
      </c>
      <c r="H65" s="78">
        <v>60381</v>
      </c>
      <c r="I65" s="78">
        <v>73583</v>
      </c>
      <c r="J65" s="78">
        <v>44221</v>
      </c>
      <c r="K65" s="78">
        <v>36004</v>
      </c>
      <c r="L65" s="78">
        <v>30318</v>
      </c>
      <c r="M65" s="78">
        <v>14015</v>
      </c>
      <c r="N65" s="78">
        <v>17302</v>
      </c>
      <c r="O65" s="109">
        <v>364984</v>
      </c>
    </row>
    <row r="66" spans="2:15" ht="18" customHeight="1" x14ac:dyDescent="0.2">
      <c r="B66" s="46" t="s">
        <v>124</v>
      </c>
      <c r="C66" s="78">
        <v>10312</v>
      </c>
      <c r="D66" s="78">
        <v>13593</v>
      </c>
      <c r="E66" s="78">
        <v>12711</v>
      </c>
      <c r="F66" s="78">
        <v>32260</v>
      </c>
      <c r="G66" s="78">
        <v>30217</v>
      </c>
      <c r="H66" s="78">
        <v>28622</v>
      </c>
      <c r="I66" s="78">
        <v>79188</v>
      </c>
      <c r="J66" s="78">
        <v>29601</v>
      </c>
      <c r="K66" s="78">
        <v>48240</v>
      </c>
      <c r="L66" s="78">
        <v>75381</v>
      </c>
      <c r="M66" s="78">
        <v>14080</v>
      </c>
      <c r="N66" s="78">
        <v>15839</v>
      </c>
      <c r="O66" s="109">
        <v>390044</v>
      </c>
    </row>
    <row r="67" spans="2:15" ht="18" customHeight="1" x14ac:dyDescent="0.2">
      <c r="B67" s="46" t="s">
        <v>125</v>
      </c>
      <c r="C67" s="78">
        <v>23522</v>
      </c>
      <c r="D67" s="78">
        <v>20422</v>
      </c>
      <c r="E67" s="78">
        <v>27257</v>
      </c>
      <c r="F67" s="78">
        <v>39245</v>
      </c>
      <c r="G67" s="78">
        <v>44657</v>
      </c>
      <c r="H67" s="78">
        <v>69033</v>
      </c>
      <c r="I67" s="78">
        <v>59051</v>
      </c>
      <c r="J67" s="78">
        <v>103008</v>
      </c>
      <c r="K67" s="78">
        <v>57718</v>
      </c>
      <c r="L67" s="78">
        <v>70783</v>
      </c>
      <c r="M67" s="78">
        <v>45112</v>
      </c>
      <c r="N67" s="78">
        <v>42368</v>
      </c>
      <c r="O67" s="109">
        <v>602176</v>
      </c>
    </row>
    <row r="68" spans="2:15" ht="18" customHeight="1" x14ac:dyDescent="0.2">
      <c r="B68" s="46" t="s">
        <v>126</v>
      </c>
      <c r="C68" s="78">
        <v>134</v>
      </c>
      <c r="D68" s="78">
        <v>154</v>
      </c>
      <c r="E68" s="78">
        <v>209</v>
      </c>
      <c r="F68" s="78">
        <v>326</v>
      </c>
      <c r="G68" s="78">
        <v>330</v>
      </c>
      <c r="H68" s="78">
        <v>508</v>
      </c>
      <c r="I68" s="78">
        <v>557</v>
      </c>
      <c r="J68" s="78">
        <v>377</v>
      </c>
      <c r="K68" s="78">
        <v>444</v>
      </c>
      <c r="L68" s="78">
        <v>617</v>
      </c>
      <c r="M68" s="78">
        <v>198</v>
      </c>
      <c r="N68" s="78">
        <v>121</v>
      </c>
      <c r="O68" s="109">
        <v>3975</v>
      </c>
    </row>
    <row r="69" spans="2:15" ht="18" customHeight="1" x14ac:dyDescent="0.2">
      <c r="B69" s="46" t="s">
        <v>159</v>
      </c>
      <c r="C69" s="78">
        <v>347</v>
      </c>
      <c r="D69" s="78">
        <v>422</v>
      </c>
      <c r="E69" s="78">
        <v>445</v>
      </c>
      <c r="F69" s="78">
        <v>1419</v>
      </c>
      <c r="G69" s="78">
        <v>2833</v>
      </c>
      <c r="H69" s="78">
        <v>1014</v>
      </c>
      <c r="I69" s="78">
        <v>1674</v>
      </c>
      <c r="J69" s="78">
        <v>3044</v>
      </c>
      <c r="K69" s="78">
        <v>1883</v>
      </c>
      <c r="L69" s="78">
        <v>1501</v>
      </c>
      <c r="M69" s="78">
        <v>476</v>
      </c>
      <c r="N69" s="78">
        <v>575</v>
      </c>
      <c r="O69" s="109">
        <v>15633</v>
      </c>
    </row>
    <row r="70" spans="2:15" ht="18" customHeight="1" x14ac:dyDescent="0.2">
      <c r="B70" s="46" t="s">
        <v>160</v>
      </c>
      <c r="C70" s="78">
        <v>3589</v>
      </c>
      <c r="D70" s="78">
        <v>3709</v>
      </c>
      <c r="E70" s="78">
        <v>5490</v>
      </c>
      <c r="F70" s="78">
        <v>10034</v>
      </c>
      <c r="G70" s="78">
        <v>13790</v>
      </c>
      <c r="H70" s="78">
        <v>32306</v>
      </c>
      <c r="I70" s="78">
        <v>41613</v>
      </c>
      <c r="J70" s="78">
        <v>40376</v>
      </c>
      <c r="K70" s="78">
        <v>33626</v>
      </c>
      <c r="L70" s="78">
        <v>22862</v>
      </c>
      <c r="M70" s="78">
        <v>8846</v>
      </c>
      <c r="N70" s="78">
        <v>6086</v>
      </c>
      <c r="O70" s="109">
        <v>222327</v>
      </c>
    </row>
    <row r="71" spans="2:15" ht="18" customHeight="1" x14ac:dyDescent="0.2">
      <c r="B71" s="46" t="s">
        <v>191</v>
      </c>
      <c r="C71" s="78">
        <v>5083</v>
      </c>
      <c r="D71" s="78">
        <v>6184</v>
      </c>
      <c r="E71" s="78">
        <v>7875</v>
      </c>
      <c r="F71" s="78">
        <v>11262</v>
      </c>
      <c r="G71" s="78">
        <v>16356</v>
      </c>
      <c r="H71" s="78">
        <v>29916</v>
      </c>
      <c r="I71" s="78">
        <v>49884</v>
      </c>
      <c r="J71" s="78">
        <v>21604</v>
      </c>
      <c r="K71" s="78">
        <v>23417</v>
      </c>
      <c r="L71" s="78">
        <v>18456</v>
      </c>
      <c r="M71" s="78">
        <v>6853</v>
      </c>
      <c r="N71" s="78">
        <v>6435</v>
      </c>
      <c r="O71" s="109">
        <v>203325</v>
      </c>
    </row>
    <row r="72" spans="2:15" ht="18" customHeight="1" x14ac:dyDescent="0.2">
      <c r="B72" s="46" t="s">
        <v>201</v>
      </c>
      <c r="C72" s="78">
        <v>16080</v>
      </c>
      <c r="D72" s="78">
        <v>16087</v>
      </c>
      <c r="E72" s="78">
        <v>18351</v>
      </c>
      <c r="F72" s="78">
        <v>74322</v>
      </c>
      <c r="G72" s="78">
        <v>164349</v>
      </c>
      <c r="H72" s="78">
        <v>242421</v>
      </c>
      <c r="I72" s="78">
        <v>272501</v>
      </c>
      <c r="J72" s="78">
        <v>279040</v>
      </c>
      <c r="K72" s="78">
        <v>264574</v>
      </c>
      <c r="L72" s="78">
        <v>144732</v>
      </c>
      <c r="M72" s="78">
        <v>29049</v>
      </c>
      <c r="N72" s="78">
        <v>17617</v>
      </c>
      <c r="O72" s="109">
        <v>1539123</v>
      </c>
    </row>
    <row r="73" spans="2:15" ht="18" customHeight="1" x14ac:dyDescent="0.2">
      <c r="B73" s="46" t="s">
        <v>202</v>
      </c>
      <c r="C73" s="78">
        <v>3962</v>
      </c>
      <c r="D73" s="78">
        <v>4160</v>
      </c>
      <c r="E73" s="78">
        <v>5201</v>
      </c>
      <c r="F73" s="78">
        <v>7984</v>
      </c>
      <c r="G73" s="78">
        <v>8410</v>
      </c>
      <c r="H73" s="78">
        <v>8824</v>
      </c>
      <c r="I73" s="78">
        <v>10220</v>
      </c>
      <c r="J73" s="78">
        <v>11980</v>
      </c>
      <c r="K73" s="78">
        <v>10620</v>
      </c>
      <c r="L73" s="78">
        <v>10040</v>
      </c>
      <c r="M73" s="78">
        <v>6567</v>
      </c>
      <c r="N73" s="78">
        <v>4933</v>
      </c>
      <c r="O73" s="109">
        <v>92901</v>
      </c>
    </row>
    <row r="74" spans="2:15" ht="18" customHeight="1" x14ac:dyDescent="0.2">
      <c r="B74" s="46" t="s">
        <v>221</v>
      </c>
      <c r="C74" s="78">
        <v>1705</v>
      </c>
      <c r="D74" s="78">
        <v>2107</v>
      </c>
      <c r="E74" s="78">
        <v>2901</v>
      </c>
      <c r="F74" s="78">
        <v>4624</v>
      </c>
      <c r="G74" s="78">
        <v>8718</v>
      </c>
      <c r="H74" s="78">
        <v>44879</v>
      </c>
      <c r="I74" s="78">
        <v>62033</v>
      </c>
      <c r="J74" s="78">
        <v>60079</v>
      </c>
      <c r="K74" s="78">
        <v>32425</v>
      </c>
      <c r="L74" s="78">
        <v>8936</v>
      </c>
      <c r="M74" s="78">
        <v>3973</v>
      </c>
      <c r="N74" s="78">
        <v>2923</v>
      </c>
      <c r="O74" s="109">
        <v>235303</v>
      </c>
    </row>
    <row r="75" spans="2:15" ht="18" customHeight="1" x14ac:dyDescent="0.2">
      <c r="B75" s="46" t="s">
        <v>261</v>
      </c>
      <c r="C75" s="78">
        <v>46386</v>
      </c>
      <c r="D75" s="78">
        <v>38704</v>
      </c>
      <c r="E75" s="78">
        <v>46334</v>
      </c>
      <c r="F75" s="78">
        <v>61144</v>
      </c>
      <c r="G75" s="78">
        <v>47935</v>
      </c>
      <c r="H75" s="78">
        <v>55535</v>
      </c>
      <c r="I75" s="78">
        <v>58571</v>
      </c>
      <c r="J75" s="78">
        <v>76953</v>
      </c>
      <c r="K75" s="78">
        <v>63272</v>
      </c>
      <c r="L75" s="78">
        <v>68340</v>
      </c>
      <c r="M75" s="78">
        <v>58075</v>
      </c>
      <c r="N75" s="78">
        <v>65231</v>
      </c>
      <c r="O75" s="109">
        <v>686480</v>
      </c>
    </row>
    <row r="76" spans="2:15" ht="18" customHeight="1" thickBot="1" x14ac:dyDescent="0.25">
      <c r="B76" s="46" t="s">
        <v>590</v>
      </c>
      <c r="C76" s="78"/>
      <c r="D76" s="78"/>
      <c r="E76" s="78"/>
      <c r="F76" s="78"/>
      <c r="G76" s="78"/>
      <c r="H76" s="78"/>
      <c r="I76" s="78"/>
      <c r="J76" s="78"/>
      <c r="K76" s="78"/>
      <c r="L76" s="78"/>
      <c r="M76" s="78"/>
      <c r="N76" s="78"/>
      <c r="O76" s="109"/>
    </row>
    <row r="77" spans="2:15" ht="18" customHeight="1" thickBot="1" x14ac:dyDescent="0.25">
      <c r="B77" s="52" t="s">
        <v>286</v>
      </c>
      <c r="C77" s="105">
        <v>461583</v>
      </c>
      <c r="D77" s="105">
        <v>499309</v>
      </c>
      <c r="E77" s="105">
        <v>626547</v>
      </c>
      <c r="F77" s="105">
        <v>1338216</v>
      </c>
      <c r="G77" s="105">
        <v>1841531</v>
      </c>
      <c r="H77" s="105">
        <v>2212233</v>
      </c>
      <c r="I77" s="105">
        <v>3224074</v>
      </c>
      <c r="J77" s="105">
        <v>2850878</v>
      </c>
      <c r="K77" s="105">
        <v>2319190</v>
      </c>
      <c r="L77" s="105">
        <v>2205488</v>
      </c>
      <c r="M77" s="105">
        <v>731789</v>
      </c>
      <c r="N77" s="105">
        <v>705466</v>
      </c>
      <c r="O77" s="81">
        <v>19016304</v>
      </c>
    </row>
    <row r="78" spans="2:15" ht="18" customHeight="1" x14ac:dyDescent="0.2">
      <c r="B78" s="46" t="s">
        <v>30</v>
      </c>
      <c r="C78" s="78">
        <v>6822</v>
      </c>
      <c r="D78" s="78">
        <v>5976</v>
      </c>
      <c r="E78" s="78">
        <v>6903</v>
      </c>
      <c r="F78" s="78">
        <v>7896</v>
      </c>
      <c r="G78" s="78">
        <v>8427</v>
      </c>
      <c r="H78" s="78">
        <v>15635</v>
      </c>
      <c r="I78" s="78">
        <v>20671</v>
      </c>
      <c r="J78" s="78">
        <v>25511</v>
      </c>
      <c r="K78" s="78">
        <v>16074</v>
      </c>
      <c r="L78" s="78">
        <v>9616</v>
      </c>
      <c r="M78" s="78">
        <v>10903</v>
      </c>
      <c r="N78" s="78">
        <v>8048</v>
      </c>
      <c r="O78" s="109">
        <v>142482</v>
      </c>
    </row>
    <row r="79" spans="2:15" ht="18" customHeight="1" x14ac:dyDescent="0.2">
      <c r="B79" s="46" t="s">
        <v>53</v>
      </c>
      <c r="C79" s="78">
        <v>7262</v>
      </c>
      <c r="D79" s="78">
        <v>6230</v>
      </c>
      <c r="E79" s="78">
        <v>7965</v>
      </c>
      <c r="F79" s="78">
        <v>10713</v>
      </c>
      <c r="G79" s="78">
        <v>14068</v>
      </c>
      <c r="H79" s="78">
        <v>21351</v>
      </c>
      <c r="I79" s="78">
        <v>29666</v>
      </c>
      <c r="J79" s="78">
        <v>26708</v>
      </c>
      <c r="K79" s="78">
        <v>21882</v>
      </c>
      <c r="L79" s="78">
        <v>15437</v>
      </c>
      <c r="M79" s="78">
        <v>8370</v>
      </c>
      <c r="N79" s="78">
        <v>8241</v>
      </c>
      <c r="O79" s="109">
        <v>177893</v>
      </c>
    </row>
    <row r="80" spans="2:15" ht="18" customHeight="1" x14ac:dyDescent="0.2">
      <c r="B80" s="46" t="s">
        <v>58</v>
      </c>
      <c r="C80" s="78">
        <v>167138</v>
      </c>
      <c r="D80" s="78">
        <v>150873</v>
      </c>
      <c r="E80" s="78">
        <v>205139</v>
      </c>
      <c r="F80" s="78">
        <v>274806</v>
      </c>
      <c r="G80" s="78">
        <v>258568</v>
      </c>
      <c r="H80" s="78">
        <v>250722</v>
      </c>
      <c r="I80" s="78">
        <v>265622</v>
      </c>
      <c r="J80" s="78">
        <v>255466</v>
      </c>
      <c r="K80" s="78">
        <v>323927</v>
      </c>
      <c r="L80" s="78">
        <v>266052</v>
      </c>
      <c r="M80" s="78">
        <v>222884</v>
      </c>
      <c r="N80" s="78">
        <v>251895</v>
      </c>
      <c r="O80" s="109">
        <v>2893092</v>
      </c>
    </row>
    <row r="81" spans="2:15" ht="18" customHeight="1" x14ac:dyDescent="0.2">
      <c r="B81" s="46" t="s">
        <v>81</v>
      </c>
      <c r="C81" s="78">
        <v>1456</v>
      </c>
      <c r="D81" s="78">
        <v>1489</v>
      </c>
      <c r="E81" s="78">
        <v>2054</v>
      </c>
      <c r="F81" s="78">
        <v>12949</v>
      </c>
      <c r="G81" s="78">
        <v>13829</v>
      </c>
      <c r="H81" s="78">
        <v>10067</v>
      </c>
      <c r="I81" s="78">
        <v>8924</v>
      </c>
      <c r="J81" s="78">
        <v>9531</v>
      </c>
      <c r="K81" s="78">
        <v>14097</v>
      </c>
      <c r="L81" s="78">
        <v>17229</v>
      </c>
      <c r="M81" s="78">
        <v>2620</v>
      </c>
      <c r="N81" s="78">
        <v>1982</v>
      </c>
      <c r="O81" s="109">
        <v>96227</v>
      </c>
    </row>
    <row r="82" spans="2:15" ht="18" customHeight="1" x14ac:dyDescent="0.2">
      <c r="B82" s="46" t="s">
        <v>106</v>
      </c>
      <c r="C82" s="78">
        <v>583</v>
      </c>
      <c r="D82" s="78">
        <v>517</v>
      </c>
      <c r="E82" s="78">
        <v>597</v>
      </c>
      <c r="F82" s="78">
        <v>777</v>
      </c>
      <c r="G82" s="78">
        <v>808</v>
      </c>
      <c r="H82" s="78">
        <v>1291</v>
      </c>
      <c r="I82" s="78">
        <v>2009</v>
      </c>
      <c r="J82" s="78">
        <v>2823</v>
      </c>
      <c r="K82" s="78">
        <v>1377</v>
      </c>
      <c r="L82" s="78">
        <v>1662</v>
      </c>
      <c r="M82" s="78">
        <v>1035</v>
      </c>
      <c r="N82" s="78">
        <v>753</v>
      </c>
      <c r="O82" s="109">
        <v>14232</v>
      </c>
    </row>
    <row r="83" spans="2:15" ht="18" customHeight="1" x14ac:dyDescent="0.2">
      <c r="B83" s="46" t="s">
        <v>111</v>
      </c>
      <c r="C83" s="78">
        <v>3395</v>
      </c>
      <c r="D83" s="78">
        <v>3435</v>
      </c>
      <c r="E83" s="78">
        <v>4933</v>
      </c>
      <c r="F83" s="78">
        <v>5470</v>
      </c>
      <c r="G83" s="78">
        <v>5815</v>
      </c>
      <c r="H83" s="78">
        <v>5791</v>
      </c>
      <c r="I83" s="78">
        <v>5874</v>
      </c>
      <c r="J83" s="78">
        <v>7068</v>
      </c>
      <c r="K83" s="78">
        <v>6726</v>
      </c>
      <c r="L83" s="78">
        <v>8111</v>
      </c>
      <c r="M83" s="78">
        <v>6068</v>
      </c>
      <c r="N83" s="78">
        <v>4262</v>
      </c>
      <c r="O83" s="109">
        <v>66948</v>
      </c>
    </row>
    <row r="84" spans="2:15" ht="18" customHeight="1" x14ac:dyDescent="0.2">
      <c r="B84" s="46" t="s">
        <v>133</v>
      </c>
      <c r="C84" s="78">
        <v>2281</v>
      </c>
      <c r="D84" s="78">
        <v>1742</v>
      </c>
      <c r="E84" s="78">
        <v>1998</v>
      </c>
      <c r="F84" s="78">
        <v>2475</v>
      </c>
      <c r="G84" s="78">
        <v>2678</v>
      </c>
      <c r="H84" s="78">
        <v>2130</v>
      </c>
      <c r="I84" s="78">
        <v>2325</v>
      </c>
      <c r="J84" s="78">
        <v>2467</v>
      </c>
      <c r="K84" s="78">
        <v>2771</v>
      </c>
      <c r="L84" s="78">
        <v>3552</v>
      </c>
      <c r="M84" s="78">
        <v>2898</v>
      </c>
      <c r="N84" s="78">
        <v>2527</v>
      </c>
      <c r="O84" s="109">
        <v>29844</v>
      </c>
    </row>
    <row r="85" spans="2:15" ht="18" customHeight="1" x14ac:dyDescent="0.2">
      <c r="B85" s="46" t="s">
        <v>143</v>
      </c>
      <c r="C85" s="78">
        <v>8661</v>
      </c>
      <c r="D85" s="78">
        <v>7320</v>
      </c>
      <c r="E85" s="78">
        <v>8032</v>
      </c>
      <c r="F85" s="78">
        <v>9503</v>
      </c>
      <c r="G85" s="78">
        <v>16717</v>
      </c>
      <c r="H85" s="78">
        <v>18765</v>
      </c>
      <c r="I85" s="78">
        <v>20070</v>
      </c>
      <c r="J85" s="78">
        <v>23352</v>
      </c>
      <c r="K85" s="78">
        <v>23862</v>
      </c>
      <c r="L85" s="78">
        <v>17603</v>
      </c>
      <c r="M85" s="78">
        <v>12024</v>
      </c>
      <c r="N85" s="78">
        <v>8772</v>
      </c>
      <c r="O85" s="109">
        <v>174681</v>
      </c>
    </row>
    <row r="86" spans="2:15" ht="18" customHeight="1" x14ac:dyDescent="0.2">
      <c r="B86" s="46" t="s">
        <v>148</v>
      </c>
      <c r="C86" s="78">
        <v>16603</v>
      </c>
      <c r="D86" s="78">
        <v>10708</v>
      </c>
      <c r="E86" s="78">
        <v>13119</v>
      </c>
      <c r="F86" s="78">
        <v>14505</v>
      </c>
      <c r="G86" s="78">
        <v>19075</v>
      </c>
      <c r="H86" s="78">
        <v>23862</v>
      </c>
      <c r="I86" s="78">
        <v>29428</v>
      </c>
      <c r="J86" s="78">
        <v>36204</v>
      </c>
      <c r="K86" s="78">
        <v>30781</v>
      </c>
      <c r="L86" s="78">
        <v>25411</v>
      </c>
      <c r="M86" s="78">
        <v>15334</v>
      </c>
      <c r="N86" s="78">
        <v>16036</v>
      </c>
      <c r="O86" s="109">
        <v>251066</v>
      </c>
    </row>
    <row r="87" spans="2:15" ht="18" customHeight="1" x14ac:dyDescent="0.2">
      <c r="B87" s="46" t="s">
        <v>153</v>
      </c>
      <c r="C87" s="78">
        <v>2145</v>
      </c>
      <c r="D87" s="78">
        <v>2476</v>
      </c>
      <c r="E87" s="78">
        <v>3085</v>
      </c>
      <c r="F87" s="78">
        <v>12038</v>
      </c>
      <c r="G87" s="78">
        <v>17923</v>
      </c>
      <c r="H87" s="78">
        <v>14484</v>
      </c>
      <c r="I87" s="78">
        <v>11510</v>
      </c>
      <c r="J87" s="78">
        <v>12072</v>
      </c>
      <c r="K87" s="78">
        <v>17156</v>
      </c>
      <c r="L87" s="78">
        <v>19276</v>
      </c>
      <c r="M87" s="78">
        <v>3225</v>
      </c>
      <c r="N87" s="78">
        <v>2546</v>
      </c>
      <c r="O87" s="109">
        <v>117936</v>
      </c>
    </row>
    <row r="88" spans="2:15" ht="18" customHeight="1" x14ac:dyDescent="0.2">
      <c r="B88" s="46" t="s">
        <v>157</v>
      </c>
      <c r="C88" s="78">
        <v>2768</v>
      </c>
      <c r="D88" s="78">
        <v>3317</v>
      </c>
      <c r="E88" s="78">
        <v>4555</v>
      </c>
      <c r="F88" s="78">
        <v>36440</v>
      </c>
      <c r="G88" s="78">
        <v>47775</v>
      </c>
      <c r="H88" s="78">
        <v>33880</v>
      </c>
      <c r="I88" s="78">
        <v>29172</v>
      </c>
      <c r="J88" s="78">
        <v>28110</v>
      </c>
      <c r="K88" s="78">
        <v>36808</v>
      </c>
      <c r="L88" s="78">
        <v>45431</v>
      </c>
      <c r="M88" s="78">
        <v>6464</v>
      </c>
      <c r="N88" s="78">
        <v>3090</v>
      </c>
      <c r="O88" s="109">
        <v>277810</v>
      </c>
    </row>
    <row r="89" spans="2:15" ht="18" customHeight="1" x14ac:dyDescent="0.2">
      <c r="B89" s="46" t="s">
        <v>167</v>
      </c>
      <c r="C89" s="78">
        <v>914</v>
      </c>
      <c r="D89" s="78">
        <v>840</v>
      </c>
      <c r="E89" s="78">
        <v>823</v>
      </c>
      <c r="F89" s="78">
        <v>974</v>
      </c>
      <c r="G89" s="78">
        <v>917</v>
      </c>
      <c r="H89" s="78">
        <v>1246</v>
      </c>
      <c r="I89" s="78">
        <v>1629</v>
      </c>
      <c r="J89" s="78">
        <v>1861</v>
      </c>
      <c r="K89" s="78">
        <v>1994</v>
      </c>
      <c r="L89" s="78">
        <v>1063</v>
      </c>
      <c r="M89" s="78">
        <v>1077</v>
      </c>
      <c r="N89" s="78">
        <v>1018</v>
      </c>
      <c r="O89" s="109">
        <v>14356</v>
      </c>
    </row>
    <row r="90" spans="2:15" ht="18" customHeight="1" x14ac:dyDescent="0.2">
      <c r="B90" s="46" t="s">
        <v>205</v>
      </c>
      <c r="C90" s="78">
        <v>32444</v>
      </c>
      <c r="D90" s="78">
        <v>31480</v>
      </c>
      <c r="E90" s="78">
        <v>39029</v>
      </c>
      <c r="F90" s="78">
        <v>61718</v>
      </c>
      <c r="G90" s="78">
        <v>66569</v>
      </c>
      <c r="H90" s="78">
        <v>149410</v>
      </c>
      <c r="I90" s="78">
        <v>148446</v>
      </c>
      <c r="J90" s="78">
        <v>171378</v>
      </c>
      <c r="K90" s="78">
        <v>121165</v>
      </c>
      <c r="L90" s="78">
        <v>70553</v>
      </c>
      <c r="M90" s="78">
        <v>54832</v>
      </c>
      <c r="N90" s="78">
        <v>42981</v>
      </c>
      <c r="O90" s="109">
        <v>990005</v>
      </c>
    </row>
    <row r="91" spans="2:15" ht="18" customHeight="1" x14ac:dyDescent="0.2">
      <c r="B91" s="46" t="s">
        <v>218</v>
      </c>
      <c r="C91" s="78">
        <v>12730</v>
      </c>
      <c r="D91" s="78">
        <v>13298</v>
      </c>
      <c r="E91" s="78">
        <v>14233</v>
      </c>
      <c r="F91" s="78">
        <v>19137</v>
      </c>
      <c r="G91" s="78">
        <v>19676</v>
      </c>
      <c r="H91" s="78">
        <v>35868</v>
      </c>
      <c r="I91" s="78">
        <v>51577</v>
      </c>
      <c r="J91" s="78">
        <v>49087</v>
      </c>
      <c r="K91" s="78">
        <v>37222</v>
      </c>
      <c r="L91" s="78">
        <v>24184</v>
      </c>
      <c r="M91" s="78">
        <v>18724</v>
      </c>
      <c r="N91" s="78">
        <v>16002</v>
      </c>
      <c r="O91" s="109">
        <v>311738</v>
      </c>
    </row>
    <row r="92" spans="2:15" ht="18" customHeight="1" x14ac:dyDescent="0.2">
      <c r="B92" s="46" t="s">
        <v>222</v>
      </c>
      <c r="C92" s="78">
        <v>2046</v>
      </c>
      <c r="D92" s="78">
        <v>2787</v>
      </c>
      <c r="E92" s="78">
        <v>3572</v>
      </c>
      <c r="F92" s="78">
        <v>5078</v>
      </c>
      <c r="G92" s="78">
        <v>4042</v>
      </c>
      <c r="H92" s="78">
        <v>5477</v>
      </c>
      <c r="I92" s="78">
        <v>6488</v>
      </c>
      <c r="J92" s="78">
        <v>5261</v>
      </c>
      <c r="K92" s="78">
        <v>5956</v>
      </c>
      <c r="L92" s="78">
        <v>7101</v>
      </c>
      <c r="M92" s="78">
        <v>3470</v>
      </c>
      <c r="N92" s="78">
        <v>2322</v>
      </c>
      <c r="O92" s="109">
        <v>53600</v>
      </c>
    </row>
    <row r="93" spans="2:15" ht="18" customHeight="1" thickBot="1" x14ac:dyDescent="0.25">
      <c r="B93" s="46" t="s">
        <v>287</v>
      </c>
      <c r="C93" s="78">
        <v>100</v>
      </c>
      <c r="D93" s="78">
        <v>122</v>
      </c>
      <c r="E93" s="78">
        <v>154</v>
      </c>
      <c r="F93" s="78">
        <v>274</v>
      </c>
      <c r="G93" s="78">
        <v>214</v>
      </c>
      <c r="H93" s="78">
        <v>271</v>
      </c>
      <c r="I93" s="78">
        <v>712</v>
      </c>
      <c r="J93" s="78">
        <v>275</v>
      </c>
      <c r="K93" s="78">
        <v>299</v>
      </c>
      <c r="L93" s="78">
        <v>483</v>
      </c>
      <c r="M93" s="78">
        <v>143</v>
      </c>
      <c r="N93" s="78">
        <v>252</v>
      </c>
      <c r="O93" s="109">
        <v>3299</v>
      </c>
    </row>
    <row r="94" spans="2:15" ht="18" customHeight="1" thickBot="1" x14ac:dyDescent="0.25">
      <c r="B94" s="52" t="s">
        <v>288</v>
      </c>
      <c r="C94" s="105">
        <v>267348</v>
      </c>
      <c r="D94" s="105">
        <v>242610</v>
      </c>
      <c r="E94" s="105">
        <v>316191</v>
      </c>
      <c r="F94" s="105">
        <v>474753</v>
      </c>
      <c r="G94" s="105">
        <v>497101</v>
      </c>
      <c r="H94" s="105">
        <v>590250</v>
      </c>
      <c r="I94" s="105">
        <v>634123</v>
      </c>
      <c r="J94" s="105">
        <v>657174</v>
      </c>
      <c r="K94" s="105">
        <v>662097</v>
      </c>
      <c r="L94" s="105">
        <v>532764</v>
      </c>
      <c r="M94" s="105">
        <v>370071</v>
      </c>
      <c r="N94" s="105">
        <v>370727</v>
      </c>
      <c r="O94" s="81">
        <v>5615209</v>
      </c>
    </row>
    <row r="95" spans="2:15" ht="18" customHeight="1" thickBot="1" x14ac:dyDescent="0.25">
      <c r="B95" s="52" t="s">
        <v>289</v>
      </c>
      <c r="C95" s="105">
        <v>728931</v>
      </c>
      <c r="D95" s="105">
        <v>741919</v>
      </c>
      <c r="E95" s="105">
        <v>942738</v>
      </c>
      <c r="F95" s="105">
        <v>1812969</v>
      </c>
      <c r="G95" s="105">
        <v>2338632</v>
      </c>
      <c r="H95" s="105">
        <v>2802483</v>
      </c>
      <c r="I95" s="105">
        <v>3858197</v>
      </c>
      <c r="J95" s="105">
        <v>3508052</v>
      </c>
      <c r="K95" s="105">
        <v>2981287</v>
      </c>
      <c r="L95" s="105">
        <v>2738252</v>
      </c>
      <c r="M95" s="105">
        <v>1101860</v>
      </c>
      <c r="N95" s="105">
        <v>1076193</v>
      </c>
      <c r="O95" s="81">
        <v>24631513</v>
      </c>
    </row>
    <row r="96" spans="2:15" ht="18" customHeight="1" x14ac:dyDescent="0.2">
      <c r="B96" s="46" t="s">
        <v>35</v>
      </c>
      <c r="C96" s="78">
        <v>42883</v>
      </c>
      <c r="D96" s="78">
        <v>45989</v>
      </c>
      <c r="E96" s="78">
        <v>54722</v>
      </c>
      <c r="F96" s="78">
        <v>52398</v>
      </c>
      <c r="G96" s="78">
        <v>57885</v>
      </c>
      <c r="H96" s="78">
        <v>74136</v>
      </c>
      <c r="I96" s="78">
        <v>108322</v>
      </c>
      <c r="J96" s="78">
        <v>121114</v>
      </c>
      <c r="K96" s="78">
        <v>90211</v>
      </c>
      <c r="L96" s="78">
        <v>69605</v>
      </c>
      <c r="M96" s="78">
        <v>72020</v>
      </c>
      <c r="N96" s="78">
        <v>66160</v>
      </c>
      <c r="O96" s="109">
        <v>855445</v>
      </c>
    </row>
    <row r="97" spans="2:15" ht="18" customHeight="1" x14ac:dyDescent="0.2">
      <c r="B97" s="46" t="s">
        <v>47</v>
      </c>
      <c r="C97" s="78">
        <v>9782</v>
      </c>
      <c r="D97" s="78">
        <v>9259</v>
      </c>
      <c r="E97" s="78">
        <v>11145</v>
      </c>
      <c r="F97" s="78">
        <v>14506</v>
      </c>
      <c r="G97" s="78">
        <v>28746</v>
      </c>
      <c r="H97" s="78">
        <v>42523</v>
      </c>
      <c r="I97" s="78">
        <v>45969</v>
      </c>
      <c r="J97" s="78">
        <v>47833</v>
      </c>
      <c r="K97" s="78">
        <v>45020</v>
      </c>
      <c r="L97" s="78">
        <v>33576</v>
      </c>
      <c r="M97" s="78">
        <v>11455</v>
      </c>
      <c r="N97" s="78">
        <v>9402</v>
      </c>
      <c r="O97" s="109">
        <v>309216</v>
      </c>
    </row>
    <row r="98" spans="2:15" ht="18" customHeight="1" x14ac:dyDescent="0.2">
      <c r="B98" s="46" t="s">
        <v>80</v>
      </c>
      <c r="C98" s="78">
        <v>2002</v>
      </c>
      <c r="D98" s="78">
        <v>1910</v>
      </c>
      <c r="E98" s="78">
        <v>2202</v>
      </c>
      <c r="F98" s="78">
        <v>2411</v>
      </c>
      <c r="G98" s="78">
        <v>2299</v>
      </c>
      <c r="H98" s="78">
        <v>2559</v>
      </c>
      <c r="I98" s="78">
        <v>4456</v>
      </c>
      <c r="J98" s="78">
        <v>4275</v>
      </c>
      <c r="K98" s="78">
        <v>3171</v>
      </c>
      <c r="L98" s="78">
        <v>2503</v>
      </c>
      <c r="M98" s="78">
        <v>2110</v>
      </c>
      <c r="N98" s="78">
        <v>2052</v>
      </c>
      <c r="O98" s="109">
        <v>31950</v>
      </c>
    </row>
    <row r="99" spans="2:15" ht="18" customHeight="1" x14ac:dyDescent="0.2">
      <c r="B99" s="46" t="s">
        <v>109</v>
      </c>
      <c r="C99" s="78">
        <v>114835</v>
      </c>
      <c r="D99" s="78">
        <v>103820</v>
      </c>
      <c r="E99" s="78">
        <v>129754</v>
      </c>
      <c r="F99" s="78">
        <v>123544</v>
      </c>
      <c r="G99" s="78">
        <v>148120</v>
      </c>
      <c r="H99" s="78">
        <v>134504</v>
      </c>
      <c r="I99" s="78">
        <v>157322</v>
      </c>
      <c r="J99" s="78">
        <v>169259</v>
      </c>
      <c r="K99" s="78">
        <v>161097</v>
      </c>
      <c r="L99" s="78">
        <v>133770</v>
      </c>
      <c r="M99" s="78">
        <v>125236</v>
      </c>
      <c r="N99" s="78">
        <v>132716</v>
      </c>
      <c r="O99" s="109">
        <v>1633977</v>
      </c>
    </row>
    <row r="100" spans="2:15" ht="18" customHeight="1" x14ac:dyDescent="0.2">
      <c r="B100" s="46" t="s">
        <v>136</v>
      </c>
      <c r="C100" s="78">
        <v>30847</v>
      </c>
      <c r="D100" s="78">
        <v>28898</v>
      </c>
      <c r="E100" s="78">
        <v>31835</v>
      </c>
      <c r="F100" s="78">
        <v>34837</v>
      </c>
      <c r="G100" s="78">
        <v>79573</v>
      </c>
      <c r="H100" s="78">
        <v>129389</v>
      </c>
      <c r="I100" s="78">
        <v>144923</v>
      </c>
      <c r="J100" s="78">
        <v>136017</v>
      </c>
      <c r="K100" s="78">
        <v>89824</v>
      </c>
      <c r="L100" s="78">
        <v>54937</v>
      </c>
      <c r="M100" s="78">
        <v>34403</v>
      </c>
      <c r="N100" s="78">
        <v>30836</v>
      </c>
      <c r="O100" s="109">
        <v>826319</v>
      </c>
    </row>
    <row r="101" spans="2:15" ht="18" customHeight="1" x14ac:dyDescent="0.2">
      <c r="B101" s="46" t="s">
        <v>138</v>
      </c>
      <c r="C101" s="78">
        <v>11588</v>
      </c>
      <c r="D101" s="78">
        <v>9963</v>
      </c>
      <c r="E101" s="78">
        <v>10028</v>
      </c>
      <c r="F101" s="78">
        <v>13402</v>
      </c>
      <c r="G101" s="78">
        <v>17382</v>
      </c>
      <c r="H101" s="78">
        <v>17431</v>
      </c>
      <c r="I101" s="78">
        <v>15896</v>
      </c>
      <c r="J101" s="78">
        <v>16299</v>
      </c>
      <c r="K101" s="78">
        <v>17440</v>
      </c>
      <c r="L101" s="78">
        <v>15560</v>
      </c>
      <c r="M101" s="78">
        <v>12718</v>
      </c>
      <c r="N101" s="78">
        <v>12199</v>
      </c>
      <c r="O101" s="109">
        <v>169906</v>
      </c>
    </row>
    <row r="102" spans="2:15" ht="18" customHeight="1" x14ac:dyDescent="0.2">
      <c r="B102" s="46" t="s">
        <v>178</v>
      </c>
      <c r="C102" s="78">
        <v>7925</v>
      </c>
      <c r="D102" s="78">
        <v>7092</v>
      </c>
      <c r="E102" s="78">
        <v>8414</v>
      </c>
      <c r="F102" s="78">
        <v>10377</v>
      </c>
      <c r="G102" s="78">
        <v>23950</v>
      </c>
      <c r="H102" s="78">
        <v>46684</v>
      </c>
      <c r="I102" s="78">
        <v>49970</v>
      </c>
      <c r="J102" s="78">
        <v>50086</v>
      </c>
      <c r="K102" s="78">
        <v>42995</v>
      </c>
      <c r="L102" s="78">
        <v>21701</v>
      </c>
      <c r="M102" s="78">
        <v>9602</v>
      </c>
      <c r="N102" s="78">
        <v>9581</v>
      </c>
      <c r="O102" s="109">
        <v>288377</v>
      </c>
    </row>
    <row r="103" spans="2:15" ht="18" customHeight="1" x14ac:dyDescent="0.2">
      <c r="B103" s="46" t="s">
        <v>193</v>
      </c>
      <c r="C103" s="78">
        <v>29256</v>
      </c>
      <c r="D103" s="78">
        <v>27940</v>
      </c>
      <c r="E103" s="78">
        <v>29942</v>
      </c>
      <c r="F103" s="78">
        <v>29769</v>
      </c>
      <c r="G103" s="78">
        <v>38246</v>
      </c>
      <c r="H103" s="78">
        <v>50349</v>
      </c>
      <c r="I103" s="78">
        <v>54953</v>
      </c>
      <c r="J103" s="78">
        <v>56873</v>
      </c>
      <c r="K103" s="78">
        <v>44882</v>
      </c>
      <c r="L103" s="78">
        <v>39622</v>
      </c>
      <c r="M103" s="78">
        <v>35464</v>
      </c>
      <c r="N103" s="78">
        <v>33348</v>
      </c>
      <c r="O103" s="109">
        <v>470644</v>
      </c>
    </row>
    <row r="104" spans="2:15" ht="18" customHeight="1" x14ac:dyDescent="0.2">
      <c r="B104" s="46" t="s">
        <v>207</v>
      </c>
      <c r="C104" s="78">
        <v>279818</v>
      </c>
      <c r="D104" s="78">
        <v>227695</v>
      </c>
      <c r="E104" s="78">
        <v>265168</v>
      </c>
      <c r="F104" s="78">
        <v>380660</v>
      </c>
      <c r="G104" s="78">
        <v>640844</v>
      </c>
      <c r="H104" s="78">
        <v>819844</v>
      </c>
      <c r="I104" s="78">
        <v>884585</v>
      </c>
      <c r="J104" s="78">
        <v>852640</v>
      </c>
      <c r="K104" s="78">
        <v>814751</v>
      </c>
      <c r="L104" s="78">
        <v>672198</v>
      </c>
      <c r="M104" s="78">
        <v>245493</v>
      </c>
      <c r="N104" s="78">
        <v>229979</v>
      </c>
      <c r="O104" s="109">
        <v>6313675</v>
      </c>
    </row>
    <row r="105" spans="2:15" ht="18" customHeight="1" x14ac:dyDescent="0.2">
      <c r="B105" s="46" t="s">
        <v>234</v>
      </c>
      <c r="C105" s="78">
        <v>6843</v>
      </c>
      <c r="D105" s="78">
        <v>6085</v>
      </c>
      <c r="E105" s="78">
        <v>6161</v>
      </c>
      <c r="F105" s="78">
        <v>4934</v>
      </c>
      <c r="G105" s="78">
        <v>6412</v>
      </c>
      <c r="H105" s="78">
        <v>6677</v>
      </c>
      <c r="I105" s="78">
        <v>6980</v>
      </c>
      <c r="J105" s="78">
        <v>7090</v>
      </c>
      <c r="K105" s="78">
        <v>7206</v>
      </c>
      <c r="L105" s="78">
        <v>6979</v>
      </c>
      <c r="M105" s="78">
        <v>6175</v>
      </c>
      <c r="N105" s="78">
        <v>6643</v>
      </c>
      <c r="O105" s="109">
        <v>78185</v>
      </c>
    </row>
    <row r="106" spans="2:15" ht="18" customHeight="1" x14ac:dyDescent="0.2">
      <c r="B106" s="46" t="s">
        <v>245</v>
      </c>
      <c r="C106" s="78">
        <v>5784</v>
      </c>
      <c r="D106" s="78">
        <v>6106</v>
      </c>
      <c r="E106" s="78">
        <v>7168</v>
      </c>
      <c r="F106" s="78">
        <v>7411</v>
      </c>
      <c r="G106" s="78">
        <v>8907</v>
      </c>
      <c r="H106" s="78">
        <v>10613</v>
      </c>
      <c r="I106" s="78">
        <v>13487</v>
      </c>
      <c r="J106" s="78">
        <v>13791</v>
      </c>
      <c r="K106" s="78">
        <v>14724</v>
      </c>
      <c r="L106" s="78">
        <v>12691</v>
      </c>
      <c r="M106" s="78">
        <v>9868</v>
      </c>
      <c r="N106" s="78">
        <v>10378</v>
      </c>
      <c r="O106" s="109">
        <v>120928</v>
      </c>
    </row>
    <row r="107" spans="2:15" ht="18" customHeight="1" thickBot="1" x14ac:dyDescent="0.25">
      <c r="B107" s="46" t="s">
        <v>247</v>
      </c>
      <c r="C107" s="78">
        <v>41867</v>
      </c>
      <c r="D107" s="78">
        <v>39843</v>
      </c>
      <c r="E107" s="78">
        <v>44329</v>
      </c>
      <c r="F107" s="78">
        <v>51225</v>
      </c>
      <c r="G107" s="78">
        <v>73614</v>
      </c>
      <c r="H107" s="78">
        <v>95435</v>
      </c>
      <c r="I107" s="78">
        <v>110037</v>
      </c>
      <c r="J107" s="78">
        <v>104928</v>
      </c>
      <c r="K107" s="78">
        <v>101354</v>
      </c>
      <c r="L107" s="78">
        <v>86400</v>
      </c>
      <c r="M107" s="78">
        <v>45674</v>
      </c>
      <c r="N107" s="78">
        <v>45023</v>
      </c>
      <c r="O107" s="109">
        <v>839729</v>
      </c>
    </row>
    <row r="108" spans="2:15" ht="18" customHeight="1" thickBot="1" x14ac:dyDescent="0.25">
      <c r="B108" s="52" t="s">
        <v>290</v>
      </c>
      <c r="C108" s="105">
        <v>583430</v>
      </c>
      <c r="D108" s="105">
        <v>514600</v>
      </c>
      <c r="E108" s="105">
        <v>600868</v>
      </c>
      <c r="F108" s="105">
        <v>725474</v>
      </c>
      <c r="G108" s="105">
        <v>1125978</v>
      </c>
      <c r="H108" s="105">
        <v>1430144</v>
      </c>
      <c r="I108" s="105">
        <v>1596900</v>
      </c>
      <c r="J108" s="105">
        <v>1580205</v>
      </c>
      <c r="K108" s="105">
        <v>1432675</v>
      </c>
      <c r="L108" s="105">
        <v>1149542</v>
      </c>
      <c r="M108" s="105">
        <v>610218</v>
      </c>
      <c r="N108" s="105">
        <v>588317</v>
      </c>
      <c r="O108" s="81">
        <v>11938351</v>
      </c>
    </row>
    <row r="109" spans="2:15" ht="18" customHeight="1" x14ac:dyDescent="0.2">
      <c r="B109" s="46" t="s">
        <v>23</v>
      </c>
      <c r="C109" s="78">
        <v>47486</v>
      </c>
      <c r="D109" s="78">
        <v>37255</v>
      </c>
      <c r="E109" s="78">
        <v>63974</v>
      </c>
      <c r="F109" s="78">
        <v>84852</v>
      </c>
      <c r="G109" s="78">
        <v>138656</v>
      </c>
      <c r="H109" s="78">
        <v>170053</v>
      </c>
      <c r="I109" s="78">
        <v>172400</v>
      </c>
      <c r="J109" s="78">
        <v>137301</v>
      </c>
      <c r="K109" s="78">
        <v>148367</v>
      </c>
      <c r="L109" s="78">
        <v>186487</v>
      </c>
      <c r="M109" s="78">
        <v>90996</v>
      </c>
      <c r="N109" s="78">
        <v>56510</v>
      </c>
      <c r="O109" s="109">
        <v>1334337</v>
      </c>
    </row>
    <row r="110" spans="2:15" ht="18" customHeight="1" x14ac:dyDescent="0.2">
      <c r="B110" s="46" t="s">
        <v>33</v>
      </c>
      <c r="C110" s="78">
        <v>5674</v>
      </c>
      <c r="D110" s="78">
        <v>4766</v>
      </c>
      <c r="E110" s="78">
        <v>5937</v>
      </c>
      <c r="F110" s="78">
        <v>11445</v>
      </c>
      <c r="G110" s="78">
        <v>19166</v>
      </c>
      <c r="H110" s="78">
        <v>23283</v>
      </c>
      <c r="I110" s="78">
        <v>28565</v>
      </c>
      <c r="J110" s="78">
        <v>26933</v>
      </c>
      <c r="K110" s="78">
        <v>28729</v>
      </c>
      <c r="L110" s="78">
        <v>21429</v>
      </c>
      <c r="M110" s="78">
        <v>9684</v>
      </c>
      <c r="N110" s="78">
        <v>7159</v>
      </c>
      <c r="O110" s="109">
        <v>192770</v>
      </c>
    </row>
    <row r="111" spans="2:15" ht="18" customHeight="1" x14ac:dyDescent="0.2">
      <c r="B111" s="46" t="s">
        <v>107</v>
      </c>
      <c r="C111" s="78">
        <v>14075</v>
      </c>
      <c r="D111" s="78">
        <v>12659</v>
      </c>
      <c r="E111" s="78">
        <v>7974</v>
      </c>
      <c r="F111" s="78">
        <v>9600</v>
      </c>
      <c r="G111" s="78">
        <v>12104</v>
      </c>
      <c r="H111" s="78">
        <v>13758</v>
      </c>
      <c r="I111" s="78">
        <v>15344</v>
      </c>
      <c r="J111" s="78">
        <v>13495</v>
      </c>
      <c r="K111" s="78">
        <v>17492</v>
      </c>
      <c r="L111" s="78">
        <v>17827</v>
      </c>
      <c r="M111" s="78">
        <v>12422</v>
      </c>
      <c r="N111" s="78">
        <v>12289</v>
      </c>
      <c r="O111" s="109">
        <v>159039</v>
      </c>
    </row>
    <row r="112" spans="2:15" ht="18" customHeight="1" x14ac:dyDescent="0.2">
      <c r="B112" s="46" t="s">
        <v>129</v>
      </c>
      <c r="C112" s="78">
        <v>3113</v>
      </c>
      <c r="D112" s="78">
        <v>4494</v>
      </c>
      <c r="E112" s="78">
        <v>4431</v>
      </c>
      <c r="F112" s="78">
        <v>4640</v>
      </c>
      <c r="G112" s="78">
        <v>5756</v>
      </c>
      <c r="H112" s="78">
        <v>5972</v>
      </c>
      <c r="I112" s="78">
        <v>8012</v>
      </c>
      <c r="J112" s="78">
        <v>8867</v>
      </c>
      <c r="K112" s="78">
        <v>9298</v>
      </c>
      <c r="L112" s="78">
        <v>7849</v>
      </c>
      <c r="M112" s="78">
        <v>8679</v>
      </c>
      <c r="N112" s="78">
        <v>7671</v>
      </c>
      <c r="O112" s="109">
        <v>78782</v>
      </c>
    </row>
    <row r="113" spans="2:15" ht="18" customHeight="1" x14ac:dyDescent="0.2">
      <c r="B113" s="46" t="s">
        <v>132</v>
      </c>
      <c r="C113" s="78">
        <v>9432</v>
      </c>
      <c r="D113" s="78">
        <v>8630</v>
      </c>
      <c r="E113" s="78">
        <v>12996</v>
      </c>
      <c r="F113" s="78">
        <v>15732</v>
      </c>
      <c r="G113" s="78">
        <v>23865</v>
      </c>
      <c r="H113" s="78">
        <v>24669</v>
      </c>
      <c r="I113" s="78">
        <v>28976</v>
      </c>
      <c r="J113" s="78">
        <v>28149</v>
      </c>
      <c r="K113" s="78">
        <v>30431</v>
      </c>
      <c r="L113" s="78">
        <v>35099</v>
      </c>
      <c r="M113" s="78">
        <v>19143</v>
      </c>
      <c r="N113" s="78">
        <v>11746</v>
      </c>
      <c r="O113" s="109">
        <v>248868</v>
      </c>
    </row>
    <row r="114" spans="2:15" ht="18" customHeight="1" x14ac:dyDescent="0.2">
      <c r="B114" s="46" t="s">
        <v>172</v>
      </c>
      <c r="C114" s="78">
        <v>5069</v>
      </c>
      <c r="D114" s="78">
        <v>4877</v>
      </c>
      <c r="E114" s="78">
        <v>9444</v>
      </c>
      <c r="F114" s="78">
        <v>11854</v>
      </c>
      <c r="G114" s="78">
        <v>15504</v>
      </c>
      <c r="H114" s="78">
        <v>15155</v>
      </c>
      <c r="I114" s="78">
        <v>17143</v>
      </c>
      <c r="J114" s="78">
        <v>13377</v>
      </c>
      <c r="K114" s="78">
        <v>20726</v>
      </c>
      <c r="L114" s="78">
        <v>22737</v>
      </c>
      <c r="M114" s="78">
        <v>11442</v>
      </c>
      <c r="N114" s="78">
        <v>7827</v>
      </c>
      <c r="O114" s="109">
        <v>155155</v>
      </c>
    </row>
    <row r="115" spans="2:15" ht="18" customHeight="1" thickBot="1" x14ac:dyDescent="0.25">
      <c r="B115" s="46" t="s">
        <v>259</v>
      </c>
      <c r="C115" s="78">
        <v>854</v>
      </c>
      <c r="D115" s="78">
        <v>628</v>
      </c>
      <c r="E115" s="78">
        <v>902</v>
      </c>
      <c r="F115" s="78">
        <v>2153</v>
      </c>
      <c r="G115" s="78">
        <v>2826</v>
      </c>
      <c r="H115" s="78">
        <v>3905</v>
      </c>
      <c r="I115" s="78">
        <v>4321</v>
      </c>
      <c r="J115" s="78">
        <v>4353</v>
      </c>
      <c r="K115" s="78">
        <v>4871</v>
      </c>
      <c r="L115" s="78">
        <v>3514</v>
      </c>
      <c r="M115" s="78">
        <v>1565</v>
      </c>
      <c r="N115" s="78">
        <v>1115</v>
      </c>
      <c r="O115" s="109">
        <v>31007</v>
      </c>
    </row>
    <row r="116" spans="2:15" ht="18" customHeight="1" thickBot="1" x14ac:dyDescent="0.25">
      <c r="B116" s="104" t="s">
        <v>291</v>
      </c>
      <c r="C116" s="105">
        <v>85703</v>
      </c>
      <c r="D116" s="105">
        <v>73309</v>
      </c>
      <c r="E116" s="105">
        <v>105658</v>
      </c>
      <c r="F116" s="105">
        <v>140276</v>
      </c>
      <c r="G116" s="105">
        <v>217877</v>
      </c>
      <c r="H116" s="105">
        <v>256795</v>
      </c>
      <c r="I116" s="105">
        <v>274761</v>
      </c>
      <c r="J116" s="105">
        <v>232475</v>
      </c>
      <c r="K116" s="105">
        <v>259914</v>
      </c>
      <c r="L116" s="105">
        <v>294942</v>
      </c>
      <c r="M116" s="105">
        <v>153931</v>
      </c>
      <c r="N116" s="105">
        <v>104317</v>
      </c>
      <c r="O116" s="81">
        <v>2199958</v>
      </c>
    </row>
    <row r="117" spans="2:15" ht="18" customHeight="1" thickBot="1" x14ac:dyDescent="0.25">
      <c r="B117" s="104" t="s">
        <v>292</v>
      </c>
      <c r="C117" s="105">
        <v>4290</v>
      </c>
      <c r="D117" s="105">
        <v>3858</v>
      </c>
      <c r="E117" s="105">
        <v>3348</v>
      </c>
      <c r="F117" s="105">
        <v>4936</v>
      </c>
      <c r="G117" s="105">
        <v>6205</v>
      </c>
      <c r="H117" s="105">
        <v>8480</v>
      </c>
      <c r="I117" s="105">
        <v>11027</v>
      </c>
      <c r="J117" s="105">
        <v>9050</v>
      </c>
      <c r="K117" s="105">
        <v>7581</v>
      </c>
      <c r="L117" s="105">
        <v>5378</v>
      </c>
      <c r="M117" s="105">
        <v>2113</v>
      </c>
      <c r="N117" s="105">
        <v>2642</v>
      </c>
      <c r="O117" s="81">
        <v>68908</v>
      </c>
    </row>
    <row r="118" spans="2:15" ht="18" customHeight="1" thickBot="1" x14ac:dyDescent="0.25">
      <c r="B118" s="104" t="s">
        <v>293</v>
      </c>
      <c r="C118" s="105">
        <v>43</v>
      </c>
      <c r="D118" s="105">
        <v>44</v>
      </c>
      <c r="E118" s="105">
        <v>54</v>
      </c>
      <c r="F118" s="105">
        <v>65</v>
      </c>
      <c r="G118" s="105">
        <v>88</v>
      </c>
      <c r="H118" s="105">
        <v>99</v>
      </c>
      <c r="I118" s="105">
        <v>126</v>
      </c>
      <c r="J118" s="105">
        <v>127</v>
      </c>
      <c r="K118" s="105">
        <v>110</v>
      </c>
      <c r="L118" s="105">
        <v>103</v>
      </c>
      <c r="M118" s="105">
        <v>79</v>
      </c>
      <c r="N118" s="105">
        <v>69</v>
      </c>
      <c r="O118" s="81">
        <v>1007</v>
      </c>
    </row>
    <row r="119" spans="2:15" ht="18" customHeight="1" thickBot="1" x14ac:dyDescent="0.25">
      <c r="B119" s="104" t="s">
        <v>294</v>
      </c>
      <c r="C119" s="105">
        <v>2005967</v>
      </c>
      <c r="D119" s="105">
        <v>1870414</v>
      </c>
      <c r="E119" s="105">
        <v>2335728</v>
      </c>
      <c r="F119" s="105">
        <v>3321824</v>
      </c>
      <c r="G119" s="105">
        <v>4500242</v>
      </c>
      <c r="H119" s="105">
        <v>5584021</v>
      </c>
      <c r="I119" s="105">
        <v>7148044</v>
      </c>
      <c r="J119" s="105">
        <v>6660700</v>
      </c>
      <c r="K119" s="105">
        <v>5786027</v>
      </c>
      <c r="L119" s="105">
        <v>4987112</v>
      </c>
      <c r="M119" s="105">
        <v>2525345</v>
      </c>
      <c r="N119" s="105">
        <v>2483756</v>
      </c>
      <c r="O119" s="81">
        <v>49209180</v>
      </c>
    </row>
    <row r="120" spans="2:15" ht="18" customHeight="1" x14ac:dyDescent="0.2"/>
  </sheetData>
  <mergeCells count="4">
    <mergeCell ref="B1:O1"/>
    <mergeCell ref="C2:O2"/>
    <mergeCell ref="B62:O62"/>
    <mergeCell ref="C63:O63"/>
  </mergeCells>
  <printOptions horizontalCentered="1"/>
  <pageMargins left="0.55118110236220474" right="0.55118110236220474" top="0.98425196850393704" bottom="0.51181102362204722" header="0.51181102362204722" footer="0.51181102362204722"/>
  <pageSetup scale="6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B1:HX114"/>
  <sheetViews>
    <sheetView view="pageBreakPreview" zoomScaleNormal="100" zoomScaleSheetLayoutView="100" workbookViewId="0"/>
  </sheetViews>
  <sheetFormatPr defaultColWidth="9.140625" defaultRowHeight="12" x14ac:dyDescent="0.2"/>
  <cols>
    <col min="1" max="1" width="9.140625" style="255"/>
    <col min="2" max="2" width="24.7109375" style="255" customWidth="1"/>
    <col min="3" max="3" width="9.28515625" style="255" customWidth="1"/>
    <col min="4" max="4" width="6.42578125" style="255" customWidth="1"/>
    <col min="5" max="5" width="5.7109375" style="255" customWidth="1"/>
    <col min="6" max="6" width="6.140625" style="255" customWidth="1"/>
    <col min="7" max="7" width="7.85546875" style="255" customWidth="1"/>
    <col min="8" max="8" width="9" style="255" customWidth="1"/>
    <col min="9" max="9" width="8.28515625" style="255" customWidth="1"/>
    <col min="10" max="10" width="7" style="255" customWidth="1"/>
    <col min="11" max="11" width="7.85546875" style="255" customWidth="1"/>
    <col min="12" max="12" width="8" style="255" customWidth="1"/>
    <col min="13" max="13" width="9" style="255" customWidth="1"/>
    <col min="14" max="14" width="9.85546875" style="255" customWidth="1"/>
    <col min="15" max="15" width="8.42578125" style="255" customWidth="1"/>
    <col min="16" max="17" width="6.85546875" style="255" customWidth="1"/>
    <col min="18" max="18" width="6.28515625" style="255" customWidth="1"/>
    <col min="19" max="19" width="6.85546875" style="255" customWidth="1"/>
    <col min="20" max="20" width="5.7109375" style="255" customWidth="1"/>
    <col min="21" max="21" width="6.42578125" style="255" customWidth="1"/>
    <col min="22" max="22" width="9.85546875" style="255" customWidth="1"/>
    <col min="23" max="23" width="6.85546875" style="255" customWidth="1"/>
    <col min="24" max="24" width="7.5703125" style="255" customWidth="1"/>
    <col min="25" max="25" width="7.85546875" style="255" customWidth="1"/>
    <col min="26" max="26" width="8.85546875" style="255" customWidth="1"/>
    <col min="27" max="27" width="5.140625" style="255" customWidth="1"/>
    <col min="28" max="28" width="8.85546875" style="255" customWidth="1"/>
    <col min="29" max="30" width="8.5703125" style="255" customWidth="1"/>
    <col min="31" max="31" width="8.28515625" style="255" customWidth="1"/>
    <col min="32" max="32" width="7.85546875" style="255" customWidth="1"/>
    <col min="33" max="33" width="6.85546875" style="255" customWidth="1"/>
    <col min="34" max="34" width="5.85546875" style="255" customWidth="1"/>
    <col min="35" max="35" width="8.85546875" style="255" customWidth="1"/>
    <col min="36" max="36" width="6.7109375" style="255" customWidth="1"/>
    <col min="37" max="37" width="8.140625" style="255" customWidth="1"/>
    <col min="38" max="38" width="7" style="255" customWidth="1"/>
    <col min="39" max="39" width="7.42578125" style="255" customWidth="1"/>
    <col min="40" max="40" width="7" style="255" customWidth="1"/>
    <col min="41" max="41" width="7.28515625" style="255" customWidth="1"/>
    <col min="42" max="42" width="7" style="255" customWidth="1"/>
    <col min="43" max="43" width="8.5703125" style="255" customWidth="1"/>
    <col min="44" max="44" width="6.5703125" style="255" customWidth="1"/>
    <col min="45" max="45" width="8.28515625" style="255" customWidth="1"/>
    <col min="46" max="46" width="7" style="255" customWidth="1"/>
    <col min="47" max="47" width="6.85546875" style="255" customWidth="1"/>
    <col min="48" max="49" width="9.140625" style="255" customWidth="1"/>
    <col min="50" max="50" width="9.7109375" style="255" customWidth="1"/>
    <col min="51" max="51" width="5.42578125" style="255" customWidth="1"/>
    <col min="52" max="52" width="8.28515625" style="255" customWidth="1"/>
    <col min="53" max="53" width="9.7109375" style="255" customWidth="1"/>
    <col min="54" max="54" width="8.28515625" style="255" customWidth="1"/>
    <col min="55" max="55" width="9.5703125" style="255" customWidth="1"/>
    <col min="56" max="56" width="6.85546875" style="255" customWidth="1"/>
    <col min="57" max="57" width="9.28515625" style="255" customWidth="1"/>
    <col min="58" max="58" width="10.28515625" style="255" customWidth="1"/>
    <col min="59" max="59" width="7.85546875" style="255" customWidth="1"/>
    <col min="60" max="60" width="8.85546875" style="255" customWidth="1"/>
    <col min="61" max="61" width="8" style="255" customWidth="1"/>
    <col min="62" max="62" width="9.140625" style="255" customWidth="1"/>
    <col min="63" max="63" width="8.140625" style="255" customWidth="1"/>
    <col min="64" max="64" width="8.85546875" style="255" customWidth="1"/>
    <col min="65" max="65" width="7" style="255" customWidth="1"/>
    <col min="66" max="66" width="8" style="255" customWidth="1"/>
    <col min="67" max="67" width="7.85546875" style="255" customWidth="1"/>
    <col min="68" max="68" width="8.5703125" style="255" customWidth="1"/>
    <col min="69" max="69" width="9" style="255" customWidth="1"/>
    <col min="70" max="70" width="8.85546875" style="255" customWidth="1"/>
    <col min="71" max="71" width="9" style="255" customWidth="1"/>
    <col min="72" max="72" width="7.28515625" style="255" customWidth="1"/>
    <col min="73" max="73" width="8.7109375" style="255" customWidth="1"/>
    <col min="74" max="74" width="7.85546875" style="255" customWidth="1"/>
    <col min="75" max="75" width="7.28515625" style="255" customWidth="1"/>
    <col min="76" max="76" width="7.85546875" style="255" customWidth="1"/>
    <col min="77" max="77" width="6.42578125" style="255" customWidth="1"/>
    <col min="78" max="78" width="8.28515625" style="255" customWidth="1"/>
    <col min="79" max="79" width="7" style="255" customWidth="1"/>
    <col min="80" max="80" width="10.140625" style="255" customWidth="1"/>
    <col min="81" max="82" width="6.7109375" style="255" customWidth="1"/>
    <col min="83" max="83" width="7.28515625" style="255" customWidth="1"/>
    <col min="84" max="84" width="9.140625" style="255" customWidth="1"/>
    <col min="85" max="85" width="7.140625" style="255" customWidth="1"/>
    <col min="86" max="86" width="8" style="255" customWidth="1"/>
    <col min="87" max="87" width="6.42578125" style="255" customWidth="1"/>
    <col min="88" max="88" width="8.7109375" style="255" customWidth="1"/>
    <col min="89" max="89" width="9.28515625" style="255" customWidth="1"/>
    <col min="90" max="90" width="6.42578125" style="255" customWidth="1"/>
    <col min="91" max="91" width="6.85546875" style="255" customWidth="1"/>
    <col min="92" max="92" width="7" style="255" customWidth="1"/>
    <col min="93" max="93" width="7.85546875" style="255" customWidth="1"/>
    <col min="94" max="94" width="9.85546875" style="255" customWidth="1"/>
    <col min="95" max="95" width="7.85546875" style="255" customWidth="1"/>
    <col min="96" max="96" width="7.5703125" style="255" customWidth="1"/>
    <col min="97" max="97" width="6.85546875" style="255" customWidth="1"/>
    <col min="98" max="98" width="10.7109375" style="255" customWidth="1"/>
    <col min="99" max="99" width="9.85546875" style="255" customWidth="1"/>
    <col min="100" max="100" width="7.85546875" style="255" customWidth="1"/>
    <col min="101" max="101" width="8.85546875" style="255" customWidth="1"/>
    <col min="102" max="102" width="6.85546875" style="255" customWidth="1"/>
    <col min="103" max="103" width="10.5703125" style="255" customWidth="1"/>
    <col min="104" max="104" width="7.28515625" style="255" customWidth="1"/>
    <col min="105" max="105" width="10.42578125" style="255" customWidth="1"/>
    <col min="106" max="106" width="8.42578125" style="255" customWidth="1"/>
    <col min="107" max="107" width="6.5703125" style="255" customWidth="1"/>
    <col min="108" max="108" width="9.85546875" style="255" customWidth="1"/>
    <col min="109" max="109" width="8.85546875" style="255" customWidth="1"/>
    <col min="110" max="110" width="6" style="255" customWidth="1"/>
    <col min="111" max="112" width="6.85546875" style="255" customWidth="1"/>
    <col min="113" max="113" width="5.85546875" style="255" customWidth="1"/>
    <col min="114" max="114" width="10" style="255" customWidth="1"/>
    <col min="115" max="115" width="4.85546875" style="255" customWidth="1"/>
    <col min="116" max="116" width="8.85546875" style="255" customWidth="1"/>
    <col min="117" max="117" width="14.85546875" style="255" customWidth="1"/>
    <col min="118" max="118" width="8.28515625" style="255" customWidth="1"/>
    <col min="119" max="119" width="10.28515625" style="255" customWidth="1"/>
    <col min="120" max="120" width="6.85546875" style="255" customWidth="1"/>
    <col min="121" max="121" width="10.28515625" style="255" customWidth="1"/>
    <col min="122" max="122" width="7.85546875" style="255" customWidth="1"/>
    <col min="123" max="123" width="9.42578125" style="255" customWidth="1"/>
    <col min="124" max="124" width="9" style="255" customWidth="1"/>
    <col min="125" max="125" width="7" style="255" customWidth="1"/>
    <col min="126" max="126" width="7.28515625" style="255" customWidth="1"/>
    <col min="127" max="127" width="6.42578125" style="255" customWidth="1"/>
    <col min="128" max="129" width="7" style="255" customWidth="1"/>
    <col min="130" max="130" width="8" style="255" customWidth="1"/>
    <col min="131" max="131" width="7.85546875" style="255" customWidth="1"/>
    <col min="132" max="132" width="7.42578125" style="255" customWidth="1"/>
    <col min="133" max="133" width="8.28515625" style="255" customWidth="1"/>
    <col min="134" max="134" width="7.28515625" style="255" customWidth="1"/>
    <col min="135" max="136" width="7" style="255" customWidth="1"/>
    <col min="137" max="137" width="6.85546875" style="255" customWidth="1"/>
    <col min="138" max="138" width="10.140625" style="255" customWidth="1"/>
    <col min="139" max="139" width="7.42578125" style="255" customWidth="1"/>
    <col min="140" max="140" width="7.85546875" style="255" customWidth="1"/>
    <col min="141" max="141" width="8.5703125" style="255" customWidth="1"/>
    <col min="142" max="142" width="7" style="255" customWidth="1"/>
    <col min="143" max="143" width="7.85546875" style="255" customWidth="1"/>
    <col min="144" max="144" width="8.85546875" style="255" customWidth="1"/>
    <col min="145" max="145" width="6.85546875" style="255" customWidth="1"/>
    <col min="146" max="146" width="8.85546875" style="255" customWidth="1"/>
    <col min="147" max="147" width="7.85546875" style="255" customWidth="1"/>
    <col min="148" max="148" width="9.42578125" style="255" customWidth="1"/>
    <col min="149" max="149" width="7.85546875" style="255" customWidth="1"/>
    <col min="150" max="150" width="8.7109375" style="255" customWidth="1"/>
    <col min="151" max="151" width="5.85546875" style="255" customWidth="1"/>
    <col min="152" max="152" width="6.140625" style="255" customWidth="1"/>
    <col min="153" max="154" width="8.7109375" style="255" customWidth="1"/>
    <col min="155" max="155" width="6" style="255" customWidth="1"/>
    <col min="156" max="156" width="8.85546875" style="255" customWidth="1"/>
    <col min="157" max="157" width="7" style="255" customWidth="1"/>
    <col min="158" max="158" width="10" style="255" customWidth="1"/>
    <col min="159" max="159" width="7.28515625" style="255" customWidth="1"/>
    <col min="160" max="160" width="5.42578125" style="255" customWidth="1"/>
    <col min="161" max="161" width="6.85546875" style="255" customWidth="1"/>
    <col min="162" max="163" width="7" style="255" customWidth="1"/>
    <col min="164" max="166" width="7.7109375" style="255" customWidth="1"/>
    <col min="167" max="167" width="6.42578125" style="255" customWidth="1"/>
    <col min="168" max="168" width="8" style="255" customWidth="1"/>
    <col min="169" max="169" width="7.7109375" style="255" customWidth="1"/>
    <col min="170" max="170" width="4.85546875" style="255" customWidth="1"/>
    <col min="171" max="171" width="8.5703125" style="255" customWidth="1"/>
    <col min="172" max="172" width="8.28515625" style="255" customWidth="1"/>
    <col min="173" max="176" width="7" style="255" customWidth="1"/>
    <col min="177" max="177" width="7.85546875" style="255" customWidth="1"/>
    <col min="178" max="178" width="9" style="255" customWidth="1"/>
    <col min="179" max="179" width="7.85546875" style="255" customWidth="1"/>
    <col min="180" max="180" width="5.85546875" style="255" customWidth="1"/>
    <col min="181" max="181" width="8.140625" style="255" customWidth="1"/>
    <col min="182" max="183" width="8.5703125" style="255" customWidth="1"/>
    <col min="184" max="184" width="8.140625" style="255" customWidth="1"/>
    <col min="185" max="185" width="5.5703125" style="255" customWidth="1"/>
    <col min="186" max="186" width="7.85546875" style="255" customWidth="1"/>
    <col min="187" max="187" width="7.5703125" style="255" customWidth="1"/>
    <col min="188" max="188" width="7.85546875" style="255" customWidth="1"/>
    <col min="189" max="189" width="7" style="255" customWidth="1"/>
    <col min="190" max="190" width="7.85546875" style="255" customWidth="1"/>
    <col min="191" max="191" width="7" style="255" customWidth="1"/>
    <col min="192" max="192" width="7.42578125" style="255" customWidth="1"/>
    <col min="193" max="193" width="7.85546875" style="255" customWidth="1"/>
    <col min="194" max="194" width="8.140625" style="255" customWidth="1"/>
    <col min="195" max="195" width="5.85546875" style="255" customWidth="1"/>
    <col min="196" max="196" width="8.5703125" style="255" customWidth="1"/>
    <col min="197" max="197" width="9.140625" style="255" customWidth="1"/>
    <col min="198" max="198" width="9.7109375" style="255" customWidth="1"/>
    <col min="199" max="199" width="9.42578125" style="255" customWidth="1"/>
    <col min="200" max="200" width="12" style="255" bestFit="1" customWidth="1"/>
    <col min="201" max="201" width="7.85546875" style="255" bestFit="1" customWidth="1"/>
    <col min="202" max="235" width="9.140625" style="255" customWidth="1"/>
    <col min="236" max="236" width="9.140625" style="255"/>
    <col min="237" max="237" width="25.140625" style="255" bestFit="1" customWidth="1"/>
    <col min="238" max="16384" width="9.140625" style="255"/>
  </cols>
  <sheetData>
    <row r="1" spans="2:232" ht="30" customHeight="1" thickBot="1" x14ac:dyDescent="0.25">
      <c r="B1" s="460" t="s">
        <v>622</v>
      </c>
      <c r="C1" s="460"/>
      <c r="D1" s="460"/>
      <c r="E1" s="460"/>
      <c r="F1" s="460"/>
      <c r="G1" s="460"/>
      <c r="H1" s="460"/>
      <c r="I1" s="460"/>
      <c r="J1" s="460"/>
      <c r="K1" s="460"/>
      <c r="L1" s="460"/>
      <c r="M1" s="460"/>
      <c r="N1" s="460"/>
      <c r="O1" s="460"/>
      <c r="P1" s="460"/>
      <c r="Q1" s="460"/>
      <c r="R1" s="460"/>
      <c r="S1" s="460"/>
      <c r="T1" s="460"/>
      <c r="U1" s="460"/>
      <c r="V1" s="460"/>
      <c r="W1" s="460"/>
      <c r="X1" s="460"/>
      <c r="Y1" s="460"/>
      <c r="Z1" s="460"/>
      <c r="AA1" s="460"/>
      <c r="AB1" s="460"/>
      <c r="AC1" s="460" t="s">
        <v>622</v>
      </c>
      <c r="AD1" s="460"/>
      <c r="AE1" s="460"/>
      <c r="AF1" s="460"/>
      <c r="AG1" s="460"/>
      <c r="AH1" s="460"/>
      <c r="AI1" s="460"/>
      <c r="AJ1" s="460"/>
      <c r="AK1" s="460"/>
      <c r="AL1" s="460"/>
      <c r="AM1" s="460"/>
      <c r="AN1" s="460"/>
      <c r="AO1" s="460"/>
      <c r="AP1" s="460"/>
      <c r="AQ1" s="460"/>
      <c r="AR1" s="460"/>
      <c r="AS1" s="460"/>
      <c r="AT1" s="460"/>
      <c r="AU1" s="460"/>
      <c r="AV1" s="460"/>
      <c r="AW1" s="460"/>
      <c r="AX1" s="460"/>
      <c r="AY1" s="460"/>
      <c r="AZ1" s="460"/>
      <c r="BA1" s="460"/>
      <c r="BB1" s="460"/>
      <c r="BC1" s="460"/>
      <c r="BD1" s="460" t="s">
        <v>622</v>
      </c>
      <c r="BE1" s="460"/>
      <c r="BF1" s="460"/>
      <c r="BG1" s="460"/>
      <c r="BH1" s="460"/>
      <c r="BI1" s="460"/>
      <c r="BJ1" s="460"/>
      <c r="BK1" s="460"/>
      <c r="BL1" s="460"/>
      <c r="BM1" s="460"/>
      <c r="BN1" s="460"/>
      <c r="BO1" s="460"/>
      <c r="BP1" s="460"/>
      <c r="BQ1" s="460"/>
      <c r="BR1" s="460"/>
      <c r="BS1" s="460"/>
      <c r="BT1" s="460"/>
      <c r="BU1" s="460"/>
      <c r="BV1" s="460"/>
      <c r="BW1" s="460"/>
      <c r="BX1" s="460"/>
      <c r="BY1" s="460" t="s">
        <v>622</v>
      </c>
      <c r="BZ1" s="460"/>
      <c r="CA1" s="460"/>
      <c r="CB1" s="460"/>
      <c r="CC1" s="460"/>
      <c r="CD1" s="460"/>
      <c r="CE1" s="460"/>
      <c r="CF1" s="460"/>
      <c r="CG1" s="460"/>
      <c r="CH1" s="460"/>
      <c r="CI1" s="460"/>
      <c r="CJ1" s="460"/>
      <c r="CK1" s="460"/>
      <c r="CL1" s="460"/>
      <c r="CM1" s="460"/>
      <c r="CN1" s="460"/>
      <c r="CO1" s="460"/>
      <c r="CP1" s="460"/>
      <c r="CQ1" s="460"/>
      <c r="CR1" s="460"/>
      <c r="CS1" s="460" t="s">
        <v>622</v>
      </c>
      <c r="CT1" s="460"/>
      <c r="CU1" s="460"/>
      <c r="CV1" s="460"/>
      <c r="CW1" s="460"/>
      <c r="CX1" s="460"/>
      <c r="CY1" s="460"/>
      <c r="CZ1" s="460"/>
      <c r="DA1" s="460"/>
      <c r="DB1" s="460"/>
      <c r="DC1" s="460"/>
      <c r="DD1" s="460"/>
      <c r="DE1" s="460"/>
      <c r="DF1" s="460"/>
      <c r="DG1" s="460"/>
      <c r="DH1" s="460"/>
      <c r="DI1" s="460"/>
      <c r="DJ1" s="460"/>
      <c r="DK1" s="460"/>
      <c r="DL1" s="460"/>
      <c r="DM1" s="460"/>
      <c r="DN1" s="460"/>
      <c r="DO1" s="460" t="s">
        <v>622</v>
      </c>
      <c r="DP1" s="460"/>
      <c r="DQ1" s="460"/>
      <c r="DR1" s="460"/>
      <c r="DS1" s="460"/>
      <c r="DT1" s="460"/>
      <c r="DU1" s="460"/>
      <c r="DV1" s="460"/>
      <c r="DW1" s="460"/>
      <c r="DX1" s="460"/>
      <c r="DY1" s="460"/>
      <c r="DZ1" s="460"/>
      <c r="EA1" s="460"/>
      <c r="EB1" s="460"/>
      <c r="EC1" s="460"/>
      <c r="ED1" s="460"/>
      <c r="EE1" s="460"/>
      <c r="EF1" s="460"/>
      <c r="EG1" s="460"/>
      <c r="EH1" s="460"/>
      <c r="EI1" s="460"/>
      <c r="EJ1" s="460"/>
      <c r="EK1" s="460"/>
      <c r="EL1" s="460"/>
      <c r="EM1" s="460" t="s">
        <v>622</v>
      </c>
      <c r="EN1" s="460"/>
      <c r="EO1" s="460"/>
      <c r="EP1" s="460"/>
      <c r="EQ1" s="460"/>
      <c r="ER1" s="460"/>
      <c r="ES1" s="460"/>
      <c r="ET1" s="460"/>
      <c r="EU1" s="460"/>
      <c r="EV1" s="460"/>
      <c r="EW1" s="460"/>
      <c r="EX1" s="460"/>
      <c r="EY1" s="460"/>
      <c r="EZ1" s="460"/>
      <c r="FA1" s="460"/>
      <c r="FB1" s="460"/>
      <c r="FC1" s="460"/>
      <c r="FD1" s="460"/>
      <c r="FE1" s="460"/>
      <c r="FF1" s="460"/>
      <c r="FG1" s="460"/>
      <c r="FH1" s="460" t="s">
        <v>622</v>
      </c>
      <c r="FI1" s="460"/>
      <c r="FJ1" s="460"/>
      <c r="FK1" s="460"/>
      <c r="FL1" s="460"/>
      <c r="FM1" s="460"/>
      <c r="FN1" s="460"/>
      <c r="FO1" s="460"/>
      <c r="FP1" s="460"/>
      <c r="FQ1" s="460"/>
      <c r="FR1" s="460"/>
      <c r="FS1" s="460"/>
      <c r="FT1" s="460"/>
      <c r="FU1" s="460"/>
      <c r="FV1" s="460"/>
      <c r="FW1" s="460"/>
      <c r="FX1" s="460"/>
      <c r="FY1" s="460"/>
      <c r="FZ1" s="460"/>
      <c r="GA1" s="460"/>
      <c r="GB1" s="460"/>
      <c r="GC1" s="460" t="s">
        <v>622</v>
      </c>
      <c r="GD1" s="460"/>
      <c r="GE1" s="460"/>
      <c r="GF1" s="460"/>
      <c r="GG1" s="460"/>
      <c r="GH1" s="460"/>
      <c r="GI1" s="460"/>
      <c r="GJ1" s="460"/>
      <c r="GK1" s="460"/>
      <c r="GL1" s="460"/>
      <c r="GM1" s="460"/>
      <c r="GN1" s="460"/>
      <c r="GO1" s="460"/>
      <c r="GP1" s="460"/>
      <c r="GQ1" s="460"/>
      <c r="GR1" s="460"/>
      <c r="GS1" s="460"/>
      <c r="GT1" s="293"/>
      <c r="GU1" s="293"/>
      <c r="GV1" s="293"/>
      <c r="GW1" s="293"/>
      <c r="GX1" s="293"/>
      <c r="GY1" s="293"/>
      <c r="GZ1" s="293"/>
      <c r="HA1" s="293"/>
      <c r="HB1" s="293"/>
      <c r="HC1" s="293"/>
      <c r="HD1" s="293"/>
      <c r="HE1" s="293"/>
      <c r="HF1" s="293"/>
      <c r="HG1" s="293"/>
      <c r="HH1" s="293"/>
      <c r="HI1" s="293"/>
      <c r="HJ1" s="293"/>
      <c r="HK1" s="293"/>
      <c r="HL1" s="293"/>
      <c r="HM1" s="293"/>
      <c r="HN1" s="293"/>
      <c r="HO1" s="293"/>
      <c r="HP1" s="293"/>
      <c r="HQ1" s="293"/>
      <c r="HR1" s="293"/>
      <c r="HS1" s="293"/>
      <c r="HT1" s="293"/>
      <c r="HU1" s="293"/>
      <c r="HV1" s="293"/>
      <c r="HW1" s="293"/>
      <c r="HX1" s="293"/>
    </row>
    <row r="2" spans="2:232" s="260" customFormat="1" ht="12.75" customHeight="1" x14ac:dyDescent="0.2">
      <c r="B2" s="461" t="s">
        <v>267</v>
      </c>
      <c r="C2" s="454" t="s">
        <v>301</v>
      </c>
      <c r="D2" s="453"/>
      <c r="E2" s="453"/>
      <c r="F2" s="453"/>
      <c r="G2" s="455"/>
      <c r="H2" s="310" t="s">
        <v>302</v>
      </c>
      <c r="I2" s="454" t="s">
        <v>303</v>
      </c>
      <c r="J2" s="453"/>
      <c r="K2" s="455"/>
      <c r="L2" s="310" t="s">
        <v>304</v>
      </c>
      <c r="M2" s="311" t="s">
        <v>305</v>
      </c>
      <c r="N2" s="453" t="s">
        <v>306</v>
      </c>
      <c r="O2" s="453"/>
      <c r="P2" s="453"/>
      <c r="Q2" s="453"/>
      <c r="R2" s="453"/>
      <c r="S2" s="453"/>
      <c r="T2" s="453"/>
      <c r="U2" s="453"/>
      <c r="V2" s="453"/>
      <c r="W2" s="454" t="s">
        <v>307</v>
      </c>
      <c r="X2" s="453"/>
      <c r="Y2" s="455"/>
      <c r="Z2" s="453" t="s">
        <v>308</v>
      </c>
      <c r="AA2" s="453"/>
      <c r="AB2" s="453"/>
      <c r="AC2" s="454" t="s">
        <v>309</v>
      </c>
      <c r="AD2" s="453"/>
      <c r="AE2" s="453"/>
      <c r="AF2" s="455"/>
      <c r="AG2" s="453" t="s">
        <v>310</v>
      </c>
      <c r="AH2" s="453"/>
      <c r="AI2" s="453"/>
      <c r="AJ2" s="453"/>
      <c r="AK2" s="453"/>
      <c r="AL2" s="454" t="s">
        <v>311</v>
      </c>
      <c r="AM2" s="453"/>
      <c r="AN2" s="455"/>
      <c r="AO2" s="310" t="s">
        <v>312</v>
      </c>
      <c r="AP2" s="311" t="s">
        <v>591</v>
      </c>
      <c r="AQ2" s="453" t="s">
        <v>313</v>
      </c>
      <c r="AR2" s="453"/>
      <c r="AS2" s="453"/>
      <c r="AT2" s="453"/>
      <c r="AU2" s="454" t="s">
        <v>314</v>
      </c>
      <c r="AV2" s="453"/>
      <c r="AW2" s="453"/>
      <c r="AX2" s="453"/>
      <c r="AY2" s="453"/>
      <c r="AZ2" s="453"/>
      <c r="BA2" s="453"/>
      <c r="BB2" s="453"/>
      <c r="BC2" s="455"/>
      <c r="BD2" s="310" t="s">
        <v>315</v>
      </c>
      <c r="BE2" s="311" t="s">
        <v>316</v>
      </c>
      <c r="BF2" s="453" t="s">
        <v>317</v>
      </c>
      <c r="BG2" s="453"/>
      <c r="BH2" s="453"/>
      <c r="BI2" s="453"/>
      <c r="BJ2" s="453"/>
      <c r="BK2" s="453"/>
      <c r="BL2" s="453"/>
      <c r="BM2" s="311" t="s">
        <v>318</v>
      </c>
      <c r="BN2" s="311" t="s">
        <v>319</v>
      </c>
      <c r="BO2" s="311" t="s">
        <v>320</v>
      </c>
      <c r="BP2" s="311" t="s">
        <v>321</v>
      </c>
      <c r="BQ2" s="453" t="s">
        <v>322</v>
      </c>
      <c r="BR2" s="453"/>
      <c r="BS2" s="453"/>
      <c r="BT2" s="311" t="s">
        <v>323</v>
      </c>
      <c r="BU2" s="453" t="s">
        <v>324</v>
      </c>
      <c r="BV2" s="453"/>
      <c r="BW2" s="453"/>
      <c r="BX2" s="453"/>
      <c r="BY2" s="454" t="s">
        <v>325</v>
      </c>
      <c r="BZ2" s="453"/>
      <c r="CA2" s="453"/>
      <c r="CB2" s="453"/>
      <c r="CC2" s="453"/>
      <c r="CD2" s="453"/>
      <c r="CE2" s="453"/>
      <c r="CF2" s="453"/>
      <c r="CG2" s="453"/>
      <c r="CH2" s="453"/>
      <c r="CI2" s="453"/>
      <c r="CJ2" s="453"/>
      <c r="CK2" s="453"/>
      <c r="CL2" s="453"/>
      <c r="CM2" s="453"/>
      <c r="CN2" s="455"/>
      <c r="CO2" s="453" t="s">
        <v>326</v>
      </c>
      <c r="CP2" s="453"/>
      <c r="CQ2" s="453"/>
      <c r="CR2" s="311" t="s">
        <v>327</v>
      </c>
      <c r="CS2" s="453" t="s">
        <v>328</v>
      </c>
      <c r="CT2" s="453"/>
      <c r="CU2" s="453"/>
      <c r="CV2" s="453"/>
      <c r="CW2" s="453"/>
      <c r="CX2" s="453"/>
      <c r="CY2" s="453"/>
      <c r="CZ2" s="453"/>
      <c r="DA2" s="453"/>
      <c r="DB2" s="453"/>
      <c r="DC2" s="453"/>
      <c r="DD2" s="453"/>
      <c r="DE2" s="454" t="s">
        <v>329</v>
      </c>
      <c r="DF2" s="453"/>
      <c r="DG2" s="453"/>
      <c r="DH2" s="453"/>
      <c r="DI2" s="453"/>
      <c r="DJ2" s="453"/>
      <c r="DK2" s="453"/>
      <c r="DL2" s="455"/>
      <c r="DM2" s="310" t="s">
        <v>330</v>
      </c>
      <c r="DN2" s="311" t="s">
        <v>331</v>
      </c>
      <c r="DO2" s="453" t="s">
        <v>332</v>
      </c>
      <c r="DP2" s="453"/>
      <c r="DQ2" s="453"/>
      <c r="DR2" s="311" t="s">
        <v>333</v>
      </c>
      <c r="DS2" s="453" t="s">
        <v>335</v>
      </c>
      <c r="DT2" s="453"/>
      <c r="DU2" s="453"/>
      <c r="DV2" s="454" t="s">
        <v>336</v>
      </c>
      <c r="DW2" s="453"/>
      <c r="DX2" s="455"/>
      <c r="DY2" s="310" t="s">
        <v>337</v>
      </c>
      <c r="DZ2" s="311" t="s">
        <v>338</v>
      </c>
      <c r="EA2" s="453" t="s">
        <v>334</v>
      </c>
      <c r="EB2" s="453"/>
      <c r="EC2" s="453"/>
      <c r="ED2" s="311" t="s">
        <v>339</v>
      </c>
      <c r="EE2" s="311" t="s">
        <v>340</v>
      </c>
      <c r="EF2" s="453" t="s">
        <v>341</v>
      </c>
      <c r="EG2" s="453"/>
      <c r="EH2" s="453"/>
      <c r="EI2" s="453"/>
      <c r="EJ2" s="453"/>
      <c r="EK2" s="453"/>
      <c r="EL2" s="453"/>
      <c r="EM2" s="454" t="s">
        <v>342</v>
      </c>
      <c r="EN2" s="453"/>
      <c r="EO2" s="453"/>
      <c r="EP2" s="453"/>
      <c r="EQ2" s="453"/>
      <c r="ER2" s="453"/>
      <c r="ES2" s="453"/>
      <c r="ET2" s="453"/>
      <c r="EU2" s="453"/>
      <c r="EV2" s="453"/>
      <c r="EW2" s="453"/>
      <c r="EX2" s="453"/>
      <c r="EY2" s="453"/>
      <c r="EZ2" s="455"/>
      <c r="FA2" s="310" t="s">
        <v>592</v>
      </c>
      <c r="FB2" s="311" t="s">
        <v>343</v>
      </c>
      <c r="FC2" s="453" t="s">
        <v>344</v>
      </c>
      <c r="FD2" s="453"/>
      <c r="FE2" s="453"/>
      <c r="FF2" s="453"/>
      <c r="FG2" s="311" t="s">
        <v>345</v>
      </c>
      <c r="FH2" s="311" t="s">
        <v>346</v>
      </c>
      <c r="FI2" s="453" t="s">
        <v>347</v>
      </c>
      <c r="FJ2" s="453"/>
      <c r="FK2" s="453"/>
      <c r="FL2" s="453"/>
      <c r="FM2" s="453"/>
      <c r="FN2" s="454" t="s">
        <v>350</v>
      </c>
      <c r="FO2" s="453"/>
      <c r="FP2" s="455"/>
      <c r="FQ2" s="453" t="s">
        <v>348</v>
      </c>
      <c r="FR2" s="453"/>
      <c r="FS2" s="453"/>
      <c r="FT2" s="311" t="s">
        <v>349</v>
      </c>
      <c r="FU2" s="453" t="s">
        <v>351</v>
      </c>
      <c r="FV2" s="453"/>
      <c r="FW2" s="453"/>
      <c r="FX2" s="454" t="s">
        <v>352</v>
      </c>
      <c r="FY2" s="453"/>
      <c r="FZ2" s="453"/>
      <c r="GA2" s="453"/>
      <c r="GB2" s="455"/>
      <c r="GC2" s="310" t="s">
        <v>593</v>
      </c>
      <c r="GD2" s="454" t="s">
        <v>353</v>
      </c>
      <c r="GE2" s="453"/>
      <c r="GF2" s="455"/>
      <c r="GG2" s="310" t="s">
        <v>354</v>
      </c>
      <c r="GH2" s="454" t="s">
        <v>355</v>
      </c>
      <c r="GI2" s="453"/>
      <c r="GJ2" s="453"/>
      <c r="GK2" s="455"/>
      <c r="GL2" s="310" t="s">
        <v>356</v>
      </c>
      <c r="GM2" s="454" t="s">
        <v>357</v>
      </c>
      <c r="GN2" s="453"/>
      <c r="GO2" s="453"/>
      <c r="GP2" s="453"/>
      <c r="GQ2" s="455"/>
      <c r="GR2" s="458" t="s">
        <v>537</v>
      </c>
      <c r="GS2" s="456" t="s">
        <v>538</v>
      </c>
      <c r="GT2" s="293"/>
      <c r="GU2" s="293"/>
      <c r="GV2" s="293"/>
      <c r="GW2" s="293"/>
      <c r="GX2" s="293"/>
      <c r="GY2" s="293"/>
      <c r="GZ2" s="293"/>
      <c r="HA2" s="293"/>
      <c r="HB2" s="293"/>
      <c r="HC2" s="293"/>
      <c r="HD2" s="293"/>
      <c r="HE2" s="293"/>
      <c r="HF2" s="293"/>
      <c r="HG2" s="293"/>
      <c r="HH2" s="293"/>
      <c r="HI2" s="293"/>
      <c r="HJ2" s="293"/>
      <c r="HK2" s="293"/>
      <c r="HL2" s="293"/>
      <c r="HM2" s="293"/>
      <c r="HN2" s="293"/>
      <c r="HO2" s="293"/>
      <c r="HP2" s="293"/>
      <c r="HQ2" s="293"/>
      <c r="HR2" s="293"/>
      <c r="HS2" s="293"/>
      <c r="HT2" s="293"/>
      <c r="HU2" s="293"/>
      <c r="HV2" s="293"/>
      <c r="HW2" s="293"/>
      <c r="HX2" s="293"/>
    </row>
    <row r="3" spans="2:232" s="260" customFormat="1" ht="60.75" customHeight="1" thickBot="1" x14ac:dyDescent="0.25">
      <c r="B3" s="462"/>
      <c r="C3" s="312" t="s">
        <v>359</v>
      </c>
      <c r="D3" s="313" t="s">
        <v>614</v>
      </c>
      <c r="E3" s="313" t="s">
        <v>360</v>
      </c>
      <c r="F3" s="313" t="s">
        <v>361</v>
      </c>
      <c r="G3" s="314" t="s">
        <v>509</v>
      </c>
      <c r="H3" s="315" t="s">
        <v>362</v>
      </c>
      <c r="I3" s="312" t="s">
        <v>363</v>
      </c>
      <c r="J3" s="313" t="s">
        <v>594</v>
      </c>
      <c r="K3" s="314" t="s">
        <v>605</v>
      </c>
      <c r="L3" s="315" t="s">
        <v>364</v>
      </c>
      <c r="M3" s="316" t="s">
        <v>365</v>
      </c>
      <c r="N3" s="315" t="s">
        <v>371</v>
      </c>
      <c r="O3" s="313" t="s">
        <v>370</v>
      </c>
      <c r="P3" s="313" t="s">
        <v>369</v>
      </c>
      <c r="Q3" s="313" t="s">
        <v>367</v>
      </c>
      <c r="R3" s="313" t="s">
        <v>595</v>
      </c>
      <c r="S3" s="313" t="s">
        <v>366</v>
      </c>
      <c r="T3" s="313" t="s">
        <v>368</v>
      </c>
      <c r="U3" s="313" t="s">
        <v>372</v>
      </c>
      <c r="V3" s="315" t="s">
        <v>510</v>
      </c>
      <c r="W3" s="312" t="s">
        <v>501</v>
      </c>
      <c r="X3" s="313" t="s">
        <v>500</v>
      </c>
      <c r="Y3" s="314" t="s">
        <v>511</v>
      </c>
      <c r="Z3" s="315" t="s">
        <v>374</v>
      </c>
      <c r="AA3" s="313" t="s">
        <v>373</v>
      </c>
      <c r="AB3" s="315" t="s">
        <v>512</v>
      </c>
      <c r="AC3" s="312" t="s">
        <v>376</v>
      </c>
      <c r="AD3" s="313" t="s">
        <v>375</v>
      </c>
      <c r="AE3" s="313" t="s">
        <v>615</v>
      </c>
      <c r="AF3" s="314" t="s">
        <v>513</v>
      </c>
      <c r="AG3" s="315" t="s">
        <v>379</v>
      </c>
      <c r="AH3" s="313" t="s">
        <v>380</v>
      </c>
      <c r="AI3" s="313" t="s">
        <v>378</v>
      </c>
      <c r="AJ3" s="313" t="s">
        <v>377</v>
      </c>
      <c r="AK3" s="315" t="s">
        <v>514</v>
      </c>
      <c r="AL3" s="312" t="s">
        <v>499</v>
      </c>
      <c r="AM3" s="313" t="s">
        <v>604</v>
      </c>
      <c r="AN3" s="314" t="s">
        <v>603</v>
      </c>
      <c r="AO3" s="315" t="s">
        <v>507</v>
      </c>
      <c r="AP3" s="316" t="s">
        <v>596</v>
      </c>
      <c r="AQ3" s="315" t="s">
        <v>381</v>
      </c>
      <c r="AR3" s="313" t="s">
        <v>382</v>
      </c>
      <c r="AS3" s="313" t="s">
        <v>616</v>
      </c>
      <c r="AT3" s="315" t="s">
        <v>515</v>
      </c>
      <c r="AU3" s="312" t="s">
        <v>385</v>
      </c>
      <c r="AV3" s="313" t="s">
        <v>386</v>
      </c>
      <c r="AW3" s="313" t="s">
        <v>389</v>
      </c>
      <c r="AX3" s="313" t="s">
        <v>390</v>
      </c>
      <c r="AY3" s="313" t="s">
        <v>388</v>
      </c>
      <c r="AZ3" s="313" t="s">
        <v>387</v>
      </c>
      <c r="BA3" s="313" t="s">
        <v>383</v>
      </c>
      <c r="BB3" s="313" t="s">
        <v>384</v>
      </c>
      <c r="BC3" s="314" t="s">
        <v>516</v>
      </c>
      <c r="BD3" s="315" t="s">
        <v>391</v>
      </c>
      <c r="BE3" s="316" t="s">
        <v>392</v>
      </c>
      <c r="BF3" s="315" t="s">
        <v>393</v>
      </c>
      <c r="BG3" s="313" t="s">
        <v>394</v>
      </c>
      <c r="BH3" s="313" t="s">
        <v>395</v>
      </c>
      <c r="BI3" s="313" t="s">
        <v>396</v>
      </c>
      <c r="BJ3" s="313" t="s">
        <v>397</v>
      </c>
      <c r="BK3" s="313" t="s">
        <v>617</v>
      </c>
      <c r="BL3" s="315" t="s">
        <v>517</v>
      </c>
      <c r="BM3" s="316" t="s">
        <v>398</v>
      </c>
      <c r="BN3" s="316" t="s">
        <v>399</v>
      </c>
      <c r="BO3" s="316" t="s">
        <v>400</v>
      </c>
      <c r="BP3" s="316" t="s">
        <v>401</v>
      </c>
      <c r="BQ3" s="315" t="s">
        <v>403</v>
      </c>
      <c r="BR3" s="313" t="s">
        <v>402</v>
      </c>
      <c r="BS3" s="315" t="s">
        <v>518</v>
      </c>
      <c r="BT3" s="316" t="s">
        <v>404</v>
      </c>
      <c r="BU3" s="315" t="s">
        <v>405</v>
      </c>
      <c r="BV3" s="313" t="s">
        <v>406</v>
      </c>
      <c r="BW3" s="313" t="s">
        <v>618</v>
      </c>
      <c r="BX3" s="315" t="s">
        <v>519</v>
      </c>
      <c r="BY3" s="312" t="s">
        <v>410</v>
      </c>
      <c r="BZ3" s="313" t="s">
        <v>415</v>
      </c>
      <c r="CA3" s="313" t="s">
        <v>417</v>
      </c>
      <c r="CB3" s="313" t="s">
        <v>421</v>
      </c>
      <c r="CC3" s="313" t="s">
        <v>414</v>
      </c>
      <c r="CD3" s="313" t="s">
        <v>416</v>
      </c>
      <c r="CE3" s="313" t="s">
        <v>412</v>
      </c>
      <c r="CF3" s="313" t="s">
        <v>418</v>
      </c>
      <c r="CG3" s="313" t="s">
        <v>413</v>
      </c>
      <c r="CH3" s="313" t="s">
        <v>419</v>
      </c>
      <c r="CI3" s="313" t="s">
        <v>420</v>
      </c>
      <c r="CJ3" s="313" t="s">
        <v>411</v>
      </c>
      <c r="CK3" s="313" t="s">
        <v>408</v>
      </c>
      <c r="CL3" s="313" t="s">
        <v>409</v>
      </c>
      <c r="CM3" s="313" t="s">
        <v>407</v>
      </c>
      <c r="CN3" s="314" t="s">
        <v>520</v>
      </c>
      <c r="CO3" s="315" t="s">
        <v>502</v>
      </c>
      <c r="CP3" s="313" t="s">
        <v>508</v>
      </c>
      <c r="CQ3" s="315" t="s">
        <v>521</v>
      </c>
      <c r="CR3" s="316" t="s">
        <v>422</v>
      </c>
      <c r="CS3" s="315" t="s">
        <v>429</v>
      </c>
      <c r="CT3" s="313" t="s">
        <v>435</v>
      </c>
      <c r="CU3" s="313" t="s">
        <v>432</v>
      </c>
      <c r="CV3" s="313" t="s">
        <v>438</v>
      </c>
      <c r="CW3" s="313" t="s">
        <v>431</v>
      </c>
      <c r="CX3" s="313" t="s">
        <v>434</v>
      </c>
      <c r="CY3" s="313" t="s">
        <v>428</v>
      </c>
      <c r="CZ3" s="313" t="s">
        <v>433</v>
      </c>
      <c r="DA3" s="313" t="s">
        <v>437</v>
      </c>
      <c r="DB3" s="313" t="s">
        <v>436</v>
      </c>
      <c r="DC3" s="313" t="s">
        <v>430</v>
      </c>
      <c r="DD3" s="315" t="s">
        <v>522</v>
      </c>
      <c r="DE3" s="312" t="s">
        <v>442</v>
      </c>
      <c r="DF3" s="313" t="s">
        <v>441</v>
      </c>
      <c r="DG3" s="313" t="s">
        <v>439</v>
      </c>
      <c r="DH3" s="313" t="s">
        <v>440</v>
      </c>
      <c r="DI3" s="313" t="s">
        <v>443</v>
      </c>
      <c r="DJ3" s="313" t="s">
        <v>445</v>
      </c>
      <c r="DK3" s="313" t="s">
        <v>444</v>
      </c>
      <c r="DL3" s="314" t="s">
        <v>523</v>
      </c>
      <c r="DM3" s="315" t="s">
        <v>456</v>
      </c>
      <c r="DN3" s="316" t="s">
        <v>446</v>
      </c>
      <c r="DO3" s="315" t="s">
        <v>448</v>
      </c>
      <c r="DP3" s="313" t="s">
        <v>447</v>
      </c>
      <c r="DQ3" s="315" t="s">
        <v>524</v>
      </c>
      <c r="DR3" s="316" t="s">
        <v>449</v>
      </c>
      <c r="DS3" s="315" t="s">
        <v>504</v>
      </c>
      <c r="DT3" s="313" t="s">
        <v>505</v>
      </c>
      <c r="DU3" s="315" t="s">
        <v>525</v>
      </c>
      <c r="DV3" s="312" t="s">
        <v>451</v>
      </c>
      <c r="DW3" s="313" t="s">
        <v>452</v>
      </c>
      <c r="DX3" s="314" t="s">
        <v>526</v>
      </c>
      <c r="DY3" s="315" t="s">
        <v>453</v>
      </c>
      <c r="DZ3" s="316" t="s">
        <v>454</v>
      </c>
      <c r="EA3" s="315" t="s">
        <v>450</v>
      </c>
      <c r="EB3" s="313" t="s">
        <v>620</v>
      </c>
      <c r="EC3" s="315" t="s">
        <v>623</v>
      </c>
      <c r="ED3" s="316" t="s">
        <v>455</v>
      </c>
      <c r="EE3" s="316" t="s">
        <v>457</v>
      </c>
      <c r="EF3" s="315" t="s">
        <v>424</v>
      </c>
      <c r="EG3" s="313" t="s">
        <v>423</v>
      </c>
      <c r="EH3" s="313" t="s">
        <v>425</v>
      </c>
      <c r="EI3" s="313" t="s">
        <v>619</v>
      </c>
      <c r="EJ3" s="313" t="s">
        <v>598</v>
      </c>
      <c r="EK3" s="313" t="s">
        <v>426</v>
      </c>
      <c r="EL3" s="315" t="s">
        <v>527</v>
      </c>
      <c r="EM3" s="312" t="s">
        <v>458</v>
      </c>
      <c r="EN3" s="313" t="s">
        <v>461</v>
      </c>
      <c r="EO3" s="313" t="s">
        <v>465</v>
      </c>
      <c r="EP3" s="313" t="s">
        <v>464</v>
      </c>
      <c r="EQ3" s="313" t="s">
        <v>463</v>
      </c>
      <c r="ER3" s="313" t="s">
        <v>459</v>
      </c>
      <c r="ES3" s="313" t="s">
        <v>460</v>
      </c>
      <c r="ET3" s="313" t="s">
        <v>599</v>
      </c>
      <c r="EU3" s="313" t="s">
        <v>467</v>
      </c>
      <c r="EV3" s="313" t="s">
        <v>462</v>
      </c>
      <c r="EW3" s="313" t="s">
        <v>466</v>
      </c>
      <c r="EX3" s="313" t="s">
        <v>469</v>
      </c>
      <c r="EY3" s="313" t="s">
        <v>468</v>
      </c>
      <c r="EZ3" s="314" t="s">
        <v>528</v>
      </c>
      <c r="FA3" s="315" t="s">
        <v>600</v>
      </c>
      <c r="FB3" s="316" t="s">
        <v>470</v>
      </c>
      <c r="FC3" s="315" t="s">
        <v>473</v>
      </c>
      <c r="FD3" s="313" t="s">
        <v>471</v>
      </c>
      <c r="FE3" s="313" t="s">
        <v>472</v>
      </c>
      <c r="FF3" s="315" t="s">
        <v>529</v>
      </c>
      <c r="FG3" s="316" t="s">
        <v>474</v>
      </c>
      <c r="FH3" s="316" t="s">
        <v>475</v>
      </c>
      <c r="FI3" s="315" t="s">
        <v>478</v>
      </c>
      <c r="FJ3" s="313" t="s">
        <v>477</v>
      </c>
      <c r="FK3" s="313" t="s">
        <v>358</v>
      </c>
      <c r="FL3" s="313" t="s">
        <v>476</v>
      </c>
      <c r="FM3" s="315" t="s">
        <v>530</v>
      </c>
      <c r="FN3" s="312" t="s">
        <v>489</v>
      </c>
      <c r="FO3" s="313" t="s">
        <v>488</v>
      </c>
      <c r="FP3" s="314" t="s">
        <v>531</v>
      </c>
      <c r="FQ3" s="315" t="s">
        <v>479</v>
      </c>
      <c r="FR3" s="313" t="s">
        <v>480</v>
      </c>
      <c r="FS3" s="315" t="s">
        <v>532</v>
      </c>
      <c r="FT3" s="316" t="s">
        <v>481</v>
      </c>
      <c r="FU3" s="315" t="s">
        <v>498</v>
      </c>
      <c r="FV3" s="313" t="s">
        <v>625</v>
      </c>
      <c r="FW3" s="315" t="s">
        <v>624</v>
      </c>
      <c r="FX3" s="312" t="s">
        <v>482</v>
      </c>
      <c r="FY3" s="313" t="s">
        <v>485</v>
      </c>
      <c r="FZ3" s="313" t="s">
        <v>483</v>
      </c>
      <c r="GA3" s="313" t="s">
        <v>484</v>
      </c>
      <c r="GB3" s="314" t="s">
        <v>533</v>
      </c>
      <c r="GC3" s="315" t="s">
        <v>602</v>
      </c>
      <c r="GD3" s="312" t="s">
        <v>487</v>
      </c>
      <c r="GE3" s="313" t="s">
        <v>486</v>
      </c>
      <c r="GF3" s="314" t="s">
        <v>534</v>
      </c>
      <c r="GG3" s="315" t="s">
        <v>490</v>
      </c>
      <c r="GH3" s="312" t="s">
        <v>492</v>
      </c>
      <c r="GI3" s="313" t="s">
        <v>493</v>
      </c>
      <c r="GJ3" s="313" t="s">
        <v>491</v>
      </c>
      <c r="GK3" s="314" t="s">
        <v>535</v>
      </c>
      <c r="GL3" s="315" t="s">
        <v>503</v>
      </c>
      <c r="GM3" s="312" t="s">
        <v>495</v>
      </c>
      <c r="GN3" s="313" t="s">
        <v>497</v>
      </c>
      <c r="GO3" s="313" t="s">
        <v>496</v>
      </c>
      <c r="GP3" s="313" t="s">
        <v>494</v>
      </c>
      <c r="GQ3" s="314" t="s">
        <v>536</v>
      </c>
      <c r="GR3" s="459"/>
      <c r="GS3" s="457"/>
      <c r="GT3" s="293"/>
      <c r="GU3" s="293"/>
      <c r="GV3" s="293"/>
      <c r="GW3" s="293"/>
      <c r="GX3" s="293"/>
      <c r="GY3" s="293"/>
      <c r="GZ3" s="293"/>
      <c r="HA3" s="293"/>
      <c r="HB3" s="293"/>
      <c r="HC3" s="293"/>
      <c r="HD3" s="293"/>
      <c r="HE3" s="293"/>
      <c r="HF3" s="293"/>
      <c r="HG3" s="293"/>
      <c r="HH3" s="293"/>
      <c r="HI3" s="293"/>
      <c r="HJ3" s="293"/>
      <c r="HK3" s="293"/>
      <c r="HL3" s="293"/>
      <c r="HM3" s="293"/>
      <c r="HN3" s="293"/>
      <c r="HO3" s="293"/>
      <c r="HP3" s="293"/>
      <c r="HQ3" s="293"/>
      <c r="HR3" s="293"/>
      <c r="HS3" s="293"/>
      <c r="HT3" s="293"/>
      <c r="HU3" s="293"/>
      <c r="HV3" s="293"/>
      <c r="HW3" s="293"/>
      <c r="HX3" s="293"/>
    </row>
    <row r="4" spans="2:232" ht="12.75" x14ac:dyDescent="0.2">
      <c r="B4" s="317" t="s">
        <v>63</v>
      </c>
      <c r="C4" s="318">
        <v>36</v>
      </c>
      <c r="D4" s="319"/>
      <c r="E4" s="319"/>
      <c r="F4" s="319"/>
      <c r="G4" s="320">
        <v>36</v>
      </c>
      <c r="H4" s="321"/>
      <c r="I4" s="318">
        <v>1</v>
      </c>
      <c r="J4" s="319"/>
      <c r="K4" s="320">
        <v>1</v>
      </c>
      <c r="L4" s="321"/>
      <c r="M4" s="322">
        <v>205</v>
      </c>
      <c r="N4" s="321">
        <v>14387</v>
      </c>
      <c r="O4" s="319">
        <v>12</v>
      </c>
      <c r="P4" s="319"/>
      <c r="Q4" s="319"/>
      <c r="R4" s="319"/>
      <c r="S4" s="319"/>
      <c r="T4" s="319"/>
      <c r="U4" s="319"/>
      <c r="V4" s="321">
        <v>14399</v>
      </c>
      <c r="W4" s="318"/>
      <c r="X4" s="319"/>
      <c r="Y4" s="320"/>
      <c r="Z4" s="321">
        <v>21</v>
      </c>
      <c r="AA4" s="319"/>
      <c r="AB4" s="321">
        <v>21</v>
      </c>
      <c r="AC4" s="318">
        <v>151</v>
      </c>
      <c r="AD4" s="319"/>
      <c r="AE4" s="319"/>
      <c r="AF4" s="320">
        <v>151</v>
      </c>
      <c r="AG4" s="321">
        <v>1</v>
      </c>
      <c r="AH4" s="319">
        <v>0</v>
      </c>
      <c r="AI4" s="319"/>
      <c r="AJ4" s="319"/>
      <c r="AK4" s="321">
        <v>1</v>
      </c>
      <c r="AL4" s="318"/>
      <c r="AM4" s="319"/>
      <c r="AN4" s="320"/>
      <c r="AO4" s="321"/>
      <c r="AP4" s="322"/>
      <c r="AQ4" s="321"/>
      <c r="AR4" s="319"/>
      <c r="AS4" s="319"/>
      <c r="AT4" s="321"/>
      <c r="AU4" s="318">
        <v>6</v>
      </c>
      <c r="AV4" s="319"/>
      <c r="AW4" s="319"/>
      <c r="AX4" s="319"/>
      <c r="AY4" s="319"/>
      <c r="AZ4" s="319"/>
      <c r="BA4" s="319"/>
      <c r="BB4" s="319"/>
      <c r="BC4" s="320">
        <v>6</v>
      </c>
      <c r="BD4" s="321"/>
      <c r="BE4" s="322">
        <v>1</v>
      </c>
      <c r="BF4" s="321">
        <v>22</v>
      </c>
      <c r="BG4" s="319">
        <v>55</v>
      </c>
      <c r="BH4" s="319">
        <v>154</v>
      </c>
      <c r="BI4" s="319">
        <v>2</v>
      </c>
      <c r="BJ4" s="319">
        <v>2</v>
      </c>
      <c r="BK4" s="319">
        <v>2</v>
      </c>
      <c r="BL4" s="321">
        <v>237</v>
      </c>
      <c r="BM4" s="322">
        <v>0</v>
      </c>
      <c r="BN4" s="322"/>
      <c r="BO4" s="322"/>
      <c r="BP4" s="322"/>
      <c r="BQ4" s="321">
        <v>89</v>
      </c>
      <c r="BR4" s="319"/>
      <c r="BS4" s="321">
        <v>89</v>
      </c>
      <c r="BT4" s="322"/>
      <c r="BU4" s="321"/>
      <c r="BV4" s="319"/>
      <c r="BW4" s="319"/>
      <c r="BX4" s="321"/>
      <c r="BY4" s="318">
        <v>2</v>
      </c>
      <c r="BZ4" s="319">
        <v>1</v>
      </c>
      <c r="CA4" s="319"/>
      <c r="CB4" s="319"/>
      <c r="CC4" s="319"/>
      <c r="CD4" s="319"/>
      <c r="CE4" s="319"/>
      <c r="CF4" s="319"/>
      <c r="CG4" s="319"/>
      <c r="CH4" s="319"/>
      <c r="CI4" s="319"/>
      <c r="CJ4" s="319"/>
      <c r="CK4" s="319"/>
      <c r="CL4" s="319"/>
      <c r="CM4" s="319"/>
      <c r="CN4" s="320">
        <v>3</v>
      </c>
      <c r="CO4" s="321"/>
      <c r="CP4" s="319"/>
      <c r="CQ4" s="321"/>
      <c r="CR4" s="322"/>
      <c r="CS4" s="321">
        <v>45</v>
      </c>
      <c r="CT4" s="319">
        <v>5</v>
      </c>
      <c r="CU4" s="319">
        <v>269818</v>
      </c>
      <c r="CV4" s="319">
        <v>40</v>
      </c>
      <c r="CW4" s="319">
        <v>6137</v>
      </c>
      <c r="CX4" s="319">
        <v>67</v>
      </c>
      <c r="CY4" s="319">
        <v>49</v>
      </c>
      <c r="CZ4" s="319"/>
      <c r="DA4" s="319"/>
      <c r="DB4" s="319"/>
      <c r="DC4" s="319"/>
      <c r="DD4" s="321">
        <v>276161</v>
      </c>
      <c r="DE4" s="318">
        <v>360</v>
      </c>
      <c r="DF4" s="319">
        <v>44</v>
      </c>
      <c r="DG4" s="319">
        <v>7</v>
      </c>
      <c r="DH4" s="319">
        <v>20</v>
      </c>
      <c r="DI4" s="319"/>
      <c r="DJ4" s="319"/>
      <c r="DK4" s="319"/>
      <c r="DL4" s="320">
        <v>431</v>
      </c>
      <c r="DM4" s="321"/>
      <c r="DN4" s="322"/>
      <c r="DO4" s="321">
        <v>1</v>
      </c>
      <c r="DP4" s="319"/>
      <c r="DQ4" s="321">
        <v>1</v>
      </c>
      <c r="DR4" s="322">
        <v>6</v>
      </c>
      <c r="DS4" s="321">
        <v>2</v>
      </c>
      <c r="DT4" s="319"/>
      <c r="DU4" s="321">
        <v>2</v>
      </c>
      <c r="DV4" s="318">
        <v>2</v>
      </c>
      <c r="DW4" s="319"/>
      <c r="DX4" s="320">
        <v>2</v>
      </c>
      <c r="DY4" s="321">
        <v>1</v>
      </c>
      <c r="DZ4" s="322">
        <v>0</v>
      </c>
      <c r="EA4" s="321">
        <v>5</v>
      </c>
      <c r="EB4" s="319"/>
      <c r="EC4" s="321">
        <v>5</v>
      </c>
      <c r="ED4" s="322"/>
      <c r="EE4" s="322"/>
      <c r="EF4" s="321">
        <v>21</v>
      </c>
      <c r="EG4" s="319">
        <v>5</v>
      </c>
      <c r="EH4" s="319"/>
      <c r="EI4" s="319"/>
      <c r="EJ4" s="319"/>
      <c r="EK4" s="319"/>
      <c r="EL4" s="321">
        <v>26</v>
      </c>
      <c r="EM4" s="318">
        <v>41</v>
      </c>
      <c r="EN4" s="319">
        <v>97</v>
      </c>
      <c r="EO4" s="319">
        <v>7</v>
      </c>
      <c r="EP4" s="319">
        <v>15</v>
      </c>
      <c r="EQ4" s="319">
        <v>202</v>
      </c>
      <c r="ER4" s="319">
        <v>2</v>
      </c>
      <c r="ES4" s="319">
        <v>18</v>
      </c>
      <c r="ET4" s="319"/>
      <c r="EU4" s="319"/>
      <c r="EV4" s="319"/>
      <c r="EW4" s="319"/>
      <c r="EX4" s="319"/>
      <c r="EY4" s="319"/>
      <c r="EZ4" s="320">
        <v>382</v>
      </c>
      <c r="FA4" s="321"/>
      <c r="FB4" s="322">
        <v>1</v>
      </c>
      <c r="FC4" s="321"/>
      <c r="FD4" s="319"/>
      <c r="FE4" s="319"/>
      <c r="FF4" s="321"/>
      <c r="FG4" s="322"/>
      <c r="FH4" s="322"/>
      <c r="FI4" s="321">
        <v>1</v>
      </c>
      <c r="FJ4" s="319"/>
      <c r="FK4" s="319"/>
      <c r="FL4" s="319"/>
      <c r="FM4" s="321">
        <v>1</v>
      </c>
      <c r="FN4" s="318"/>
      <c r="FO4" s="319"/>
      <c r="FP4" s="320"/>
      <c r="FQ4" s="321"/>
      <c r="FR4" s="319"/>
      <c r="FS4" s="321"/>
      <c r="FT4" s="322"/>
      <c r="FU4" s="321">
        <v>11</v>
      </c>
      <c r="FV4" s="319"/>
      <c r="FW4" s="321">
        <v>11</v>
      </c>
      <c r="FX4" s="318">
        <v>39</v>
      </c>
      <c r="FY4" s="319">
        <v>236</v>
      </c>
      <c r="FZ4" s="319"/>
      <c r="GA4" s="319"/>
      <c r="GB4" s="320">
        <v>275</v>
      </c>
      <c r="GC4" s="321"/>
      <c r="GD4" s="318">
        <v>44</v>
      </c>
      <c r="GE4" s="319"/>
      <c r="GF4" s="320">
        <v>44</v>
      </c>
      <c r="GG4" s="321"/>
      <c r="GH4" s="318">
        <v>2</v>
      </c>
      <c r="GI4" s="319"/>
      <c r="GJ4" s="319"/>
      <c r="GK4" s="320">
        <v>2</v>
      </c>
      <c r="GL4" s="321">
        <v>0</v>
      </c>
      <c r="GM4" s="318">
        <v>4</v>
      </c>
      <c r="GN4" s="319"/>
      <c r="GO4" s="319"/>
      <c r="GP4" s="319"/>
      <c r="GQ4" s="320">
        <v>4</v>
      </c>
      <c r="GR4" s="321">
        <v>292505</v>
      </c>
      <c r="GS4" s="323">
        <f>292505/49209180</f>
        <v>5.9441144924585214E-3</v>
      </c>
      <c r="GT4" s="293"/>
      <c r="GU4" s="293"/>
      <c r="GV4" s="293"/>
      <c r="GW4" s="293"/>
      <c r="GX4" s="293"/>
      <c r="GY4" s="293"/>
      <c r="GZ4" s="293"/>
      <c r="HA4" s="293"/>
      <c r="HB4" s="293"/>
      <c r="HC4" s="293"/>
      <c r="HD4" s="293"/>
      <c r="HE4" s="293"/>
      <c r="HF4" s="293"/>
      <c r="HG4" s="293"/>
      <c r="HH4" s="293"/>
      <c r="HI4" s="293"/>
      <c r="HJ4" s="293"/>
      <c r="HK4" s="293"/>
      <c r="HL4" s="293"/>
      <c r="HM4" s="293"/>
      <c r="HN4" s="293"/>
      <c r="HO4" s="293"/>
      <c r="HP4" s="293"/>
      <c r="HQ4" s="293"/>
      <c r="HR4" s="293"/>
      <c r="HS4" s="293"/>
      <c r="HT4" s="293"/>
      <c r="HU4" s="293"/>
      <c r="HV4" s="293"/>
      <c r="HW4" s="293"/>
      <c r="HX4" s="294"/>
    </row>
    <row r="5" spans="2:232" ht="12.75" x14ac:dyDescent="0.2">
      <c r="B5" s="259" t="s">
        <v>85</v>
      </c>
      <c r="C5" s="258">
        <v>131</v>
      </c>
      <c r="D5" s="115"/>
      <c r="E5" s="115"/>
      <c r="F5" s="115"/>
      <c r="G5" s="257">
        <v>131</v>
      </c>
      <c r="H5" s="117"/>
      <c r="I5" s="258">
        <v>3</v>
      </c>
      <c r="J5" s="115"/>
      <c r="K5" s="257">
        <v>3</v>
      </c>
      <c r="L5" s="117">
        <v>0</v>
      </c>
      <c r="M5" s="116">
        <v>652</v>
      </c>
      <c r="N5" s="117">
        <v>9664</v>
      </c>
      <c r="O5" s="115">
        <v>61</v>
      </c>
      <c r="P5" s="115">
        <v>14</v>
      </c>
      <c r="Q5" s="115">
        <v>5</v>
      </c>
      <c r="R5" s="115">
        <v>0</v>
      </c>
      <c r="S5" s="115"/>
      <c r="T5" s="115"/>
      <c r="U5" s="115"/>
      <c r="V5" s="117">
        <v>9744</v>
      </c>
      <c r="W5" s="258">
        <v>1</v>
      </c>
      <c r="X5" s="115">
        <v>1</v>
      </c>
      <c r="Y5" s="257">
        <v>2</v>
      </c>
      <c r="Z5" s="117">
        <v>127</v>
      </c>
      <c r="AA5" s="115"/>
      <c r="AB5" s="117">
        <v>127</v>
      </c>
      <c r="AC5" s="258">
        <v>809</v>
      </c>
      <c r="AD5" s="115"/>
      <c r="AE5" s="115"/>
      <c r="AF5" s="257">
        <v>809</v>
      </c>
      <c r="AG5" s="117">
        <v>3</v>
      </c>
      <c r="AH5" s="115">
        <v>2</v>
      </c>
      <c r="AI5" s="115"/>
      <c r="AJ5" s="115"/>
      <c r="AK5" s="117">
        <v>5</v>
      </c>
      <c r="AL5" s="258"/>
      <c r="AM5" s="115"/>
      <c r="AN5" s="257"/>
      <c r="AO5" s="117"/>
      <c r="AP5" s="116"/>
      <c r="AQ5" s="117">
        <v>2</v>
      </c>
      <c r="AR5" s="115"/>
      <c r="AS5" s="115"/>
      <c r="AT5" s="117">
        <v>2</v>
      </c>
      <c r="AU5" s="258">
        <v>1</v>
      </c>
      <c r="AV5" s="115"/>
      <c r="AW5" s="115"/>
      <c r="AX5" s="115"/>
      <c r="AY5" s="115"/>
      <c r="AZ5" s="115"/>
      <c r="BA5" s="115"/>
      <c r="BB5" s="115"/>
      <c r="BC5" s="257">
        <v>1</v>
      </c>
      <c r="BD5" s="117"/>
      <c r="BE5" s="116">
        <v>5</v>
      </c>
      <c r="BF5" s="117">
        <v>53</v>
      </c>
      <c r="BG5" s="115">
        <v>165</v>
      </c>
      <c r="BH5" s="115">
        <v>552</v>
      </c>
      <c r="BI5" s="115">
        <v>18</v>
      </c>
      <c r="BJ5" s="115">
        <v>14</v>
      </c>
      <c r="BK5" s="115"/>
      <c r="BL5" s="117">
        <v>802</v>
      </c>
      <c r="BM5" s="116">
        <v>4</v>
      </c>
      <c r="BN5" s="116"/>
      <c r="BO5" s="116"/>
      <c r="BP5" s="116">
        <v>27</v>
      </c>
      <c r="BQ5" s="117">
        <v>21</v>
      </c>
      <c r="BR5" s="115">
        <v>1</v>
      </c>
      <c r="BS5" s="117">
        <v>22</v>
      </c>
      <c r="BT5" s="116"/>
      <c r="BU5" s="117"/>
      <c r="BV5" s="115"/>
      <c r="BW5" s="115"/>
      <c r="BX5" s="117"/>
      <c r="BY5" s="258"/>
      <c r="BZ5" s="115"/>
      <c r="CA5" s="115">
        <v>6</v>
      </c>
      <c r="CB5" s="115"/>
      <c r="CC5" s="115"/>
      <c r="CD5" s="115"/>
      <c r="CE5" s="115"/>
      <c r="CF5" s="115"/>
      <c r="CG5" s="115"/>
      <c r="CH5" s="115"/>
      <c r="CI5" s="115"/>
      <c r="CJ5" s="115"/>
      <c r="CK5" s="115"/>
      <c r="CL5" s="115"/>
      <c r="CM5" s="115"/>
      <c r="CN5" s="257">
        <v>6</v>
      </c>
      <c r="CO5" s="117">
        <v>5</v>
      </c>
      <c r="CP5" s="115"/>
      <c r="CQ5" s="117">
        <v>5</v>
      </c>
      <c r="CR5" s="116">
        <v>2</v>
      </c>
      <c r="CS5" s="117">
        <v>115</v>
      </c>
      <c r="CT5" s="115">
        <v>11</v>
      </c>
      <c r="CU5" s="115">
        <v>128474</v>
      </c>
      <c r="CV5" s="115">
        <v>335</v>
      </c>
      <c r="CW5" s="115">
        <v>116593</v>
      </c>
      <c r="CX5" s="115">
        <v>15</v>
      </c>
      <c r="CY5" s="115">
        <v>3</v>
      </c>
      <c r="CZ5" s="115">
        <v>2</v>
      </c>
      <c r="DA5" s="115"/>
      <c r="DB5" s="115"/>
      <c r="DC5" s="115"/>
      <c r="DD5" s="117">
        <v>245548</v>
      </c>
      <c r="DE5" s="258">
        <v>883</v>
      </c>
      <c r="DF5" s="115">
        <v>16</v>
      </c>
      <c r="DG5" s="115">
        <v>40</v>
      </c>
      <c r="DH5" s="115">
        <v>44</v>
      </c>
      <c r="DI5" s="115"/>
      <c r="DJ5" s="115"/>
      <c r="DK5" s="115"/>
      <c r="DL5" s="257">
        <v>983</v>
      </c>
      <c r="DM5" s="117"/>
      <c r="DN5" s="116"/>
      <c r="DO5" s="117"/>
      <c r="DP5" s="115"/>
      <c r="DQ5" s="117"/>
      <c r="DR5" s="116">
        <v>45</v>
      </c>
      <c r="DS5" s="117">
        <v>1</v>
      </c>
      <c r="DT5" s="115"/>
      <c r="DU5" s="117">
        <v>1</v>
      </c>
      <c r="DV5" s="258">
        <v>6</v>
      </c>
      <c r="DW5" s="115"/>
      <c r="DX5" s="257">
        <v>6</v>
      </c>
      <c r="DY5" s="117">
        <v>26</v>
      </c>
      <c r="DZ5" s="116">
        <v>2</v>
      </c>
      <c r="EA5" s="117">
        <v>57</v>
      </c>
      <c r="EB5" s="115"/>
      <c r="EC5" s="117">
        <v>57</v>
      </c>
      <c r="ED5" s="116">
        <v>1</v>
      </c>
      <c r="EE5" s="116">
        <v>1</v>
      </c>
      <c r="EF5" s="117">
        <v>3</v>
      </c>
      <c r="EG5" s="115">
        <v>56</v>
      </c>
      <c r="EH5" s="115"/>
      <c r="EI5" s="115"/>
      <c r="EJ5" s="115"/>
      <c r="EK5" s="115"/>
      <c r="EL5" s="117">
        <v>59</v>
      </c>
      <c r="EM5" s="258">
        <v>144</v>
      </c>
      <c r="EN5" s="115">
        <v>320</v>
      </c>
      <c r="EO5" s="115">
        <v>31</v>
      </c>
      <c r="EP5" s="115">
        <v>85</v>
      </c>
      <c r="EQ5" s="115">
        <v>1552</v>
      </c>
      <c r="ER5" s="115">
        <v>25</v>
      </c>
      <c r="ES5" s="115">
        <v>314</v>
      </c>
      <c r="ET5" s="115">
        <v>0</v>
      </c>
      <c r="EU5" s="115">
        <v>1</v>
      </c>
      <c r="EV5" s="115">
        <v>0</v>
      </c>
      <c r="EW5" s="115">
        <v>2</v>
      </c>
      <c r="EX5" s="115">
        <v>7</v>
      </c>
      <c r="EY5" s="115"/>
      <c r="EZ5" s="257">
        <v>2481</v>
      </c>
      <c r="FA5" s="117"/>
      <c r="FB5" s="116">
        <v>2</v>
      </c>
      <c r="FC5" s="117">
        <v>3</v>
      </c>
      <c r="FD5" s="115"/>
      <c r="FE5" s="115"/>
      <c r="FF5" s="117">
        <v>3</v>
      </c>
      <c r="FG5" s="116"/>
      <c r="FH5" s="116"/>
      <c r="FI5" s="117">
        <v>13</v>
      </c>
      <c r="FJ5" s="115"/>
      <c r="FK5" s="115"/>
      <c r="FL5" s="115"/>
      <c r="FM5" s="117">
        <v>13</v>
      </c>
      <c r="FN5" s="258">
        <v>2</v>
      </c>
      <c r="FO5" s="115"/>
      <c r="FP5" s="257">
        <v>2</v>
      </c>
      <c r="FQ5" s="117"/>
      <c r="FR5" s="115"/>
      <c r="FS5" s="117"/>
      <c r="FT5" s="116"/>
      <c r="FU5" s="117">
        <v>75</v>
      </c>
      <c r="FV5" s="115"/>
      <c r="FW5" s="117">
        <v>75</v>
      </c>
      <c r="FX5" s="258">
        <v>88</v>
      </c>
      <c r="FY5" s="115">
        <v>1</v>
      </c>
      <c r="FZ5" s="115">
        <v>1</v>
      </c>
      <c r="GA5" s="115"/>
      <c r="GB5" s="257">
        <v>90</v>
      </c>
      <c r="GC5" s="117"/>
      <c r="GD5" s="258">
        <v>361</v>
      </c>
      <c r="GE5" s="115"/>
      <c r="GF5" s="257">
        <v>361</v>
      </c>
      <c r="GG5" s="117"/>
      <c r="GH5" s="258">
        <v>2</v>
      </c>
      <c r="GI5" s="115"/>
      <c r="GJ5" s="115"/>
      <c r="GK5" s="257">
        <v>2</v>
      </c>
      <c r="GL5" s="117">
        <v>7</v>
      </c>
      <c r="GM5" s="258">
        <v>2</v>
      </c>
      <c r="GN5" s="115">
        <v>7</v>
      </c>
      <c r="GO5" s="115">
        <v>1</v>
      </c>
      <c r="GP5" s="115"/>
      <c r="GQ5" s="257">
        <v>10</v>
      </c>
      <c r="GR5" s="117">
        <v>262124</v>
      </c>
      <c r="GS5" s="324">
        <f>262124/49209180</f>
        <v>5.3267296874282399E-3</v>
      </c>
      <c r="GT5" s="293"/>
      <c r="GU5" s="293"/>
      <c r="GV5" s="293"/>
      <c r="GW5" s="293"/>
      <c r="GX5" s="293"/>
      <c r="GY5" s="293"/>
      <c r="GZ5" s="293"/>
      <c r="HA5" s="293"/>
      <c r="HB5" s="293"/>
      <c r="HC5" s="293"/>
      <c r="HD5" s="293"/>
      <c r="HE5" s="293"/>
      <c r="HF5" s="293"/>
      <c r="HG5" s="293"/>
      <c r="HH5" s="293"/>
      <c r="HI5" s="293"/>
      <c r="HJ5" s="293"/>
      <c r="HK5" s="293"/>
      <c r="HL5" s="293"/>
      <c r="HM5" s="293"/>
      <c r="HN5" s="293"/>
      <c r="HO5" s="293"/>
      <c r="HP5" s="293"/>
      <c r="HQ5" s="293"/>
      <c r="HR5" s="293"/>
      <c r="HS5" s="293"/>
      <c r="HT5" s="293"/>
      <c r="HU5" s="293"/>
      <c r="HV5" s="293"/>
      <c r="HW5" s="293"/>
      <c r="HX5" s="294"/>
    </row>
    <row r="6" spans="2:232" ht="12.75" x14ac:dyDescent="0.2">
      <c r="B6" s="259" t="s">
        <v>105</v>
      </c>
      <c r="C6" s="258">
        <v>16</v>
      </c>
      <c r="D6" s="115"/>
      <c r="E6" s="115"/>
      <c r="F6" s="115"/>
      <c r="G6" s="257">
        <v>16</v>
      </c>
      <c r="H6" s="117"/>
      <c r="I6" s="258"/>
      <c r="J6" s="115"/>
      <c r="K6" s="257"/>
      <c r="L6" s="117"/>
      <c r="M6" s="116">
        <v>477</v>
      </c>
      <c r="N6" s="117">
        <v>2953</v>
      </c>
      <c r="O6" s="115">
        <v>9</v>
      </c>
      <c r="P6" s="115">
        <v>269</v>
      </c>
      <c r="Q6" s="115">
        <v>59</v>
      </c>
      <c r="R6" s="115">
        <v>4</v>
      </c>
      <c r="S6" s="115">
        <v>12</v>
      </c>
      <c r="T6" s="115">
        <v>6</v>
      </c>
      <c r="U6" s="115">
        <v>0</v>
      </c>
      <c r="V6" s="117">
        <v>3312</v>
      </c>
      <c r="W6" s="258">
        <v>3</v>
      </c>
      <c r="X6" s="115">
        <v>1</v>
      </c>
      <c r="Y6" s="257">
        <v>4</v>
      </c>
      <c r="Z6" s="117">
        <v>156</v>
      </c>
      <c r="AA6" s="115"/>
      <c r="AB6" s="117">
        <v>156</v>
      </c>
      <c r="AC6" s="258">
        <v>1837</v>
      </c>
      <c r="AD6" s="115">
        <v>13</v>
      </c>
      <c r="AE6" s="115"/>
      <c r="AF6" s="257">
        <v>1850</v>
      </c>
      <c r="AG6" s="117">
        <v>43</v>
      </c>
      <c r="AH6" s="115"/>
      <c r="AI6" s="115"/>
      <c r="AJ6" s="115"/>
      <c r="AK6" s="117">
        <v>43</v>
      </c>
      <c r="AL6" s="258"/>
      <c r="AM6" s="115"/>
      <c r="AN6" s="257"/>
      <c r="AO6" s="117"/>
      <c r="AP6" s="116"/>
      <c r="AQ6" s="117"/>
      <c r="AR6" s="115">
        <v>1</v>
      </c>
      <c r="AS6" s="115"/>
      <c r="AT6" s="117">
        <v>1</v>
      </c>
      <c r="AU6" s="258">
        <v>20</v>
      </c>
      <c r="AV6" s="115">
        <v>2</v>
      </c>
      <c r="AW6" s="115">
        <v>227</v>
      </c>
      <c r="AX6" s="115"/>
      <c r="AY6" s="115"/>
      <c r="AZ6" s="115"/>
      <c r="BA6" s="115"/>
      <c r="BB6" s="115"/>
      <c r="BC6" s="257">
        <v>249</v>
      </c>
      <c r="BD6" s="117"/>
      <c r="BE6" s="116"/>
      <c r="BF6" s="117">
        <v>6</v>
      </c>
      <c r="BG6" s="115">
        <v>22</v>
      </c>
      <c r="BH6" s="115">
        <v>45</v>
      </c>
      <c r="BI6" s="115">
        <v>15</v>
      </c>
      <c r="BJ6" s="115">
        <v>3</v>
      </c>
      <c r="BK6" s="115"/>
      <c r="BL6" s="117">
        <v>91</v>
      </c>
      <c r="BM6" s="116"/>
      <c r="BN6" s="116"/>
      <c r="BO6" s="116">
        <v>1</v>
      </c>
      <c r="BP6" s="116"/>
      <c r="BQ6" s="117">
        <v>3</v>
      </c>
      <c r="BR6" s="115"/>
      <c r="BS6" s="117">
        <v>3</v>
      </c>
      <c r="BT6" s="116"/>
      <c r="BU6" s="117"/>
      <c r="BV6" s="115"/>
      <c r="BW6" s="115"/>
      <c r="BX6" s="117"/>
      <c r="BY6" s="258"/>
      <c r="BZ6" s="115"/>
      <c r="CA6" s="115"/>
      <c r="CB6" s="115">
        <v>2</v>
      </c>
      <c r="CC6" s="115"/>
      <c r="CD6" s="115"/>
      <c r="CE6" s="115"/>
      <c r="CF6" s="115"/>
      <c r="CG6" s="115"/>
      <c r="CH6" s="115"/>
      <c r="CI6" s="115"/>
      <c r="CJ6" s="115"/>
      <c r="CK6" s="115"/>
      <c r="CL6" s="115"/>
      <c r="CM6" s="115"/>
      <c r="CN6" s="257">
        <v>2</v>
      </c>
      <c r="CO6" s="117"/>
      <c r="CP6" s="115"/>
      <c r="CQ6" s="117"/>
      <c r="CR6" s="116">
        <v>1</v>
      </c>
      <c r="CS6" s="117">
        <v>113</v>
      </c>
      <c r="CT6" s="115">
        <v>0</v>
      </c>
      <c r="CU6" s="115">
        <v>49338</v>
      </c>
      <c r="CV6" s="115">
        <v>738</v>
      </c>
      <c r="CW6" s="115">
        <v>6650</v>
      </c>
      <c r="CX6" s="115">
        <v>21</v>
      </c>
      <c r="CY6" s="115">
        <v>12</v>
      </c>
      <c r="CZ6" s="115">
        <v>13</v>
      </c>
      <c r="DA6" s="115">
        <v>16</v>
      </c>
      <c r="DB6" s="115"/>
      <c r="DC6" s="115"/>
      <c r="DD6" s="117">
        <v>56901</v>
      </c>
      <c r="DE6" s="258">
        <v>447</v>
      </c>
      <c r="DF6" s="115">
        <v>6</v>
      </c>
      <c r="DG6" s="115">
        <v>61</v>
      </c>
      <c r="DH6" s="115">
        <v>149</v>
      </c>
      <c r="DI6" s="115">
        <v>7</v>
      </c>
      <c r="DJ6" s="115">
        <v>11</v>
      </c>
      <c r="DK6" s="115"/>
      <c r="DL6" s="257">
        <v>681</v>
      </c>
      <c r="DM6" s="117"/>
      <c r="DN6" s="116"/>
      <c r="DO6" s="117"/>
      <c r="DP6" s="115"/>
      <c r="DQ6" s="117"/>
      <c r="DR6" s="116">
        <v>3</v>
      </c>
      <c r="DS6" s="117"/>
      <c r="DT6" s="115"/>
      <c r="DU6" s="117"/>
      <c r="DV6" s="258">
        <v>24</v>
      </c>
      <c r="DW6" s="115"/>
      <c r="DX6" s="257">
        <v>24</v>
      </c>
      <c r="DY6" s="117"/>
      <c r="DZ6" s="116"/>
      <c r="EA6" s="117">
        <v>25</v>
      </c>
      <c r="EB6" s="115"/>
      <c r="EC6" s="117">
        <v>25</v>
      </c>
      <c r="ED6" s="116"/>
      <c r="EE6" s="116"/>
      <c r="EF6" s="117">
        <v>22</v>
      </c>
      <c r="EG6" s="115">
        <v>25</v>
      </c>
      <c r="EH6" s="115"/>
      <c r="EI6" s="115"/>
      <c r="EJ6" s="115"/>
      <c r="EK6" s="115"/>
      <c r="EL6" s="117">
        <v>47</v>
      </c>
      <c r="EM6" s="258">
        <v>266</v>
      </c>
      <c r="EN6" s="115">
        <v>1171</v>
      </c>
      <c r="EO6" s="115">
        <v>111</v>
      </c>
      <c r="EP6" s="115">
        <v>630</v>
      </c>
      <c r="EQ6" s="115">
        <v>732</v>
      </c>
      <c r="ER6" s="115">
        <v>71</v>
      </c>
      <c r="ES6" s="115">
        <v>462</v>
      </c>
      <c r="ET6" s="115">
        <v>23</v>
      </c>
      <c r="EU6" s="115">
        <v>27</v>
      </c>
      <c r="EV6" s="115">
        <v>91</v>
      </c>
      <c r="EW6" s="115"/>
      <c r="EX6" s="115">
        <v>132</v>
      </c>
      <c r="EY6" s="115">
        <v>0</v>
      </c>
      <c r="EZ6" s="257">
        <v>3716</v>
      </c>
      <c r="FA6" s="117"/>
      <c r="FB6" s="116">
        <v>3</v>
      </c>
      <c r="FC6" s="117"/>
      <c r="FD6" s="115"/>
      <c r="FE6" s="115"/>
      <c r="FF6" s="117"/>
      <c r="FG6" s="116"/>
      <c r="FH6" s="116"/>
      <c r="FI6" s="117"/>
      <c r="FJ6" s="115"/>
      <c r="FK6" s="115"/>
      <c r="FL6" s="115"/>
      <c r="FM6" s="117"/>
      <c r="FN6" s="258"/>
      <c r="FO6" s="115"/>
      <c r="FP6" s="257"/>
      <c r="FQ6" s="117"/>
      <c r="FR6" s="115"/>
      <c r="FS6" s="117"/>
      <c r="FT6" s="116"/>
      <c r="FU6" s="117">
        <v>1</v>
      </c>
      <c r="FV6" s="115"/>
      <c r="FW6" s="117">
        <v>1</v>
      </c>
      <c r="FX6" s="258">
        <v>1</v>
      </c>
      <c r="FY6" s="115">
        <v>1</v>
      </c>
      <c r="FZ6" s="115">
        <v>0</v>
      </c>
      <c r="GA6" s="115"/>
      <c r="GB6" s="257">
        <v>2</v>
      </c>
      <c r="GC6" s="117"/>
      <c r="GD6" s="258">
        <v>13</v>
      </c>
      <c r="GE6" s="115"/>
      <c r="GF6" s="257">
        <v>13</v>
      </c>
      <c r="GG6" s="117"/>
      <c r="GH6" s="258">
        <v>1</v>
      </c>
      <c r="GI6" s="115">
        <v>1</v>
      </c>
      <c r="GJ6" s="115"/>
      <c r="GK6" s="257">
        <v>2</v>
      </c>
      <c r="GL6" s="117">
        <v>2</v>
      </c>
      <c r="GM6" s="258">
        <v>21</v>
      </c>
      <c r="GN6" s="115"/>
      <c r="GO6" s="115"/>
      <c r="GP6" s="115"/>
      <c r="GQ6" s="257">
        <v>21</v>
      </c>
      <c r="GR6" s="117">
        <v>67647</v>
      </c>
      <c r="GS6" s="324">
        <f>67647/49209180</f>
        <v>1.3746825287476849E-3</v>
      </c>
      <c r="GT6" s="293"/>
      <c r="GU6" s="293"/>
      <c r="GV6" s="293"/>
      <c r="GW6" s="293"/>
      <c r="GX6" s="293"/>
      <c r="GY6" s="293"/>
      <c r="GZ6" s="293"/>
      <c r="HA6" s="293"/>
      <c r="HB6" s="293"/>
      <c r="HC6" s="293"/>
      <c r="HD6" s="293"/>
      <c r="HE6" s="293"/>
      <c r="HF6" s="293"/>
      <c r="HG6" s="293"/>
      <c r="HH6" s="293"/>
      <c r="HI6" s="293"/>
      <c r="HJ6" s="293"/>
      <c r="HK6" s="293"/>
      <c r="HL6" s="293"/>
      <c r="HM6" s="293"/>
      <c r="HN6" s="293"/>
      <c r="HO6" s="293"/>
      <c r="HP6" s="293"/>
      <c r="HQ6" s="293"/>
      <c r="HR6" s="293"/>
      <c r="HS6" s="293"/>
      <c r="HT6" s="293"/>
      <c r="HU6" s="293"/>
      <c r="HV6" s="293"/>
      <c r="HW6" s="293"/>
      <c r="HX6" s="294"/>
    </row>
    <row r="7" spans="2:232" ht="12.75" x14ac:dyDescent="0.2">
      <c r="B7" s="259" t="s">
        <v>155</v>
      </c>
      <c r="C7" s="258">
        <v>116</v>
      </c>
      <c r="D7" s="115"/>
      <c r="E7" s="115"/>
      <c r="F7" s="115"/>
      <c r="G7" s="257">
        <v>116</v>
      </c>
      <c r="H7" s="117"/>
      <c r="I7" s="258"/>
      <c r="J7" s="115"/>
      <c r="K7" s="257"/>
      <c r="L7" s="117"/>
      <c r="M7" s="116">
        <v>967</v>
      </c>
      <c r="N7" s="117">
        <v>883</v>
      </c>
      <c r="O7" s="115">
        <v>0</v>
      </c>
      <c r="P7" s="115">
        <v>1</v>
      </c>
      <c r="Q7" s="115"/>
      <c r="R7" s="115"/>
      <c r="S7" s="115"/>
      <c r="T7" s="115"/>
      <c r="U7" s="115"/>
      <c r="V7" s="117">
        <v>884</v>
      </c>
      <c r="W7" s="258"/>
      <c r="X7" s="115"/>
      <c r="Y7" s="257"/>
      <c r="Z7" s="117">
        <v>6</v>
      </c>
      <c r="AA7" s="115"/>
      <c r="AB7" s="117">
        <v>6</v>
      </c>
      <c r="AC7" s="258">
        <v>6</v>
      </c>
      <c r="AD7" s="115"/>
      <c r="AE7" s="115"/>
      <c r="AF7" s="257">
        <v>6</v>
      </c>
      <c r="AG7" s="117">
        <v>1</v>
      </c>
      <c r="AH7" s="115"/>
      <c r="AI7" s="115"/>
      <c r="AJ7" s="115"/>
      <c r="AK7" s="117">
        <v>1</v>
      </c>
      <c r="AL7" s="258"/>
      <c r="AM7" s="115"/>
      <c r="AN7" s="257"/>
      <c r="AO7" s="117"/>
      <c r="AP7" s="116"/>
      <c r="AQ7" s="117"/>
      <c r="AR7" s="115"/>
      <c r="AS7" s="115"/>
      <c r="AT7" s="117"/>
      <c r="AU7" s="258">
        <v>16</v>
      </c>
      <c r="AV7" s="115"/>
      <c r="AW7" s="115"/>
      <c r="AX7" s="115"/>
      <c r="AY7" s="115"/>
      <c r="AZ7" s="115"/>
      <c r="BA7" s="115"/>
      <c r="BB7" s="115"/>
      <c r="BC7" s="257">
        <v>16</v>
      </c>
      <c r="BD7" s="117"/>
      <c r="BE7" s="116"/>
      <c r="BF7" s="117">
        <v>22</v>
      </c>
      <c r="BG7" s="115">
        <v>15</v>
      </c>
      <c r="BH7" s="115">
        <v>281</v>
      </c>
      <c r="BI7" s="115">
        <v>6</v>
      </c>
      <c r="BJ7" s="115">
        <v>4</v>
      </c>
      <c r="BK7" s="115"/>
      <c r="BL7" s="117">
        <v>328</v>
      </c>
      <c r="BM7" s="116"/>
      <c r="BN7" s="116"/>
      <c r="BO7" s="116"/>
      <c r="BP7" s="116"/>
      <c r="BQ7" s="117">
        <v>2</v>
      </c>
      <c r="BR7" s="115"/>
      <c r="BS7" s="117">
        <v>2</v>
      </c>
      <c r="BT7" s="116"/>
      <c r="BU7" s="117">
        <v>0</v>
      </c>
      <c r="BV7" s="115"/>
      <c r="BW7" s="115"/>
      <c r="BX7" s="117">
        <v>0</v>
      </c>
      <c r="BY7" s="258"/>
      <c r="BZ7" s="115"/>
      <c r="CA7" s="115"/>
      <c r="CB7" s="115"/>
      <c r="CC7" s="115">
        <v>1</v>
      </c>
      <c r="CD7" s="115"/>
      <c r="CE7" s="115"/>
      <c r="CF7" s="115"/>
      <c r="CG7" s="115"/>
      <c r="CH7" s="115"/>
      <c r="CI7" s="115"/>
      <c r="CJ7" s="115"/>
      <c r="CK7" s="115"/>
      <c r="CL7" s="115"/>
      <c r="CM7" s="115"/>
      <c r="CN7" s="257">
        <v>1</v>
      </c>
      <c r="CO7" s="117"/>
      <c r="CP7" s="115"/>
      <c r="CQ7" s="117"/>
      <c r="CR7" s="116"/>
      <c r="CS7" s="117">
        <v>343</v>
      </c>
      <c r="CT7" s="115">
        <v>647</v>
      </c>
      <c r="CU7" s="115">
        <v>185158</v>
      </c>
      <c r="CV7" s="115">
        <v>1</v>
      </c>
      <c r="CW7" s="115">
        <v>3899</v>
      </c>
      <c r="CX7" s="115">
        <v>7</v>
      </c>
      <c r="CY7" s="115">
        <v>1684</v>
      </c>
      <c r="CZ7" s="115"/>
      <c r="DA7" s="115"/>
      <c r="DB7" s="115"/>
      <c r="DC7" s="115"/>
      <c r="DD7" s="117">
        <v>191739</v>
      </c>
      <c r="DE7" s="258">
        <v>62</v>
      </c>
      <c r="DF7" s="115">
        <v>7</v>
      </c>
      <c r="DG7" s="115">
        <v>1</v>
      </c>
      <c r="DH7" s="115">
        <v>2</v>
      </c>
      <c r="DI7" s="115"/>
      <c r="DJ7" s="115"/>
      <c r="DK7" s="115"/>
      <c r="DL7" s="257">
        <v>72</v>
      </c>
      <c r="DM7" s="117"/>
      <c r="DN7" s="116"/>
      <c r="DO7" s="117"/>
      <c r="DP7" s="115"/>
      <c r="DQ7" s="117"/>
      <c r="DR7" s="116">
        <v>2</v>
      </c>
      <c r="DS7" s="117"/>
      <c r="DT7" s="115"/>
      <c r="DU7" s="117"/>
      <c r="DV7" s="258">
        <v>4</v>
      </c>
      <c r="DW7" s="115"/>
      <c r="DX7" s="257">
        <v>4</v>
      </c>
      <c r="DY7" s="117"/>
      <c r="DZ7" s="116"/>
      <c r="EA7" s="117">
        <v>14</v>
      </c>
      <c r="EB7" s="115"/>
      <c r="EC7" s="117">
        <v>14</v>
      </c>
      <c r="ED7" s="116"/>
      <c r="EE7" s="116"/>
      <c r="EF7" s="117"/>
      <c r="EG7" s="115">
        <v>38</v>
      </c>
      <c r="EH7" s="115"/>
      <c r="EI7" s="115"/>
      <c r="EJ7" s="115"/>
      <c r="EK7" s="115"/>
      <c r="EL7" s="117">
        <v>38</v>
      </c>
      <c r="EM7" s="258">
        <v>2</v>
      </c>
      <c r="EN7" s="115">
        <v>87</v>
      </c>
      <c r="EO7" s="115"/>
      <c r="EP7" s="115">
        <v>7</v>
      </c>
      <c r="EQ7" s="115">
        <v>39</v>
      </c>
      <c r="ER7" s="115"/>
      <c r="ES7" s="115">
        <v>2</v>
      </c>
      <c r="ET7" s="115"/>
      <c r="EU7" s="115"/>
      <c r="EV7" s="115">
        <v>0</v>
      </c>
      <c r="EW7" s="115"/>
      <c r="EX7" s="115">
        <v>1</v>
      </c>
      <c r="EY7" s="115"/>
      <c r="EZ7" s="257">
        <v>138</v>
      </c>
      <c r="FA7" s="117"/>
      <c r="FB7" s="116"/>
      <c r="FC7" s="117"/>
      <c r="FD7" s="115"/>
      <c r="FE7" s="115"/>
      <c r="FF7" s="117"/>
      <c r="FG7" s="116"/>
      <c r="FH7" s="116"/>
      <c r="FI7" s="117"/>
      <c r="FJ7" s="115"/>
      <c r="FK7" s="115"/>
      <c r="FL7" s="115"/>
      <c r="FM7" s="117"/>
      <c r="FN7" s="258"/>
      <c r="FO7" s="115"/>
      <c r="FP7" s="257"/>
      <c r="FQ7" s="117"/>
      <c r="FR7" s="115"/>
      <c r="FS7" s="117"/>
      <c r="FT7" s="116"/>
      <c r="FU7" s="117">
        <v>3</v>
      </c>
      <c r="FV7" s="115"/>
      <c r="FW7" s="117">
        <v>3</v>
      </c>
      <c r="FX7" s="258"/>
      <c r="FY7" s="115"/>
      <c r="FZ7" s="115"/>
      <c r="GA7" s="115"/>
      <c r="GB7" s="257"/>
      <c r="GC7" s="117"/>
      <c r="GD7" s="258">
        <v>13</v>
      </c>
      <c r="GE7" s="115"/>
      <c r="GF7" s="257">
        <v>13</v>
      </c>
      <c r="GG7" s="117"/>
      <c r="GH7" s="258">
        <v>1</v>
      </c>
      <c r="GI7" s="115"/>
      <c r="GJ7" s="115"/>
      <c r="GK7" s="257">
        <v>1</v>
      </c>
      <c r="GL7" s="117"/>
      <c r="GM7" s="258"/>
      <c r="GN7" s="115"/>
      <c r="GO7" s="115"/>
      <c r="GP7" s="115"/>
      <c r="GQ7" s="257"/>
      <c r="GR7" s="117">
        <v>194351</v>
      </c>
      <c r="GS7" s="324">
        <f>194351/49209180</f>
        <v>3.9494866608222289E-3</v>
      </c>
      <c r="GT7" s="293"/>
      <c r="GU7" s="293"/>
      <c r="GV7" s="293"/>
      <c r="GW7" s="293"/>
      <c r="GX7" s="293"/>
      <c r="GY7" s="293"/>
      <c r="GZ7" s="293"/>
      <c r="HA7" s="293"/>
      <c r="HB7" s="293"/>
      <c r="HC7" s="293"/>
      <c r="HD7" s="293"/>
      <c r="HE7" s="293"/>
      <c r="HF7" s="293"/>
      <c r="HG7" s="293"/>
      <c r="HH7" s="293"/>
      <c r="HI7" s="293"/>
      <c r="HJ7" s="293"/>
      <c r="HK7" s="293"/>
      <c r="HL7" s="293"/>
      <c r="HM7" s="293"/>
      <c r="HN7" s="293"/>
      <c r="HO7" s="293"/>
      <c r="HP7" s="293"/>
      <c r="HQ7" s="293"/>
      <c r="HR7" s="293"/>
      <c r="HS7" s="293"/>
      <c r="HT7" s="293"/>
      <c r="HU7" s="293"/>
      <c r="HV7" s="293"/>
      <c r="HW7" s="293"/>
      <c r="HX7" s="294"/>
    </row>
    <row r="8" spans="2:232" ht="12.75" x14ac:dyDescent="0.2">
      <c r="B8" s="259" t="s">
        <v>173</v>
      </c>
      <c r="C8" s="258">
        <v>175</v>
      </c>
      <c r="D8" s="115">
        <v>11</v>
      </c>
      <c r="E8" s="115">
        <v>0</v>
      </c>
      <c r="F8" s="115">
        <v>4</v>
      </c>
      <c r="G8" s="257">
        <v>190</v>
      </c>
      <c r="H8" s="117"/>
      <c r="I8" s="258">
        <v>3</v>
      </c>
      <c r="J8" s="115"/>
      <c r="K8" s="257">
        <v>3</v>
      </c>
      <c r="L8" s="117"/>
      <c r="M8" s="116">
        <v>1028</v>
      </c>
      <c r="N8" s="117">
        <v>4434</v>
      </c>
      <c r="O8" s="115">
        <v>5</v>
      </c>
      <c r="P8" s="115">
        <v>586</v>
      </c>
      <c r="Q8" s="115">
        <v>1</v>
      </c>
      <c r="R8" s="115"/>
      <c r="S8" s="115">
        <v>0</v>
      </c>
      <c r="T8" s="115">
        <v>3</v>
      </c>
      <c r="U8" s="115"/>
      <c r="V8" s="117">
        <v>5029</v>
      </c>
      <c r="W8" s="258">
        <v>0</v>
      </c>
      <c r="X8" s="115"/>
      <c r="Y8" s="257">
        <v>0</v>
      </c>
      <c r="Z8" s="117">
        <v>152</v>
      </c>
      <c r="AA8" s="115">
        <v>21</v>
      </c>
      <c r="AB8" s="117">
        <v>173</v>
      </c>
      <c r="AC8" s="258">
        <v>213</v>
      </c>
      <c r="AD8" s="115">
        <v>5</v>
      </c>
      <c r="AE8" s="115"/>
      <c r="AF8" s="257">
        <v>218</v>
      </c>
      <c r="AG8" s="117">
        <v>10</v>
      </c>
      <c r="AH8" s="115"/>
      <c r="AI8" s="115">
        <v>72</v>
      </c>
      <c r="AJ8" s="115"/>
      <c r="AK8" s="117">
        <v>82</v>
      </c>
      <c r="AL8" s="258">
        <v>135</v>
      </c>
      <c r="AM8" s="115"/>
      <c r="AN8" s="257">
        <v>135</v>
      </c>
      <c r="AO8" s="117"/>
      <c r="AP8" s="116"/>
      <c r="AQ8" s="117">
        <v>1</v>
      </c>
      <c r="AR8" s="115">
        <v>270</v>
      </c>
      <c r="AS8" s="115"/>
      <c r="AT8" s="117">
        <v>271</v>
      </c>
      <c r="AU8" s="258">
        <v>31</v>
      </c>
      <c r="AV8" s="115"/>
      <c r="AW8" s="115"/>
      <c r="AX8" s="115">
        <v>1</v>
      </c>
      <c r="AY8" s="115">
        <v>12</v>
      </c>
      <c r="AZ8" s="115">
        <v>7</v>
      </c>
      <c r="BA8" s="115"/>
      <c r="BB8" s="115"/>
      <c r="BC8" s="257">
        <v>51</v>
      </c>
      <c r="BD8" s="117">
        <v>2</v>
      </c>
      <c r="BE8" s="116">
        <v>1</v>
      </c>
      <c r="BF8" s="117">
        <v>9</v>
      </c>
      <c r="BG8" s="115">
        <v>58</v>
      </c>
      <c r="BH8" s="115">
        <v>87</v>
      </c>
      <c r="BI8" s="115">
        <v>9</v>
      </c>
      <c r="BJ8" s="115">
        <v>14</v>
      </c>
      <c r="BK8" s="115"/>
      <c r="BL8" s="117">
        <v>177</v>
      </c>
      <c r="BM8" s="116"/>
      <c r="BN8" s="116"/>
      <c r="BO8" s="116"/>
      <c r="BP8" s="116"/>
      <c r="BQ8" s="117">
        <v>37</v>
      </c>
      <c r="BR8" s="115"/>
      <c r="BS8" s="117">
        <v>37</v>
      </c>
      <c r="BT8" s="116">
        <v>18</v>
      </c>
      <c r="BU8" s="117"/>
      <c r="BV8" s="115">
        <v>1</v>
      </c>
      <c r="BW8" s="115"/>
      <c r="BX8" s="117">
        <v>1</v>
      </c>
      <c r="BY8" s="258"/>
      <c r="BZ8" s="115"/>
      <c r="CA8" s="115">
        <v>4</v>
      </c>
      <c r="CB8" s="115">
        <v>6</v>
      </c>
      <c r="CC8" s="115">
        <v>191</v>
      </c>
      <c r="CD8" s="115">
        <v>35</v>
      </c>
      <c r="CE8" s="115">
        <v>44</v>
      </c>
      <c r="CF8" s="115">
        <v>2</v>
      </c>
      <c r="CG8" s="115">
        <v>22</v>
      </c>
      <c r="CH8" s="115">
        <v>33</v>
      </c>
      <c r="CI8" s="115">
        <v>77</v>
      </c>
      <c r="CJ8" s="115"/>
      <c r="CK8" s="115"/>
      <c r="CL8" s="115"/>
      <c r="CM8" s="115"/>
      <c r="CN8" s="257">
        <v>414</v>
      </c>
      <c r="CO8" s="117">
        <v>2</v>
      </c>
      <c r="CP8" s="115"/>
      <c r="CQ8" s="117">
        <v>2</v>
      </c>
      <c r="CR8" s="116">
        <v>50</v>
      </c>
      <c r="CS8" s="117">
        <v>210</v>
      </c>
      <c r="CT8" s="115">
        <v>111</v>
      </c>
      <c r="CU8" s="115">
        <v>111880</v>
      </c>
      <c r="CV8" s="115">
        <v>48</v>
      </c>
      <c r="CW8" s="115">
        <v>58611</v>
      </c>
      <c r="CX8" s="115">
        <v>389</v>
      </c>
      <c r="CY8" s="115">
        <v>473</v>
      </c>
      <c r="CZ8" s="115">
        <v>141</v>
      </c>
      <c r="DA8" s="115">
        <v>1</v>
      </c>
      <c r="DB8" s="115">
        <v>1</v>
      </c>
      <c r="DC8" s="115">
        <v>0</v>
      </c>
      <c r="DD8" s="117">
        <v>171865</v>
      </c>
      <c r="DE8" s="258">
        <v>289</v>
      </c>
      <c r="DF8" s="115">
        <v>123</v>
      </c>
      <c r="DG8" s="115">
        <v>8</v>
      </c>
      <c r="DH8" s="115">
        <v>111</v>
      </c>
      <c r="DI8" s="115">
        <v>166</v>
      </c>
      <c r="DJ8" s="115"/>
      <c r="DK8" s="115"/>
      <c r="DL8" s="257">
        <v>697</v>
      </c>
      <c r="DM8" s="117"/>
      <c r="DN8" s="116"/>
      <c r="DO8" s="117"/>
      <c r="DP8" s="115">
        <v>20</v>
      </c>
      <c r="DQ8" s="117">
        <v>20</v>
      </c>
      <c r="DR8" s="116">
        <v>10</v>
      </c>
      <c r="DS8" s="117"/>
      <c r="DT8" s="115"/>
      <c r="DU8" s="117"/>
      <c r="DV8" s="258">
        <v>664</v>
      </c>
      <c r="DW8" s="115"/>
      <c r="DX8" s="257">
        <v>664</v>
      </c>
      <c r="DY8" s="117">
        <v>2</v>
      </c>
      <c r="DZ8" s="116">
        <v>2</v>
      </c>
      <c r="EA8" s="117">
        <v>15</v>
      </c>
      <c r="EB8" s="115"/>
      <c r="EC8" s="117">
        <v>15</v>
      </c>
      <c r="ED8" s="116"/>
      <c r="EE8" s="116"/>
      <c r="EF8" s="117">
        <v>1050</v>
      </c>
      <c r="EG8" s="115">
        <v>65</v>
      </c>
      <c r="EH8" s="115">
        <v>6</v>
      </c>
      <c r="EI8" s="115"/>
      <c r="EJ8" s="115"/>
      <c r="EK8" s="115"/>
      <c r="EL8" s="117">
        <v>1121</v>
      </c>
      <c r="EM8" s="258">
        <v>17</v>
      </c>
      <c r="EN8" s="115">
        <v>286</v>
      </c>
      <c r="EO8" s="115">
        <v>1</v>
      </c>
      <c r="EP8" s="115">
        <v>112</v>
      </c>
      <c r="EQ8" s="115">
        <v>332</v>
      </c>
      <c r="ER8" s="115">
        <v>2</v>
      </c>
      <c r="ES8" s="115">
        <v>34</v>
      </c>
      <c r="ET8" s="115">
        <v>7</v>
      </c>
      <c r="EU8" s="115"/>
      <c r="EV8" s="115">
        <v>6</v>
      </c>
      <c r="EW8" s="115">
        <v>11</v>
      </c>
      <c r="EX8" s="115">
        <v>23</v>
      </c>
      <c r="EY8" s="115"/>
      <c r="EZ8" s="257">
        <v>831</v>
      </c>
      <c r="FA8" s="117"/>
      <c r="FB8" s="116"/>
      <c r="FC8" s="117"/>
      <c r="FD8" s="115">
        <v>1</v>
      </c>
      <c r="FE8" s="115">
        <v>178</v>
      </c>
      <c r="FF8" s="117">
        <v>179</v>
      </c>
      <c r="FG8" s="116">
        <v>3</v>
      </c>
      <c r="FH8" s="116">
        <v>16</v>
      </c>
      <c r="FI8" s="117">
        <v>1</v>
      </c>
      <c r="FJ8" s="115">
        <v>507</v>
      </c>
      <c r="FK8" s="115">
        <v>24</v>
      </c>
      <c r="FL8" s="115">
        <v>240</v>
      </c>
      <c r="FM8" s="117">
        <v>772</v>
      </c>
      <c r="FN8" s="258"/>
      <c r="FO8" s="115"/>
      <c r="FP8" s="257"/>
      <c r="FQ8" s="117"/>
      <c r="FR8" s="115"/>
      <c r="FS8" s="117"/>
      <c r="FT8" s="116"/>
      <c r="FU8" s="117">
        <v>29</v>
      </c>
      <c r="FV8" s="115"/>
      <c r="FW8" s="117">
        <v>29</v>
      </c>
      <c r="FX8" s="258">
        <v>288</v>
      </c>
      <c r="FY8" s="115">
        <v>530</v>
      </c>
      <c r="FZ8" s="115">
        <v>4</v>
      </c>
      <c r="GA8" s="115">
        <v>18</v>
      </c>
      <c r="GB8" s="257">
        <v>840</v>
      </c>
      <c r="GC8" s="117"/>
      <c r="GD8" s="258">
        <v>1215</v>
      </c>
      <c r="GE8" s="115">
        <v>37</v>
      </c>
      <c r="GF8" s="257">
        <v>1252</v>
      </c>
      <c r="GG8" s="117"/>
      <c r="GH8" s="258">
        <v>1</v>
      </c>
      <c r="GI8" s="115"/>
      <c r="GJ8" s="115"/>
      <c r="GK8" s="257">
        <v>1</v>
      </c>
      <c r="GL8" s="117">
        <v>252</v>
      </c>
      <c r="GM8" s="258">
        <v>76</v>
      </c>
      <c r="GN8" s="115">
        <v>1</v>
      </c>
      <c r="GO8" s="115">
        <v>320</v>
      </c>
      <c r="GP8" s="115">
        <v>203</v>
      </c>
      <c r="GQ8" s="257">
        <v>600</v>
      </c>
      <c r="GR8" s="117">
        <v>187053</v>
      </c>
      <c r="GS8" s="324">
        <f>187053/49209180</f>
        <v>3.8011809991550355E-3</v>
      </c>
      <c r="GT8" s="293"/>
      <c r="GU8" s="293"/>
      <c r="GV8" s="293"/>
      <c r="GW8" s="293"/>
      <c r="GX8" s="293"/>
      <c r="GY8" s="293"/>
      <c r="GZ8" s="293"/>
      <c r="HA8" s="293"/>
      <c r="HB8" s="293"/>
      <c r="HC8" s="293"/>
      <c r="HD8" s="293"/>
      <c r="HE8" s="293"/>
      <c r="HF8" s="293"/>
      <c r="HG8" s="293"/>
      <c r="HH8" s="293"/>
      <c r="HI8" s="293"/>
      <c r="HJ8" s="293"/>
      <c r="HK8" s="293"/>
      <c r="HL8" s="293"/>
      <c r="HM8" s="293"/>
      <c r="HN8" s="293"/>
      <c r="HO8" s="293"/>
      <c r="HP8" s="293"/>
      <c r="HQ8" s="293"/>
      <c r="HR8" s="293"/>
      <c r="HS8" s="293"/>
      <c r="HT8" s="293"/>
      <c r="HU8" s="293"/>
      <c r="HV8" s="293"/>
      <c r="HW8" s="293"/>
      <c r="HX8" s="294"/>
    </row>
    <row r="9" spans="2:232" ht="12.75" x14ac:dyDescent="0.2">
      <c r="B9" s="259" t="s">
        <v>227</v>
      </c>
      <c r="C9" s="258">
        <v>18</v>
      </c>
      <c r="D9" s="115"/>
      <c r="E9" s="115"/>
      <c r="F9" s="115"/>
      <c r="G9" s="257">
        <v>18</v>
      </c>
      <c r="H9" s="117"/>
      <c r="I9" s="258">
        <v>2</v>
      </c>
      <c r="J9" s="115"/>
      <c r="K9" s="257">
        <v>2</v>
      </c>
      <c r="L9" s="117"/>
      <c r="M9" s="116">
        <v>665</v>
      </c>
      <c r="N9" s="117">
        <v>228</v>
      </c>
      <c r="O9" s="115">
        <v>1</v>
      </c>
      <c r="P9" s="115"/>
      <c r="Q9" s="115"/>
      <c r="R9" s="115"/>
      <c r="S9" s="115"/>
      <c r="T9" s="115"/>
      <c r="U9" s="115"/>
      <c r="V9" s="117">
        <v>229</v>
      </c>
      <c r="W9" s="258"/>
      <c r="X9" s="115"/>
      <c r="Y9" s="257"/>
      <c r="Z9" s="117">
        <v>5</v>
      </c>
      <c r="AA9" s="115"/>
      <c r="AB9" s="117">
        <v>5</v>
      </c>
      <c r="AC9" s="258">
        <v>2</v>
      </c>
      <c r="AD9" s="115"/>
      <c r="AE9" s="115"/>
      <c r="AF9" s="257">
        <v>2</v>
      </c>
      <c r="AG9" s="117"/>
      <c r="AH9" s="115"/>
      <c r="AI9" s="115"/>
      <c r="AJ9" s="115"/>
      <c r="AK9" s="117"/>
      <c r="AL9" s="258"/>
      <c r="AM9" s="115"/>
      <c r="AN9" s="257"/>
      <c r="AO9" s="117"/>
      <c r="AP9" s="116"/>
      <c r="AQ9" s="117"/>
      <c r="AR9" s="115"/>
      <c r="AS9" s="115"/>
      <c r="AT9" s="117"/>
      <c r="AU9" s="258"/>
      <c r="AV9" s="115"/>
      <c r="AW9" s="115"/>
      <c r="AX9" s="115"/>
      <c r="AY9" s="115"/>
      <c r="AZ9" s="115"/>
      <c r="BA9" s="115"/>
      <c r="BB9" s="115"/>
      <c r="BC9" s="257"/>
      <c r="BD9" s="117"/>
      <c r="BE9" s="116"/>
      <c r="BF9" s="117"/>
      <c r="BG9" s="115"/>
      <c r="BH9" s="115">
        <v>5</v>
      </c>
      <c r="BI9" s="115"/>
      <c r="BJ9" s="115"/>
      <c r="BK9" s="115"/>
      <c r="BL9" s="117">
        <v>5</v>
      </c>
      <c r="BM9" s="116">
        <v>1</v>
      </c>
      <c r="BN9" s="116"/>
      <c r="BO9" s="116"/>
      <c r="BP9" s="116"/>
      <c r="BQ9" s="117">
        <v>65</v>
      </c>
      <c r="BR9" s="115">
        <v>1</v>
      </c>
      <c r="BS9" s="117">
        <v>66</v>
      </c>
      <c r="BT9" s="116"/>
      <c r="BU9" s="117"/>
      <c r="BV9" s="115"/>
      <c r="BW9" s="115"/>
      <c r="BX9" s="117"/>
      <c r="BY9" s="258"/>
      <c r="BZ9" s="115">
        <v>0</v>
      </c>
      <c r="CA9" s="115"/>
      <c r="CB9" s="115"/>
      <c r="CC9" s="115"/>
      <c r="CD9" s="115"/>
      <c r="CE9" s="115"/>
      <c r="CF9" s="115"/>
      <c r="CG9" s="115"/>
      <c r="CH9" s="115">
        <v>1</v>
      </c>
      <c r="CI9" s="115"/>
      <c r="CJ9" s="115">
        <v>1</v>
      </c>
      <c r="CK9" s="115"/>
      <c r="CL9" s="115"/>
      <c r="CM9" s="115"/>
      <c r="CN9" s="257">
        <v>2</v>
      </c>
      <c r="CO9" s="117"/>
      <c r="CP9" s="115"/>
      <c r="CQ9" s="117"/>
      <c r="CR9" s="116"/>
      <c r="CS9" s="117">
        <v>5</v>
      </c>
      <c r="CT9" s="115">
        <v>2</v>
      </c>
      <c r="CU9" s="115">
        <v>13947</v>
      </c>
      <c r="CV9" s="115">
        <v>1</v>
      </c>
      <c r="CW9" s="115">
        <v>4590</v>
      </c>
      <c r="CX9" s="115">
        <v>3</v>
      </c>
      <c r="CY9" s="115">
        <v>2</v>
      </c>
      <c r="CZ9" s="115"/>
      <c r="DA9" s="115"/>
      <c r="DB9" s="115"/>
      <c r="DC9" s="115"/>
      <c r="DD9" s="117">
        <v>18550</v>
      </c>
      <c r="DE9" s="258">
        <v>40</v>
      </c>
      <c r="DF9" s="115"/>
      <c r="DG9" s="115"/>
      <c r="DH9" s="115">
        <v>1</v>
      </c>
      <c r="DI9" s="115"/>
      <c r="DJ9" s="115"/>
      <c r="DK9" s="115"/>
      <c r="DL9" s="257">
        <v>41</v>
      </c>
      <c r="DM9" s="117"/>
      <c r="DN9" s="116"/>
      <c r="DO9" s="117"/>
      <c r="DP9" s="115"/>
      <c r="DQ9" s="117"/>
      <c r="DR9" s="116">
        <v>84</v>
      </c>
      <c r="DS9" s="117"/>
      <c r="DT9" s="115"/>
      <c r="DU9" s="117"/>
      <c r="DV9" s="258"/>
      <c r="DW9" s="115"/>
      <c r="DX9" s="257"/>
      <c r="DY9" s="117">
        <v>4</v>
      </c>
      <c r="DZ9" s="116"/>
      <c r="EA9" s="117"/>
      <c r="EB9" s="115"/>
      <c r="EC9" s="117"/>
      <c r="ED9" s="116"/>
      <c r="EE9" s="116"/>
      <c r="EF9" s="117">
        <v>9</v>
      </c>
      <c r="EG9" s="115">
        <v>8</v>
      </c>
      <c r="EH9" s="115"/>
      <c r="EI9" s="115"/>
      <c r="EJ9" s="115"/>
      <c r="EK9" s="115"/>
      <c r="EL9" s="117">
        <v>17</v>
      </c>
      <c r="EM9" s="258"/>
      <c r="EN9" s="115">
        <v>6</v>
      </c>
      <c r="EO9" s="115"/>
      <c r="EP9" s="115">
        <v>2</v>
      </c>
      <c r="EQ9" s="115">
        <v>26</v>
      </c>
      <c r="ER9" s="115"/>
      <c r="ES9" s="115"/>
      <c r="ET9" s="115"/>
      <c r="EU9" s="115"/>
      <c r="EV9" s="115"/>
      <c r="EW9" s="115"/>
      <c r="EX9" s="115">
        <v>1</v>
      </c>
      <c r="EY9" s="115"/>
      <c r="EZ9" s="257">
        <v>35</v>
      </c>
      <c r="FA9" s="117"/>
      <c r="FB9" s="116"/>
      <c r="FC9" s="117"/>
      <c r="FD9" s="115"/>
      <c r="FE9" s="115"/>
      <c r="FF9" s="117"/>
      <c r="FG9" s="116"/>
      <c r="FH9" s="116"/>
      <c r="FI9" s="117">
        <v>1</v>
      </c>
      <c r="FJ9" s="115">
        <v>2</v>
      </c>
      <c r="FK9" s="115"/>
      <c r="FL9" s="115">
        <v>2</v>
      </c>
      <c r="FM9" s="117">
        <v>5</v>
      </c>
      <c r="FN9" s="258">
        <v>1</v>
      </c>
      <c r="FO9" s="115"/>
      <c r="FP9" s="257">
        <v>1</v>
      </c>
      <c r="FQ9" s="117"/>
      <c r="FR9" s="115"/>
      <c r="FS9" s="117"/>
      <c r="FT9" s="116"/>
      <c r="FU9" s="117">
        <v>3</v>
      </c>
      <c r="FV9" s="115"/>
      <c r="FW9" s="117">
        <v>3</v>
      </c>
      <c r="FX9" s="258">
        <v>1</v>
      </c>
      <c r="FY9" s="115"/>
      <c r="FZ9" s="115"/>
      <c r="GA9" s="115"/>
      <c r="GB9" s="257">
        <v>1</v>
      </c>
      <c r="GC9" s="117"/>
      <c r="GD9" s="258">
        <v>175</v>
      </c>
      <c r="GE9" s="115"/>
      <c r="GF9" s="257">
        <v>175</v>
      </c>
      <c r="GG9" s="117"/>
      <c r="GH9" s="258"/>
      <c r="GI9" s="115"/>
      <c r="GJ9" s="115"/>
      <c r="GK9" s="257"/>
      <c r="GL9" s="117">
        <v>2</v>
      </c>
      <c r="GM9" s="258"/>
      <c r="GN9" s="115"/>
      <c r="GO9" s="115"/>
      <c r="GP9" s="115"/>
      <c r="GQ9" s="257"/>
      <c r="GR9" s="117">
        <v>19913</v>
      </c>
      <c r="GS9" s="324">
        <f>19913/49209180</f>
        <v>4.0466026867344671E-4</v>
      </c>
      <c r="GT9" s="293"/>
      <c r="GU9" s="293"/>
      <c r="GV9" s="293"/>
      <c r="GW9" s="293"/>
      <c r="GX9" s="293"/>
      <c r="GY9" s="293"/>
      <c r="GZ9" s="293"/>
      <c r="HA9" s="293"/>
      <c r="HB9" s="293"/>
      <c r="HC9" s="293"/>
      <c r="HD9" s="293"/>
      <c r="HE9" s="293"/>
      <c r="HF9" s="293"/>
      <c r="HG9" s="293"/>
      <c r="HH9" s="293"/>
      <c r="HI9" s="293"/>
      <c r="HJ9" s="293"/>
      <c r="HK9" s="293"/>
      <c r="HL9" s="293"/>
      <c r="HM9" s="293"/>
      <c r="HN9" s="293"/>
      <c r="HO9" s="293"/>
      <c r="HP9" s="293"/>
      <c r="HQ9" s="293"/>
      <c r="HR9" s="293"/>
      <c r="HS9" s="293"/>
      <c r="HT9" s="293"/>
      <c r="HU9" s="293"/>
      <c r="HV9" s="293"/>
      <c r="HW9" s="293"/>
      <c r="HX9" s="294"/>
    </row>
    <row r="10" spans="2:232" ht="12.75" x14ac:dyDescent="0.2">
      <c r="B10" s="259" t="s">
        <v>243</v>
      </c>
      <c r="C10" s="258">
        <v>69</v>
      </c>
      <c r="D10" s="115"/>
      <c r="E10" s="115"/>
      <c r="F10" s="115"/>
      <c r="G10" s="257">
        <v>69</v>
      </c>
      <c r="H10" s="117"/>
      <c r="I10" s="258">
        <v>5</v>
      </c>
      <c r="J10" s="115"/>
      <c r="K10" s="257">
        <v>5</v>
      </c>
      <c r="L10" s="117"/>
      <c r="M10" s="116">
        <v>321</v>
      </c>
      <c r="N10" s="117">
        <v>4421</v>
      </c>
      <c r="O10" s="115">
        <v>3</v>
      </c>
      <c r="P10" s="115">
        <v>138</v>
      </c>
      <c r="Q10" s="115">
        <v>3</v>
      </c>
      <c r="R10" s="115"/>
      <c r="S10" s="115">
        <v>1</v>
      </c>
      <c r="T10" s="115"/>
      <c r="U10" s="115"/>
      <c r="V10" s="117">
        <v>4566</v>
      </c>
      <c r="W10" s="258">
        <v>2</v>
      </c>
      <c r="X10" s="115">
        <v>3</v>
      </c>
      <c r="Y10" s="257">
        <v>5</v>
      </c>
      <c r="Z10" s="117">
        <v>67</v>
      </c>
      <c r="AA10" s="115"/>
      <c r="AB10" s="117">
        <v>67</v>
      </c>
      <c r="AC10" s="258">
        <v>139</v>
      </c>
      <c r="AD10" s="115"/>
      <c r="AE10" s="115"/>
      <c r="AF10" s="257">
        <v>139</v>
      </c>
      <c r="AG10" s="117">
        <v>10</v>
      </c>
      <c r="AH10" s="115">
        <v>2</v>
      </c>
      <c r="AI10" s="115"/>
      <c r="AJ10" s="115"/>
      <c r="AK10" s="117">
        <v>12</v>
      </c>
      <c r="AL10" s="258"/>
      <c r="AM10" s="115"/>
      <c r="AN10" s="257"/>
      <c r="AO10" s="117"/>
      <c r="AP10" s="116"/>
      <c r="AQ10" s="117"/>
      <c r="AR10" s="115"/>
      <c r="AS10" s="115"/>
      <c r="AT10" s="117"/>
      <c r="AU10" s="258">
        <v>2</v>
      </c>
      <c r="AV10" s="115"/>
      <c r="AW10" s="115">
        <v>17</v>
      </c>
      <c r="AX10" s="115"/>
      <c r="AY10" s="115"/>
      <c r="AZ10" s="115"/>
      <c r="BA10" s="115"/>
      <c r="BB10" s="115"/>
      <c r="BC10" s="257">
        <v>19</v>
      </c>
      <c r="BD10" s="117"/>
      <c r="BE10" s="116"/>
      <c r="BF10" s="117">
        <v>35</v>
      </c>
      <c r="BG10" s="115">
        <v>65</v>
      </c>
      <c r="BH10" s="115">
        <v>290</v>
      </c>
      <c r="BI10" s="115">
        <v>2</v>
      </c>
      <c r="BJ10" s="115">
        <v>6</v>
      </c>
      <c r="BK10" s="115"/>
      <c r="BL10" s="117">
        <v>398</v>
      </c>
      <c r="BM10" s="116">
        <v>1</v>
      </c>
      <c r="BN10" s="116"/>
      <c r="BO10" s="116"/>
      <c r="BP10" s="116">
        <v>2</v>
      </c>
      <c r="BQ10" s="117">
        <v>48</v>
      </c>
      <c r="BR10" s="115">
        <v>0</v>
      </c>
      <c r="BS10" s="117">
        <v>48</v>
      </c>
      <c r="BT10" s="116"/>
      <c r="BU10" s="117">
        <v>0</v>
      </c>
      <c r="BV10" s="115"/>
      <c r="BW10" s="115"/>
      <c r="BX10" s="117">
        <v>0</v>
      </c>
      <c r="BY10" s="258"/>
      <c r="BZ10" s="115"/>
      <c r="CA10" s="115"/>
      <c r="CB10" s="115"/>
      <c r="CC10" s="115"/>
      <c r="CD10" s="115"/>
      <c r="CE10" s="115"/>
      <c r="CF10" s="115"/>
      <c r="CG10" s="115"/>
      <c r="CH10" s="115"/>
      <c r="CI10" s="115"/>
      <c r="CJ10" s="115"/>
      <c r="CK10" s="115"/>
      <c r="CL10" s="115"/>
      <c r="CM10" s="115"/>
      <c r="CN10" s="257"/>
      <c r="CO10" s="117">
        <v>1</v>
      </c>
      <c r="CP10" s="115"/>
      <c r="CQ10" s="117">
        <v>1</v>
      </c>
      <c r="CR10" s="116">
        <v>0</v>
      </c>
      <c r="CS10" s="117">
        <v>30</v>
      </c>
      <c r="CT10" s="115">
        <v>79</v>
      </c>
      <c r="CU10" s="115">
        <v>155689</v>
      </c>
      <c r="CV10" s="115">
        <v>155</v>
      </c>
      <c r="CW10" s="115">
        <v>10563</v>
      </c>
      <c r="CX10" s="115">
        <v>26</v>
      </c>
      <c r="CY10" s="115">
        <v>121</v>
      </c>
      <c r="CZ10" s="115">
        <v>14</v>
      </c>
      <c r="DA10" s="115">
        <v>2</v>
      </c>
      <c r="DB10" s="115"/>
      <c r="DC10" s="115"/>
      <c r="DD10" s="117">
        <v>166679</v>
      </c>
      <c r="DE10" s="258">
        <v>353</v>
      </c>
      <c r="DF10" s="115"/>
      <c r="DG10" s="115">
        <v>14</v>
      </c>
      <c r="DH10" s="115">
        <v>32</v>
      </c>
      <c r="DI10" s="115"/>
      <c r="DJ10" s="115"/>
      <c r="DK10" s="115"/>
      <c r="DL10" s="257">
        <v>399</v>
      </c>
      <c r="DM10" s="117"/>
      <c r="DN10" s="116"/>
      <c r="DO10" s="117"/>
      <c r="DP10" s="115"/>
      <c r="DQ10" s="117"/>
      <c r="DR10" s="116">
        <v>7</v>
      </c>
      <c r="DS10" s="117"/>
      <c r="DT10" s="115"/>
      <c r="DU10" s="117"/>
      <c r="DV10" s="258">
        <v>20</v>
      </c>
      <c r="DW10" s="115"/>
      <c r="DX10" s="257">
        <v>20</v>
      </c>
      <c r="DY10" s="117">
        <v>9</v>
      </c>
      <c r="DZ10" s="116">
        <v>0</v>
      </c>
      <c r="EA10" s="117">
        <v>44</v>
      </c>
      <c r="EB10" s="115"/>
      <c r="EC10" s="117">
        <v>44</v>
      </c>
      <c r="ED10" s="116"/>
      <c r="EE10" s="116"/>
      <c r="EF10" s="117">
        <v>11</v>
      </c>
      <c r="EG10" s="115">
        <v>8</v>
      </c>
      <c r="EH10" s="115"/>
      <c r="EI10" s="115"/>
      <c r="EJ10" s="115"/>
      <c r="EK10" s="115"/>
      <c r="EL10" s="117">
        <v>19</v>
      </c>
      <c r="EM10" s="258">
        <v>88</v>
      </c>
      <c r="EN10" s="115">
        <v>1481</v>
      </c>
      <c r="EO10" s="115">
        <v>11</v>
      </c>
      <c r="EP10" s="115">
        <v>103</v>
      </c>
      <c r="EQ10" s="115">
        <v>1679</v>
      </c>
      <c r="ER10" s="115">
        <v>8</v>
      </c>
      <c r="ES10" s="115">
        <v>36</v>
      </c>
      <c r="ET10" s="115"/>
      <c r="EU10" s="115">
        <v>5</v>
      </c>
      <c r="EV10" s="115">
        <v>0</v>
      </c>
      <c r="EW10" s="115"/>
      <c r="EX10" s="115">
        <v>1</v>
      </c>
      <c r="EY10" s="115"/>
      <c r="EZ10" s="257">
        <v>3412</v>
      </c>
      <c r="FA10" s="117"/>
      <c r="FB10" s="116">
        <v>1</v>
      </c>
      <c r="FC10" s="117"/>
      <c r="FD10" s="115"/>
      <c r="FE10" s="115"/>
      <c r="FF10" s="117"/>
      <c r="FG10" s="116"/>
      <c r="FH10" s="116"/>
      <c r="FI10" s="117">
        <v>5</v>
      </c>
      <c r="FJ10" s="115">
        <v>0</v>
      </c>
      <c r="FK10" s="115"/>
      <c r="FL10" s="115"/>
      <c r="FM10" s="117">
        <v>5</v>
      </c>
      <c r="FN10" s="258"/>
      <c r="FO10" s="115"/>
      <c r="FP10" s="257"/>
      <c r="FQ10" s="117"/>
      <c r="FR10" s="115"/>
      <c r="FS10" s="117"/>
      <c r="FT10" s="116"/>
      <c r="FU10" s="117">
        <v>26</v>
      </c>
      <c r="FV10" s="115"/>
      <c r="FW10" s="117">
        <v>26</v>
      </c>
      <c r="FX10" s="258">
        <v>5</v>
      </c>
      <c r="FY10" s="115"/>
      <c r="FZ10" s="115"/>
      <c r="GA10" s="115"/>
      <c r="GB10" s="257">
        <v>5</v>
      </c>
      <c r="GC10" s="117"/>
      <c r="GD10" s="258">
        <v>261</v>
      </c>
      <c r="GE10" s="115"/>
      <c r="GF10" s="257">
        <v>261</v>
      </c>
      <c r="GG10" s="117"/>
      <c r="GH10" s="258">
        <v>3</v>
      </c>
      <c r="GI10" s="115"/>
      <c r="GJ10" s="115"/>
      <c r="GK10" s="257">
        <v>3</v>
      </c>
      <c r="GL10" s="117">
        <v>0</v>
      </c>
      <c r="GM10" s="258">
        <v>3</v>
      </c>
      <c r="GN10" s="115">
        <v>1</v>
      </c>
      <c r="GO10" s="115"/>
      <c r="GP10" s="115"/>
      <c r="GQ10" s="257">
        <v>4</v>
      </c>
      <c r="GR10" s="117">
        <v>176547</v>
      </c>
      <c r="GS10" s="324">
        <f>176547/49209180</f>
        <v>3.5876842491583886E-3</v>
      </c>
      <c r="GT10" s="293"/>
      <c r="GU10" s="293"/>
      <c r="GV10" s="293"/>
      <c r="GW10" s="293"/>
      <c r="GX10" s="293"/>
      <c r="GY10" s="293"/>
      <c r="GZ10" s="293"/>
      <c r="HA10" s="293"/>
      <c r="HB10" s="293"/>
      <c r="HC10" s="293"/>
      <c r="HD10" s="293"/>
      <c r="HE10" s="293"/>
      <c r="HF10" s="293"/>
      <c r="HG10" s="293"/>
      <c r="HH10" s="293"/>
      <c r="HI10" s="293"/>
      <c r="HJ10" s="293"/>
      <c r="HK10" s="293"/>
      <c r="HL10" s="293"/>
      <c r="HM10" s="293"/>
      <c r="HN10" s="293"/>
      <c r="HO10" s="293"/>
      <c r="HP10" s="293"/>
      <c r="HQ10" s="293"/>
      <c r="HR10" s="293"/>
      <c r="HS10" s="293"/>
      <c r="HT10" s="293"/>
      <c r="HU10" s="293"/>
      <c r="HV10" s="293"/>
      <c r="HW10" s="293"/>
      <c r="HX10" s="294"/>
    </row>
    <row r="11" spans="2:232" ht="13.5" thickBot="1" x14ac:dyDescent="0.25">
      <c r="B11" s="325" t="s">
        <v>554</v>
      </c>
      <c r="C11" s="326">
        <v>105</v>
      </c>
      <c r="D11" s="327"/>
      <c r="E11" s="327"/>
      <c r="F11" s="327">
        <v>0</v>
      </c>
      <c r="G11" s="328">
        <v>105</v>
      </c>
      <c r="H11" s="329"/>
      <c r="I11" s="326">
        <v>5</v>
      </c>
      <c r="J11" s="327"/>
      <c r="K11" s="328">
        <v>5</v>
      </c>
      <c r="L11" s="329"/>
      <c r="M11" s="330">
        <v>3191</v>
      </c>
      <c r="N11" s="329">
        <v>3848</v>
      </c>
      <c r="O11" s="327">
        <v>7</v>
      </c>
      <c r="P11" s="327">
        <v>408</v>
      </c>
      <c r="Q11" s="327">
        <v>9</v>
      </c>
      <c r="R11" s="327">
        <v>1</v>
      </c>
      <c r="S11" s="327">
        <v>4</v>
      </c>
      <c r="T11" s="327"/>
      <c r="U11" s="327"/>
      <c r="V11" s="329">
        <v>4277</v>
      </c>
      <c r="W11" s="326"/>
      <c r="X11" s="327">
        <v>0</v>
      </c>
      <c r="Y11" s="328">
        <v>0</v>
      </c>
      <c r="Z11" s="329">
        <v>61</v>
      </c>
      <c r="AA11" s="327"/>
      <c r="AB11" s="329">
        <v>61</v>
      </c>
      <c r="AC11" s="326">
        <v>772</v>
      </c>
      <c r="AD11" s="327"/>
      <c r="AE11" s="327"/>
      <c r="AF11" s="328">
        <v>772</v>
      </c>
      <c r="AG11" s="329">
        <v>3</v>
      </c>
      <c r="AH11" s="327">
        <v>2</v>
      </c>
      <c r="AI11" s="327">
        <v>1</v>
      </c>
      <c r="AJ11" s="327"/>
      <c r="AK11" s="329">
        <v>6</v>
      </c>
      <c r="AL11" s="326">
        <v>2</v>
      </c>
      <c r="AM11" s="327"/>
      <c r="AN11" s="328">
        <v>2</v>
      </c>
      <c r="AO11" s="329"/>
      <c r="AP11" s="330"/>
      <c r="AQ11" s="329"/>
      <c r="AR11" s="327">
        <v>4</v>
      </c>
      <c r="AS11" s="327"/>
      <c r="AT11" s="329">
        <v>4</v>
      </c>
      <c r="AU11" s="326">
        <v>3</v>
      </c>
      <c r="AV11" s="327"/>
      <c r="AW11" s="327">
        <v>233</v>
      </c>
      <c r="AX11" s="327"/>
      <c r="AY11" s="327">
        <v>4</v>
      </c>
      <c r="AZ11" s="327"/>
      <c r="BA11" s="327"/>
      <c r="BB11" s="327"/>
      <c r="BC11" s="328">
        <v>240</v>
      </c>
      <c r="BD11" s="329">
        <v>0</v>
      </c>
      <c r="BE11" s="330">
        <v>3</v>
      </c>
      <c r="BF11" s="329">
        <v>11</v>
      </c>
      <c r="BG11" s="327">
        <v>28</v>
      </c>
      <c r="BH11" s="327">
        <v>129</v>
      </c>
      <c r="BI11" s="327">
        <v>11</v>
      </c>
      <c r="BJ11" s="327">
        <v>2</v>
      </c>
      <c r="BK11" s="327"/>
      <c r="BL11" s="329">
        <v>181</v>
      </c>
      <c r="BM11" s="330"/>
      <c r="BN11" s="330"/>
      <c r="BO11" s="330"/>
      <c r="BP11" s="330">
        <v>0</v>
      </c>
      <c r="BQ11" s="329">
        <v>41</v>
      </c>
      <c r="BR11" s="327">
        <v>1</v>
      </c>
      <c r="BS11" s="329">
        <v>42</v>
      </c>
      <c r="BT11" s="330"/>
      <c r="BU11" s="329"/>
      <c r="BV11" s="327"/>
      <c r="BW11" s="327"/>
      <c r="BX11" s="329"/>
      <c r="BY11" s="326">
        <v>1</v>
      </c>
      <c r="BZ11" s="327"/>
      <c r="CA11" s="327">
        <v>1</v>
      </c>
      <c r="CB11" s="327">
        <v>12</v>
      </c>
      <c r="CC11" s="327"/>
      <c r="CD11" s="327"/>
      <c r="CE11" s="327"/>
      <c r="CF11" s="327"/>
      <c r="CG11" s="327"/>
      <c r="CH11" s="327"/>
      <c r="CI11" s="327"/>
      <c r="CJ11" s="327">
        <v>0</v>
      </c>
      <c r="CK11" s="327">
        <v>1</v>
      </c>
      <c r="CL11" s="327">
        <v>0</v>
      </c>
      <c r="CM11" s="327"/>
      <c r="CN11" s="328">
        <v>15</v>
      </c>
      <c r="CO11" s="329">
        <v>4</v>
      </c>
      <c r="CP11" s="327"/>
      <c r="CQ11" s="329">
        <v>4</v>
      </c>
      <c r="CR11" s="330">
        <v>2</v>
      </c>
      <c r="CS11" s="329">
        <v>343</v>
      </c>
      <c r="CT11" s="327">
        <v>27</v>
      </c>
      <c r="CU11" s="327">
        <v>187985</v>
      </c>
      <c r="CV11" s="327">
        <v>333</v>
      </c>
      <c r="CW11" s="327">
        <v>14258</v>
      </c>
      <c r="CX11" s="327">
        <v>61</v>
      </c>
      <c r="CY11" s="327">
        <v>11</v>
      </c>
      <c r="CZ11" s="327">
        <v>3</v>
      </c>
      <c r="DA11" s="327">
        <v>0</v>
      </c>
      <c r="DB11" s="327"/>
      <c r="DC11" s="327"/>
      <c r="DD11" s="329">
        <v>203021</v>
      </c>
      <c r="DE11" s="326">
        <v>557</v>
      </c>
      <c r="DF11" s="327">
        <v>32</v>
      </c>
      <c r="DG11" s="327">
        <v>19</v>
      </c>
      <c r="DH11" s="327">
        <v>100</v>
      </c>
      <c r="DI11" s="327">
        <v>5</v>
      </c>
      <c r="DJ11" s="327"/>
      <c r="DK11" s="327"/>
      <c r="DL11" s="328">
        <v>713</v>
      </c>
      <c r="DM11" s="329"/>
      <c r="DN11" s="330"/>
      <c r="DO11" s="329"/>
      <c r="DP11" s="327"/>
      <c r="DQ11" s="329"/>
      <c r="DR11" s="330">
        <v>21</v>
      </c>
      <c r="DS11" s="329">
        <v>2</v>
      </c>
      <c r="DT11" s="327"/>
      <c r="DU11" s="329">
        <v>2</v>
      </c>
      <c r="DV11" s="326">
        <v>104</v>
      </c>
      <c r="DW11" s="327"/>
      <c r="DX11" s="328">
        <v>104</v>
      </c>
      <c r="DY11" s="329">
        <v>4</v>
      </c>
      <c r="DZ11" s="330">
        <v>2</v>
      </c>
      <c r="EA11" s="329">
        <v>21</v>
      </c>
      <c r="EB11" s="327"/>
      <c r="EC11" s="329">
        <v>21</v>
      </c>
      <c r="ED11" s="330"/>
      <c r="EE11" s="330"/>
      <c r="EF11" s="329">
        <v>139</v>
      </c>
      <c r="EG11" s="327">
        <v>141</v>
      </c>
      <c r="EH11" s="327"/>
      <c r="EI11" s="327"/>
      <c r="EJ11" s="327"/>
      <c r="EK11" s="327"/>
      <c r="EL11" s="329">
        <v>280</v>
      </c>
      <c r="EM11" s="326">
        <v>36</v>
      </c>
      <c r="EN11" s="327">
        <v>363</v>
      </c>
      <c r="EO11" s="327">
        <v>5</v>
      </c>
      <c r="EP11" s="327">
        <v>590</v>
      </c>
      <c r="EQ11" s="327">
        <v>326</v>
      </c>
      <c r="ER11" s="327">
        <v>4</v>
      </c>
      <c r="ES11" s="327">
        <v>67</v>
      </c>
      <c r="ET11" s="327">
        <v>2</v>
      </c>
      <c r="EU11" s="327"/>
      <c r="EV11" s="327">
        <v>0</v>
      </c>
      <c r="EW11" s="327"/>
      <c r="EX11" s="327">
        <v>4</v>
      </c>
      <c r="EY11" s="327"/>
      <c r="EZ11" s="328">
        <v>1397</v>
      </c>
      <c r="FA11" s="329"/>
      <c r="FB11" s="330">
        <v>1</v>
      </c>
      <c r="FC11" s="329"/>
      <c r="FD11" s="327">
        <v>3</v>
      </c>
      <c r="FE11" s="327">
        <v>1</v>
      </c>
      <c r="FF11" s="329">
        <v>4</v>
      </c>
      <c r="FG11" s="330"/>
      <c r="FH11" s="330"/>
      <c r="FI11" s="329">
        <v>3</v>
      </c>
      <c r="FJ11" s="327"/>
      <c r="FK11" s="327"/>
      <c r="FL11" s="327"/>
      <c r="FM11" s="329">
        <v>3</v>
      </c>
      <c r="FN11" s="326"/>
      <c r="FO11" s="327"/>
      <c r="FP11" s="328"/>
      <c r="FQ11" s="329"/>
      <c r="FR11" s="327"/>
      <c r="FS11" s="329"/>
      <c r="FT11" s="330">
        <v>6</v>
      </c>
      <c r="FU11" s="329">
        <v>24</v>
      </c>
      <c r="FV11" s="327"/>
      <c r="FW11" s="329">
        <v>24</v>
      </c>
      <c r="FX11" s="326">
        <v>49</v>
      </c>
      <c r="FY11" s="327">
        <v>20</v>
      </c>
      <c r="FZ11" s="327">
        <v>6</v>
      </c>
      <c r="GA11" s="327"/>
      <c r="GB11" s="328">
        <v>75</v>
      </c>
      <c r="GC11" s="329"/>
      <c r="GD11" s="326">
        <v>550</v>
      </c>
      <c r="GE11" s="327"/>
      <c r="GF11" s="328">
        <v>550</v>
      </c>
      <c r="GG11" s="329"/>
      <c r="GH11" s="326"/>
      <c r="GI11" s="327"/>
      <c r="GJ11" s="327"/>
      <c r="GK11" s="328"/>
      <c r="GL11" s="329">
        <v>24</v>
      </c>
      <c r="GM11" s="326">
        <v>27</v>
      </c>
      <c r="GN11" s="327"/>
      <c r="GO11" s="327">
        <v>3</v>
      </c>
      <c r="GP11" s="327"/>
      <c r="GQ11" s="328">
        <v>30</v>
      </c>
      <c r="GR11" s="329">
        <v>215192</v>
      </c>
      <c r="GS11" s="331">
        <f>215192/49209180</f>
        <v>4.3730051994363651E-3</v>
      </c>
      <c r="GT11" s="293"/>
      <c r="GU11" s="293"/>
      <c r="GV11" s="293"/>
      <c r="GW11" s="293"/>
      <c r="GX11" s="293"/>
      <c r="GY11" s="293"/>
      <c r="GZ11" s="293"/>
      <c r="HA11" s="293"/>
      <c r="HB11" s="293"/>
      <c r="HC11" s="293"/>
      <c r="HD11" s="293"/>
      <c r="HE11" s="293"/>
      <c r="HF11" s="293"/>
      <c r="HG11" s="293"/>
      <c r="HH11" s="293"/>
      <c r="HI11" s="293"/>
      <c r="HJ11" s="293"/>
      <c r="HK11" s="293"/>
      <c r="HL11" s="293"/>
      <c r="HM11" s="293"/>
      <c r="HN11" s="293"/>
      <c r="HO11" s="293"/>
      <c r="HP11" s="293"/>
      <c r="HQ11" s="293"/>
      <c r="HR11" s="293"/>
      <c r="HS11" s="293"/>
      <c r="HT11" s="293"/>
      <c r="HU11" s="293"/>
      <c r="HV11" s="293"/>
      <c r="HW11" s="293"/>
      <c r="HX11" s="294"/>
    </row>
    <row r="12" spans="2:232" ht="13.5" thickBot="1" x14ac:dyDescent="0.25">
      <c r="B12" s="332" t="s">
        <v>539</v>
      </c>
      <c r="C12" s="333">
        <v>666</v>
      </c>
      <c r="D12" s="334">
        <v>11</v>
      </c>
      <c r="E12" s="334">
        <v>0</v>
      </c>
      <c r="F12" s="334">
        <v>4</v>
      </c>
      <c r="G12" s="335">
        <v>681</v>
      </c>
      <c r="H12" s="336"/>
      <c r="I12" s="333">
        <v>19</v>
      </c>
      <c r="J12" s="334"/>
      <c r="K12" s="335">
        <v>19</v>
      </c>
      <c r="L12" s="336">
        <v>0</v>
      </c>
      <c r="M12" s="337">
        <v>7506</v>
      </c>
      <c r="N12" s="336">
        <v>40818</v>
      </c>
      <c r="O12" s="334">
        <v>98</v>
      </c>
      <c r="P12" s="334">
        <v>1416</v>
      </c>
      <c r="Q12" s="334">
        <v>77</v>
      </c>
      <c r="R12" s="334">
        <v>5</v>
      </c>
      <c r="S12" s="334">
        <v>17</v>
      </c>
      <c r="T12" s="334">
        <v>9</v>
      </c>
      <c r="U12" s="334">
        <v>0</v>
      </c>
      <c r="V12" s="336">
        <v>42440</v>
      </c>
      <c r="W12" s="333">
        <v>6</v>
      </c>
      <c r="X12" s="334">
        <v>5</v>
      </c>
      <c r="Y12" s="335">
        <v>11</v>
      </c>
      <c r="Z12" s="336">
        <v>595</v>
      </c>
      <c r="AA12" s="334">
        <v>21</v>
      </c>
      <c r="AB12" s="336">
        <v>616</v>
      </c>
      <c r="AC12" s="333">
        <v>3929</v>
      </c>
      <c r="AD12" s="334">
        <v>18</v>
      </c>
      <c r="AE12" s="334"/>
      <c r="AF12" s="335">
        <v>3947</v>
      </c>
      <c r="AG12" s="336">
        <v>71</v>
      </c>
      <c r="AH12" s="334">
        <v>6</v>
      </c>
      <c r="AI12" s="334">
        <v>73</v>
      </c>
      <c r="AJ12" s="334"/>
      <c r="AK12" s="336">
        <v>150</v>
      </c>
      <c r="AL12" s="333">
        <v>137</v>
      </c>
      <c r="AM12" s="334"/>
      <c r="AN12" s="335">
        <v>137</v>
      </c>
      <c r="AO12" s="336"/>
      <c r="AP12" s="337"/>
      <c r="AQ12" s="336">
        <v>3</v>
      </c>
      <c r="AR12" s="334">
        <v>275</v>
      </c>
      <c r="AS12" s="334"/>
      <c r="AT12" s="336">
        <v>278</v>
      </c>
      <c r="AU12" s="333">
        <v>79</v>
      </c>
      <c r="AV12" s="334">
        <v>2</v>
      </c>
      <c r="AW12" s="334">
        <v>477</v>
      </c>
      <c r="AX12" s="334">
        <v>1</v>
      </c>
      <c r="AY12" s="334">
        <v>16</v>
      </c>
      <c r="AZ12" s="334">
        <v>7</v>
      </c>
      <c r="BA12" s="334"/>
      <c r="BB12" s="334"/>
      <c r="BC12" s="335">
        <v>582</v>
      </c>
      <c r="BD12" s="336">
        <v>2</v>
      </c>
      <c r="BE12" s="337">
        <v>10</v>
      </c>
      <c r="BF12" s="336">
        <v>158</v>
      </c>
      <c r="BG12" s="334">
        <v>408</v>
      </c>
      <c r="BH12" s="334">
        <v>1543</v>
      </c>
      <c r="BI12" s="334">
        <v>63</v>
      </c>
      <c r="BJ12" s="334">
        <v>45</v>
      </c>
      <c r="BK12" s="334">
        <v>2</v>
      </c>
      <c r="BL12" s="336">
        <v>2219</v>
      </c>
      <c r="BM12" s="337">
        <v>6</v>
      </c>
      <c r="BN12" s="337"/>
      <c r="BO12" s="337">
        <v>1</v>
      </c>
      <c r="BP12" s="337">
        <v>29</v>
      </c>
      <c r="BQ12" s="336">
        <v>306</v>
      </c>
      <c r="BR12" s="334">
        <v>3</v>
      </c>
      <c r="BS12" s="336">
        <v>309</v>
      </c>
      <c r="BT12" s="337">
        <v>18</v>
      </c>
      <c r="BU12" s="336">
        <v>0</v>
      </c>
      <c r="BV12" s="334">
        <v>1</v>
      </c>
      <c r="BW12" s="334"/>
      <c r="BX12" s="336">
        <v>1</v>
      </c>
      <c r="BY12" s="333">
        <v>3</v>
      </c>
      <c r="BZ12" s="334">
        <v>1</v>
      </c>
      <c r="CA12" s="334">
        <v>11</v>
      </c>
      <c r="CB12" s="334">
        <v>20</v>
      </c>
      <c r="CC12" s="334">
        <v>192</v>
      </c>
      <c r="CD12" s="334">
        <v>35</v>
      </c>
      <c r="CE12" s="334">
        <v>44</v>
      </c>
      <c r="CF12" s="334">
        <v>2</v>
      </c>
      <c r="CG12" s="334">
        <v>22</v>
      </c>
      <c r="CH12" s="334">
        <v>34</v>
      </c>
      <c r="CI12" s="334">
        <v>77</v>
      </c>
      <c r="CJ12" s="334">
        <v>1</v>
      </c>
      <c r="CK12" s="334">
        <v>1</v>
      </c>
      <c r="CL12" s="334">
        <v>0</v>
      </c>
      <c r="CM12" s="334"/>
      <c r="CN12" s="335">
        <v>443</v>
      </c>
      <c r="CO12" s="336">
        <v>12</v>
      </c>
      <c r="CP12" s="334"/>
      <c r="CQ12" s="336">
        <v>12</v>
      </c>
      <c r="CR12" s="337">
        <v>55</v>
      </c>
      <c r="CS12" s="336">
        <v>1204</v>
      </c>
      <c r="CT12" s="334">
        <v>882</v>
      </c>
      <c r="CU12" s="334">
        <v>1102289</v>
      </c>
      <c r="CV12" s="334">
        <v>1651</v>
      </c>
      <c r="CW12" s="334">
        <v>221301</v>
      </c>
      <c r="CX12" s="334">
        <v>589</v>
      </c>
      <c r="CY12" s="334">
        <v>2355</v>
      </c>
      <c r="CZ12" s="334">
        <v>173</v>
      </c>
      <c r="DA12" s="334">
        <v>19</v>
      </c>
      <c r="DB12" s="334">
        <v>1</v>
      </c>
      <c r="DC12" s="334">
        <v>0</v>
      </c>
      <c r="DD12" s="336">
        <v>1330464</v>
      </c>
      <c r="DE12" s="333">
        <v>2991</v>
      </c>
      <c r="DF12" s="334">
        <v>228</v>
      </c>
      <c r="DG12" s="334">
        <v>150</v>
      </c>
      <c r="DH12" s="334">
        <v>459</v>
      </c>
      <c r="DI12" s="334">
        <v>178</v>
      </c>
      <c r="DJ12" s="334">
        <v>11</v>
      </c>
      <c r="DK12" s="334"/>
      <c r="DL12" s="335">
        <v>4017</v>
      </c>
      <c r="DM12" s="336"/>
      <c r="DN12" s="337"/>
      <c r="DO12" s="336">
        <v>1</v>
      </c>
      <c r="DP12" s="334">
        <v>20</v>
      </c>
      <c r="DQ12" s="336">
        <v>21</v>
      </c>
      <c r="DR12" s="337">
        <v>178</v>
      </c>
      <c r="DS12" s="336">
        <v>5</v>
      </c>
      <c r="DT12" s="334"/>
      <c r="DU12" s="336">
        <v>5</v>
      </c>
      <c r="DV12" s="333">
        <v>824</v>
      </c>
      <c r="DW12" s="334"/>
      <c r="DX12" s="335">
        <v>824</v>
      </c>
      <c r="DY12" s="336">
        <v>46</v>
      </c>
      <c r="DZ12" s="337">
        <v>6</v>
      </c>
      <c r="EA12" s="336">
        <v>181</v>
      </c>
      <c r="EB12" s="334"/>
      <c r="EC12" s="336">
        <v>181</v>
      </c>
      <c r="ED12" s="337">
        <v>1</v>
      </c>
      <c r="EE12" s="337">
        <v>1</v>
      </c>
      <c r="EF12" s="336">
        <v>1255</v>
      </c>
      <c r="EG12" s="334">
        <v>346</v>
      </c>
      <c r="EH12" s="334">
        <v>6</v>
      </c>
      <c r="EI12" s="334"/>
      <c r="EJ12" s="334"/>
      <c r="EK12" s="334"/>
      <c r="EL12" s="336">
        <v>1607</v>
      </c>
      <c r="EM12" s="333">
        <v>594</v>
      </c>
      <c r="EN12" s="334">
        <v>3811</v>
      </c>
      <c r="EO12" s="334">
        <v>166</v>
      </c>
      <c r="EP12" s="334">
        <v>1544</v>
      </c>
      <c r="EQ12" s="334">
        <v>4888</v>
      </c>
      <c r="ER12" s="334">
        <v>112</v>
      </c>
      <c r="ES12" s="334">
        <v>933</v>
      </c>
      <c r="ET12" s="334">
        <v>32</v>
      </c>
      <c r="EU12" s="334">
        <v>33</v>
      </c>
      <c r="EV12" s="334">
        <v>97</v>
      </c>
      <c r="EW12" s="334">
        <v>13</v>
      </c>
      <c r="EX12" s="334">
        <v>169</v>
      </c>
      <c r="EY12" s="334">
        <v>0</v>
      </c>
      <c r="EZ12" s="335">
        <v>12392</v>
      </c>
      <c r="FA12" s="336"/>
      <c r="FB12" s="337">
        <v>8</v>
      </c>
      <c r="FC12" s="336">
        <v>3</v>
      </c>
      <c r="FD12" s="334">
        <v>4</v>
      </c>
      <c r="FE12" s="334">
        <v>179</v>
      </c>
      <c r="FF12" s="336">
        <v>186</v>
      </c>
      <c r="FG12" s="337">
        <v>3</v>
      </c>
      <c r="FH12" s="337">
        <v>16</v>
      </c>
      <c r="FI12" s="336">
        <v>24</v>
      </c>
      <c r="FJ12" s="334">
        <v>509</v>
      </c>
      <c r="FK12" s="334">
        <v>24</v>
      </c>
      <c r="FL12" s="334">
        <v>242</v>
      </c>
      <c r="FM12" s="336">
        <v>799</v>
      </c>
      <c r="FN12" s="333">
        <v>3</v>
      </c>
      <c r="FO12" s="334"/>
      <c r="FP12" s="335">
        <v>3</v>
      </c>
      <c r="FQ12" s="336"/>
      <c r="FR12" s="334"/>
      <c r="FS12" s="336"/>
      <c r="FT12" s="337">
        <v>6</v>
      </c>
      <c r="FU12" s="336">
        <v>172</v>
      </c>
      <c r="FV12" s="334"/>
      <c r="FW12" s="336">
        <v>172</v>
      </c>
      <c r="FX12" s="333">
        <v>471</v>
      </c>
      <c r="FY12" s="334">
        <v>788</v>
      </c>
      <c r="FZ12" s="334">
        <v>11</v>
      </c>
      <c r="GA12" s="334">
        <v>18</v>
      </c>
      <c r="GB12" s="335">
        <v>1288</v>
      </c>
      <c r="GC12" s="336"/>
      <c r="GD12" s="333">
        <v>2632</v>
      </c>
      <c r="GE12" s="334">
        <v>37</v>
      </c>
      <c r="GF12" s="335">
        <v>2669</v>
      </c>
      <c r="GG12" s="336"/>
      <c r="GH12" s="333">
        <v>10</v>
      </c>
      <c r="GI12" s="334">
        <v>1</v>
      </c>
      <c r="GJ12" s="334"/>
      <c r="GK12" s="335">
        <v>11</v>
      </c>
      <c r="GL12" s="336">
        <v>287</v>
      </c>
      <c r="GM12" s="333">
        <v>133</v>
      </c>
      <c r="GN12" s="334">
        <v>9</v>
      </c>
      <c r="GO12" s="334">
        <v>324</v>
      </c>
      <c r="GP12" s="334">
        <v>203</v>
      </c>
      <c r="GQ12" s="335">
        <v>669</v>
      </c>
      <c r="GR12" s="336">
        <v>1415332</v>
      </c>
      <c r="GS12" s="338">
        <f>1415332/49209180</f>
        <v>2.8761544085879911E-2</v>
      </c>
      <c r="GT12" s="293"/>
      <c r="GU12" s="293"/>
      <c r="GV12" s="293"/>
      <c r="GW12" s="293"/>
      <c r="GX12" s="293"/>
      <c r="GY12" s="293"/>
      <c r="GZ12" s="293"/>
      <c r="HA12" s="293"/>
      <c r="HB12" s="293"/>
      <c r="HC12" s="293"/>
      <c r="HD12" s="293"/>
      <c r="HE12" s="293"/>
      <c r="HF12" s="293"/>
      <c r="HG12" s="293"/>
      <c r="HH12" s="293"/>
      <c r="HI12" s="293"/>
      <c r="HJ12" s="293"/>
      <c r="HK12" s="293"/>
      <c r="HL12" s="293"/>
      <c r="HM12" s="293"/>
      <c r="HN12" s="293"/>
      <c r="HO12" s="293"/>
      <c r="HP12" s="293"/>
      <c r="HQ12" s="293"/>
      <c r="HR12" s="293"/>
      <c r="HS12" s="293"/>
      <c r="HT12" s="293"/>
      <c r="HU12" s="293"/>
      <c r="HV12" s="293"/>
      <c r="HW12" s="293"/>
      <c r="HX12" s="294"/>
    </row>
    <row r="13" spans="2:232" ht="12.75" x14ac:dyDescent="0.2">
      <c r="B13" s="339" t="s">
        <v>29</v>
      </c>
      <c r="C13" s="340">
        <v>19</v>
      </c>
      <c r="D13" s="341"/>
      <c r="E13" s="341"/>
      <c r="F13" s="341"/>
      <c r="G13" s="342">
        <v>19</v>
      </c>
      <c r="H13" s="343"/>
      <c r="I13" s="340">
        <v>1</v>
      </c>
      <c r="J13" s="341"/>
      <c r="K13" s="342">
        <v>1</v>
      </c>
      <c r="L13" s="343"/>
      <c r="M13" s="344">
        <v>120</v>
      </c>
      <c r="N13" s="343">
        <v>960</v>
      </c>
      <c r="O13" s="341">
        <v>8</v>
      </c>
      <c r="P13" s="341">
        <v>92</v>
      </c>
      <c r="Q13" s="341">
        <v>19</v>
      </c>
      <c r="R13" s="341">
        <v>0</v>
      </c>
      <c r="S13" s="341">
        <v>21</v>
      </c>
      <c r="T13" s="341">
        <v>1</v>
      </c>
      <c r="U13" s="341"/>
      <c r="V13" s="343">
        <v>1101</v>
      </c>
      <c r="W13" s="340">
        <v>6</v>
      </c>
      <c r="X13" s="341">
        <v>4</v>
      </c>
      <c r="Y13" s="342">
        <v>10</v>
      </c>
      <c r="Z13" s="343">
        <v>28</v>
      </c>
      <c r="AA13" s="341"/>
      <c r="AB13" s="343">
        <v>28</v>
      </c>
      <c r="AC13" s="340">
        <v>4012</v>
      </c>
      <c r="AD13" s="341"/>
      <c r="AE13" s="341"/>
      <c r="AF13" s="342">
        <v>4012</v>
      </c>
      <c r="AG13" s="343">
        <v>8</v>
      </c>
      <c r="AH13" s="341"/>
      <c r="AI13" s="341"/>
      <c r="AJ13" s="341"/>
      <c r="AK13" s="343">
        <v>8</v>
      </c>
      <c r="AL13" s="340"/>
      <c r="AM13" s="341"/>
      <c r="AN13" s="342"/>
      <c r="AO13" s="343"/>
      <c r="AP13" s="344"/>
      <c r="AQ13" s="343"/>
      <c r="AR13" s="341"/>
      <c r="AS13" s="341"/>
      <c r="AT13" s="343"/>
      <c r="AU13" s="340">
        <v>20</v>
      </c>
      <c r="AV13" s="341"/>
      <c r="AW13" s="341">
        <v>29</v>
      </c>
      <c r="AX13" s="341"/>
      <c r="AY13" s="341"/>
      <c r="AZ13" s="341"/>
      <c r="BA13" s="341"/>
      <c r="BB13" s="341"/>
      <c r="BC13" s="342">
        <v>49</v>
      </c>
      <c r="BD13" s="343"/>
      <c r="BE13" s="344"/>
      <c r="BF13" s="343">
        <v>31</v>
      </c>
      <c r="BG13" s="341">
        <v>61</v>
      </c>
      <c r="BH13" s="341">
        <v>181</v>
      </c>
      <c r="BI13" s="341">
        <v>52</v>
      </c>
      <c r="BJ13" s="341">
        <v>6</v>
      </c>
      <c r="BK13" s="341"/>
      <c r="BL13" s="343">
        <v>331</v>
      </c>
      <c r="BM13" s="344">
        <v>0</v>
      </c>
      <c r="BN13" s="344"/>
      <c r="BO13" s="344"/>
      <c r="BP13" s="344">
        <v>2</v>
      </c>
      <c r="BQ13" s="343">
        <v>1</v>
      </c>
      <c r="BR13" s="341"/>
      <c r="BS13" s="343">
        <v>1</v>
      </c>
      <c r="BT13" s="344"/>
      <c r="BU13" s="343"/>
      <c r="BV13" s="341"/>
      <c r="BW13" s="341"/>
      <c r="BX13" s="343"/>
      <c r="BY13" s="340"/>
      <c r="BZ13" s="341"/>
      <c r="CA13" s="341"/>
      <c r="CB13" s="341"/>
      <c r="CC13" s="341"/>
      <c r="CD13" s="341"/>
      <c r="CE13" s="341"/>
      <c r="CF13" s="341"/>
      <c r="CG13" s="341"/>
      <c r="CH13" s="341"/>
      <c r="CI13" s="341"/>
      <c r="CJ13" s="341"/>
      <c r="CK13" s="341"/>
      <c r="CL13" s="341"/>
      <c r="CM13" s="341"/>
      <c r="CN13" s="342"/>
      <c r="CO13" s="343"/>
      <c r="CP13" s="341"/>
      <c r="CQ13" s="343"/>
      <c r="CR13" s="344"/>
      <c r="CS13" s="343">
        <v>23</v>
      </c>
      <c r="CT13" s="341"/>
      <c r="CU13" s="341">
        <v>32184</v>
      </c>
      <c r="CV13" s="341">
        <v>1372</v>
      </c>
      <c r="CW13" s="341">
        <v>5147</v>
      </c>
      <c r="CX13" s="341">
        <v>7</v>
      </c>
      <c r="CY13" s="341">
        <v>3</v>
      </c>
      <c r="CZ13" s="341"/>
      <c r="DA13" s="341">
        <v>11</v>
      </c>
      <c r="DB13" s="341"/>
      <c r="DC13" s="341"/>
      <c r="DD13" s="343">
        <v>38747</v>
      </c>
      <c r="DE13" s="340">
        <v>214</v>
      </c>
      <c r="DF13" s="341"/>
      <c r="DG13" s="341">
        <v>2640</v>
      </c>
      <c r="DH13" s="341">
        <v>187</v>
      </c>
      <c r="DI13" s="341">
        <v>11</v>
      </c>
      <c r="DJ13" s="341"/>
      <c r="DK13" s="341">
        <v>0</v>
      </c>
      <c r="DL13" s="342">
        <v>3052</v>
      </c>
      <c r="DM13" s="343"/>
      <c r="DN13" s="344"/>
      <c r="DO13" s="343"/>
      <c r="DP13" s="341"/>
      <c r="DQ13" s="343"/>
      <c r="DR13" s="344">
        <v>15</v>
      </c>
      <c r="DS13" s="343"/>
      <c r="DT13" s="341"/>
      <c r="DU13" s="343"/>
      <c r="DV13" s="340"/>
      <c r="DW13" s="341"/>
      <c r="DX13" s="342"/>
      <c r="DY13" s="343">
        <v>1</v>
      </c>
      <c r="DZ13" s="344"/>
      <c r="EA13" s="343">
        <v>40</v>
      </c>
      <c r="EB13" s="341"/>
      <c r="EC13" s="343">
        <v>40</v>
      </c>
      <c r="ED13" s="344"/>
      <c r="EE13" s="344"/>
      <c r="EF13" s="343">
        <v>1</v>
      </c>
      <c r="EG13" s="341">
        <v>5</v>
      </c>
      <c r="EH13" s="341"/>
      <c r="EI13" s="341"/>
      <c r="EJ13" s="341"/>
      <c r="EK13" s="341"/>
      <c r="EL13" s="343">
        <v>6</v>
      </c>
      <c r="EM13" s="340">
        <v>127</v>
      </c>
      <c r="EN13" s="341">
        <v>77</v>
      </c>
      <c r="EO13" s="341">
        <v>87</v>
      </c>
      <c r="EP13" s="341">
        <v>245</v>
      </c>
      <c r="EQ13" s="341">
        <v>39</v>
      </c>
      <c r="ER13" s="341">
        <v>5</v>
      </c>
      <c r="ES13" s="341">
        <v>229</v>
      </c>
      <c r="ET13" s="341">
        <v>5</v>
      </c>
      <c r="EU13" s="341">
        <v>9</v>
      </c>
      <c r="EV13" s="341">
        <v>3</v>
      </c>
      <c r="EW13" s="341"/>
      <c r="EX13" s="341">
        <v>3</v>
      </c>
      <c r="EY13" s="341"/>
      <c r="EZ13" s="342">
        <v>829</v>
      </c>
      <c r="FA13" s="343"/>
      <c r="FB13" s="344">
        <v>6</v>
      </c>
      <c r="FC13" s="343"/>
      <c r="FD13" s="341"/>
      <c r="FE13" s="341"/>
      <c r="FF13" s="343"/>
      <c r="FG13" s="344"/>
      <c r="FH13" s="344"/>
      <c r="FI13" s="343">
        <v>1</v>
      </c>
      <c r="FJ13" s="341"/>
      <c r="FK13" s="341"/>
      <c r="FL13" s="341"/>
      <c r="FM13" s="343">
        <v>1</v>
      </c>
      <c r="FN13" s="340"/>
      <c r="FO13" s="341"/>
      <c r="FP13" s="342"/>
      <c r="FQ13" s="343"/>
      <c r="FR13" s="341"/>
      <c r="FS13" s="343"/>
      <c r="FT13" s="344"/>
      <c r="FU13" s="343"/>
      <c r="FV13" s="341"/>
      <c r="FW13" s="343"/>
      <c r="FX13" s="340"/>
      <c r="FY13" s="341"/>
      <c r="FZ13" s="341"/>
      <c r="GA13" s="341"/>
      <c r="GB13" s="342"/>
      <c r="GC13" s="343"/>
      <c r="GD13" s="340">
        <v>4</v>
      </c>
      <c r="GE13" s="341"/>
      <c r="GF13" s="342">
        <v>4</v>
      </c>
      <c r="GG13" s="343"/>
      <c r="GH13" s="340"/>
      <c r="GI13" s="341"/>
      <c r="GJ13" s="341"/>
      <c r="GK13" s="342"/>
      <c r="GL13" s="343"/>
      <c r="GM13" s="340">
        <v>0</v>
      </c>
      <c r="GN13" s="341"/>
      <c r="GO13" s="341"/>
      <c r="GP13" s="341"/>
      <c r="GQ13" s="342">
        <v>0</v>
      </c>
      <c r="GR13" s="343">
        <v>48383</v>
      </c>
      <c r="GS13" s="345">
        <f>48383/49209180</f>
        <v>9.8321085618577678E-4</v>
      </c>
      <c r="GT13" s="293"/>
      <c r="GU13" s="293"/>
      <c r="GV13" s="293"/>
      <c r="GW13" s="293"/>
      <c r="GX13" s="293"/>
      <c r="GY13" s="293"/>
      <c r="GZ13" s="293"/>
      <c r="HA13" s="293"/>
      <c r="HB13" s="293"/>
      <c r="HC13" s="293"/>
      <c r="HD13" s="293"/>
      <c r="HE13" s="293"/>
      <c r="HF13" s="293"/>
      <c r="HG13" s="293"/>
      <c r="HH13" s="293"/>
      <c r="HI13" s="293"/>
      <c r="HJ13" s="293"/>
      <c r="HK13" s="293"/>
      <c r="HL13" s="293"/>
      <c r="HM13" s="293"/>
      <c r="HN13" s="293"/>
      <c r="HO13" s="293"/>
      <c r="HP13" s="293"/>
      <c r="HQ13" s="293"/>
      <c r="HR13" s="293"/>
      <c r="HS13" s="293"/>
      <c r="HT13" s="293"/>
      <c r="HU13" s="293"/>
      <c r="HV13" s="293"/>
      <c r="HW13" s="293"/>
      <c r="HX13" s="294"/>
    </row>
    <row r="14" spans="2:232" ht="12.75" x14ac:dyDescent="0.2">
      <c r="B14" s="259" t="s">
        <v>56</v>
      </c>
      <c r="C14" s="258">
        <v>126</v>
      </c>
      <c r="D14" s="115"/>
      <c r="E14" s="115"/>
      <c r="F14" s="115"/>
      <c r="G14" s="257">
        <v>126</v>
      </c>
      <c r="H14" s="117"/>
      <c r="I14" s="258">
        <v>2</v>
      </c>
      <c r="J14" s="115"/>
      <c r="K14" s="257">
        <v>2</v>
      </c>
      <c r="L14" s="117">
        <v>1</v>
      </c>
      <c r="M14" s="116">
        <v>537</v>
      </c>
      <c r="N14" s="117">
        <v>4374</v>
      </c>
      <c r="O14" s="115">
        <v>31</v>
      </c>
      <c r="P14" s="115">
        <v>468</v>
      </c>
      <c r="Q14" s="115">
        <v>69</v>
      </c>
      <c r="R14" s="115">
        <v>2</v>
      </c>
      <c r="S14" s="115">
        <v>77</v>
      </c>
      <c r="T14" s="115">
        <v>1</v>
      </c>
      <c r="U14" s="115"/>
      <c r="V14" s="117">
        <v>5022</v>
      </c>
      <c r="W14" s="258">
        <v>2</v>
      </c>
      <c r="X14" s="115">
        <v>3</v>
      </c>
      <c r="Y14" s="257">
        <v>5</v>
      </c>
      <c r="Z14" s="117">
        <v>77</v>
      </c>
      <c r="AA14" s="115"/>
      <c r="AB14" s="117">
        <v>77</v>
      </c>
      <c r="AC14" s="258">
        <v>10709</v>
      </c>
      <c r="AD14" s="115">
        <v>2</v>
      </c>
      <c r="AE14" s="115"/>
      <c r="AF14" s="257">
        <v>10711</v>
      </c>
      <c r="AG14" s="117">
        <v>48</v>
      </c>
      <c r="AH14" s="115">
        <v>1</v>
      </c>
      <c r="AI14" s="115">
        <v>7</v>
      </c>
      <c r="AJ14" s="115"/>
      <c r="AK14" s="117">
        <v>56</v>
      </c>
      <c r="AL14" s="258"/>
      <c r="AM14" s="115"/>
      <c r="AN14" s="257"/>
      <c r="AO14" s="117"/>
      <c r="AP14" s="116"/>
      <c r="AQ14" s="117"/>
      <c r="AR14" s="115">
        <v>1</v>
      </c>
      <c r="AS14" s="115"/>
      <c r="AT14" s="117">
        <v>1</v>
      </c>
      <c r="AU14" s="258">
        <v>68</v>
      </c>
      <c r="AV14" s="115"/>
      <c r="AW14" s="115">
        <v>157</v>
      </c>
      <c r="AX14" s="115"/>
      <c r="AY14" s="115"/>
      <c r="AZ14" s="115"/>
      <c r="BA14" s="115"/>
      <c r="BB14" s="115"/>
      <c r="BC14" s="257">
        <v>225</v>
      </c>
      <c r="BD14" s="117"/>
      <c r="BE14" s="116">
        <v>0</v>
      </c>
      <c r="BF14" s="117">
        <v>38</v>
      </c>
      <c r="BG14" s="115">
        <v>404</v>
      </c>
      <c r="BH14" s="115">
        <v>381</v>
      </c>
      <c r="BI14" s="115">
        <v>65</v>
      </c>
      <c r="BJ14" s="115">
        <v>33</v>
      </c>
      <c r="BK14" s="115"/>
      <c r="BL14" s="117">
        <v>921</v>
      </c>
      <c r="BM14" s="116">
        <v>2</v>
      </c>
      <c r="BN14" s="116"/>
      <c r="BO14" s="116"/>
      <c r="BP14" s="116">
        <v>3</v>
      </c>
      <c r="BQ14" s="117">
        <v>6</v>
      </c>
      <c r="BR14" s="115"/>
      <c r="BS14" s="117">
        <v>6</v>
      </c>
      <c r="BT14" s="116"/>
      <c r="BU14" s="117"/>
      <c r="BV14" s="115">
        <v>1</v>
      </c>
      <c r="BW14" s="115"/>
      <c r="BX14" s="117">
        <v>1</v>
      </c>
      <c r="BY14" s="258"/>
      <c r="BZ14" s="115"/>
      <c r="CA14" s="115"/>
      <c r="CB14" s="115">
        <v>10</v>
      </c>
      <c r="CC14" s="115"/>
      <c r="CD14" s="115"/>
      <c r="CE14" s="115"/>
      <c r="CF14" s="115"/>
      <c r="CG14" s="115"/>
      <c r="CH14" s="115"/>
      <c r="CI14" s="115"/>
      <c r="CJ14" s="115"/>
      <c r="CK14" s="115"/>
      <c r="CL14" s="115">
        <v>0</v>
      </c>
      <c r="CM14" s="115"/>
      <c r="CN14" s="257">
        <v>10</v>
      </c>
      <c r="CO14" s="117"/>
      <c r="CP14" s="115"/>
      <c r="CQ14" s="117"/>
      <c r="CR14" s="116"/>
      <c r="CS14" s="117">
        <v>75</v>
      </c>
      <c r="CT14" s="115">
        <v>25</v>
      </c>
      <c r="CU14" s="115">
        <v>64254</v>
      </c>
      <c r="CV14" s="115">
        <v>4553</v>
      </c>
      <c r="CW14" s="115">
        <v>10403</v>
      </c>
      <c r="CX14" s="115"/>
      <c r="CY14" s="115">
        <v>3</v>
      </c>
      <c r="CZ14" s="115"/>
      <c r="DA14" s="115">
        <v>15</v>
      </c>
      <c r="DB14" s="115"/>
      <c r="DC14" s="115"/>
      <c r="DD14" s="117">
        <v>79328</v>
      </c>
      <c r="DE14" s="258">
        <v>975</v>
      </c>
      <c r="DF14" s="115"/>
      <c r="DG14" s="115">
        <v>3565</v>
      </c>
      <c r="DH14" s="115">
        <v>505</v>
      </c>
      <c r="DI14" s="115">
        <v>28</v>
      </c>
      <c r="DJ14" s="115"/>
      <c r="DK14" s="115">
        <v>0</v>
      </c>
      <c r="DL14" s="257">
        <v>5073</v>
      </c>
      <c r="DM14" s="117"/>
      <c r="DN14" s="116"/>
      <c r="DO14" s="117"/>
      <c r="DP14" s="115"/>
      <c r="DQ14" s="117"/>
      <c r="DR14" s="116">
        <v>31</v>
      </c>
      <c r="DS14" s="117"/>
      <c r="DT14" s="115"/>
      <c r="DU14" s="117"/>
      <c r="DV14" s="258">
        <v>12</v>
      </c>
      <c r="DW14" s="115"/>
      <c r="DX14" s="257">
        <v>12</v>
      </c>
      <c r="DY14" s="117">
        <v>4</v>
      </c>
      <c r="DZ14" s="116"/>
      <c r="EA14" s="117">
        <v>62</v>
      </c>
      <c r="EB14" s="115"/>
      <c r="EC14" s="117">
        <v>62</v>
      </c>
      <c r="ED14" s="116"/>
      <c r="EE14" s="116"/>
      <c r="EF14" s="117">
        <v>20</v>
      </c>
      <c r="EG14" s="115">
        <v>54</v>
      </c>
      <c r="EH14" s="115"/>
      <c r="EI14" s="115"/>
      <c r="EJ14" s="115"/>
      <c r="EK14" s="115"/>
      <c r="EL14" s="117">
        <v>74</v>
      </c>
      <c r="EM14" s="258">
        <v>456</v>
      </c>
      <c r="EN14" s="115">
        <v>541</v>
      </c>
      <c r="EO14" s="115">
        <v>87</v>
      </c>
      <c r="EP14" s="115">
        <v>1065</v>
      </c>
      <c r="EQ14" s="115">
        <v>525</v>
      </c>
      <c r="ER14" s="115">
        <v>39</v>
      </c>
      <c r="ES14" s="115">
        <v>1555</v>
      </c>
      <c r="ET14" s="115">
        <v>23</v>
      </c>
      <c r="EU14" s="115">
        <v>6</v>
      </c>
      <c r="EV14" s="115">
        <v>5</v>
      </c>
      <c r="EW14" s="115"/>
      <c r="EX14" s="115">
        <v>31</v>
      </c>
      <c r="EY14" s="115"/>
      <c r="EZ14" s="257">
        <v>4333</v>
      </c>
      <c r="FA14" s="117"/>
      <c r="FB14" s="116">
        <v>3</v>
      </c>
      <c r="FC14" s="117">
        <v>0</v>
      </c>
      <c r="FD14" s="115"/>
      <c r="FE14" s="115"/>
      <c r="FF14" s="117">
        <v>0</v>
      </c>
      <c r="FG14" s="116"/>
      <c r="FH14" s="116"/>
      <c r="FI14" s="117">
        <v>1</v>
      </c>
      <c r="FJ14" s="115"/>
      <c r="FK14" s="115"/>
      <c r="FL14" s="115"/>
      <c r="FM14" s="117">
        <v>1</v>
      </c>
      <c r="FN14" s="258"/>
      <c r="FO14" s="115"/>
      <c r="FP14" s="257"/>
      <c r="FQ14" s="117"/>
      <c r="FR14" s="115"/>
      <c r="FS14" s="117"/>
      <c r="FT14" s="116">
        <v>3</v>
      </c>
      <c r="FU14" s="117">
        <v>28</v>
      </c>
      <c r="FV14" s="115"/>
      <c r="FW14" s="117">
        <v>28</v>
      </c>
      <c r="FX14" s="258"/>
      <c r="FY14" s="115"/>
      <c r="FZ14" s="115"/>
      <c r="GA14" s="115"/>
      <c r="GB14" s="257"/>
      <c r="GC14" s="117"/>
      <c r="GD14" s="258">
        <v>24</v>
      </c>
      <c r="GE14" s="115"/>
      <c r="GF14" s="257">
        <v>24</v>
      </c>
      <c r="GG14" s="117"/>
      <c r="GH14" s="258">
        <v>1</v>
      </c>
      <c r="GI14" s="115"/>
      <c r="GJ14" s="115"/>
      <c r="GK14" s="257">
        <v>1</v>
      </c>
      <c r="GL14" s="117">
        <v>1</v>
      </c>
      <c r="GM14" s="258">
        <v>33</v>
      </c>
      <c r="GN14" s="115">
        <v>0</v>
      </c>
      <c r="GO14" s="115"/>
      <c r="GP14" s="115"/>
      <c r="GQ14" s="257">
        <v>33</v>
      </c>
      <c r="GR14" s="117">
        <v>106717</v>
      </c>
      <c r="GS14" s="324">
        <f>106717/49209180</f>
        <v>2.1686400789446198E-3</v>
      </c>
      <c r="GT14" s="293"/>
      <c r="GU14" s="293"/>
      <c r="GV14" s="293"/>
      <c r="GW14" s="293"/>
      <c r="GX14" s="293"/>
      <c r="GY14" s="293"/>
      <c r="GZ14" s="293"/>
      <c r="HA14" s="293"/>
      <c r="HB14" s="293"/>
      <c r="HC14" s="293"/>
      <c r="HD14" s="293"/>
      <c r="HE14" s="293"/>
      <c r="HF14" s="293"/>
      <c r="HG14" s="293"/>
      <c r="HH14" s="293"/>
      <c r="HI14" s="293"/>
      <c r="HJ14" s="293"/>
      <c r="HK14" s="293"/>
      <c r="HL14" s="293"/>
      <c r="HM14" s="293"/>
      <c r="HN14" s="293"/>
      <c r="HO14" s="293"/>
      <c r="HP14" s="293"/>
      <c r="HQ14" s="293"/>
      <c r="HR14" s="293"/>
      <c r="HS14" s="293"/>
      <c r="HT14" s="293"/>
      <c r="HU14" s="293"/>
      <c r="HV14" s="293"/>
      <c r="HW14" s="293"/>
      <c r="HX14" s="294"/>
    </row>
    <row r="15" spans="2:232" ht="12.75" x14ac:dyDescent="0.2">
      <c r="B15" s="259" t="s">
        <v>140</v>
      </c>
      <c r="C15" s="258">
        <v>25</v>
      </c>
      <c r="D15" s="115"/>
      <c r="E15" s="115"/>
      <c r="F15" s="115"/>
      <c r="G15" s="257">
        <v>25</v>
      </c>
      <c r="H15" s="117"/>
      <c r="I15" s="258">
        <v>1</v>
      </c>
      <c r="J15" s="115"/>
      <c r="K15" s="257">
        <v>1</v>
      </c>
      <c r="L15" s="117"/>
      <c r="M15" s="116">
        <v>261</v>
      </c>
      <c r="N15" s="117">
        <v>2279</v>
      </c>
      <c r="O15" s="115">
        <v>7</v>
      </c>
      <c r="P15" s="115">
        <v>70</v>
      </c>
      <c r="Q15" s="115">
        <v>23</v>
      </c>
      <c r="R15" s="115"/>
      <c r="S15" s="115">
        <v>15</v>
      </c>
      <c r="T15" s="115"/>
      <c r="U15" s="115"/>
      <c r="V15" s="117">
        <v>2394</v>
      </c>
      <c r="W15" s="258">
        <v>0</v>
      </c>
      <c r="X15" s="115">
        <v>0</v>
      </c>
      <c r="Y15" s="257">
        <v>0</v>
      </c>
      <c r="Z15" s="117">
        <v>51</v>
      </c>
      <c r="AA15" s="115"/>
      <c r="AB15" s="117">
        <v>51</v>
      </c>
      <c r="AC15" s="258">
        <v>4582</v>
      </c>
      <c r="AD15" s="115"/>
      <c r="AE15" s="115"/>
      <c r="AF15" s="257">
        <v>4582</v>
      </c>
      <c r="AG15" s="117">
        <v>206</v>
      </c>
      <c r="AH15" s="115"/>
      <c r="AI15" s="115"/>
      <c r="AJ15" s="115"/>
      <c r="AK15" s="117">
        <v>206</v>
      </c>
      <c r="AL15" s="258"/>
      <c r="AM15" s="115">
        <v>1</v>
      </c>
      <c r="AN15" s="257">
        <v>1</v>
      </c>
      <c r="AO15" s="117"/>
      <c r="AP15" s="116"/>
      <c r="AQ15" s="117">
        <v>0</v>
      </c>
      <c r="AR15" s="115"/>
      <c r="AS15" s="115"/>
      <c r="AT15" s="117">
        <v>0</v>
      </c>
      <c r="AU15" s="258">
        <v>6</v>
      </c>
      <c r="AV15" s="115">
        <v>0</v>
      </c>
      <c r="AW15" s="115">
        <v>9</v>
      </c>
      <c r="AX15" s="115"/>
      <c r="AY15" s="115"/>
      <c r="AZ15" s="115"/>
      <c r="BA15" s="115"/>
      <c r="BB15" s="115"/>
      <c r="BC15" s="257">
        <v>15</v>
      </c>
      <c r="BD15" s="117"/>
      <c r="BE15" s="116"/>
      <c r="BF15" s="117">
        <v>25</v>
      </c>
      <c r="BG15" s="115">
        <v>95</v>
      </c>
      <c r="BH15" s="115">
        <v>285</v>
      </c>
      <c r="BI15" s="115">
        <v>49</v>
      </c>
      <c r="BJ15" s="115">
        <v>8</v>
      </c>
      <c r="BK15" s="115"/>
      <c r="BL15" s="117">
        <v>462</v>
      </c>
      <c r="BM15" s="116"/>
      <c r="BN15" s="116"/>
      <c r="BO15" s="116"/>
      <c r="BP15" s="116">
        <v>1</v>
      </c>
      <c r="BQ15" s="117">
        <v>2</v>
      </c>
      <c r="BR15" s="115"/>
      <c r="BS15" s="117">
        <v>2</v>
      </c>
      <c r="BT15" s="116"/>
      <c r="BU15" s="117"/>
      <c r="BV15" s="115"/>
      <c r="BW15" s="115"/>
      <c r="BX15" s="117"/>
      <c r="BY15" s="258"/>
      <c r="BZ15" s="115"/>
      <c r="CA15" s="115"/>
      <c r="CB15" s="115"/>
      <c r="CC15" s="115">
        <v>0</v>
      </c>
      <c r="CD15" s="115"/>
      <c r="CE15" s="115"/>
      <c r="CF15" s="115"/>
      <c r="CG15" s="115"/>
      <c r="CH15" s="115"/>
      <c r="CI15" s="115"/>
      <c r="CJ15" s="115"/>
      <c r="CK15" s="115"/>
      <c r="CL15" s="115"/>
      <c r="CM15" s="115"/>
      <c r="CN15" s="257">
        <v>0</v>
      </c>
      <c r="CO15" s="117"/>
      <c r="CP15" s="115"/>
      <c r="CQ15" s="117"/>
      <c r="CR15" s="116"/>
      <c r="CS15" s="117">
        <v>53</v>
      </c>
      <c r="CT15" s="115">
        <v>9</v>
      </c>
      <c r="CU15" s="115">
        <v>45858</v>
      </c>
      <c r="CV15" s="115">
        <v>1387</v>
      </c>
      <c r="CW15" s="115">
        <v>8722</v>
      </c>
      <c r="CX15" s="115">
        <v>10</v>
      </c>
      <c r="CY15" s="115">
        <v>0</v>
      </c>
      <c r="CZ15" s="115"/>
      <c r="DA15" s="115">
        <v>5</v>
      </c>
      <c r="DB15" s="115"/>
      <c r="DC15" s="115"/>
      <c r="DD15" s="117">
        <v>56044</v>
      </c>
      <c r="DE15" s="258">
        <v>371</v>
      </c>
      <c r="DF15" s="115">
        <v>2</v>
      </c>
      <c r="DG15" s="115">
        <v>3568</v>
      </c>
      <c r="DH15" s="115">
        <v>156</v>
      </c>
      <c r="DI15" s="115"/>
      <c r="DJ15" s="115"/>
      <c r="DK15" s="115"/>
      <c r="DL15" s="257">
        <v>4097</v>
      </c>
      <c r="DM15" s="117"/>
      <c r="DN15" s="116"/>
      <c r="DO15" s="117"/>
      <c r="DP15" s="115"/>
      <c r="DQ15" s="117"/>
      <c r="DR15" s="116">
        <v>21</v>
      </c>
      <c r="DS15" s="117"/>
      <c r="DT15" s="115"/>
      <c r="DU15" s="117"/>
      <c r="DV15" s="258">
        <v>6</v>
      </c>
      <c r="DW15" s="115"/>
      <c r="DX15" s="257">
        <v>6</v>
      </c>
      <c r="DY15" s="117">
        <v>2</v>
      </c>
      <c r="DZ15" s="116">
        <v>2</v>
      </c>
      <c r="EA15" s="117">
        <v>50</v>
      </c>
      <c r="EB15" s="115"/>
      <c r="EC15" s="117">
        <v>50</v>
      </c>
      <c r="ED15" s="116">
        <v>0</v>
      </c>
      <c r="EE15" s="116"/>
      <c r="EF15" s="117"/>
      <c r="EG15" s="115">
        <v>2</v>
      </c>
      <c r="EH15" s="115"/>
      <c r="EI15" s="115"/>
      <c r="EJ15" s="115"/>
      <c r="EK15" s="115"/>
      <c r="EL15" s="117">
        <v>2</v>
      </c>
      <c r="EM15" s="258">
        <v>68</v>
      </c>
      <c r="EN15" s="115">
        <v>163</v>
      </c>
      <c r="EO15" s="115">
        <v>51</v>
      </c>
      <c r="EP15" s="115">
        <v>183</v>
      </c>
      <c r="EQ15" s="115">
        <v>117</v>
      </c>
      <c r="ER15" s="115">
        <v>16</v>
      </c>
      <c r="ES15" s="115">
        <v>359</v>
      </c>
      <c r="ET15" s="115">
        <v>7</v>
      </c>
      <c r="EU15" s="115">
        <v>0</v>
      </c>
      <c r="EV15" s="115">
        <v>2</v>
      </c>
      <c r="EW15" s="115"/>
      <c r="EX15" s="115">
        <v>5</v>
      </c>
      <c r="EY15" s="115"/>
      <c r="EZ15" s="257">
        <v>971</v>
      </c>
      <c r="FA15" s="117"/>
      <c r="FB15" s="116">
        <v>5</v>
      </c>
      <c r="FC15" s="117"/>
      <c r="FD15" s="115"/>
      <c r="FE15" s="115">
        <v>1</v>
      </c>
      <c r="FF15" s="117">
        <v>1</v>
      </c>
      <c r="FG15" s="116"/>
      <c r="FH15" s="116"/>
      <c r="FI15" s="117">
        <v>1</v>
      </c>
      <c r="FJ15" s="115"/>
      <c r="FK15" s="115"/>
      <c r="FL15" s="115"/>
      <c r="FM15" s="117">
        <v>1</v>
      </c>
      <c r="FN15" s="258"/>
      <c r="FO15" s="115"/>
      <c r="FP15" s="257"/>
      <c r="FQ15" s="117">
        <v>29</v>
      </c>
      <c r="FR15" s="115"/>
      <c r="FS15" s="117">
        <v>29</v>
      </c>
      <c r="FT15" s="116"/>
      <c r="FU15" s="117">
        <v>1</v>
      </c>
      <c r="FV15" s="115"/>
      <c r="FW15" s="117">
        <v>1</v>
      </c>
      <c r="FX15" s="258"/>
      <c r="FY15" s="115"/>
      <c r="FZ15" s="115"/>
      <c r="GA15" s="115"/>
      <c r="GB15" s="257"/>
      <c r="GC15" s="117"/>
      <c r="GD15" s="258">
        <v>18</v>
      </c>
      <c r="GE15" s="115"/>
      <c r="GF15" s="257">
        <v>18</v>
      </c>
      <c r="GG15" s="117"/>
      <c r="GH15" s="258"/>
      <c r="GI15" s="115"/>
      <c r="GJ15" s="115"/>
      <c r="GK15" s="257"/>
      <c r="GL15" s="117">
        <v>4</v>
      </c>
      <c r="GM15" s="258">
        <v>2</v>
      </c>
      <c r="GN15" s="115"/>
      <c r="GO15" s="115"/>
      <c r="GP15" s="115"/>
      <c r="GQ15" s="257">
        <v>2</v>
      </c>
      <c r="GR15" s="117">
        <v>69257</v>
      </c>
      <c r="GS15" s="324">
        <f>69257/49209180</f>
        <v>1.4074000013818561E-3</v>
      </c>
      <c r="GT15" s="293"/>
      <c r="GU15" s="293"/>
      <c r="GV15" s="293"/>
      <c r="GW15" s="293"/>
      <c r="GX15" s="293"/>
      <c r="GY15" s="293"/>
      <c r="GZ15" s="293"/>
      <c r="HA15" s="293"/>
      <c r="HB15" s="293"/>
      <c r="HC15" s="293"/>
      <c r="HD15" s="293"/>
      <c r="HE15" s="293"/>
      <c r="HF15" s="293"/>
      <c r="HG15" s="293"/>
      <c r="HH15" s="293"/>
      <c r="HI15" s="293"/>
      <c r="HJ15" s="293"/>
      <c r="HK15" s="293"/>
      <c r="HL15" s="293"/>
      <c r="HM15" s="293"/>
      <c r="HN15" s="293"/>
      <c r="HO15" s="293"/>
      <c r="HP15" s="293"/>
      <c r="HQ15" s="293"/>
      <c r="HR15" s="293"/>
      <c r="HS15" s="293"/>
      <c r="HT15" s="293"/>
      <c r="HU15" s="293"/>
      <c r="HV15" s="293"/>
      <c r="HW15" s="293"/>
      <c r="HX15" s="294"/>
    </row>
    <row r="16" spans="2:232" ht="12.75" x14ac:dyDescent="0.2">
      <c r="B16" s="259" t="s">
        <v>233</v>
      </c>
      <c r="C16" s="258">
        <v>4</v>
      </c>
      <c r="D16" s="115"/>
      <c r="E16" s="115"/>
      <c r="F16" s="115"/>
      <c r="G16" s="257">
        <v>4</v>
      </c>
      <c r="H16" s="117"/>
      <c r="I16" s="258">
        <v>1</v>
      </c>
      <c r="J16" s="115"/>
      <c r="K16" s="257">
        <v>1</v>
      </c>
      <c r="L16" s="117"/>
      <c r="M16" s="116">
        <v>102</v>
      </c>
      <c r="N16" s="117">
        <v>1066</v>
      </c>
      <c r="O16" s="115">
        <v>12</v>
      </c>
      <c r="P16" s="115">
        <v>37</v>
      </c>
      <c r="Q16" s="115">
        <v>37</v>
      </c>
      <c r="R16" s="115">
        <v>0</v>
      </c>
      <c r="S16" s="115">
        <v>35</v>
      </c>
      <c r="T16" s="115">
        <v>2</v>
      </c>
      <c r="U16" s="115"/>
      <c r="V16" s="117">
        <v>1189</v>
      </c>
      <c r="W16" s="258"/>
      <c r="X16" s="115"/>
      <c r="Y16" s="257"/>
      <c r="Z16" s="117">
        <v>8</v>
      </c>
      <c r="AA16" s="115"/>
      <c r="AB16" s="117">
        <v>8</v>
      </c>
      <c r="AC16" s="258">
        <v>3954</v>
      </c>
      <c r="AD16" s="115">
        <v>2</v>
      </c>
      <c r="AE16" s="115"/>
      <c r="AF16" s="257">
        <v>3956</v>
      </c>
      <c r="AG16" s="117">
        <v>7</v>
      </c>
      <c r="AH16" s="115"/>
      <c r="AI16" s="115"/>
      <c r="AJ16" s="115"/>
      <c r="AK16" s="117">
        <v>7</v>
      </c>
      <c r="AL16" s="258"/>
      <c r="AM16" s="115"/>
      <c r="AN16" s="257"/>
      <c r="AO16" s="117"/>
      <c r="AP16" s="116"/>
      <c r="AQ16" s="117"/>
      <c r="AR16" s="115"/>
      <c r="AS16" s="115"/>
      <c r="AT16" s="117"/>
      <c r="AU16" s="258">
        <v>32</v>
      </c>
      <c r="AV16" s="115"/>
      <c r="AW16" s="115">
        <v>1</v>
      </c>
      <c r="AX16" s="115"/>
      <c r="AY16" s="115"/>
      <c r="AZ16" s="115"/>
      <c r="BA16" s="115"/>
      <c r="BB16" s="115"/>
      <c r="BC16" s="257">
        <v>33</v>
      </c>
      <c r="BD16" s="117"/>
      <c r="BE16" s="116"/>
      <c r="BF16" s="117">
        <v>24</v>
      </c>
      <c r="BG16" s="115">
        <v>97</v>
      </c>
      <c r="BH16" s="115">
        <v>127</v>
      </c>
      <c r="BI16" s="115">
        <v>54</v>
      </c>
      <c r="BJ16" s="115">
        <v>2</v>
      </c>
      <c r="BK16" s="115"/>
      <c r="BL16" s="117">
        <v>304</v>
      </c>
      <c r="BM16" s="116"/>
      <c r="BN16" s="116"/>
      <c r="BO16" s="116"/>
      <c r="BP16" s="116"/>
      <c r="BQ16" s="117"/>
      <c r="BR16" s="115"/>
      <c r="BS16" s="117"/>
      <c r="BT16" s="116"/>
      <c r="BU16" s="117"/>
      <c r="BV16" s="115"/>
      <c r="BW16" s="115"/>
      <c r="BX16" s="117"/>
      <c r="BY16" s="258"/>
      <c r="BZ16" s="115"/>
      <c r="CA16" s="115"/>
      <c r="CB16" s="115">
        <v>7</v>
      </c>
      <c r="CC16" s="115"/>
      <c r="CD16" s="115"/>
      <c r="CE16" s="115"/>
      <c r="CF16" s="115"/>
      <c r="CG16" s="115"/>
      <c r="CH16" s="115"/>
      <c r="CI16" s="115"/>
      <c r="CJ16" s="115"/>
      <c r="CK16" s="115"/>
      <c r="CL16" s="115"/>
      <c r="CM16" s="115"/>
      <c r="CN16" s="257">
        <v>7</v>
      </c>
      <c r="CO16" s="117"/>
      <c r="CP16" s="115"/>
      <c r="CQ16" s="117"/>
      <c r="CR16" s="116"/>
      <c r="CS16" s="117">
        <v>2</v>
      </c>
      <c r="CT16" s="115">
        <v>0</v>
      </c>
      <c r="CU16" s="115">
        <v>12136</v>
      </c>
      <c r="CV16" s="115">
        <v>2190</v>
      </c>
      <c r="CW16" s="115">
        <v>4321</v>
      </c>
      <c r="CX16" s="115">
        <v>1</v>
      </c>
      <c r="CY16" s="115"/>
      <c r="CZ16" s="115">
        <v>3</v>
      </c>
      <c r="DA16" s="115">
        <v>32</v>
      </c>
      <c r="DB16" s="115"/>
      <c r="DC16" s="115"/>
      <c r="DD16" s="117">
        <v>18685</v>
      </c>
      <c r="DE16" s="258">
        <v>180</v>
      </c>
      <c r="DF16" s="115"/>
      <c r="DG16" s="115">
        <v>267</v>
      </c>
      <c r="DH16" s="115">
        <v>310</v>
      </c>
      <c r="DI16" s="115">
        <v>14</v>
      </c>
      <c r="DJ16" s="115"/>
      <c r="DK16" s="115"/>
      <c r="DL16" s="257">
        <v>771</v>
      </c>
      <c r="DM16" s="117"/>
      <c r="DN16" s="116"/>
      <c r="DO16" s="117"/>
      <c r="DP16" s="115"/>
      <c r="DQ16" s="117"/>
      <c r="DR16" s="116">
        <v>6</v>
      </c>
      <c r="DS16" s="117"/>
      <c r="DT16" s="115"/>
      <c r="DU16" s="117"/>
      <c r="DV16" s="258">
        <v>8</v>
      </c>
      <c r="DW16" s="115"/>
      <c r="DX16" s="257">
        <v>8</v>
      </c>
      <c r="DY16" s="117"/>
      <c r="DZ16" s="116"/>
      <c r="EA16" s="117">
        <v>24</v>
      </c>
      <c r="EB16" s="115"/>
      <c r="EC16" s="117">
        <v>24</v>
      </c>
      <c r="ED16" s="116"/>
      <c r="EE16" s="116"/>
      <c r="EF16" s="117">
        <v>0</v>
      </c>
      <c r="EG16" s="115">
        <v>3</v>
      </c>
      <c r="EH16" s="115"/>
      <c r="EI16" s="115"/>
      <c r="EJ16" s="115"/>
      <c r="EK16" s="115"/>
      <c r="EL16" s="117">
        <v>3</v>
      </c>
      <c r="EM16" s="258">
        <v>61</v>
      </c>
      <c r="EN16" s="115">
        <v>100</v>
      </c>
      <c r="EO16" s="115">
        <v>33</v>
      </c>
      <c r="EP16" s="115">
        <v>188</v>
      </c>
      <c r="EQ16" s="115">
        <v>32</v>
      </c>
      <c r="ER16" s="115">
        <v>2</v>
      </c>
      <c r="ES16" s="115">
        <v>174</v>
      </c>
      <c r="ET16" s="115">
        <v>0</v>
      </c>
      <c r="EU16" s="115">
        <v>0</v>
      </c>
      <c r="EV16" s="115">
        <v>2</v>
      </c>
      <c r="EW16" s="115"/>
      <c r="EX16" s="115">
        <v>5</v>
      </c>
      <c r="EY16" s="115"/>
      <c r="EZ16" s="257">
        <v>597</v>
      </c>
      <c r="FA16" s="117"/>
      <c r="FB16" s="116">
        <v>3</v>
      </c>
      <c r="FC16" s="117"/>
      <c r="FD16" s="115"/>
      <c r="FE16" s="115"/>
      <c r="FF16" s="117"/>
      <c r="FG16" s="116"/>
      <c r="FH16" s="116"/>
      <c r="FI16" s="117">
        <v>0</v>
      </c>
      <c r="FJ16" s="115"/>
      <c r="FK16" s="115"/>
      <c r="FL16" s="115"/>
      <c r="FM16" s="117">
        <v>0</v>
      </c>
      <c r="FN16" s="258"/>
      <c r="FO16" s="115"/>
      <c r="FP16" s="257"/>
      <c r="FQ16" s="117"/>
      <c r="FR16" s="115"/>
      <c r="FS16" s="117"/>
      <c r="FT16" s="116"/>
      <c r="FU16" s="117"/>
      <c r="FV16" s="115"/>
      <c r="FW16" s="117"/>
      <c r="FX16" s="258"/>
      <c r="FY16" s="115"/>
      <c r="FZ16" s="115"/>
      <c r="GA16" s="115"/>
      <c r="GB16" s="257"/>
      <c r="GC16" s="117"/>
      <c r="GD16" s="258">
        <v>5</v>
      </c>
      <c r="GE16" s="115"/>
      <c r="GF16" s="257">
        <v>5</v>
      </c>
      <c r="GG16" s="117"/>
      <c r="GH16" s="258"/>
      <c r="GI16" s="115"/>
      <c r="GJ16" s="115"/>
      <c r="GK16" s="257"/>
      <c r="GL16" s="117">
        <v>0</v>
      </c>
      <c r="GM16" s="258"/>
      <c r="GN16" s="115"/>
      <c r="GO16" s="115"/>
      <c r="GP16" s="115"/>
      <c r="GQ16" s="257"/>
      <c r="GR16" s="117">
        <v>25713</v>
      </c>
      <c r="GS16" s="324">
        <f>25713/49209180</f>
        <v>5.2252445580275872E-4</v>
      </c>
      <c r="GT16" s="293"/>
      <c r="GU16" s="293"/>
      <c r="GV16" s="293"/>
      <c r="GW16" s="293"/>
      <c r="GX16" s="293"/>
      <c r="GY16" s="293"/>
      <c r="GZ16" s="293"/>
      <c r="HA16" s="293"/>
      <c r="HB16" s="293"/>
      <c r="HC16" s="293"/>
      <c r="HD16" s="293"/>
      <c r="HE16" s="293"/>
      <c r="HF16" s="293"/>
      <c r="HG16" s="293"/>
      <c r="HH16" s="293"/>
      <c r="HI16" s="293"/>
      <c r="HJ16" s="293"/>
      <c r="HK16" s="293"/>
      <c r="HL16" s="293"/>
      <c r="HM16" s="293"/>
      <c r="HN16" s="293"/>
      <c r="HO16" s="293"/>
      <c r="HP16" s="293"/>
      <c r="HQ16" s="293"/>
      <c r="HR16" s="293"/>
      <c r="HS16" s="293"/>
      <c r="HT16" s="293"/>
      <c r="HU16" s="293"/>
      <c r="HV16" s="293"/>
      <c r="HW16" s="293"/>
      <c r="HX16" s="294"/>
    </row>
    <row r="17" spans="2:232" ht="12.75" x14ac:dyDescent="0.2">
      <c r="B17" s="259" t="s">
        <v>253</v>
      </c>
      <c r="C17" s="258">
        <v>40</v>
      </c>
      <c r="D17" s="115"/>
      <c r="E17" s="115"/>
      <c r="F17" s="115"/>
      <c r="G17" s="257">
        <v>40</v>
      </c>
      <c r="H17" s="117"/>
      <c r="I17" s="258"/>
      <c r="J17" s="115"/>
      <c r="K17" s="257"/>
      <c r="L17" s="117"/>
      <c r="M17" s="116">
        <v>203</v>
      </c>
      <c r="N17" s="117">
        <v>417</v>
      </c>
      <c r="O17" s="115">
        <v>4</v>
      </c>
      <c r="P17" s="115">
        <v>15</v>
      </c>
      <c r="Q17" s="115">
        <v>5</v>
      </c>
      <c r="R17" s="115">
        <v>0</v>
      </c>
      <c r="S17" s="115">
        <v>1</v>
      </c>
      <c r="T17" s="115">
        <v>0</v>
      </c>
      <c r="U17" s="115"/>
      <c r="V17" s="117">
        <v>442</v>
      </c>
      <c r="W17" s="258"/>
      <c r="X17" s="115"/>
      <c r="Y17" s="257"/>
      <c r="Z17" s="117">
        <v>7</v>
      </c>
      <c r="AA17" s="115"/>
      <c r="AB17" s="117">
        <v>7</v>
      </c>
      <c r="AC17" s="258">
        <v>706</v>
      </c>
      <c r="AD17" s="115"/>
      <c r="AE17" s="115"/>
      <c r="AF17" s="257">
        <v>706</v>
      </c>
      <c r="AG17" s="117">
        <v>2</v>
      </c>
      <c r="AH17" s="115"/>
      <c r="AI17" s="115"/>
      <c r="AJ17" s="115"/>
      <c r="AK17" s="117">
        <v>2</v>
      </c>
      <c r="AL17" s="258"/>
      <c r="AM17" s="115"/>
      <c r="AN17" s="257"/>
      <c r="AO17" s="117"/>
      <c r="AP17" s="116"/>
      <c r="AQ17" s="117"/>
      <c r="AR17" s="115"/>
      <c r="AS17" s="115"/>
      <c r="AT17" s="117"/>
      <c r="AU17" s="258">
        <v>4</v>
      </c>
      <c r="AV17" s="115"/>
      <c r="AW17" s="115"/>
      <c r="AX17" s="115"/>
      <c r="AY17" s="115"/>
      <c r="AZ17" s="115"/>
      <c r="BA17" s="115"/>
      <c r="BB17" s="115"/>
      <c r="BC17" s="257">
        <v>4</v>
      </c>
      <c r="BD17" s="117"/>
      <c r="BE17" s="116"/>
      <c r="BF17" s="117">
        <v>10</v>
      </c>
      <c r="BG17" s="115">
        <v>21</v>
      </c>
      <c r="BH17" s="115">
        <v>44</v>
      </c>
      <c r="BI17" s="115">
        <v>7</v>
      </c>
      <c r="BJ17" s="115"/>
      <c r="BK17" s="115"/>
      <c r="BL17" s="117">
        <v>82</v>
      </c>
      <c r="BM17" s="116"/>
      <c r="BN17" s="116"/>
      <c r="BO17" s="116"/>
      <c r="BP17" s="116"/>
      <c r="BQ17" s="117">
        <v>29</v>
      </c>
      <c r="BR17" s="115"/>
      <c r="BS17" s="117">
        <v>29</v>
      </c>
      <c r="BT17" s="116">
        <v>4</v>
      </c>
      <c r="BU17" s="117"/>
      <c r="BV17" s="115"/>
      <c r="BW17" s="115"/>
      <c r="BX17" s="117"/>
      <c r="BY17" s="258"/>
      <c r="BZ17" s="115"/>
      <c r="CA17" s="115"/>
      <c r="CB17" s="115"/>
      <c r="CC17" s="115"/>
      <c r="CD17" s="115"/>
      <c r="CE17" s="115"/>
      <c r="CF17" s="115"/>
      <c r="CG17" s="115"/>
      <c r="CH17" s="115"/>
      <c r="CI17" s="115"/>
      <c r="CJ17" s="115"/>
      <c r="CK17" s="115"/>
      <c r="CL17" s="115"/>
      <c r="CM17" s="115"/>
      <c r="CN17" s="257"/>
      <c r="CO17" s="117"/>
      <c r="CP17" s="115"/>
      <c r="CQ17" s="117"/>
      <c r="CR17" s="116"/>
      <c r="CS17" s="117">
        <v>32</v>
      </c>
      <c r="CT17" s="115"/>
      <c r="CU17" s="115">
        <v>18471</v>
      </c>
      <c r="CV17" s="115">
        <v>240</v>
      </c>
      <c r="CW17" s="115">
        <v>1809</v>
      </c>
      <c r="CX17" s="115">
        <v>14</v>
      </c>
      <c r="CY17" s="115">
        <v>15</v>
      </c>
      <c r="CZ17" s="115">
        <v>1</v>
      </c>
      <c r="DA17" s="115">
        <v>2</v>
      </c>
      <c r="DB17" s="115"/>
      <c r="DC17" s="115"/>
      <c r="DD17" s="117">
        <v>20584</v>
      </c>
      <c r="DE17" s="258">
        <v>74</v>
      </c>
      <c r="DF17" s="115">
        <v>2</v>
      </c>
      <c r="DG17" s="115">
        <v>84</v>
      </c>
      <c r="DH17" s="115">
        <v>7</v>
      </c>
      <c r="DI17" s="115"/>
      <c r="DJ17" s="115"/>
      <c r="DK17" s="115"/>
      <c r="DL17" s="257">
        <v>167</v>
      </c>
      <c r="DM17" s="117"/>
      <c r="DN17" s="116"/>
      <c r="DO17" s="117"/>
      <c r="DP17" s="115"/>
      <c r="DQ17" s="117"/>
      <c r="DR17" s="116">
        <v>4</v>
      </c>
      <c r="DS17" s="117"/>
      <c r="DT17" s="115"/>
      <c r="DU17" s="117"/>
      <c r="DV17" s="258">
        <v>6</v>
      </c>
      <c r="DW17" s="115"/>
      <c r="DX17" s="257">
        <v>6</v>
      </c>
      <c r="DY17" s="117">
        <v>1</v>
      </c>
      <c r="DZ17" s="116"/>
      <c r="EA17" s="117">
        <v>11</v>
      </c>
      <c r="EB17" s="115"/>
      <c r="EC17" s="117">
        <v>11</v>
      </c>
      <c r="ED17" s="116"/>
      <c r="EE17" s="116"/>
      <c r="EF17" s="117">
        <v>3</v>
      </c>
      <c r="EG17" s="115">
        <v>2</v>
      </c>
      <c r="EH17" s="115"/>
      <c r="EI17" s="115"/>
      <c r="EJ17" s="115"/>
      <c r="EK17" s="115"/>
      <c r="EL17" s="117">
        <v>5</v>
      </c>
      <c r="EM17" s="258">
        <v>26</v>
      </c>
      <c r="EN17" s="115">
        <v>38</v>
      </c>
      <c r="EO17" s="115">
        <v>10</v>
      </c>
      <c r="EP17" s="115">
        <v>30</v>
      </c>
      <c r="EQ17" s="115">
        <v>41</v>
      </c>
      <c r="ER17" s="115">
        <v>3</v>
      </c>
      <c r="ES17" s="115">
        <v>85</v>
      </c>
      <c r="ET17" s="115"/>
      <c r="EU17" s="115"/>
      <c r="EV17" s="115"/>
      <c r="EW17" s="115"/>
      <c r="EX17" s="115">
        <v>3</v>
      </c>
      <c r="EY17" s="115"/>
      <c r="EZ17" s="257">
        <v>236</v>
      </c>
      <c r="FA17" s="117"/>
      <c r="FB17" s="116"/>
      <c r="FC17" s="117"/>
      <c r="FD17" s="115"/>
      <c r="FE17" s="115"/>
      <c r="FF17" s="117"/>
      <c r="FG17" s="116"/>
      <c r="FH17" s="116"/>
      <c r="FI17" s="117"/>
      <c r="FJ17" s="115">
        <v>190</v>
      </c>
      <c r="FK17" s="115"/>
      <c r="FL17" s="115"/>
      <c r="FM17" s="117">
        <v>190</v>
      </c>
      <c r="FN17" s="258"/>
      <c r="FO17" s="115"/>
      <c r="FP17" s="257"/>
      <c r="FQ17" s="117"/>
      <c r="FR17" s="115"/>
      <c r="FS17" s="117"/>
      <c r="FT17" s="116"/>
      <c r="FU17" s="117"/>
      <c r="FV17" s="115"/>
      <c r="FW17" s="117"/>
      <c r="FX17" s="258"/>
      <c r="FY17" s="115">
        <v>16</v>
      </c>
      <c r="FZ17" s="115"/>
      <c r="GA17" s="115"/>
      <c r="GB17" s="257">
        <v>16</v>
      </c>
      <c r="GC17" s="117"/>
      <c r="GD17" s="258">
        <v>7</v>
      </c>
      <c r="GE17" s="115"/>
      <c r="GF17" s="257">
        <v>7</v>
      </c>
      <c r="GG17" s="117"/>
      <c r="GH17" s="258"/>
      <c r="GI17" s="115"/>
      <c r="GJ17" s="115"/>
      <c r="GK17" s="257"/>
      <c r="GL17" s="117">
        <v>6</v>
      </c>
      <c r="GM17" s="258">
        <v>1</v>
      </c>
      <c r="GN17" s="115"/>
      <c r="GO17" s="115"/>
      <c r="GP17" s="115"/>
      <c r="GQ17" s="257">
        <v>1</v>
      </c>
      <c r="GR17" s="117">
        <v>22753</v>
      </c>
      <c r="GS17" s="324">
        <f>22753/49209180</f>
        <v>4.6237307754366157E-4</v>
      </c>
      <c r="GT17" s="293"/>
      <c r="GU17" s="293"/>
      <c r="GV17" s="293"/>
      <c r="GW17" s="293"/>
      <c r="GX17" s="293"/>
      <c r="GY17" s="293"/>
      <c r="GZ17" s="293"/>
      <c r="HA17" s="293"/>
      <c r="HB17" s="293"/>
      <c r="HC17" s="293"/>
      <c r="HD17" s="293"/>
      <c r="HE17" s="293"/>
      <c r="HF17" s="293"/>
      <c r="HG17" s="293"/>
      <c r="HH17" s="293"/>
      <c r="HI17" s="293"/>
      <c r="HJ17" s="293"/>
      <c r="HK17" s="293"/>
      <c r="HL17" s="293"/>
      <c r="HM17" s="293"/>
      <c r="HN17" s="293"/>
      <c r="HO17" s="293"/>
      <c r="HP17" s="293"/>
      <c r="HQ17" s="293"/>
      <c r="HR17" s="293"/>
      <c r="HS17" s="293"/>
      <c r="HT17" s="293"/>
      <c r="HU17" s="293"/>
      <c r="HV17" s="293"/>
      <c r="HW17" s="293"/>
      <c r="HX17" s="294"/>
    </row>
    <row r="18" spans="2:232" ht="13.5" thickBot="1" x14ac:dyDescent="0.25">
      <c r="B18" s="325" t="s">
        <v>554</v>
      </c>
      <c r="C18" s="326">
        <v>12</v>
      </c>
      <c r="D18" s="327"/>
      <c r="E18" s="327">
        <v>2</v>
      </c>
      <c r="F18" s="327">
        <v>0</v>
      </c>
      <c r="G18" s="328">
        <v>14</v>
      </c>
      <c r="H18" s="329"/>
      <c r="I18" s="326">
        <v>1</v>
      </c>
      <c r="J18" s="327"/>
      <c r="K18" s="328">
        <v>1</v>
      </c>
      <c r="L18" s="329"/>
      <c r="M18" s="330">
        <v>247</v>
      </c>
      <c r="N18" s="329">
        <v>4719</v>
      </c>
      <c r="O18" s="327">
        <v>20</v>
      </c>
      <c r="P18" s="327">
        <v>181</v>
      </c>
      <c r="Q18" s="327">
        <v>14</v>
      </c>
      <c r="R18" s="327"/>
      <c r="S18" s="327">
        <v>20</v>
      </c>
      <c r="T18" s="327"/>
      <c r="U18" s="327"/>
      <c r="V18" s="329">
        <v>4954</v>
      </c>
      <c r="W18" s="326">
        <v>3</v>
      </c>
      <c r="X18" s="327">
        <v>1</v>
      </c>
      <c r="Y18" s="328">
        <v>4</v>
      </c>
      <c r="Z18" s="329">
        <v>53</v>
      </c>
      <c r="AA18" s="327"/>
      <c r="AB18" s="329">
        <v>53</v>
      </c>
      <c r="AC18" s="326">
        <v>3474</v>
      </c>
      <c r="AD18" s="327">
        <v>1</v>
      </c>
      <c r="AE18" s="327"/>
      <c r="AF18" s="328">
        <v>3475</v>
      </c>
      <c r="AG18" s="329">
        <v>20</v>
      </c>
      <c r="AH18" s="327"/>
      <c r="AI18" s="327">
        <v>10</v>
      </c>
      <c r="AJ18" s="327"/>
      <c r="AK18" s="329">
        <v>30</v>
      </c>
      <c r="AL18" s="326">
        <v>15</v>
      </c>
      <c r="AM18" s="327"/>
      <c r="AN18" s="328">
        <v>15</v>
      </c>
      <c r="AO18" s="329"/>
      <c r="AP18" s="330"/>
      <c r="AQ18" s="329"/>
      <c r="AR18" s="327">
        <v>4</v>
      </c>
      <c r="AS18" s="327"/>
      <c r="AT18" s="329">
        <v>4</v>
      </c>
      <c r="AU18" s="326">
        <v>28</v>
      </c>
      <c r="AV18" s="327"/>
      <c r="AW18" s="327">
        <v>87</v>
      </c>
      <c r="AX18" s="327">
        <v>0</v>
      </c>
      <c r="AY18" s="327"/>
      <c r="AZ18" s="327"/>
      <c r="BA18" s="327"/>
      <c r="BB18" s="327"/>
      <c r="BC18" s="328">
        <v>115</v>
      </c>
      <c r="BD18" s="329"/>
      <c r="BE18" s="330">
        <v>2</v>
      </c>
      <c r="BF18" s="329">
        <v>27</v>
      </c>
      <c r="BG18" s="327">
        <v>111</v>
      </c>
      <c r="BH18" s="327">
        <v>554</v>
      </c>
      <c r="BI18" s="327">
        <v>25</v>
      </c>
      <c r="BJ18" s="327">
        <v>18</v>
      </c>
      <c r="BK18" s="327"/>
      <c r="BL18" s="329">
        <v>735</v>
      </c>
      <c r="BM18" s="330">
        <v>1</v>
      </c>
      <c r="BN18" s="330"/>
      <c r="BO18" s="330"/>
      <c r="BP18" s="330"/>
      <c r="BQ18" s="329">
        <v>2</v>
      </c>
      <c r="BR18" s="327">
        <v>13</v>
      </c>
      <c r="BS18" s="329">
        <v>15</v>
      </c>
      <c r="BT18" s="330"/>
      <c r="BU18" s="329"/>
      <c r="BV18" s="327"/>
      <c r="BW18" s="327"/>
      <c r="BX18" s="329"/>
      <c r="BY18" s="326"/>
      <c r="BZ18" s="327">
        <v>0</v>
      </c>
      <c r="CA18" s="327"/>
      <c r="CB18" s="327"/>
      <c r="CC18" s="327"/>
      <c r="CD18" s="327"/>
      <c r="CE18" s="327"/>
      <c r="CF18" s="327"/>
      <c r="CG18" s="327"/>
      <c r="CH18" s="327"/>
      <c r="CI18" s="327"/>
      <c r="CJ18" s="327">
        <v>26</v>
      </c>
      <c r="CK18" s="327"/>
      <c r="CL18" s="327"/>
      <c r="CM18" s="327">
        <v>1</v>
      </c>
      <c r="CN18" s="328">
        <v>27</v>
      </c>
      <c r="CO18" s="329"/>
      <c r="CP18" s="327"/>
      <c r="CQ18" s="329"/>
      <c r="CR18" s="330"/>
      <c r="CS18" s="329">
        <v>16</v>
      </c>
      <c r="CT18" s="327">
        <v>1</v>
      </c>
      <c r="CU18" s="327">
        <v>26663</v>
      </c>
      <c r="CV18" s="327">
        <v>1605</v>
      </c>
      <c r="CW18" s="327">
        <v>8320</v>
      </c>
      <c r="CX18" s="327">
        <v>26</v>
      </c>
      <c r="CY18" s="327">
        <v>8</v>
      </c>
      <c r="CZ18" s="327">
        <v>1</v>
      </c>
      <c r="DA18" s="327">
        <v>5</v>
      </c>
      <c r="DB18" s="327"/>
      <c r="DC18" s="327">
        <v>1</v>
      </c>
      <c r="DD18" s="329">
        <v>36646</v>
      </c>
      <c r="DE18" s="326">
        <v>419</v>
      </c>
      <c r="DF18" s="327">
        <v>19</v>
      </c>
      <c r="DG18" s="327">
        <v>450</v>
      </c>
      <c r="DH18" s="327">
        <v>148</v>
      </c>
      <c r="DI18" s="327">
        <v>24</v>
      </c>
      <c r="DJ18" s="327"/>
      <c r="DK18" s="327"/>
      <c r="DL18" s="328">
        <v>1060</v>
      </c>
      <c r="DM18" s="329"/>
      <c r="DN18" s="330"/>
      <c r="DO18" s="329"/>
      <c r="DP18" s="327"/>
      <c r="DQ18" s="329"/>
      <c r="DR18" s="330">
        <v>9</v>
      </c>
      <c r="DS18" s="329">
        <v>3</v>
      </c>
      <c r="DT18" s="327"/>
      <c r="DU18" s="329">
        <v>3</v>
      </c>
      <c r="DV18" s="326">
        <v>4</v>
      </c>
      <c r="DW18" s="327"/>
      <c r="DX18" s="328">
        <v>4</v>
      </c>
      <c r="DY18" s="329"/>
      <c r="DZ18" s="330"/>
      <c r="EA18" s="329">
        <v>44</v>
      </c>
      <c r="EB18" s="327"/>
      <c r="EC18" s="329">
        <v>44</v>
      </c>
      <c r="ED18" s="330"/>
      <c r="EE18" s="330"/>
      <c r="EF18" s="329">
        <v>32</v>
      </c>
      <c r="EG18" s="327">
        <v>52</v>
      </c>
      <c r="EH18" s="327"/>
      <c r="EI18" s="327"/>
      <c r="EJ18" s="327"/>
      <c r="EK18" s="327"/>
      <c r="EL18" s="329">
        <v>84</v>
      </c>
      <c r="EM18" s="326">
        <v>111</v>
      </c>
      <c r="EN18" s="327">
        <v>173</v>
      </c>
      <c r="EO18" s="327">
        <v>20</v>
      </c>
      <c r="EP18" s="327">
        <v>285</v>
      </c>
      <c r="EQ18" s="327">
        <v>144</v>
      </c>
      <c r="ER18" s="327">
        <v>8</v>
      </c>
      <c r="ES18" s="327">
        <v>183</v>
      </c>
      <c r="ET18" s="327">
        <v>0</v>
      </c>
      <c r="EU18" s="327">
        <v>1</v>
      </c>
      <c r="EV18" s="327">
        <v>1</v>
      </c>
      <c r="EW18" s="327"/>
      <c r="EX18" s="327">
        <v>2</v>
      </c>
      <c r="EY18" s="327"/>
      <c r="EZ18" s="328">
        <v>928</v>
      </c>
      <c r="FA18" s="329"/>
      <c r="FB18" s="330">
        <v>3</v>
      </c>
      <c r="FC18" s="329"/>
      <c r="FD18" s="327"/>
      <c r="FE18" s="327"/>
      <c r="FF18" s="329"/>
      <c r="FG18" s="330"/>
      <c r="FH18" s="330"/>
      <c r="FI18" s="329">
        <v>2</v>
      </c>
      <c r="FJ18" s="327"/>
      <c r="FK18" s="327"/>
      <c r="FL18" s="327"/>
      <c r="FM18" s="329">
        <v>2</v>
      </c>
      <c r="FN18" s="326">
        <v>0</v>
      </c>
      <c r="FO18" s="327"/>
      <c r="FP18" s="328">
        <v>0</v>
      </c>
      <c r="FQ18" s="329"/>
      <c r="FR18" s="327"/>
      <c r="FS18" s="329"/>
      <c r="FT18" s="330">
        <v>1</v>
      </c>
      <c r="FU18" s="329">
        <v>1</v>
      </c>
      <c r="FV18" s="327"/>
      <c r="FW18" s="329">
        <v>1</v>
      </c>
      <c r="FX18" s="326">
        <v>1</v>
      </c>
      <c r="FY18" s="327">
        <v>2</v>
      </c>
      <c r="FZ18" s="327"/>
      <c r="GA18" s="327"/>
      <c r="GB18" s="328">
        <v>3</v>
      </c>
      <c r="GC18" s="329"/>
      <c r="GD18" s="326">
        <v>4</v>
      </c>
      <c r="GE18" s="327"/>
      <c r="GF18" s="328">
        <v>4</v>
      </c>
      <c r="GG18" s="329">
        <v>0</v>
      </c>
      <c r="GH18" s="326">
        <v>1</v>
      </c>
      <c r="GI18" s="327"/>
      <c r="GJ18" s="327"/>
      <c r="GK18" s="328">
        <v>1</v>
      </c>
      <c r="GL18" s="329"/>
      <c r="GM18" s="326"/>
      <c r="GN18" s="327"/>
      <c r="GO18" s="327">
        <v>27</v>
      </c>
      <c r="GP18" s="327"/>
      <c r="GQ18" s="328">
        <v>27</v>
      </c>
      <c r="GR18" s="329">
        <v>48512</v>
      </c>
      <c r="GS18" s="331">
        <f>48512/49209180</f>
        <v>9.8583231827882524E-4</v>
      </c>
      <c r="GT18" s="293"/>
      <c r="GU18" s="293"/>
      <c r="GV18" s="293"/>
      <c r="GW18" s="293"/>
      <c r="GX18" s="293"/>
      <c r="GY18" s="293"/>
      <c r="GZ18" s="293"/>
      <c r="HA18" s="293"/>
      <c r="HB18" s="293"/>
      <c r="HC18" s="293"/>
      <c r="HD18" s="293"/>
      <c r="HE18" s="293"/>
      <c r="HF18" s="293"/>
      <c r="HG18" s="293"/>
      <c r="HH18" s="293"/>
      <c r="HI18" s="293"/>
      <c r="HJ18" s="293"/>
      <c r="HK18" s="293"/>
      <c r="HL18" s="293"/>
      <c r="HM18" s="293"/>
      <c r="HN18" s="293"/>
      <c r="HO18" s="293"/>
      <c r="HP18" s="293"/>
      <c r="HQ18" s="293"/>
      <c r="HR18" s="293"/>
      <c r="HS18" s="293"/>
      <c r="HT18" s="293"/>
      <c r="HU18" s="293"/>
      <c r="HV18" s="293"/>
      <c r="HW18" s="293"/>
      <c r="HX18" s="294"/>
    </row>
    <row r="19" spans="2:232" ht="13.5" thickBot="1" x14ac:dyDescent="0.25">
      <c r="B19" s="332" t="s">
        <v>540</v>
      </c>
      <c r="C19" s="333">
        <v>226</v>
      </c>
      <c r="D19" s="334"/>
      <c r="E19" s="334">
        <v>2</v>
      </c>
      <c r="F19" s="334">
        <v>0</v>
      </c>
      <c r="G19" s="335">
        <v>228</v>
      </c>
      <c r="H19" s="336"/>
      <c r="I19" s="333">
        <v>6</v>
      </c>
      <c r="J19" s="334"/>
      <c r="K19" s="335">
        <v>6</v>
      </c>
      <c r="L19" s="336">
        <v>1</v>
      </c>
      <c r="M19" s="337">
        <v>1470</v>
      </c>
      <c r="N19" s="336">
        <v>13815</v>
      </c>
      <c r="O19" s="334">
        <v>82</v>
      </c>
      <c r="P19" s="334">
        <v>863</v>
      </c>
      <c r="Q19" s="334">
        <v>167</v>
      </c>
      <c r="R19" s="334">
        <v>2</v>
      </c>
      <c r="S19" s="334">
        <v>169</v>
      </c>
      <c r="T19" s="334">
        <v>4</v>
      </c>
      <c r="U19" s="334"/>
      <c r="V19" s="336">
        <v>15102</v>
      </c>
      <c r="W19" s="333">
        <v>11</v>
      </c>
      <c r="X19" s="334">
        <v>8</v>
      </c>
      <c r="Y19" s="335">
        <v>19</v>
      </c>
      <c r="Z19" s="336">
        <v>224</v>
      </c>
      <c r="AA19" s="334"/>
      <c r="AB19" s="336">
        <v>224</v>
      </c>
      <c r="AC19" s="333">
        <v>27437</v>
      </c>
      <c r="AD19" s="334">
        <v>5</v>
      </c>
      <c r="AE19" s="334"/>
      <c r="AF19" s="335">
        <v>27442</v>
      </c>
      <c r="AG19" s="336">
        <v>291</v>
      </c>
      <c r="AH19" s="334">
        <v>1</v>
      </c>
      <c r="AI19" s="334">
        <v>17</v>
      </c>
      <c r="AJ19" s="334"/>
      <c r="AK19" s="336">
        <v>309</v>
      </c>
      <c r="AL19" s="333">
        <v>15</v>
      </c>
      <c r="AM19" s="334">
        <v>1</v>
      </c>
      <c r="AN19" s="335">
        <v>16</v>
      </c>
      <c r="AO19" s="336"/>
      <c r="AP19" s="337"/>
      <c r="AQ19" s="336">
        <v>0</v>
      </c>
      <c r="AR19" s="334">
        <v>5</v>
      </c>
      <c r="AS19" s="334"/>
      <c r="AT19" s="336">
        <v>5</v>
      </c>
      <c r="AU19" s="333">
        <v>158</v>
      </c>
      <c r="AV19" s="334">
        <v>0</v>
      </c>
      <c r="AW19" s="334">
        <v>283</v>
      </c>
      <c r="AX19" s="334">
        <v>0</v>
      </c>
      <c r="AY19" s="334"/>
      <c r="AZ19" s="334"/>
      <c r="BA19" s="334"/>
      <c r="BB19" s="334"/>
      <c r="BC19" s="335">
        <v>441</v>
      </c>
      <c r="BD19" s="336"/>
      <c r="BE19" s="337">
        <v>2</v>
      </c>
      <c r="BF19" s="336">
        <v>155</v>
      </c>
      <c r="BG19" s="334">
        <v>789</v>
      </c>
      <c r="BH19" s="334">
        <v>1572</v>
      </c>
      <c r="BI19" s="334">
        <v>252</v>
      </c>
      <c r="BJ19" s="334">
        <v>67</v>
      </c>
      <c r="BK19" s="334"/>
      <c r="BL19" s="336">
        <v>2835</v>
      </c>
      <c r="BM19" s="337">
        <v>3</v>
      </c>
      <c r="BN19" s="337"/>
      <c r="BO19" s="337"/>
      <c r="BP19" s="337">
        <v>6</v>
      </c>
      <c r="BQ19" s="336">
        <v>40</v>
      </c>
      <c r="BR19" s="334">
        <v>13</v>
      </c>
      <c r="BS19" s="336">
        <v>53</v>
      </c>
      <c r="BT19" s="337">
        <v>4</v>
      </c>
      <c r="BU19" s="336"/>
      <c r="BV19" s="334">
        <v>1</v>
      </c>
      <c r="BW19" s="334"/>
      <c r="BX19" s="336">
        <v>1</v>
      </c>
      <c r="BY19" s="333"/>
      <c r="BZ19" s="334">
        <v>0</v>
      </c>
      <c r="CA19" s="334"/>
      <c r="CB19" s="334">
        <v>17</v>
      </c>
      <c r="CC19" s="334">
        <v>0</v>
      </c>
      <c r="CD19" s="334"/>
      <c r="CE19" s="334"/>
      <c r="CF19" s="334"/>
      <c r="CG19" s="334"/>
      <c r="CH19" s="334"/>
      <c r="CI19" s="334"/>
      <c r="CJ19" s="334">
        <v>26</v>
      </c>
      <c r="CK19" s="334"/>
      <c r="CL19" s="334">
        <v>0</v>
      </c>
      <c r="CM19" s="334">
        <v>1</v>
      </c>
      <c r="CN19" s="335">
        <v>44</v>
      </c>
      <c r="CO19" s="336"/>
      <c r="CP19" s="334"/>
      <c r="CQ19" s="336"/>
      <c r="CR19" s="337"/>
      <c r="CS19" s="336">
        <v>201</v>
      </c>
      <c r="CT19" s="334">
        <v>35</v>
      </c>
      <c r="CU19" s="334">
        <v>199566</v>
      </c>
      <c r="CV19" s="334">
        <v>11347</v>
      </c>
      <c r="CW19" s="334">
        <v>38722</v>
      </c>
      <c r="CX19" s="334">
        <v>58</v>
      </c>
      <c r="CY19" s="334">
        <v>29</v>
      </c>
      <c r="CZ19" s="334">
        <v>5</v>
      </c>
      <c r="DA19" s="334">
        <v>70</v>
      </c>
      <c r="DB19" s="334"/>
      <c r="DC19" s="334">
        <v>1</v>
      </c>
      <c r="DD19" s="336">
        <v>250034</v>
      </c>
      <c r="DE19" s="333">
        <v>2233</v>
      </c>
      <c r="DF19" s="334">
        <v>23</v>
      </c>
      <c r="DG19" s="334">
        <v>10574</v>
      </c>
      <c r="DH19" s="334">
        <v>1313</v>
      </c>
      <c r="DI19" s="334">
        <v>77</v>
      </c>
      <c r="DJ19" s="334"/>
      <c r="DK19" s="334">
        <v>0</v>
      </c>
      <c r="DL19" s="335">
        <v>14220</v>
      </c>
      <c r="DM19" s="336"/>
      <c r="DN19" s="337"/>
      <c r="DO19" s="336"/>
      <c r="DP19" s="334"/>
      <c r="DQ19" s="336"/>
      <c r="DR19" s="337">
        <v>86</v>
      </c>
      <c r="DS19" s="336">
        <v>3</v>
      </c>
      <c r="DT19" s="334"/>
      <c r="DU19" s="336">
        <v>3</v>
      </c>
      <c r="DV19" s="333">
        <v>36</v>
      </c>
      <c r="DW19" s="334"/>
      <c r="DX19" s="335">
        <v>36</v>
      </c>
      <c r="DY19" s="336">
        <v>8</v>
      </c>
      <c r="DZ19" s="337">
        <v>2</v>
      </c>
      <c r="EA19" s="336">
        <v>231</v>
      </c>
      <c r="EB19" s="334"/>
      <c r="EC19" s="336">
        <v>231</v>
      </c>
      <c r="ED19" s="337">
        <v>0</v>
      </c>
      <c r="EE19" s="337"/>
      <c r="EF19" s="336">
        <v>56</v>
      </c>
      <c r="EG19" s="334">
        <v>118</v>
      </c>
      <c r="EH19" s="334"/>
      <c r="EI19" s="334"/>
      <c r="EJ19" s="334"/>
      <c r="EK19" s="334"/>
      <c r="EL19" s="336">
        <v>174</v>
      </c>
      <c r="EM19" s="333">
        <v>849</v>
      </c>
      <c r="EN19" s="334">
        <v>1092</v>
      </c>
      <c r="EO19" s="334">
        <v>288</v>
      </c>
      <c r="EP19" s="334">
        <v>1996</v>
      </c>
      <c r="EQ19" s="334">
        <v>898</v>
      </c>
      <c r="ER19" s="334">
        <v>73</v>
      </c>
      <c r="ES19" s="334">
        <v>2585</v>
      </c>
      <c r="ET19" s="334">
        <v>35</v>
      </c>
      <c r="EU19" s="334">
        <v>16</v>
      </c>
      <c r="EV19" s="334">
        <v>13</v>
      </c>
      <c r="EW19" s="334"/>
      <c r="EX19" s="334">
        <v>49</v>
      </c>
      <c r="EY19" s="334"/>
      <c r="EZ19" s="335">
        <v>7894</v>
      </c>
      <c r="FA19" s="336"/>
      <c r="FB19" s="337">
        <v>20</v>
      </c>
      <c r="FC19" s="336">
        <v>0</v>
      </c>
      <c r="FD19" s="334"/>
      <c r="FE19" s="334">
        <v>1</v>
      </c>
      <c r="FF19" s="336">
        <v>1</v>
      </c>
      <c r="FG19" s="337"/>
      <c r="FH19" s="337"/>
      <c r="FI19" s="336">
        <v>5</v>
      </c>
      <c r="FJ19" s="334">
        <v>190</v>
      </c>
      <c r="FK19" s="334"/>
      <c r="FL19" s="334"/>
      <c r="FM19" s="336">
        <v>195</v>
      </c>
      <c r="FN19" s="333">
        <v>0</v>
      </c>
      <c r="FO19" s="334"/>
      <c r="FP19" s="335">
        <v>0</v>
      </c>
      <c r="FQ19" s="336">
        <v>29</v>
      </c>
      <c r="FR19" s="334"/>
      <c r="FS19" s="336">
        <v>29</v>
      </c>
      <c r="FT19" s="337">
        <v>4</v>
      </c>
      <c r="FU19" s="336">
        <v>30</v>
      </c>
      <c r="FV19" s="334"/>
      <c r="FW19" s="336">
        <v>30</v>
      </c>
      <c r="FX19" s="333">
        <v>1</v>
      </c>
      <c r="FY19" s="334">
        <v>18</v>
      </c>
      <c r="FZ19" s="334"/>
      <c r="GA19" s="334"/>
      <c r="GB19" s="335">
        <v>19</v>
      </c>
      <c r="GC19" s="336"/>
      <c r="GD19" s="333">
        <v>62</v>
      </c>
      <c r="GE19" s="334"/>
      <c r="GF19" s="335">
        <v>62</v>
      </c>
      <c r="GG19" s="336">
        <v>0</v>
      </c>
      <c r="GH19" s="333">
        <v>2</v>
      </c>
      <c r="GI19" s="334"/>
      <c r="GJ19" s="334"/>
      <c r="GK19" s="335">
        <v>2</v>
      </c>
      <c r="GL19" s="336">
        <v>11</v>
      </c>
      <c r="GM19" s="333">
        <v>36</v>
      </c>
      <c r="GN19" s="334">
        <v>0</v>
      </c>
      <c r="GO19" s="334">
        <v>27</v>
      </c>
      <c r="GP19" s="334"/>
      <c r="GQ19" s="335">
        <v>63</v>
      </c>
      <c r="GR19" s="336">
        <v>321335</v>
      </c>
      <c r="GS19" s="338">
        <f>321335/49209180</f>
        <v>6.5299807881374983E-3</v>
      </c>
      <c r="GT19" s="293"/>
      <c r="GU19" s="293"/>
      <c r="GV19" s="293"/>
      <c r="GW19" s="293"/>
      <c r="GX19" s="293"/>
      <c r="GY19" s="293"/>
      <c r="GZ19" s="293"/>
      <c r="HA19" s="293"/>
      <c r="HB19" s="293"/>
      <c r="HC19" s="293"/>
      <c r="HD19" s="293"/>
      <c r="HE19" s="293"/>
      <c r="HF19" s="293"/>
      <c r="HG19" s="293"/>
      <c r="HH19" s="293"/>
      <c r="HI19" s="293"/>
      <c r="HJ19" s="293"/>
      <c r="HK19" s="293"/>
      <c r="HL19" s="293"/>
      <c r="HM19" s="293"/>
      <c r="HN19" s="293"/>
      <c r="HO19" s="293"/>
      <c r="HP19" s="293"/>
      <c r="HQ19" s="293"/>
      <c r="HR19" s="293"/>
      <c r="HS19" s="293"/>
      <c r="HT19" s="293"/>
      <c r="HU19" s="293"/>
      <c r="HV19" s="293"/>
      <c r="HW19" s="293"/>
      <c r="HX19" s="294"/>
    </row>
    <row r="20" spans="2:232" ht="13.5" thickBot="1" x14ac:dyDescent="0.25">
      <c r="B20" s="332" t="s">
        <v>541</v>
      </c>
      <c r="C20" s="333">
        <v>294</v>
      </c>
      <c r="D20" s="334">
        <v>2</v>
      </c>
      <c r="E20" s="334"/>
      <c r="F20" s="334">
        <v>1</v>
      </c>
      <c r="G20" s="335">
        <v>297</v>
      </c>
      <c r="H20" s="336"/>
      <c r="I20" s="333">
        <v>8</v>
      </c>
      <c r="J20" s="334"/>
      <c r="K20" s="335">
        <v>8</v>
      </c>
      <c r="L20" s="336"/>
      <c r="M20" s="337">
        <v>818</v>
      </c>
      <c r="N20" s="336">
        <v>3189</v>
      </c>
      <c r="O20" s="334"/>
      <c r="P20" s="334">
        <v>134</v>
      </c>
      <c r="Q20" s="334">
        <v>18</v>
      </c>
      <c r="R20" s="334">
        <v>1</v>
      </c>
      <c r="S20" s="334">
        <v>15</v>
      </c>
      <c r="T20" s="334"/>
      <c r="U20" s="334"/>
      <c r="V20" s="336">
        <v>3357</v>
      </c>
      <c r="W20" s="333">
        <v>0</v>
      </c>
      <c r="X20" s="334">
        <v>1</v>
      </c>
      <c r="Y20" s="335">
        <v>1</v>
      </c>
      <c r="Z20" s="336">
        <v>69</v>
      </c>
      <c r="AA20" s="334"/>
      <c r="AB20" s="336">
        <v>69</v>
      </c>
      <c r="AC20" s="333">
        <v>1737</v>
      </c>
      <c r="AD20" s="334">
        <v>3</v>
      </c>
      <c r="AE20" s="334"/>
      <c r="AF20" s="335">
        <v>1740</v>
      </c>
      <c r="AG20" s="336">
        <v>9</v>
      </c>
      <c r="AH20" s="334">
        <v>1</v>
      </c>
      <c r="AI20" s="334"/>
      <c r="AJ20" s="334"/>
      <c r="AK20" s="336">
        <v>10</v>
      </c>
      <c r="AL20" s="333"/>
      <c r="AM20" s="334"/>
      <c r="AN20" s="335"/>
      <c r="AO20" s="336"/>
      <c r="AP20" s="337"/>
      <c r="AQ20" s="336">
        <v>2</v>
      </c>
      <c r="AR20" s="334"/>
      <c r="AS20" s="334"/>
      <c r="AT20" s="336">
        <v>2</v>
      </c>
      <c r="AU20" s="333">
        <v>5</v>
      </c>
      <c r="AV20" s="334"/>
      <c r="AW20" s="334">
        <v>4</v>
      </c>
      <c r="AX20" s="334"/>
      <c r="AY20" s="334"/>
      <c r="AZ20" s="334"/>
      <c r="BA20" s="334"/>
      <c r="BB20" s="334"/>
      <c r="BC20" s="335">
        <v>9</v>
      </c>
      <c r="BD20" s="336"/>
      <c r="BE20" s="337">
        <v>8</v>
      </c>
      <c r="BF20" s="336">
        <v>19</v>
      </c>
      <c r="BG20" s="334">
        <v>104</v>
      </c>
      <c r="BH20" s="334">
        <v>174</v>
      </c>
      <c r="BI20" s="334">
        <v>9</v>
      </c>
      <c r="BJ20" s="334">
        <v>7</v>
      </c>
      <c r="BK20" s="334"/>
      <c r="BL20" s="336">
        <v>313</v>
      </c>
      <c r="BM20" s="337">
        <v>0</v>
      </c>
      <c r="BN20" s="337"/>
      <c r="BO20" s="337">
        <v>0</v>
      </c>
      <c r="BP20" s="337">
        <v>0</v>
      </c>
      <c r="BQ20" s="336">
        <v>11</v>
      </c>
      <c r="BR20" s="334"/>
      <c r="BS20" s="336">
        <v>11</v>
      </c>
      <c r="BT20" s="337"/>
      <c r="BU20" s="336">
        <v>0</v>
      </c>
      <c r="BV20" s="334">
        <v>22</v>
      </c>
      <c r="BW20" s="334">
        <v>3</v>
      </c>
      <c r="BX20" s="336">
        <v>25</v>
      </c>
      <c r="BY20" s="333"/>
      <c r="BZ20" s="334"/>
      <c r="CA20" s="334">
        <v>1</v>
      </c>
      <c r="CB20" s="334"/>
      <c r="CC20" s="334">
        <v>0</v>
      </c>
      <c r="CD20" s="334"/>
      <c r="CE20" s="334"/>
      <c r="CF20" s="334"/>
      <c r="CG20" s="334"/>
      <c r="CH20" s="334"/>
      <c r="CI20" s="334"/>
      <c r="CJ20" s="334"/>
      <c r="CK20" s="334">
        <v>1</v>
      </c>
      <c r="CL20" s="334"/>
      <c r="CM20" s="334"/>
      <c r="CN20" s="335">
        <v>2</v>
      </c>
      <c r="CO20" s="336">
        <v>2</v>
      </c>
      <c r="CP20" s="334"/>
      <c r="CQ20" s="336">
        <v>2</v>
      </c>
      <c r="CR20" s="337"/>
      <c r="CS20" s="336">
        <v>132</v>
      </c>
      <c r="CT20" s="334">
        <v>17</v>
      </c>
      <c r="CU20" s="334">
        <v>31535</v>
      </c>
      <c r="CV20" s="334">
        <v>625</v>
      </c>
      <c r="CW20" s="334">
        <v>5751</v>
      </c>
      <c r="CX20" s="334">
        <v>2</v>
      </c>
      <c r="CY20" s="334">
        <v>7</v>
      </c>
      <c r="CZ20" s="334"/>
      <c r="DA20" s="334">
        <v>1</v>
      </c>
      <c r="DB20" s="334"/>
      <c r="DC20" s="334"/>
      <c r="DD20" s="336">
        <v>38070</v>
      </c>
      <c r="DE20" s="333">
        <v>235</v>
      </c>
      <c r="DF20" s="334">
        <v>5</v>
      </c>
      <c r="DG20" s="334">
        <v>15</v>
      </c>
      <c r="DH20" s="334">
        <v>17</v>
      </c>
      <c r="DI20" s="334">
        <v>1</v>
      </c>
      <c r="DJ20" s="334"/>
      <c r="DK20" s="334"/>
      <c r="DL20" s="335">
        <v>273</v>
      </c>
      <c r="DM20" s="336"/>
      <c r="DN20" s="337"/>
      <c r="DO20" s="336"/>
      <c r="DP20" s="334"/>
      <c r="DQ20" s="336"/>
      <c r="DR20" s="337">
        <v>8</v>
      </c>
      <c r="DS20" s="336"/>
      <c r="DT20" s="334"/>
      <c r="DU20" s="336"/>
      <c r="DV20" s="333">
        <v>5</v>
      </c>
      <c r="DW20" s="334">
        <v>1</v>
      </c>
      <c r="DX20" s="335">
        <v>6</v>
      </c>
      <c r="DY20" s="336">
        <v>2</v>
      </c>
      <c r="DZ20" s="337">
        <v>1</v>
      </c>
      <c r="EA20" s="336">
        <v>23</v>
      </c>
      <c r="EB20" s="334"/>
      <c r="EC20" s="336">
        <v>23</v>
      </c>
      <c r="ED20" s="337"/>
      <c r="EE20" s="337"/>
      <c r="EF20" s="336">
        <v>7</v>
      </c>
      <c r="EG20" s="334">
        <v>14</v>
      </c>
      <c r="EH20" s="334"/>
      <c r="EI20" s="334"/>
      <c r="EJ20" s="334"/>
      <c r="EK20" s="334"/>
      <c r="EL20" s="336">
        <v>21</v>
      </c>
      <c r="EM20" s="333">
        <v>69</v>
      </c>
      <c r="EN20" s="334">
        <v>563</v>
      </c>
      <c r="EO20" s="334">
        <v>20</v>
      </c>
      <c r="EP20" s="334">
        <v>133</v>
      </c>
      <c r="EQ20" s="334">
        <v>375</v>
      </c>
      <c r="ER20" s="334">
        <v>25</v>
      </c>
      <c r="ES20" s="334">
        <v>121</v>
      </c>
      <c r="ET20" s="334">
        <v>8</v>
      </c>
      <c r="EU20" s="334">
        <v>2</v>
      </c>
      <c r="EV20" s="334">
        <v>5</v>
      </c>
      <c r="EW20" s="334"/>
      <c r="EX20" s="334">
        <v>18</v>
      </c>
      <c r="EY20" s="334"/>
      <c r="EZ20" s="335">
        <v>1339</v>
      </c>
      <c r="FA20" s="336"/>
      <c r="FB20" s="337">
        <v>1</v>
      </c>
      <c r="FC20" s="336"/>
      <c r="FD20" s="334"/>
      <c r="FE20" s="334"/>
      <c r="FF20" s="336"/>
      <c r="FG20" s="337"/>
      <c r="FH20" s="337"/>
      <c r="FI20" s="336">
        <v>13</v>
      </c>
      <c r="FJ20" s="334"/>
      <c r="FK20" s="334"/>
      <c r="FL20" s="334"/>
      <c r="FM20" s="336">
        <v>13</v>
      </c>
      <c r="FN20" s="333">
        <v>1</v>
      </c>
      <c r="FO20" s="334"/>
      <c r="FP20" s="335">
        <v>1</v>
      </c>
      <c r="FQ20" s="336"/>
      <c r="FR20" s="334"/>
      <c r="FS20" s="336"/>
      <c r="FT20" s="337"/>
      <c r="FU20" s="336">
        <v>867</v>
      </c>
      <c r="FV20" s="334"/>
      <c r="FW20" s="336">
        <v>867</v>
      </c>
      <c r="FX20" s="333">
        <v>1</v>
      </c>
      <c r="FY20" s="334"/>
      <c r="FZ20" s="334"/>
      <c r="GA20" s="334"/>
      <c r="GB20" s="335">
        <v>1</v>
      </c>
      <c r="GC20" s="336"/>
      <c r="GD20" s="333">
        <v>468</v>
      </c>
      <c r="GE20" s="334"/>
      <c r="GF20" s="335">
        <v>468</v>
      </c>
      <c r="GG20" s="336"/>
      <c r="GH20" s="333">
        <v>1</v>
      </c>
      <c r="GI20" s="334"/>
      <c r="GJ20" s="334"/>
      <c r="GK20" s="335">
        <v>1</v>
      </c>
      <c r="GL20" s="336">
        <v>2</v>
      </c>
      <c r="GM20" s="333">
        <v>6</v>
      </c>
      <c r="GN20" s="334">
        <v>2</v>
      </c>
      <c r="GO20" s="334"/>
      <c r="GP20" s="334"/>
      <c r="GQ20" s="335">
        <v>8</v>
      </c>
      <c r="GR20" s="336">
        <v>47777</v>
      </c>
      <c r="GS20" s="338">
        <f>47777/49209180</f>
        <v>9.7089608077192101E-4</v>
      </c>
      <c r="GT20" s="293"/>
      <c r="GU20" s="293"/>
      <c r="GV20" s="293"/>
      <c r="GW20" s="293"/>
      <c r="GX20" s="293"/>
      <c r="GY20" s="293"/>
      <c r="GZ20" s="293"/>
      <c r="HA20" s="293"/>
      <c r="HB20" s="293"/>
      <c r="HC20" s="293"/>
      <c r="HD20" s="293"/>
      <c r="HE20" s="293"/>
      <c r="HF20" s="293"/>
      <c r="HG20" s="293"/>
      <c r="HH20" s="293"/>
      <c r="HI20" s="293"/>
      <c r="HJ20" s="293"/>
      <c r="HK20" s="293"/>
      <c r="HL20" s="293"/>
      <c r="HM20" s="293"/>
      <c r="HN20" s="293"/>
      <c r="HO20" s="293"/>
      <c r="HP20" s="293"/>
      <c r="HQ20" s="293"/>
      <c r="HR20" s="293"/>
      <c r="HS20" s="293"/>
      <c r="HT20" s="293"/>
      <c r="HU20" s="293"/>
      <c r="HV20" s="293"/>
      <c r="HW20" s="293"/>
      <c r="HX20" s="294"/>
    </row>
    <row r="21" spans="2:232" ht="13.5" thickBot="1" x14ac:dyDescent="0.25">
      <c r="B21" s="332" t="s">
        <v>542</v>
      </c>
      <c r="C21" s="333">
        <v>117</v>
      </c>
      <c r="D21" s="334"/>
      <c r="E21" s="334"/>
      <c r="F21" s="334"/>
      <c r="G21" s="335">
        <v>117</v>
      </c>
      <c r="H21" s="336"/>
      <c r="I21" s="333"/>
      <c r="J21" s="334"/>
      <c r="K21" s="335"/>
      <c r="L21" s="336"/>
      <c r="M21" s="337">
        <v>222</v>
      </c>
      <c r="N21" s="336">
        <v>523</v>
      </c>
      <c r="O21" s="334">
        <v>4</v>
      </c>
      <c r="P21" s="334">
        <v>359</v>
      </c>
      <c r="Q21" s="334">
        <v>10</v>
      </c>
      <c r="R21" s="334"/>
      <c r="S21" s="334">
        <v>33</v>
      </c>
      <c r="T21" s="334"/>
      <c r="U21" s="334"/>
      <c r="V21" s="336">
        <v>929</v>
      </c>
      <c r="W21" s="333"/>
      <c r="X21" s="334">
        <v>0</v>
      </c>
      <c r="Y21" s="335">
        <v>0</v>
      </c>
      <c r="Z21" s="336">
        <v>24</v>
      </c>
      <c r="AA21" s="334"/>
      <c r="AB21" s="336">
        <v>24</v>
      </c>
      <c r="AC21" s="333">
        <v>3732</v>
      </c>
      <c r="AD21" s="334"/>
      <c r="AE21" s="334"/>
      <c r="AF21" s="335">
        <v>3732</v>
      </c>
      <c r="AG21" s="336">
        <v>2</v>
      </c>
      <c r="AH21" s="334">
        <v>0</v>
      </c>
      <c r="AI21" s="334"/>
      <c r="AJ21" s="334"/>
      <c r="AK21" s="336">
        <v>2</v>
      </c>
      <c r="AL21" s="333">
        <v>1</v>
      </c>
      <c r="AM21" s="334"/>
      <c r="AN21" s="335">
        <v>1</v>
      </c>
      <c r="AO21" s="336"/>
      <c r="AP21" s="337"/>
      <c r="AQ21" s="336"/>
      <c r="AR21" s="334">
        <v>4</v>
      </c>
      <c r="AS21" s="334"/>
      <c r="AT21" s="336">
        <v>4</v>
      </c>
      <c r="AU21" s="333">
        <v>23</v>
      </c>
      <c r="AV21" s="334"/>
      <c r="AW21" s="334">
        <v>24</v>
      </c>
      <c r="AX21" s="334"/>
      <c r="AY21" s="334"/>
      <c r="AZ21" s="334"/>
      <c r="BA21" s="334"/>
      <c r="BB21" s="334"/>
      <c r="BC21" s="335">
        <v>47</v>
      </c>
      <c r="BD21" s="336"/>
      <c r="BE21" s="337"/>
      <c r="BF21" s="336">
        <v>17</v>
      </c>
      <c r="BG21" s="334">
        <v>45</v>
      </c>
      <c r="BH21" s="334">
        <v>118</v>
      </c>
      <c r="BI21" s="334">
        <v>14</v>
      </c>
      <c r="BJ21" s="334">
        <v>1</v>
      </c>
      <c r="BK21" s="334"/>
      <c r="BL21" s="336">
        <v>195</v>
      </c>
      <c r="BM21" s="337"/>
      <c r="BN21" s="337"/>
      <c r="BO21" s="337"/>
      <c r="BP21" s="337"/>
      <c r="BQ21" s="336"/>
      <c r="BR21" s="334"/>
      <c r="BS21" s="336"/>
      <c r="BT21" s="337"/>
      <c r="BU21" s="336"/>
      <c r="BV21" s="334"/>
      <c r="BW21" s="334"/>
      <c r="BX21" s="336"/>
      <c r="BY21" s="333"/>
      <c r="BZ21" s="334"/>
      <c r="CA21" s="334"/>
      <c r="CB21" s="334"/>
      <c r="CC21" s="334">
        <v>0</v>
      </c>
      <c r="CD21" s="334"/>
      <c r="CE21" s="334"/>
      <c r="CF21" s="334"/>
      <c r="CG21" s="334"/>
      <c r="CH21" s="334"/>
      <c r="CI21" s="334"/>
      <c r="CJ21" s="334"/>
      <c r="CK21" s="334"/>
      <c r="CL21" s="334"/>
      <c r="CM21" s="334"/>
      <c r="CN21" s="335">
        <v>0</v>
      </c>
      <c r="CO21" s="336"/>
      <c r="CP21" s="334"/>
      <c r="CQ21" s="336"/>
      <c r="CR21" s="337"/>
      <c r="CS21" s="336">
        <v>10</v>
      </c>
      <c r="CT21" s="334">
        <v>100</v>
      </c>
      <c r="CU21" s="334">
        <v>19258</v>
      </c>
      <c r="CV21" s="334">
        <v>1859</v>
      </c>
      <c r="CW21" s="334">
        <v>3823</v>
      </c>
      <c r="CX21" s="334">
        <v>39</v>
      </c>
      <c r="CY21" s="334">
        <v>7</v>
      </c>
      <c r="CZ21" s="334">
        <v>1</v>
      </c>
      <c r="DA21" s="334">
        <v>4</v>
      </c>
      <c r="DB21" s="334"/>
      <c r="DC21" s="334">
        <v>0</v>
      </c>
      <c r="DD21" s="336">
        <v>25101</v>
      </c>
      <c r="DE21" s="333">
        <v>193</v>
      </c>
      <c r="DF21" s="334">
        <v>18</v>
      </c>
      <c r="DG21" s="334">
        <v>902</v>
      </c>
      <c r="DH21" s="334">
        <v>117</v>
      </c>
      <c r="DI21" s="334">
        <v>5</v>
      </c>
      <c r="DJ21" s="334"/>
      <c r="DK21" s="334"/>
      <c r="DL21" s="335">
        <v>1235</v>
      </c>
      <c r="DM21" s="336"/>
      <c r="DN21" s="337"/>
      <c r="DO21" s="336"/>
      <c r="DP21" s="334"/>
      <c r="DQ21" s="336"/>
      <c r="DR21" s="337">
        <v>8</v>
      </c>
      <c r="DS21" s="336"/>
      <c r="DT21" s="334"/>
      <c r="DU21" s="336"/>
      <c r="DV21" s="333">
        <v>31</v>
      </c>
      <c r="DW21" s="334"/>
      <c r="DX21" s="335">
        <v>31</v>
      </c>
      <c r="DY21" s="336">
        <v>1</v>
      </c>
      <c r="DZ21" s="337"/>
      <c r="EA21" s="336">
        <v>7</v>
      </c>
      <c r="EB21" s="334"/>
      <c r="EC21" s="336">
        <v>7</v>
      </c>
      <c r="ED21" s="337"/>
      <c r="EE21" s="337"/>
      <c r="EF21" s="336">
        <v>1</v>
      </c>
      <c r="EG21" s="334">
        <v>1</v>
      </c>
      <c r="EH21" s="334"/>
      <c r="EI21" s="334"/>
      <c r="EJ21" s="334"/>
      <c r="EK21" s="334"/>
      <c r="EL21" s="336">
        <v>2</v>
      </c>
      <c r="EM21" s="333">
        <v>52</v>
      </c>
      <c r="EN21" s="334">
        <v>49</v>
      </c>
      <c r="EO21" s="334">
        <v>9</v>
      </c>
      <c r="EP21" s="334">
        <v>401</v>
      </c>
      <c r="EQ21" s="334">
        <v>55</v>
      </c>
      <c r="ER21" s="334">
        <v>8</v>
      </c>
      <c r="ES21" s="334">
        <v>193</v>
      </c>
      <c r="ET21" s="334">
        <v>2</v>
      </c>
      <c r="EU21" s="334"/>
      <c r="EV21" s="334">
        <v>1</v>
      </c>
      <c r="EW21" s="334"/>
      <c r="EX21" s="334">
        <v>2</v>
      </c>
      <c r="EY21" s="334"/>
      <c r="EZ21" s="335">
        <v>772</v>
      </c>
      <c r="FA21" s="336"/>
      <c r="FB21" s="337">
        <v>0</v>
      </c>
      <c r="FC21" s="336"/>
      <c r="FD21" s="334"/>
      <c r="FE21" s="334"/>
      <c r="FF21" s="336"/>
      <c r="FG21" s="337"/>
      <c r="FH21" s="337"/>
      <c r="FI21" s="336"/>
      <c r="FJ21" s="334">
        <v>0</v>
      </c>
      <c r="FK21" s="334"/>
      <c r="FL21" s="334"/>
      <c r="FM21" s="336">
        <v>0</v>
      </c>
      <c r="FN21" s="333"/>
      <c r="FO21" s="334"/>
      <c r="FP21" s="335"/>
      <c r="FQ21" s="336"/>
      <c r="FR21" s="334"/>
      <c r="FS21" s="336"/>
      <c r="FT21" s="337"/>
      <c r="FU21" s="336"/>
      <c r="FV21" s="334"/>
      <c r="FW21" s="336"/>
      <c r="FX21" s="333"/>
      <c r="FY21" s="334">
        <v>10</v>
      </c>
      <c r="FZ21" s="334"/>
      <c r="GA21" s="334"/>
      <c r="GB21" s="335">
        <v>10</v>
      </c>
      <c r="GC21" s="336"/>
      <c r="GD21" s="333">
        <v>5</v>
      </c>
      <c r="GE21" s="334"/>
      <c r="GF21" s="335">
        <v>5</v>
      </c>
      <c r="GG21" s="336"/>
      <c r="GH21" s="333"/>
      <c r="GI21" s="334"/>
      <c r="GJ21" s="334"/>
      <c r="GK21" s="335"/>
      <c r="GL21" s="336">
        <v>16</v>
      </c>
      <c r="GM21" s="333">
        <v>3</v>
      </c>
      <c r="GN21" s="334"/>
      <c r="GO21" s="334">
        <v>10</v>
      </c>
      <c r="GP21" s="334"/>
      <c r="GQ21" s="335">
        <v>13</v>
      </c>
      <c r="GR21" s="336">
        <v>32474</v>
      </c>
      <c r="GS21" s="338">
        <f>32474/49209180</f>
        <v>6.5991751945470342E-4</v>
      </c>
      <c r="GT21" s="293"/>
      <c r="GU21" s="293"/>
      <c r="GV21" s="293"/>
      <c r="GW21" s="293"/>
      <c r="GX21" s="293"/>
      <c r="GY21" s="293"/>
      <c r="GZ21" s="293"/>
      <c r="HA21" s="293"/>
      <c r="HB21" s="293"/>
      <c r="HC21" s="293"/>
      <c r="HD21" s="293"/>
      <c r="HE21" s="293"/>
      <c r="HF21" s="293"/>
      <c r="HG21" s="293"/>
      <c r="HH21" s="293"/>
      <c r="HI21" s="293"/>
      <c r="HJ21" s="293"/>
      <c r="HK21" s="293"/>
      <c r="HL21" s="293"/>
      <c r="HM21" s="293"/>
      <c r="HN21" s="293"/>
      <c r="HO21" s="293"/>
      <c r="HP21" s="293"/>
      <c r="HQ21" s="293"/>
      <c r="HR21" s="293"/>
      <c r="HS21" s="293"/>
      <c r="HT21" s="293"/>
      <c r="HU21" s="293"/>
      <c r="HV21" s="293"/>
      <c r="HW21" s="293"/>
      <c r="HX21" s="294"/>
    </row>
    <row r="22" spans="2:232" ht="13.5" thickBot="1" x14ac:dyDescent="0.25">
      <c r="B22" s="332" t="s">
        <v>543</v>
      </c>
      <c r="C22" s="333">
        <v>637</v>
      </c>
      <c r="D22" s="334">
        <v>2</v>
      </c>
      <c r="E22" s="334">
        <v>2</v>
      </c>
      <c r="F22" s="334">
        <v>1</v>
      </c>
      <c r="G22" s="335">
        <v>642</v>
      </c>
      <c r="H22" s="336"/>
      <c r="I22" s="333">
        <v>14</v>
      </c>
      <c r="J22" s="334"/>
      <c r="K22" s="335">
        <v>14</v>
      </c>
      <c r="L22" s="336">
        <v>1</v>
      </c>
      <c r="M22" s="337">
        <v>2510</v>
      </c>
      <c r="N22" s="336">
        <v>17527</v>
      </c>
      <c r="O22" s="334">
        <v>86</v>
      </c>
      <c r="P22" s="334">
        <v>1356</v>
      </c>
      <c r="Q22" s="334">
        <v>195</v>
      </c>
      <c r="R22" s="334">
        <v>3</v>
      </c>
      <c r="S22" s="334">
        <v>217</v>
      </c>
      <c r="T22" s="334">
        <v>4</v>
      </c>
      <c r="U22" s="334"/>
      <c r="V22" s="336">
        <v>19388</v>
      </c>
      <c r="W22" s="333">
        <v>11</v>
      </c>
      <c r="X22" s="334">
        <v>9</v>
      </c>
      <c r="Y22" s="335">
        <v>20</v>
      </c>
      <c r="Z22" s="336">
        <v>317</v>
      </c>
      <c r="AA22" s="334"/>
      <c r="AB22" s="336">
        <v>317</v>
      </c>
      <c r="AC22" s="333">
        <v>32906</v>
      </c>
      <c r="AD22" s="334">
        <v>8</v>
      </c>
      <c r="AE22" s="334"/>
      <c r="AF22" s="335">
        <v>32914</v>
      </c>
      <c r="AG22" s="336">
        <v>302</v>
      </c>
      <c r="AH22" s="334">
        <v>2</v>
      </c>
      <c r="AI22" s="334">
        <v>17</v>
      </c>
      <c r="AJ22" s="334"/>
      <c r="AK22" s="336">
        <v>321</v>
      </c>
      <c r="AL22" s="333">
        <v>16</v>
      </c>
      <c r="AM22" s="334">
        <v>1</v>
      </c>
      <c r="AN22" s="335">
        <v>17</v>
      </c>
      <c r="AO22" s="336"/>
      <c r="AP22" s="337"/>
      <c r="AQ22" s="336">
        <v>2</v>
      </c>
      <c r="AR22" s="334">
        <v>9</v>
      </c>
      <c r="AS22" s="334"/>
      <c r="AT22" s="336">
        <v>11</v>
      </c>
      <c r="AU22" s="333">
        <v>186</v>
      </c>
      <c r="AV22" s="334">
        <v>0</v>
      </c>
      <c r="AW22" s="334">
        <v>311</v>
      </c>
      <c r="AX22" s="334">
        <v>0</v>
      </c>
      <c r="AY22" s="334"/>
      <c r="AZ22" s="334"/>
      <c r="BA22" s="334"/>
      <c r="BB22" s="334"/>
      <c r="BC22" s="335">
        <v>497</v>
      </c>
      <c r="BD22" s="336"/>
      <c r="BE22" s="337">
        <v>10</v>
      </c>
      <c r="BF22" s="336">
        <v>191</v>
      </c>
      <c r="BG22" s="334">
        <v>938</v>
      </c>
      <c r="BH22" s="334">
        <v>1864</v>
      </c>
      <c r="BI22" s="334">
        <v>275</v>
      </c>
      <c r="BJ22" s="334">
        <v>75</v>
      </c>
      <c r="BK22" s="334"/>
      <c r="BL22" s="336">
        <v>3343</v>
      </c>
      <c r="BM22" s="337">
        <v>3</v>
      </c>
      <c r="BN22" s="337"/>
      <c r="BO22" s="337">
        <v>0</v>
      </c>
      <c r="BP22" s="337">
        <v>6</v>
      </c>
      <c r="BQ22" s="336">
        <v>51</v>
      </c>
      <c r="BR22" s="334">
        <v>13</v>
      </c>
      <c r="BS22" s="336">
        <v>64</v>
      </c>
      <c r="BT22" s="337">
        <v>4</v>
      </c>
      <c r="BU22" s="336">
        <v>0</v>
      </c>
      <c r="BV22" s="334">
        <v>23</v>
      </c>
      <c r="BW22" s="334">
        <v>3</v>
      </c>
      <c r="BX22" s="336">
        <v>26</v>
      </c>
      <c r="BY22" s="333"/>
      <c r="BZ22" s="334">
        <v>0</v>
      </c>
      <c r="CA22" s="334">
        <v>1</v>
      </c>
      <c r="CB22" s="334">
        <v>17</v>
      </c>
      <c r="CC22" s="334">
        <v>0</v>
      </c>
      <c r="CD22" s="334"/>
      <c r="CE22" s="334"/>
      <c r="CF22" s="334"/>
      <c r="CG22" s="334"/>
      <c r="CH22" s="334"/>
      <c r="CI22" s="334"/>
      <c r="CJ22" s="334">
        <v>26</v>
      </c>
      <c r="CK22" s="334">
        <v>1</v>
      </c>
      <c r="CL22" s="334">
        <v>0</v>
      </c>
      <c r="CM22" s="334">
        <v>1</v>
      </c>
      <c r="CN22" s="335">
        <v>46</v>
      </c>
      <c r="CO22" s="336">
        <v>2</v>
      </c>
      <c r="CP22" s="334"/>
      <c r="CQ22" s="336">
        <v>2</v>
      </c>
      <c r="CR22" s="337"/>
      <c r="CS22" s="336">
        <v>343</v>
      </c>
      <c r="CT22" s="334">
        <v>152</v>
      </c>
      <c r="CU22" s="334">
        <v>250359</v>
      </c>
      <c r="CV22" s="334">
        <v>13831</v>
      </c>
      <c r="CW22" s="334">
        <v>48296</v>
      </c>
      <c r="CX22" s="334">
        <v>99</v>
      </c>
      <c r="CY22" s="334">
        <v>43</v>
      </c>
      <c r="CZ22" s="334">
        <v>6</v>
      </c>
      <c r="DA22" s="334">
        <v>75</v>
      </c>
      <c r="DB22" s="334"/>
      <c r="DC22" s="334">
        <v>1</v>
      </c>
      <c r="DD22" s="336">
        <v>313205</v>
      </c>
      <c r="DE22" s="333">
        <v>2661</v>
      </c>
      <c r="DF22" s="334">
        <v>46</v>
      </c>
      <c r="DG22" s="334">
        <v>11491</v>
      </c>
      <c r="DH22" s="334">
        <v>1447</v>
      </c>
      <c r="DI22" s="334">
        <v>83</v>
      </c>
      <c r="DJ22" s="334"/>
      <c r="DK22" s="334">
        <v>0</v>
      </c>
      <c r="DL22" s="335">
        <v>15728</v>
      </c>
      <c r="DM22" s="336"/>
      <c r="DN22" s="337"/>
      <c r="DO22" s="336"/>
      <c r="DP22" s="334"/>
      <c r="DQ22" s="336"/>
      <c r="DR22" s="337">
        <v>102</v>
      </c>
      <c r="DS22" s="336">
        <v>3</v>
      </c>
      <c r="DT22" s="334"/>
      <c r="DU22" s="336">
        <v>3</v>
      </c>
      <c r="DV22" s="333">
        <v>72</v>
      </c>
      <c r="DW22" s="334">
        <v>1</v>
      </c>
      <c r="DX22" s="335">
        <v>73</v>
      </c>
      <c r="DY22" s="336">
        <v>11</v>
      </c>
      <c r="DZ22" s="337">
        <v>3</v>
      </c>
      <c r="EA22" s="336">
        <v>261</v>
      </c>
      <c r="EB22" s="334"/>
      <c r="EC22" s="336">
        <v>261</v>
      </c>
      <c r="ED22" s="337">
        <v>0</v>
      </c>
      <c r="EE22" s="337"/>
      <c r="EF22" s="336">
        <v>64</v>
      </c>
      <c r="EG22" s="334">
        <v>133</v>
      </c>
      <c r="EH22" s="334"/>
      <c r="EI22" s="334"/>
      <c r="EJ22" s="334"/>
      <c r="EK22" s="334"/>
      <c r="EL22" s="336">
        <v>197</v>
      </c>
      <c r="EM22" s="333">
        <v>970</v>
      </c>
      <c r="EN22" s="334">
        <v>1704</v>
      </c>
      <c r="EO22" s="334">
        <v>317</v>
      </c>
      <c r="EP22" s="334">
        <v>2530</v>
      </c>
      <c r="EQ22" s="334">
        <v>1328</v>
      </c>
      <c r="ER22" s="334">
        <v>106</v>
      </c>
      <c r="ES22" s="334">
        <v>2899</v>
      </c>
      <c r="ET22" s="334">
        <v>45</v>
      </c>
      <c r="EU22" s="334">
        <v>18</v>
      </c>
      <c r="EV22" s="334">
        <v>19</v>
      </c>
      <c r="EW22" s="334"/>
      <c r="EX22" s="334">
        <v>69</v>
      </c>
      <c r="EY22" s="334"/>
      <c r="EZ22" s="335">
        <v>10005</v>
      </c>
      <c r="FA22" s="336"/>
      <c r="FB22" s="337">
        <v>21</v>
      </c>
      <c r="FC22" s="336">
        <v>0</v>
      </c>
      <c r="FD22" s="334"/>
      <c r="FE22" s="334">
        <v>1</v>
      </c>
      <c r="FF22" s="336">
        <v>1</v>
      </c>
      <c r="FG22" s="337"/>
      <c r="FH22" s="337"/>
      <c r="FI22" s="336">
        <v>18</v>
      </c>
      <c r="FJ22" s="334">
        <v>190</v>
      </c>
      <c r="FK22" s="334"/>
      <c r="FL22" s="334"/>
      <c r="FM22" s="336">
        <v>208</v>
      </c>
      <c r="FN22" s="333">
        <v>1</v>
      </c>
      <c r="FO22" s="334"/>
      <c r="FP22" s="335">
        <v>1</v>
      </c>
      <c r="FQ22" s="336">
        <v>29</v>
      </c>
      <c r="FR22" s="334"/>
      <c r="FS22" s="336">
        <v>29</v>
      </c>
      <c r="FT22" s="337">
        <v>4</v>
      </c>
      <c r="FU22" s="336">
        <v>897</v>
      </c>
      <c r="FV22" s="334"/>
      <c r="FW22" s="336">
        <v>897</v>
      </c>
      <c r="FX22" s="333">
        <v>2</v>
      </c>
      <c r="FY22" s="334">
        <v>28</v>
      </c>
      <c r="FZ22" s="334"/>
      <c r="GA22" s="334"/>
      <c r="GB22" s="335">
        <v>30</v>
      </c>
      <c r="GC22" s="336"/>
      <c r="GD22" s="333">
        <v>535</v>
      </c>
      <c r="GE22" s="334"/>
      <c r="GF22" s="335">
        <v>535</v>
      </c>
      <c r="GG22" s="336">
        <v>0</v>
      </c>
      <c r="GH22" s="333">
        <v>3</v>
      </c>
      <c r="GI22" s="334"/>
      <c r="GJ22" s="334"/>
      <c r="GK22" s="335">
        <v>3</v>
      </c>
      <c r="GL22" s="336">
        <v>29</v>
      </c>
      <c r="GM22" s="333">
        <v>45</v>
      </c>
      <c r="GN22" s="334">
        <v>2</v>
      </c>
      <c r="GO22" s="334">
        <v>37</v>
      </c>
      <c r="GP22" s="334"/>
      <c r="GQ22" s="335">
        <v>84</v>
      </c>
      <c r="GR22" s="336">
        <v>401586</v>
      </c>
      <c r="GS22" s="338">
        <f>401586/49209180</f>
        <v>8.1607943883641228E-3</v>
      </c>
      <c r="GT22" s="293"/>
      <c r="GU22" s="293"/>
      <c r="GV22" s="293"/>
      <c r="GW22" s="293"/>
      <c r="GX22" s="293"/>
      <c r="GY22" s="293"/>
      <c r="GZ22" s="293"/>
      <c r="HA22" s="293"/>
      <c r="HB22" s="293"/>
      <c r="HC22" s="293"/>
      <c r="HD22" s="293"/>
      <c r="HE22" s="293"/>
      <c r="HF22" s="293"/>
      <c r="HG22" s="293"/>
      <c r="HH22" s="293"/>
      <c r="HI22" s="293"/>
      <c r="HJ22" s="293"/>
      <c r="HK22" s="293"/>
      <c r="HL22" s="293"/>
      <c r="HM22" s="293"/>
      <c r="HN22" s="293"/>
      <c r="HO22" s="293"/>
      <c r="HP22" s="293"/>
      <c r="HQ22" s="293"/>
      <c r="HR22" s="293"/>
      <c r="HS22" s="293"/>
      <c r="HT22" s="293"/>
      <c r="HU22" s="293"/>
      <c r="HV22" s="293"/>
      <c r="HW22" s="293"/>
      <c r="HX22" s="294"/>
    </row>
    <row r="23" spans="2:232" ht="12.75" x14ac:dyDescent="0.2">
      <c r="B23" s="339" t="s">
        <v>37</v>
      </c>
      <c r="C23" s="340">
        <v>12</v>
      </c>
      <c r="D23" s="341"/>
      <c r="E23" s="341"/>
      <c r="F23" s="341"/>
      <c r="G23" s="342">
        <v>12</v>
      </c>
      <c r="H23" s="343"/>
      <c r="I23" s="340">
        <v>0</v>
      </c>
      <c r="J23" s="341"/>
      <c r="K23" s="342">
        <v>0</v>
      </c>
      <c r="L23" s="343"/>
      <c r="M23" s="344">
        <v>66</v>
      </c>
      <c r="N23" s="343">
        <v>2925</v>
      </c>
      <c r="O23" s="341"/>
      <c r="P23" s="341"/>
      <c r="Q23" s="341"/>
      <c r="R23" s="341">
        <v>1</v>
      </c>
      <c r="S23" s="341"/>
      <c r="T23" s="341"/>
      <c r="U23" s="341"/>
      <c r="V23" s="343">
        <v>2926</v>
      </c>
      <c r="W23" s="340"/>
      <c r="X23" s="341"/>
      <c r="Y23" s="342"/>
      <c r="Z23" s="343">
        <v>216</v>
      </c>
      <c r="AA23" s="341"/>
      <c r="AB23" s="343">
        <v>216</v>
      </c>
      <c r="AC23" s="340">
        <v>272</v>
      </c>
      <c r="AD23" s="341"/>
      <c r="AE23" s="341"/>
      <c r="AF23" s="342">
        <v>272</v>
      </c>
      <c r="AG23" s="343"/>
      <c r="AH23" s="341"/>
      <c r="AI23" s="341"/>
      <c r="AJ23" s="341"/>
      <c r="AK23" s="343"/>
      <c r="AL23" s="340"/>
      <c r="AM23" s="341"/>
      <c r="AN23" s="342"/>
      <c r="AO23" s="343"/>
      <c r="AP23" s="344"/>
      <c r="AQ23" s="343">
        <v>199</v>
      </c>
      <c r="AR23" s="341"/>
      <c r="AS23" s="341"/>
      <c r="AT23" s="343">
        <v>199</v>
      </c>
      <c r="AU23" s="340"/>
      <c r="AV23" s="341"/>
      <c r="AW23" s="341"/>
      <c r="AX23" s="341"/>
      <c r="AY23" s="341"/>
      <c r="AZ23" s="341"/>
      <c r="BA23" s="341"/>
      <c r="BB23" s="341"/>
      <c r="BC23" s="342"/>
      <c r="BD23" s="343">
        <v>2</v>
      </c>
      <c r="BE23" s="344"/>
      <c r="BF23" s="343">
        <v>11</v>
      </c>
      <c r="BG23" s="341">
        <v>18</v>
      </c>
      <c r="BH23" s="341">
        <v>11</v>
      </c>
      <c r="BI23" s="341">
        <v>2</v>
      </c>
      <c r="BJ23" s="341">
        <v>0</v>
      </c>
      <c r="BK23" s="341"/>
      <c r="BL23" s="343">
        <v>42</v>
      </c>
      <c r="BM23" s="344"/>
      <c r="BN23" s="344"/>
      <c r="BO23" s="344"/>
      <c r="BP23" s="344"/>
      <c r="BQ23" s="343">
        <v>48</v>
      </c>
      <c r="BR23" s="341"/>
      <c r="BS23" s="343">
        <v>48</v>
      </c>
      <c r="BT23" s="344"/>
      <c r="BU23" s="343"/>
      <c r="BV23" s="341"/>
      <c r="BW23" s="341"/>
      <c r="BX23" s="343"/>
      <c r="BY23" s="340"/>
      <c r="BZ23" s="341"/>
      <c r="CA23" s="341">
        <v>0</v>
      </c>
      <c r="CB23" s="341"/>
      <c r="CC23" s="341"/>
      <c r="CD23" s="341"/>
      <c r="CE23" s="341"/>
      <c r="CF23" s="341"/>
      <c r="CG23" s="341"/>
      <c r="CH23" s="341"/>
      <c r="CI23" s="341"/>
      <c r="CJ23" s="341"/>
      <c r="CK23" s="341"/>
      <c r="CL23" s="341"/>
      <c r="CM23" s="341"/>
      <c r="CN23" s="342">
        <v>0</v>
      </c>
      <c r="CO23" s="343"/>
      <c r="CP23" s="341"/>
      <c r="CQ23" s="343"/>
      <c r="CR23" s="344">
        <v>18</v>
      </c>
      <c r="CS23" s="343">
        <v>4</v>
      </c>
      <c r="CT23" s="341"/>
      <c r="CU23" s="341">
        <v>25657</v>
      </c>
      <c r="CV23" s="341">
        <v>102</v>
      </c>
      <c r="CW23" s="341">
        <v>19283</v>
      </c>
      <c r="CX23" s="341"/>
      <c r="CY23" s="341"/>
      <c r="CZ23" s="341"/>
      <c r="DA23" s="341">
        <v>0</v>
      </c>
      <c r="DB23" s="341"/>
      <c r="DC23" s="341"/>
      <c r="DD23" s="343">
        <v>45046</v>
      </c>
      <c r="DE23" s="340">
        <v>24</v>
      </c>
      <c r="DF23" s="341"/>
      <c r="DG23" s="341"/>
      <c r="DH23" s="341">
        <v>6</v>
      </c>
      <c r="DI23" s="341"/>
      <c r="DJ23" s="341"/>
      <c r="DK23" s="341"/>
      <c r="DL23" s="342">
        <v>30</v>
      </c>
      <c r="DM23" s="343"/>
      <c r="DN23" s="344"/>
      <c r="DO23" s="343"/>
      <c r="DP23" s="341"/>
      <c r="DQ23" s="343"/>
      <c r="DR23" s="344"/>
      <c r="DS23" s="343"/>
      <c r="DT23" s="341"/>
      <c r="DU23" s="343"/>
      <c r="DV23" s="340"/>
      <c r="DW23" s="341"/>
      <c r="DX23" s="342"/>
      <c r="DY23" s="343"/>
      <c r="DZ23" s="344"/>
      <c r="EA23" s="343">
        <v>13</v>
      </c>
      <c r="EB23" s="341"/>
      <c r="EC23" s="343">
        <v>13</v>
      </c>
      <c r="ED23" s="344"/>
      <c r="EE23" s="344"/>
      <c r="EF23" s="343"/>
      <c r="EG23" s="341"/>
      <c r="EH23" s="341"/>
      <c r="EI23" s="341"/>
      <c r="EJ23" s="341"/>
      <c r="EK23" s="341"/>
      <c r="EL23" s="343"/>
      <c r="EM23" s="340">
        <v>7</v>
      </c>
      <c r="EN23" s="341">
        <v>15</v>
      </c>
      <c r="EO23" s="341"/>
      <c r="EP23" s="341">
        <v>12</v>
      </c>
      <c r="EQ23" s="341">
        <v>998</v>
      </c>
      <c r="ER23" s="341">
        <v>0</v>
      </c>
      <c r="ES23" s="341">
        <v>20</v>
      </c>
      <c r="ET23" s="341"/>
      <c r="EU23" s="341">
        <v>2</v>
      </c>
      <c r="EV23" s="341">
        <v>0</v>
      </c>
      <c r="EW23" s="341"/>
      <c r="EX23" s="341">
        <v>2</v>
      </c>
      <c r="EY23" s="341"/>
      <c r="EZ23" s="342">
        <v>1056</v>
      </c>
      <c r="FA23" s="343"/>
      <c r="FB23" s="344"/>
      <c r="FC23" s="343"/>
      <c r="FD23" s="341"/>
      <c r="FE23" s="341"/>
      <c r="FF23" s="343"/>
      <c r="FG23" s="344"/>
      <c r="FH23" s="344"/>
      <c r="FI23" s="343"/>
      <c r="FJ23" s="341"/>
      <c r="FK23" s="341"/>
      <c r="FL23" s="341"/>
      <c r="FM23" s="343"/>
      <c r="FN23" s="340"/>
      <c r="FO23" s="341"/>
      <c r="FP23" s="342"/>
      <c r="FQ23" s="343"/>
      <c r="FR23" s="341"/>
      <c r="FS23" s="343"/>
      <c r="FT23" s="344"/>
      <c r="FU23" s="343">
        <v>33</v>
      </c>
      <c r="FV23" s="341"/>
      <c r="FW23" s="343">
        <v>33</v>
      </c>
      <c r="FX23" s="340"/>
      <c r="FY23" s="341"/>
      <c r="FZ23" s="341"/>
      <c r="GA23" s="341"/>
      <c r="GB23" s="342"/>
      <c r="GC23" s="343"/>
      <c r="GD23" s="340">
        <v>14792</v>
      </c>
      <c r="GE23" s="341"/>
      <c r="GF23" s="342">
        <v>14792</v>
      </c>
      <c r="GG23" s="343"/>
      <c r="GH23" s="340"/>
      <c r="GI23" s="341"/>
      <c r="GJ23" s="341"/>
      <c r="GK23" s="342"/>
      <c r="GL23" s="343"/>
      <c r="GM23" s="340"/>
      <c r="GN23" s="341"/>
      <c r="GO23" s="341"/>
      <c r="GP23" s="341"/>
      <c r="GQ23" s="342"/>
      <c r="GR23" s="343">
        <v>64771</v>
      </c>
      <c r="GS23" s="345">
        <f>64771/49209180</f>
        <v>1.3162381490608053E-3</v>
      </c>
      <c r="GT23" s="293"/>
      <c r="GU23" s="293"/>
      <c r="GV23" s="293"/>
      <c r="GW23" s="293"/>
      <c r="GX23" s="293"/>
      <c r="GY23" s="293"/>
      <c r="GZ23" s="293"/>
      <c r="HA23" s="293"/>
      <c r="HB23" s="293"/>
      <c r="HC23" s="293"/>
      <c r="HD23" s="293"/>
      <c r="HE23" s="293"/>
      <c r="HF23" s="293"/>
      <c r="HG23" s="293"/>
      <c r="HH23" s="293"/>
      <c r="HI23" s="293"/>
      <c r="HJ23" s="293"/>
      <c r="HK23" s="293"/>
      <c r="HL23" s="293"/>
      <c r="HM23" s="293"/>
      <c r="HN23" s="293"/>
      <c r="HO23" s="293"/>
      <c r="HP23" s="293"/>
      <c r="HQ23" s="293"/>
      <c r="HR23" s="293"/>
      <c r="HS23" s="293"/>
      <c r="HT23" s="293"/>
      <c r="HU23" s="293"/>
      <c r="HV23" s="293"/>
      <c r="HW23" s="293"/>
      <c r="HX23" s="294"/>
    </row>
    <row r="24" spans="2:232" ht="12.75" x14ac:dyDescent="0.2">
      <c r="B24" s="259" t="s">
        <v>49</v>
      </c>
      <c r="C24" s="258">
        <v>53</v>
      </c>
      <c r="D24" s="115"/>
      <c r="E24" s="115">
        <v>1</v>
      </c>
      <c r="F24" s="115"/>
      <c r="G24" s="257">
        <v>54</v>
      </c>
      <c r="H24" s="117"/>
      <c r="I24" s="258"/>
      <c r="J24" s="115"/>
      <c r="K24" s="257"/>
      <c r="L24" s="117"/>
      <c r="M24" s="116">
        <v>1767</v>
      </c>
      <c r="N24" s="117">
        <v>1987</v>
      </c>
      <c r="O24" s="115"/>
      <c r="P24" s="115"/>
      <c r="Q24" s="115"/>
      <c r="R24" s="115"/>
      <c r="S24" s="115"/>
      <c r="T24" s="115"/>
      <c r="U24" s="115">
        <v>4</v>
      </c>
      <c r="V24" s="117">
        <v>1991</v>
      </c>
      <c r="W24" s="258">
        <v>2</v>
      </c>
      <c r="X24" s="115">
        <v>0</v>
      </c>
      <c r="Y24" s="257">
        <v>2</v>
      </c>
      <c r="Z24" s="117">
        <v>577</v>
      </c>
      <c r="AA24" s="115"/>
      <c r="AB24" s="117">
        <v>577</v>
      </c>
      <c r="AC24" s="258">
        <v>173</v>
      </c>
      <c r="AD24" s="115"/>
      <c r="AE24" s="115"/>
      <c r="AF24" s="257">
        <v>173</v>
      </c>
      <c r="AG24" s="117"/>
      <c r="AH24" s="115"/>
      <c r="AI24" s="115"/>
      <c r="AJ24" s="115"/>
      <c r="AK24" s="117"/>
      <c r="AL24" s="258"/>
      <c r="AM24" s="115"/>
      <c r="AN24" s="257"/>
      <c r="AO24" s="117"/>
      <c r="AP24" s="116"/>
      <c r="AQ24" s="117">
        <v>2</v>
      </c>
      <c r="AR24" s="115"/>
      <c r="AS24" s="115"/>
      <c r="AT24" s="117">
        <v>2</v>
      </c>
      <c r="AU24" s="258"/>
      <c r="AV24" s="115"/>
      <c r="AW24" s="115"/>
      <c r="AX24" s="115"/>
      <c r="AY24" s="115"/>
      <c r="AZ24" s="115"/>
      <c r="BA24" s="115"/>
      <c r="BB24" s="115"/>
      <c r="BC24" s="257"/>
      <c r="BD24" s="117"/>
      <c r="BE24" s="116">
        <v>6</v>
      </c>
      <c r="BF24" s="117">
        <v>0</v>
      </c>
      <c r="BG24" s="115">
        <v>15</v>
      </c>
      <c r="BH24" s="115">
        <v>52</v>
      </c>
      <c r="BI24" s="115"/>
      <c r="BJ24" s="115">
        <v>0</v>
      </c>
      <c r="BK24" s="115"/>
      <c r="BL24" s="117">
        <v>67</v>
      </c>
      <c r="BM24" s="116">
        <v>1</v>
      </c>
      <c r="BN24" s="116"/>
      <c r="BO24" s="116"/>
      <c r="BP24" s="116"/>
      <c r="BQ24" s="117">
        <v>241</v>
      </c>
      <c r="BR24" s="115"/>
      <c r="BS24" s="117">
        <v>241</v>
      </c>
      <c r="BT24" s="116"/>
      <c r="BU24" s="117"/>
      <c r="BV24" s="115"/>
      <c r="BW24" s="115"/>
      <c r="BX24" s="117"/>
      <c r="BY24" s="258"/>
      <c r="BZ24" s="115"/>
      <c r="CA24" s="115">
        <v>0</v>
      </c>
      <c r="CB24" s="115"/>
      <c r="CC24" s="115"/>
      <c r="CD24" s="115"/>
      <c r="CE24" s="115"/>
      <c r="CF24" s="115"/>
      <c r="CG24" s="115"/>
      <c r="CH24" s="115"/>
      <c r="CI24" s="115"/>
      <c r="CJ24" s="115"/>
      <c r="CK24" s="115"/>
      <c r="CL24" s="115"/>
      <c r="CM24" s="115"/>
      <c r="CN24" s="257">
        <v>0</v>
      </c>
      <c r="CO24" s="117"/>
      <c r="CP24" s="115"/>
      <c r="CQ24" s="117"/>
      <c r="CR24" s="116">
        <v>24</v>
      </c>
      <c r="CS24" s="117">
        <v>291</v>
      </c>
      <c r="CT24" s="115"/>
      <c r="CU24" s="115">
        <v>49890</v>
      </c>
      <c r="CV24" s="115">
        <v>65</v>
      </c>
      <c r="CW24" s="115">
        <v>24824</v>
      </c>
      <c r="CX24" s="115"/>
      <c r="CY24" s="115">
        <v>2</v>
      </c>
      <c r="CZ24" s="115"/>
      <c r="DA24" s="115"/>
      <c r="DB24" s="115"/>
      <c r="DC24" s="115"/>
      <c r="DD24" s="117">
        <v>75072</v>
      </c>
      <c r="DE24" s="258">
        <v>107</v>
      </c>
      <c r="DF24" s="115">
        <v>2</v>
      </c>
      <c r="DG24" s="115">
        <v>4</v>
      </c>
      <c r="DH24" s="115">
        <v>3</v>
      </c>
      <c r="DI24" s="115"/>
      <c r="DJ24" s="115"/>
      <c r="DK24" s="115"/>
      <c r="DL24" s="257">
        <v>116</v>
      </c>
      <c r="DM24" s="117"/>
      <c r="DN24" s="116"/>
      <c r="DO24" s="117"/>
      <c r="DP24" s="115"/>
      <c r="DQ24" s="117"/>
      <c r="DR24" s="116"/>
      <c r="DS24" s="117"/>
      <c r="DT24" s="115"/>
      <c r="DU24" s="117"/>
      <c r="DV24" s="258"/>
      <c r="DW24" s="115"/>
      <c r="DX24" s="257"/>
      <c r="DY24" s="117">
        <v>124</v>
      </c>
      <c r="DZ24" s="116"/>
      <c r="EA24" s="117">
        <v>4</v>
      </c>
      <c r="EB24" s="115"/>
      <c r="EC24" s="117">
        <v>4</v>
      </c>
      <c r="ED24" s="116"/>
      <c r="EE24" s="116"/>
      <c r="EF24" s="117">
        <v>1</v>
      </c>
      <c r="EG24" s="115"/>
      <c r="EH24" s="115"/>
      <c r="EI24" s="115"/>
      <c r="EJ24" s="115"/>
      <c r="EK24" s="115"/>
      <c r="EL24" s="117">
        <v>1</v>
      </c>
      <c r="EM24" s="258">
        <v>69</v>
      </c>
      <c r="EN24" s="115">
        <v>36</v>
      </c>
      <c r="EO24" s="115">
        <v>1</v>
      </c>
      <c r="EP24" s="115">
        <v>18</v>
      </c>
      <c r="EQ24" s="115">
        <v>1231</v>
      </c>
      <c r="ER24" s="115">
        <v>5</v>
      </c>
      <c r="ES24" s="115">
        <v>22</v>
      </c>
      <c r="ET24" s="115">
        <v>5</v>
      </c>
      <c r="EU24" s="115">
        <v>1</v>
      </c>
      <c r="EV24" s="115">
        <v>0</v>
      </c>
      <c r="EW24" s="115"/>
      <c r="EX24" s="115">
        <v>3</v>
      </c>
      <c r="EY24" s="115"/>
      <c r="EZ24" s="257">
        <v>1391</v>
      </c>
      <c r="FA24" s="117"/>
      <c r="FB24" s="116">
        <v>0</v>
      </c>
      <c r="FC24" s="117"/>
      <c r="FD24" s="115"/>
      <c r="FE24" s="115"/>
      <c r="FF24" s="117"/>
      <c r="FG24" s="116"/>
      <c r="FH24" s="116"/>
      <c r="FI24" s="117"/>
      <c r="FJ24" s="115"/>
      <c r="FK24" s="115"/>
      <c r="FL24" s="115"/>
      <c r="FM24" s="117"/>
      <c r="FN24" s="258"/>
      <c r="FO24" s="115"/>
      <c r="FP24" s="257"/>
      <c r="FQ24" s="117"/>
      <c r="FR24" s="115"/>
      <c r="FS24" s="117"/>
      <c r="FT24" s="116"/>
      <c r="FU24" s="117">
        <v>92</v>
      </c>
      <c r="FV24" s="115"/>
      <c r="FW24" s="117">
        <v>92</v>
      </c>
      <c r="FX24" s="258">
        <v>324</v>
      </c>
      <c r="FY24" s="115"/>
      <c r="FZ24" s="115"/>
      <c r="GA24" s="115"/>
      <c r="GB24" s="257">
        <v>324</v>
      </c>
      <c r="GC24" s="117"/>
      <c r="GD24" s="258">
        <v>38788</v>
      </c>
      <c r="GE24" s="115"/>
      <c r="GF24" s="257">
        <v>38788</v>
      </c>
      <c r="GG24" s="117"/>
      <c r="GH24" s="258"/>
      <c r="GI24" s="115">
        <v>2</v>
      </c>
      <c r="GJ24" s="115"/>
      <c r="GK24" s="257">
        <v>2</v>
      </c>
      <c r="GL24" s="117"/>
      <c r="GM24" s="258"/>
      <c r="GN24" s="115"/>
      <c r="GO24" s="115"/>
      <c r="GP24" s="115"/>
      <c r="GQ24" s="257"/>
      <c r="GR24" s="117">
        <v>120819</v>
      </c>
      <c r="GS24" s="324">
        <f>120819/49209180</f>
        <v>2.4552126249614403E-3</v>
      </c>
      <c r="GT24" s="293"/>
      <c r="GU24" s="293"/>
      <c r="GV24" s="293"/>
      <c r="GW24" s="293"/>
      <c r="GX24" s="293"/>
      <c r="GY24" s="293"/>
      <c r="GZ24" s="293"/>
      <c r="HA24" s="293"/>
      <c r="HB24" s="293"/>
      <c r="HC24" s="293"/>
      <c r="HD24" s="293"/>
      <c r="HE24" s="293"/>
      <c r="HF24" s="293"/>
      <c r="HG24" s="293"/>
      <c r="HH24" s="293"/>
      <c r="HI24" s="293"/>
      <c r="HJ24" s="293"/>
      <c r="HK24" s="293"/>
      <c r="HL24" s="293"/>
      <c r="HM24" s="293"/>
      <c r="HN24" s="293"/>
      <c r="HO24" s="293"/>
      <c r="HP24" s="293"/>
      <c r="HQ24" s="293"/>
      <c r="HR24" s="293"/>
      <c r="HS24" s="293"/>
      <c r="HT24" s="293"/>
      <c r="HU24" s="293"/>
      <c r="HV24" s="293"/>
      <c r="HW24" s="293"/>
      <c r="HX24" s="294"/>
    </row>
    <row r="25" spans="2:232" ht="12.75" x14ac:dyDescent="0.2">
      <c r="B25" s="259" t="s">
        <v>116</v>
      </c>
      <c r="C25" s="258">
        <v>530</v>
      </c>
      <c r="D25" s="115"/>
      <c r="E25" s="115"/>
      <c r="F25" s="115">
        <v>3</v>
      </c>
      <c r="G25" s="257">
        <v>533</v>
      </c>
      <c r="H25" s="117"/>
      <c r="I25" s="258">
        <v>139</v>
      </c>
      <c r="J25" s="115"/>
      <c r="K25" s="257">
        <v>139</v>
      </c>
      <c r="L25" s="117">
        <v>1</v>
      </c>
      <c r="M25" s="116">
        <v>59269</v>
      </c>
      <c r="N25" s="117">
        <v>34581</v>
      </c>
      <c r="O25" s="115">
        <v>33</v>
      </c>
      <c r="P25" s="115"/>
      <c r="Q25" s="115">
        <v>2</v>
      </c>
      <c r="R25" s="115"/>
      <c r="S25" s="115"/>
      <c r="T25" s="115"/>
      <c r="U25" s="115"/>
      <c r="V25" s="117">
        <v>34616</v>
      </c>
      <c r="W25" s="258">
        <v>12</v>
      </c>
      <c r="X25" s="115">
        <v>8</v>
      </c>
      <c r="Y25" s="257">
        <v>20</v>
      </c>
      <c r="Z25" s="117">
        <v>289</v>
      </c>
      <c r="AA25" s="115"/>
      <c r="AB25" s="117">
        <v>289</v>
      </c>
      <c r="AC25" s="258">
        <v>18</v>
      </c>
      <c r="AD25" s="115"/>
      <c r="AE25" s="115"/>
      <c r="AF25" s="257">
        <v>18</v>
      </c>
      <c r="AG25" s="117">
        <v>2</v>
      </c>
      <c r="AH25" s="115"/>
      <c r="AI25" s="115">
        <v>23</v>
      </c>
      <c r="AJ25" s="115">
        <v>0</v>
      </c>
      <c r="AK25" s="117">
        <v>25</v>
      </c>
      <c r="AL25" s="258"/>
      <c r="AM25" s="115"/>
      <c r="AN25" s="257"/>
      <c r="AO25" s="117"/>
      <c r="AP25" s="116"/>
      <c r="AQ25" s="117">
        <v>1</v>
      </c>
      <c r="AR25" s="115"/>
      <c r="AS25" s="115"/>
      <c r="AT25" s="117">
        <v>1</v>
      </c>
      <c r="AU25" s="258"/>
      <c r="AV25" s="115"/>
      <c r="AW25" s="115"/>
      <c r="AX25" s="115"/>
      <c r="AY25" s="115"/>
      <c r="AZ25" s="115"/>
      <c r="BA25" s="115"/>
      <c r="BB25" s="115"/>
      <c r="BC25" s="257"/>
      <c r="BD25" s="117">
        <v>2</v>
      </c>
      <c r="BE25" s="116">
        <v>528</v>
      </c>
      <c r="BF25" s="117">
        <v>251</v>
      </c>
      <c r="BG25" s="115">
        <v>841</v>
      </c>
      <c r="BH25" s="115">
        <v>5104</v>
      </c>
      <c r="BI25" s="115">
        <v>15</v>
      </c>
      <c r="BJ25" s="115">
        <v>88</v>
      </c>
      <c r="BK25" s="115"/>
      <c r="BL25" s="117">
        <v>6299</v>
      </c>
      <c r="BM25" s="116">
        <v>4</v>
      </c>
      <c r="BN25" s="116"/>
      <c r="BO25" s="116">
        <v>2</v>
      </c>
      <c r="BP25" s="116">
        <v>14</v>
      </c>
      <c r="BQ25" s="117">
        <v>268</v>
      </c>
      <c r="BR25" s="115"/>
      <c r="BS25" s="117">
        <v>268</v>
      </c>
      <c r="BT25" s="116"/>
      <c r="BU25" s="117">
        <v>592</v>
      </c>
      <c r="BV25" s="115">
        <v>42255</v>
      </c>
      <c r="BW25" s="115">
        <v>16314</v>
      </c>
      <c r="BX25" s="117">
        <v>59161</v>
      </c>
      <c r="BY25" s="258"/>
      <c r="BZ25" s="115"/>
      <c r="CA25" s="115">
        <v>0</v>
      </c>
      <c r="CB25" s="115"/>
      <c r="CC25" s="115"/>
      <c r="CD25" s="115"/>
      <c r="CE25" s="115"/>
      <c r="CF25" s="115"/>
      <c r="CG25" s="115"/>
      <c r="CH25" s="115"/>
      <c r="CI25" s="115">
        <v>1</v>
      </c>
      <c r="CJ25" s="115"/>
      <c r="CK25" s="115"/>
      <c r="CL25" s="115"/>
      <c r="CM25" s="115"/>
      <c r="CN25" s="257">
        <v>1</v>
      </c>
      <c r="CO25" s="117">
        <v>3</v>
      </c>
      <c r="CP25" s="115"/>
      <c r="CQ25" s="117">
        <v>3</v>
      </c>
      <c r="CR25" s="116">
        <v>2</v>
      </c>
      <c r="CS25" s="117">
        <v>130</v>
      </c>
      <c r="CT25" s="115">
        <v>1</v>
      </c>
      <c r="CU25" s="115">
        <v>244532</v>
      </c>
      <c r="CV25" s="115">
        <v>9</v>
      </c>
      <c r="CW25" s="115">
        <v>159922</v>
      </c>
      <c r="CX25" s="115">
        <v>4</v>
      </c>
      <c r="CY25" s="115">
        <v>6</v>
      </c>
      <c r="CZ25" s="115">
        <v>3</v>
      </c>
      <c r="DA25" s="115"/>
      <c r="DB25" s="115"/>
      <c r="DC25" s="115"/>
      <c r="DD25" s="117">
        <v>404607</v>
      </c>
      <c r="DE25" s="258">
        <v>552</v>
      </c>
      <c r="DF25" s="115">
        <v>3</v>
      </c>
      <c r="DG25" s="115">
        <v>12</v>
      </c>
      <c r="DH25" s="115">
        <v>0</v>
      </c>
      <c r="DI25" s="115"/>
      <c r="DJ25" s="115"/>
      <c r="DK25" s="115"/>
      <c r="DL25" s="257">
        <v>567</v>
      </c>
      <c r="DM25" s="117"/>
      <c r="DN25" s="116"/>
      <c r="DO25" s="117"/>
      <c r="DP25" s="115"/>
      <c r="DQ25" s="117"/>
      <c r="DR25" s="116">
        <v>23</v>
      </c>
      <c r="DS25" s="117">
        <v>92</v>
      </c>
      <c r="DT25" s="115"/>
      <c r="DU25" s="117">
        <v>92</v>
      </c>
      <c r="DV25" s="258">
        <v>4</v>
      </c>
      <c r="DW25" s="115"/>
      <c r="DX25" s="257">
        <v>4</v>
      </c>
      <c r="DY25" s="117">
        <v>8</v>
      </c>
      <c r="DZ25" s="116">
        <v>3</v>
      </c>
      <c r="EA25" s="117">
        <v>82</v>
      </c>
      <c r="EB25" s="115"/>
      <c r="EC25" s="117">
        <v>82</v>
      </c>
      <c r="ED25" s="116"/>
      <c r="EE25" s="116">
        <v>0</v>
      </c>
      <c r="EF25" s="117">
        <v>40</v>
      </c>
      <c r="EG25" s="115">
        <v>283</v>
      </c>
      <c r="EH25" s="115"/>
      <c r="EI25" s="115"/>
      <c r="EJ25" s="115"/>
      <c r="EK25" s="115"/>
      <c r="EL25" s="117">
        <v>323</v>
      </c>
      <c r="EM25" s="258">
        <v>11</v>
      </c>
      <c r="EN25" s="115">
        <v>222</v>
      </c>
      <c r="EO25" s="115">
        <v>6</v>
      </c>
      <c r="EP25" s="115">
        <v>11</v>
      </c>
      <c r="EQ25" s="115">
        <v>191</v>
      </c>
      <c r="ER25" s="115">
        <v>1</v>
      </c>
      <c r="ES25" s="115">
        <v>20</v>
      </c>
      <c r="ET25" s="115"/>
      <c r="EU25" s="115"/>
      <c r="EV25" s="115"/>
      <c r="EW25" s="115"/>
      <c r="EX25" s="115"/>
      <c r="EY25" s="115"/>
      <c r="EZ25" s="257">
        <v>462</v>
      </c>
      <c r="FA25" s="117"/>
      <c r="FB25" s="116"/>
      <c r="FC25" s="117">
        <v>1</v>
      </c>
      <c r="FD25" s="115"/>
      <c r="FE25" s="115"/>
      <c r="FF25" s="117">
        <v>1</v>
      </c>
      <c r="FG25" s="116"/>
      <c r="FH25" s="116">
        <v>1</v>
      </c>
      <c r="FI25" s="117">
        <v>11132</v>
      </c>
      <c r="FJ25" s="115">
        <v>0</v>
      </c>
      <c r="FK25" s="115"/>
      <c r="FL25" s="115"/>
      <c r="FM25" s="117">
        <v>11132</v>
      </c>
      <c r="FN25" s="258">
        <v>6</v>
      </c>
      <c r="FO25" s="115">
        <v>89</v>
      </c>
      <c r="FP25" s="257">
        <v>95</v>
      </c>
      <c r="FQ25" s="117"/>
      <c r="FR25" s="115"/>
      <c r="FS25" s="117"/>
      <c r="FT25" s="116"/>
      <c r="FU25" s="117">
        <v>466029</v>
      </c>
      <c r="FV25" s="115"/>
      <c r="FW25" s="117">
        <v>466029</v>
      </c>
      <c r="FX25" s="258">
        <v>0</v>
      </c>
      <c r="FY25" s="115">
        <v>1</v>
      </c>
      <c r="FZ25" s="115">
        <v>1</v>
      </c>
      <c r="GA25" s="115">
        <v>1</v>
      </c>
      <c r="GB25" s="257">
        <v>3</v>
      </c>
      <c r="GC25" s="117"/>
      <c r="GD25" s="258">
        <v>6861</v>
      </c>
      <c r="GE25" s="115"/>
      <c r="GF25" s="257">
        <v>6861</v>
      </c>
      <c r="GG25" s="117"/>
      <c r="GH25" s="258">
        <v>226</v>
      </c>
      <c r="GI25" s="115"/>
      <c r="GJ25" s="115"/>
      <c r="GK25" s="257">
        <v>226</v>
      </c>
      <c r="GL25" s="117">
        <v>2</v>
      </c>
      <c r="GM25" s="258"/>
      <c r="GN25" s="115">
        <v>3</v>
      </c>
      <c r="GO25" s="115">
        <v>2</v>
      </c>
      <c r="GP25" s="115"/>
      <c r="GQ25" s="257">
        <v>5</v>
      </c>
      <c r="GR25" s="117">
        <v>1051721</v>
      </c>
      <c r="GS25" s="324">
        <f>1051721/49209180</f>
        <v>2.1372455302039173E-2</v>
      </c>
      <c r="GT25" s="293"/>
      <c r="GU25" s="293"/>
      <c r="GV25" s="293"/>
      <c r="GW25" s="293"/>
      <c r="GX25" s="293"/>
      <c r="GY25" s="293"/>
      <c r="GZ25" s="293"/>
      <c r="HA25" s="293"/>
      <c r="HB25" s="293"/>
      <c r="HC25" s="293"/>
      <c r="HD25" s="293"/>
      <c r="HE25" s="293"/>
      <c r="HF25" s="293"/>
      <c r="HG25" s="293"/>
      <c r="HH25" s="293"/>
      <c r="HI25" s="293"/>
      <c r="HJ25" s="293"/>
      <c r="HK25" s="293"/>
      <c r="HL25" s="293"/>
      <c r="HM25" s="293"/>
      <c r="HN25" s="293"/>
      <c r="HO25" s="293"/>
      <c r="HP25" s="293"/>
      <c r="HQ25" s="293"/>
      <c r="HR25" s="293"/>
      <c r="HS25" s="293"/>
      <c r="HT25" s="293"/>
      <c r="HU25" s="293"/>
      <c r="HV25" s="293"/>
      <c r="HW25" s="293"/>
      <c r="HX25" s="294"/>
    </row>
    <row r="26" spans="2:232" ht="12.75" x14ac:dyDescent="0.2">
      <c r="B26" s="259" t="s">
        <v>122</v>
      </c>
      <c r="C26" s="258">
        <v>217</v>
      </c>
      <c r="D26" s="115"/>
      <c r="E26" s="115"/>
      <c r="F26" s="115"/>
      <c r="G26" s="257">
        <v>217</v>
      </c>
      <c r="H26" s="117"/>
      <c r="I26" s="258">
        <v>0</v>
      </c>
      <c r="J26" s="115"/>
      <c r="K26" s="257">
        <v>0</v>
      </c>
      <c r="L26" s="117"/>
      <c r="M26" s="116">
        <v>451</v>
      </c>
      <c r="N26" s="117">
        <v>276678</v>
      </c>
      <c r="O26" s="115">
        <v>19</v>
      </c>
      <c r="P26" s="115">
        <v>31</v>
      </c>
      <c r="Q26" s="115">
        <v>276</v>
      </c>
      <c r="R26" s="115">
        <v>52</v>
      </c>
      <c r="S26" s="115">
        <v>8199</v>
      </c>
      <c r="T26" s="115">
        <v>211</v>
      </c>
      <c r="U26" s="115">
        <v>5</v>
      </c>
      <c r="V26" s="117">
        <v>285471</v>
      </c>
      <c r="W26" s="258">
        <v>4</v>
      </c>
      <c r="X26" s="115">
        <v>22</v>
      </c>
      <c r="Y26" s="257">
        <v>26</v>
      </c>
      <c r="Z26" s="117">
        <v>5839</v>
      </c>
      <c r="AA26" s="115"/>
      <c r="AB26" s="117">
        <v>5839</v>
      </c>
      <c r="AC26" s="258">
        <v>26789</v>
      </c>
      <c r="AD26" s="115">
        <v>0</v>
      </c>
      <c r="AE26" s="115"/>
      <c r="AF26" s="257">
        <v>26789</v>
      </c>
      <c r="AG26" s="117">
        <v>105</v>
      </c>
      <c r="AH26" s="115"/>
      <c r="AI26" s="115"/>
      <c r="AJ26" s="115"/>
      <c r="AK26" s="117">
        <v>105</v>
      </c>
      <c r="AL26" s="258"/>
      <c r="AM26" s="115">
        <v>41</v>
      </c>
      <c r="AN26" s="257">
        <v>41</v>
      </c>
      <c r="AO26" s="117"/>
      <c r="AP26" s="116"/>
      <c r="AQ26" s="117">
        <v>8</v>
      </c>
      <c r="AR26" s="115">
        <v>0</v>
      </c>
      <c r="AS26" s="115"/>
      <c r="AT26" s="117">
        <v>8</v>
      </c>
      <c r="AU26" s="258">
        <v>17</v>
      </c>
      <c r="AV26" s="115">
        <v>8</v>
      </c>
      <c r="AW26" s="115">
        <v>2</v>
      </c>
      <c r="AX26" s="115"/>
      <c r="AY26" s="115"/>
      <c r="AZ26" s="115"/>
      <c r="BA26" s="115"/>
      <c r="BB26" s="115"/>
      <c r="BC26" s="257">
        <v>27</v>
      </c>
      <c r="BD26" s="117"/>
      <c r="BE26" s="116">
        <v>2</v>
      </c>
      <c r="BF26" s="117">
        <v>188</v>
      </c>
      <c r="BG26" s="115">
        <v>234</v>
      </c>
      <c r="BH26" s="115">
        <v>474</v>
      </c>
      <c r="BI26" s="115">
        <v>23</v>
      </c>
      <c r="BJ26" s="115">
        <v>22</v>
      </c>
      <c r="BK26" s="115"/>
      <c r="BL26" s="117">
        <v>941</v>
      </c>
      <c r="BM26" s="116"/>
      <c r="BN26" s="116"/>
      <c r="BO26" s="116"/>
      <c r="BP26" s="116"/>
      <c r="BQ26" s="117">
        <v>67</v>
      </c>
      <c r="BR26" s="115"/>
      <c r="BS26" s="117">
        <v>67</v>
      </c>
      <c r="BT26" s="116"/>
      <c r="BU26" s="117"/>
      <c r="BV26" s="115">
        <v>2</v>
      </c>
      <c r="BW26" s="115"/>
      <c r="BX26" s="117">
        <v>2</v>
      </c>
      <c r="BY26" s="258"/>
      <c r="BZ26" s="115"/>
      <c r="CA26" s="115">
        <v>1</v>
      </c>
      <c r="CB26" s="115"/>
      <c r="CC26" s="115">
        <v>1</v>
      </c>
      <c r="CD26" s="115"/>
      <c r="CE26" s="115"/>
      <c r="CF26" s="115"/>
      <c r="CG26" s="115"/>
      <c r="CH26" s="115"/>
      <c r="CI26" s="115">
        <v>12</v>
      </c>
      <c r="CJ26" s="115"/>
      <c r="CK26" s="115"/>
      <c r="CL26" s="115"/>
      <c r="CM26" s="115"/>
      <c r="CN26" s="257">
        <v>14</v>
      </c>
      <c r="CO26" s="117"/>
      <c r="CP26" s="115"/>
      <c r="CQ26" s="117"/>
      <c r="CR26" s="116"/>
      <c r="CS26" s="117">
        <v>141</v>
      </c>
      <c r="CT26" s="115">
        <v>0</v>
      </c>
      <c r="CU26" s="115">
        <v>147407</v>
      </c>
      <c r="CV26" s="115">
        <v>688</v>
      </c>
      <c r="CW26" s="115">
        <v>230251</v>
      </c>
      <c r="CX26" s="115">
        <v>8</v>
      </c>
      <c r="CY26" s="115"/>
      <c r="CZ26" s="115">
        <v>1</v>
      </c>
      <c r="DA26" s="115">
        <v>8</v>
      </c>
      <c r="DB26" s="115"/>
      <c r="DC26" s="115"/>
      <c r="DD26" s="117">
        <v>378504</v>
      </c>
      <c r="DE26" s="258">
        <v>8358</v>
      </c>
      <c r="DF26" s="115">
        <v>4</v>
      </c>
      <c r="DG26" s="115">
        <v>162</v>
      </c>
      <c r="DH26" s="115">
        <v>37</v>
      </c>
      <c r="DI26" s="115">
        <v>3</v>
      </c>
      <c r="DJ26" s="115">
        <v>1</v>
      </c>
      <c r="DK26" s="115"/>
      <c r="DL26" s="257">
        <v>8565</v>
      </c>
      <c r="DM26" s="117">
        <v>18</v>
      </c>
      <c r="DN26" s="116"/>
      <c r="DO26" s="117"/>
      <c r="DP26" s="115"/>
      <c r="DQ26" s="117"/>
      <c r="DR26" s="116">
        <v>9</v>
      </c>
      <c r="DS26" s="117"/>
      <c r="DT26" s="115"/>
      <c r="DU26" s="117"/>
      <c r="DV26" s="258"/>
      <c r="DW26" s="115"/>
      <c r="DX26" s="257"/>
      <c r="DY26" s="117">
        <v>2</v>
      </c>
      <c r="DZ26" s="116"/>
      <c r="EA26" s="117">
        <v>499</v>
      </c>
      <c r="EB26" s="115"/>
      <c r="EC26" s="117">
        <v>499</v>
      </c>
      <c r="ED26" s="116"/>
      <c r="EE26" s="116"/>
      <c r="EF26" s="117">
        <v>6</v>
      </c>
      <c r="EG26" s="115">
        <v>14</v>
      </c>
      <c r="EH26" s="115"/>
      <c r="EI26" s="115"/>
      <c r="EJ26" s="115"/>
      <c r="EK26" s="115"/>
      <c r="EL26" s="117">
        <v>20</v>
      </c>
      <c r="EM26" s="258">
        <v>2166</v>
      </c>
      <c r="EN26" s="115">
        <v>18742</v>
      </c>
      <c r="EO26" s="115">
        <v>199</v>
      </c>
      <c r="EP26" s="115">
        <v>14947</v>
      </c>
      <c r="EQ26" s="115">
        <v>9853</v>
      </c>
      <c r="ER26" s="115">
        <v>146</v>
      </c>
      <c r="ES26" s="115">
        <v>2862</v>
      </c>
      <c r="ET26" s="115">
        <v>218</v>
      </c>
      <c r="EU26" s="115">
        <v>58</v>
      </c>
      <c r="EV26" s="115">
        <v>102</v>
      </c>
      <c r="EW26" s="115"/>
      <c r="EX26" s="115">
        <v>65</v>
      </c>
      <c r="EY26" s="115"/>
      <c r="EZ26" s="257">
        <v>49358</v>
      </c>
      <c r="FA26" s="117"/>
      <c r="FB26" s="116">
        <v>2</v>
      </c>
      <c r="FC26" s="117"/>
      <c r="FD26" s="115"/>
      <c r="FE26" s="115"/>
      <c r="FF26" s="117"/>
      <c r="FG26" s="116"/>
      <c r="FH26" s="116"/>
      <c r="FI26" s="117">
        <v>2</v>
      </c>
      <c r="FJ26" s="115"/>
      <c r="FK26" s="115"/>
      <c r="FL26" s="115"/>
      <c r="FM26" s="117">
        <v>2</v>
      </c>
      <c r="FN26" s="258"/>
      <c r="FO26" s="115"/>
      <c r="FP26" s="257"/>
      <c r="FQ26" s="117">
        <v>42</v>
      </c>
      <c r="FR26" s="115"/>
      <c r="FS26" s="117">
        <v>42</v>
      </c>
      <c r="FT26" s="116"/>
      <c r="FU26" s="117">
        <v>47</v>
      </c>
      <c r="FV26" s="115"/>
      <c r="FW26" s="117">
        <v>47</v>
      </c>
      <c r="FX26" s="258">
        <v>19</v>
      </c>
      <c r="FY26" s="115"/>
      <c r="FZ26" s="115"/>
      <c r="GA26" s="115"/>
      <c r="GB26" s="257">
        <v>19</v>
      </c>
      <c r="GC26" s="117"/>
      <c r="GD26" s="258">
        <v>8687</v>
      </c>
      <c r="GE26" s="115">
        <v>1</v>
      </c>
      <c r="GF26" s="257">
        <v>8688</v>
      </c>
      <c r="GG26" s="117"/>
      <c r="GH26" s="258"/>
      <c r="GI26" s="115"/>
      <c r="GJ26" s="115"/>
      <c r="GK26" s="257"/>
      <c r="GL26" s="117"/>
      <c r="GM26" s="258"/>
      <c r="GN26" s="115">
        <v>1</v>
      </c>
      <c r="GO26" s="115"/>
      <c r="GP26" s="115"/>
      <c r="GQ26" s="257">
        <v>1</v>
      </c>
      <c r="GR26" s="117">
        <v>765776</v>
      </c>
      <c r="GS26" s="324">
        <f>765776/49209180</f>
        <v>1.5561649269506218E-2</v>
      </c>
      <c r="GT26" s="293"/>
      <c r="GU26" s="293"/>
      <c r="GV26" s="293"/>
      <c r="GW26" s="293"/>
      <c r="GX26" s="293"/>
      <c r="GY26" s="293"/>
      <c r="GZ26" s="293"/>
      <c r="HA26" s="293"/>
      <c r="HB26" s="293"/>
      <c r="HC26" s="293"/>
      <c r="HD26" s="293"/>
      <c r="HE26" s="293"/>
      <c r="HF26" s="293"/>
      <c r="HG26" s="293"/>
      <c r="HH26" s="293"/>
      <c r="HI26" s="293"/>
      <c r="HJ26" s="293"/>
      <c r="HK26" s="293"/>
      <c r="HL26" s="293"/>
      <c r="HM26" s="293"/>
      <c r="HN26" s="293"/>
      <c r="HO26" s="293"/>
      <c r="HP26" s="293"/>
      <c r="HQ26" s="293"/>
      <c r="HR26" s="293"/>
      <c r="HS26" s="293"/>
      <c r="HT26" s="293"/>
      <c r="HU26" s="293"/>
      <c r="HV26" s="293"/>
      <c r="HW26" s="293"/>
      <c r="HX26" s="294"/>
    </row>
    <row r="27" spans="2:232" ht="12.75" x14ac:dyDescent="0.2">
      <c r="B27" s="259" t="s">
        <v>134</v>
      </c>
      <c r="C27" s="258">
        <v>41</v>
      </c>
      <c r="D27" s="115"/>
      <c r="E27" s="115"/>
      <c r="F27" s="115"/>
      <c r="G27" s="257">
        <v>41</v>
      </c>
      <c r="H27" s="117"/>
      <c r="I27" s="258"/>
      <c r="J27" s="115"/>
      <c r="K27" s="257"/>
      <c r="L27" s="117"/>
      <c r="M27" s="116">
        <v>1137</v>
      </c>
      <c r="N27" s="117">
        <v>2181</v>
      </c>
      <c r="O27" s="115"/>
      <c r="P27" s="115"/>
      <c r="Q27" s="115">
        <v>2</v>
      </c>
      <c r="R27" s="115">
        <v>2</v>
      </c>
      <c r="S27" s="115"/>
      <c r="T27" s="115"/>
      <c r="U27" s="115"/>
      <c r="V27" s="117">
        <v>2185</v>
      </c>
      <c r="W27" s="258"/>
      <c r="X27" s="115"/>
      <c r="Y27" s="257"/>
      <c r="Z27" s="117">
        <v>157</v>
      </c>
      <c r="AA27" s="115"/>
      <c r="AB27" s="117">
        <v>157</v>
      </c>
      <c r="AC27" s="258">
        <v>63</v>
      </c>
      <c r="AD27" s="115">
        <v>3</v>
      </c>
      <c r="AE27" s="115"/>
      <c r="AF27" s="257">
        <v>66</v>
      </c>
      <c r="AG27" s="117">
        <v>1</v>
      </c>
      <c r="AH27" s="115"/>
      <c r="AI27" s="115"/>
      <c r="AJ27" s="115"/>
      <c r="AK27" s="117">
        <v>1</v>
      </c>
      <c r="AL27" s="258"/>
      <c r="AM27" s="115"/>
      <c r="AN27" s="257"/>
      <c r="AO27" s="117"/>
      <c r="AP27" s="116"/>
      <c r="AQ27" s="117"/>
      <c r="AR27" s="115"/>
      <c r="AS27" s="115"/>
      <c r="AT27" s="117"/>
      <c r="AU27" s="258"/>
      <c r="AV27" s="115"/>
      <c r="AW27" s="115"/>
      <c r="AX27" s="115"/>
      <c r="AY27" s="115"/>
      <c r="AZ27" s="115"/>
      <c r="BA27" s="115"/>
      <c r="BB27" s="115"/>
      <c r="BC27" s="257"/>
      <c r="BD27" s="117"/>
      <c r="BE27" s="116"/>
      <c r="BF27" s="117">
        <v>5</v>
      </c>
      <c r="BG27" s="115">
        <v>26</v>
      </c>
      <c r="BH27" s="115">
        <v>102</v>
      </c>
      <c r="BI27" s="115"/>
      <c r="BJ27" s="115">
        <v>5</v>
      </c>
      <c r="BK27" s="115"/>
      <c r="BL27" s="117">
        <v>138</v>
      </c>
      <c r="BM27" s="116">
        <v>4</v>
      </c>
      <c r="BN27" s="116"/>
      <c r="BO27" s="116"/>
      <c r="BP27" s="116"/>
      <c r="BQ27" s="117">
        <v>88</v>
      </c>
      <c r="BR27" s="115"/>
      <c r="BS27" s="117">
        <v>88</v>
      </c>
      <c r="BT27" s="116"/>
      <c r="BU27" s="117"/>
      <c r="BV27" s="115"/>
      <c r="BW27" s="115"/>
      <c r="BX27" s="117"/>
      <c r="BY27" s="258"/>
      <c r="BZ27" s="115"/>
      <c r="CA27" s="115">
        <v>0</v>
      </c>
      <c r="CB27" s="115"/>
      <c r="CC27" s="115"/>
      <c r="CD27" s="115"/>
      <c r="CE27" s="115"/>
      <c r="CF27" s="115"/>
      <c r="CG27" s="115"/>
      <c r="CH27" s="115"/>
      <c r="CI27" s="115"/>
      <c r="CJ27" s="115"/>
      <c r="CK27" s="115"/>
      <c r="CL27" s="115"/>
      <c r="CM27" s="115"/>
      <c r="CN27" s="257">
        <v>0</v>
      </c>
      <c r="CO27" s="117"/>
      <c r="CP27" s="115"/>
      <c r="CQ27" s="117"/>
      <c r="CR27" s="116">
        <v>16</v>
      </c>
      <c r="CS27" s="117">
        <v>112</v>
      </c>
      <c r="CT27" s="115"/>
      <c r="CU27" s="115">
        <v>37526</v>
      </c>
      <c r="CV27" s="115">
        <v>25</v>
      </c>
      <c r="CW27" s="115">
        <v>21862</v>
      </c>
      <c r="CX27" s="115"/>
      <c r="CY27" s="115"/>
      <c r="CZ27" s="115"/>
      <c r="DA27" s="115"/>
      <c r="DB27" s="115"/>
      <c r="DC27" s="115"/>
      <c r="DD27" s="117">
        <v>59525</v>
      </c>
      <c r="DE27" s="258">
        <v>78</v>
      </c>
      <c r="DF27" s="115"/>
      <c r="DG27" s="115">
        <v>3</v>
      </c>
      <c r="DH27" s="115">
        <v>14</v>
      </c>
      <c r="DI27" s="115"/>
      <c r="DJ27" s="115"/>
      <c r="DK27" s="115"/>
      <c r="DL27" s="257">
        <v>95</v>
      </c>
      <c r="DM27" s="117"/>
      <c r="DN27" s="116"/>
      <c r="DO27" s="117"/>
      <c r="DP27" s="115"/>
      <c r="DQ27" s="117"/>
      <c r="DR27" s="116"/>
      <c r="DS27" s="117">
        <v>1</v>
      </c>
      <c r="DT27" s="115"/>
      <c r="DU27" s="117">
        <v>1</v>
      </c>
      <c r="DV27" s="258"/>
      <c r="DW27" s="115"/>
      <c r="DX27" s="257"/>
      <c r="DY27" s="117">
        <v>231</v>
      </c>
      <c r="DZ27" s="116"/>
      <c r="EA27" s="117">
        <v>11</v>
      </c>
      <c r="EB27" s="115"/>
      <c r="EC27" s="117">
        <v>11</v>
      </c>
      <c r="ED27" s="116"/>
      <c r="EE27" s="116"/>
      <c r="EF27" s="117"/>
      <c r="EG27" s="115"/>
      <c r="EH27" s="115"/>
      <c r="EI27" s="115"/>
      <c r="EJ27" s="115"/>
      <c r="EK27" s="115"/>
      <c r="EL27" s="117"/>
      <c r="EM27" s="258">
        <v>3</v>
      </c>
      <c r="EN27" s="115">
        <v>13</v>
      </c>
      <c r="EO27" s="115">
        <v>2</v>
      </c>
      <c r="EP27" s="115">
        <v>0</v>
      </c>
      <c r="EQ27" s="115">
        <v>1200</v>
      </c>
      <c r="ER27" s="115">
        <v>2</v>
      </c>
      <c r="ES27" s="115"/>
      <c r="ET27" s="115">
        <v>0</v>
      </c>
      <c r="EU27" s="115">
        <v>10</v>
      </c>
      <c r="EV27" s="115"/>
      <c r="EW27" s="115"/>
      <c r="EX27" s="115">
        <v>20</v>
      </c>
      <c r="EY27" s="115"/>
      <c r="EZ27" s="257">
        <v>1250</v>
      </c>
      <c r="FA27" s="117"/>
      <c r="FB27" s="116"/>
      <c r="FC27" s="117"/>
      <c r="FD27" s="115"/>
      <c r="FE27" s="115"/>
      <c r="FF27" s="117"/>
      <c r="FG27" s="116"/>
      <c r="FH27" s="116"/>
      <c r="FI27" s="117">
        <v>5</v>
      </c>
      <c r="FJ27" s="115"/>
      <c r="FK27" s="115"/>
      <c r="FL27" s="115"/>
      <c r="FM27" s="117">
        <v>5</v>
      </c>
      <c r="FN27" s="258"/>
      <c r="FO27" s="115"/>
      <c r="FP27" s="257"/>
      <c r="FQ27" s="117"/>
      <c r="FR27" s="115"/>
      <c r="FS27" s="117"/>
      <c r="FT27" s="116"/>
      <c r="FU27" s="117">
        <v>43</v>
      </c>
      <c r="FV27" s="115"/>
      <c r="FW27" s="117">
        <v>43</v>
      </c>
      <c r="FX27" s="258"/>
      <c r="FY27" s="115"/>
      <c r="FZ27" s="115"/>
      <c r="GA27" s="115"/>
      <c r="GB27" s="257"/>
      <c r="GC27" s="117"/>
      <c r="GD27" s="258">
        <v>5090</v>
      </c>
      <c r="GE27" s="115"/>
      <c r="GF27" s="257">
        <v>5090</v>
      </c>
      <c r="GG27" s="117"/>
      <c r="GH27" s="258">
        <v>6</v>
      </c>
      <c r="GI27" s="115"/>
      <c r="GJ27" s="115"/>
      <c r="GK27" s="257">
        <v>6</v>
      </c>
      <c r="GL27" s="117"/>
      <c r="GM27" s="258"/>
      <c r="GN27" s="115"/>
      <c r="GO27" s="115"/>
      <c r="GP27" s="115"/>
      <c r="GQ27" s="257"/>
      <c r="GR27" s="117">
        <v>70090</v>
      </c>
      <c r="GS27" s="324">
        <f>70090/49209180</f>
        <v>1.4243277372230142E-3</v>
      </c>
      <c r="GT27" s="293"/>
      <c r="GU27" s="293"/>
      <c r="GV27" s="293"/>
      <c r="GW27" s="293"/>
      <c r="GX27" s="293"/>
      <c r="GY27" s="293"/>
      <c r="GZ27" s="293"/>
      <c r="HA27" s="293"/>
      <c r="HB27" s="293"/>
      <c r="HC27" s="293"/>
      <c r="HD27" s="293"/>
      <c r="HE27" s="293"/>
      <c r="HF27" s="293"/>
      <c r="HG27" s="293"/>
      <c r="HH27" s="293"/>
      <c r="HI27" s="293"/>
      <c r="HJ27" s="293"/>
      <c r="HK27" s="293"/>
      <c r="HL27" s="293"/>
      <c r="HM27" s="293"/>
      <c r="HN27" s="293"/>
      <c r="HO27" s="293"/>
      <c r="HP27" s="293"/>
      <c r="HQ27" s="293"/>
      <c r="HR27" s="293"/>
      <c r="HS27" s="293"/>
      <c r="HT27" s="293"/>
      <c r="HU27" s="293"/>
      <c r="HV27" s="293"/>
      <c r="HW27" s="293"/>
      <c r="HX27" s="294"/>
    </row>
    <row r="28" spans="2:232" ht="12.75" x14ac:dyDescent="0.2">
      <c r="B28" s="259" t="s">
        <v>145</v>
      </c>
      <c r="C28" s="258">
        <v>30</v>
      </c>
      <c r="D28" s="115"/>
      <c r="E28" s="115"/>
      <c r="F28" s="115"/>
      <c r="G28" s="257">
        <v>30</v>
      </c>
      <c r="H28" s="117"/>
      <c r="I28" s="258">
        <v>29</v>
      </c>
      <c r="J28" s="115"/>
      <c r="K28" s="257">
        <v>29</v>
      </c>
      <c r="L28" s="117"/>
      <c r="M28" s="116">
        <v>376</v>
      </c>
      <c r="N28" s="117">
        <v>9673</v>
      </c>
      <c r="O28" s="115"/>
      <c r="P28" s="115"/>
      <c r="Q28" s="115">
        <v>4</v>
      </c>
      <c r="R28" s="115"/>
      <c r="S28" s="115"/>
      <c r="T28" s="115"/>
      <c r="U28" s="115"/>
      <c r="V28" s="117">
        <v>9677</v>
      </c>
      <c r="W28" s="258">
        <v>1</v>
      </c>
      <c r="X28" s="115">
        <v>10</v>
      </c>
      <c r="Y28" s="257">
        <v>11</v>
      </c>
      <c r="Z28" s="117">
        <v>915</v>
      </c>
      <c r="AA28" s="115"/>
      <c r="AB28" s="117">
        <v>915</v>
      </c>
      <c r="AC28" s="258">
        <v>563</v>
      </c>
      <c r="AD28" s="115"/>
      <c r="AE28" s="115"/>
      <c r="AF28" s="257">
        <v>563</v>
      </c>
      <c r="AG28" s="117"/>
      <c r="AH28" s="115"/>
      <c r="AI28" s="115"/>
      <c r="AJ28" s="115"/>
      <c r="AK28" s="117"/>
      <c r="AL28" s="258"/>
      <c r="AM28" s="115"/>
      <c r="AN28" s="257"/>
      <c r="AO28" s="117"/>
      <c r="AP28" s="116"/>
      <c r="AQ28" s="117">
        <v>9</v>
      </c>
      <c r="AR28" s="115"/>
      <c r="AS28" s="115"/>
      <c r="AT28" s="117">
        <v>9</v>
      </c>
      <c r="AU28" s="258">
        <v>1</v>
      </c>
      <c r="AV28" s="115"/>
      <c r="AW28" s="115"/>
      <c r="AX28" s="115"/>
      <c r="AY28" s="115"/>
      <c r="AZ28" s="115"/>
      <c r="BA28" s="115"/>
      <c r="BB28" s="115"/>
      <c r="BC28" s="257">
        <v>1</v>
      </c>
      <c r="BD28" s="117"/>
      <c r="BE28" s="116"/>
      <c r="BF28" s="117">
        <v>45</v>
      </c>
      <c r="BG28" s="115">
        <v>28</v>
      </c>
      <c r="BH28" s="115">
        <v>239</v>
      </c>
      <c r="BI28" s="115">
        <v>0</v>
      </c>
      <c r="BJ28" s="115">
        <v>65</v>
      </c>
      <c r="BK28" s="115"/>
      <c r="BL28" s="117">
        <v>377</v>
      </c>
      <c r="BM28" s="116"/>
      <c r="BN28" s="116"/>
      <c r="BO28" s="116"/>
      <c r="BP28" s="116"/>
      <c r="BQ28" s="117">
        <v>57</v>
      </c>
      <c r="BR28" s="115">
        <v>1</v>
      </c>
      <c r="BS28" s="117">
        <v>58</v>
      </c>
      <c r="BT28" s="116"/>
      <c r="BU28" s="117">
        <v>1</v>
      </c>
      <c r="BV28" s="115">
        <v>5</v>
      </c>
      <c r="BW28" s="115"/>
      <c r="BX28" s="117">
        <v>6</v>
      </c>
      <c r="BY28" s="258"/>
      <c r="BZ28" s="115"/>
      <c r="CA28" s="115">
        <v>4</v>
      </c>
      <c r="CB28" s="115"/>
      <c r="CC28" s="115"/>
      <c r="CD28" s="115"/>
      <c r="CE28" s="115"/>
      <c r="CF28" s="115"/>
      <c r="CG28" s="115"/>
      <c r="CH28" s="115"/>
      <c r="CI28" s="115"/>
      <c r="CJ28" s="115"/>
      <c r="CK28" s="115"/>
      <c r="CL28" s="115"/>
      <c r="CM28" s="115"/>
      <c r="CN28" s="257">
        <v>4</v>
      </c>
      <c r="CO28" s="117"/>
      <c r="CP28" s="115"/>
      <c r="CQ28" s="117"/>
      <c r="CR28" s="116"/>
      <c r="CS28" s="117">
        <v>47</v>
      </c>
      <c r="CT28" s="115"/>
      <c r="CU28" s="115">
        <v>176456</v>
      </c>
      <c r="CV28" s="115">
        <v>186</v>
      </c>
      <c r="CW28" s="115">
        <v>118027</v>
      </c>
      <c r="CX28" s="115"/>
      <c r="CY28" s="115"/>
      <c r="CZ28" s="115"/>
      <c r="DA28" s="115"/>
      <c r="DB28" s="115"/>
      <c r="DC28" s="115"/>
      <c r="DD28" s="117">
        <v>294716</v>
      </c>
      <c r="DE28" s="258">
        <v>5027</v>
      </c>
      <c r="DF28" s="115"/>
      <c r="DG28" s="115">
        <v>17</v>
      </c>
      <c r="DH28" s="115">
        <v>2</v>
      </c>
      <c r="DI28" s="115"/>
      <c r="DJ28" s="115"/>
      <c r="DK28" s="115"/>
      <c r="DL28" s="257">
        <v>5046</v>
      </c>
      <c r="DM28" s="117"/>
      <c r="DN28" s="116"/>
      <c r="DO28" s="117"/>
      <c r="DP28" s="115"/>
      <c r="DQ28" s="117"/>
      <c r="DR28" s="116">
        <v>4</v>
      </c>
      <c r="DS28" s="117">
        <v>1</v>
      </c>
      <c r="DT28" s="115"/>
      <c r="DU28" s="117">
        <v>1</v>
      </c>
      <c r="DV28" s="258"/>
      <c r="DW28" s="115"/>
      <c r="DX28" s="257"/>
      <c r="DY28" s="117"/>
      <c r="DZ28" s="116"/>
      <c r="EA28" s="117">
        <v>137</v>
      </c>
      <c r="EB28" s="115"/>
      <c r="EC28" s="117">
        <v>137</v>
      </c>
      <c r="ED28" s="116"/>
      <c r="EE28" s="116"/>
      <c r="EF28" s="117"/>
      <c r="EG28" s="115">
        <v>1</v>
      </c>
      <c r="EH28" s="115"/>
      <c r="EI28" s="115"/>
      <c r="EJ28" s="115"/>
      <c r="EK28" s="115"/>
      <c r="EL28" s="117">
        <v>1</v>
      </c>
      <c r="EM28" s="258">
        <v>24</v>
      </c>
      <c r="EN28" s="115">
        <v>87</v>
      </c>
      <c r="EO28" s="115">
        <v>7</v>
      </c>
      <c r="EP28" s="115">
        <v>21</v>
      </c>
      <c r="EQ28" s="115">
        <v>9771</v>
      </c>
      <c r="ER28" s="115">
        <v>7</v>
      </c>
      <c r="ES28" s="115">
        <v>71</v>
      </c>
      <c r="ET28" s="115"/>
      <c r="EU28" s="115">
        <v>3</v>
      </c>
      <c r="EV28" s="115">
        <v>3</v>
      </c>
      <c r="EW28" s="115"/>
      <c r="EX28" s="115">
        <v>22</v>
      </c>
      <c r="EY28" s="115"/>
      <c r="EZ28" s="257">
        <v>10016</v>
      </c>
      <c r="FA28" s="117"/>
      <c r="FB28" s="116"/>
      <c r="FC28" s="117"/>
      <c r="FD28" s="115"/>
      <c r="FE28" s="115"/>
      <c r="FF28" s="117"/>
      <c r="FG28" s="116"/>
      <c r="FH28" s="116"/>
      <c r="FI28" s="117">
        <v>1</v>
      </c>
      <c r="FJ28" s="115"/>
      <c r="FK28" s="115"/>
      <c r="FL28" s="115"/>
      <c r="FM28" s="117">
        <v>1</v>
      </c>
      <c r="FN28" s="258"/>
      <c r="FO28" s="115"/>
      <c r="FP28" s="257"/>
      <c r="FQ28" s="117"/>
      <c r="FR28" s="115"/>
      <c r="FS28" s="117"/>
      <c r="FT28" s="116"/>
      <c r="FU28" s="117">
        <v>842</v>
      </c>
      <c r="FV28" s="115"/>
      <c r="FW28" s="117">
        <v>842</v>
      </c>
      <c r="FX28" s="258">
        <v>1</v>
      </c>
      <c r="FY28" s="115"/>
      <c r="FZ28" s="115"/>
      <c r="GA28" s="115"/>
      <c r="GB28" s="257">
        <v>1</v>
      </c>
      <c r="GC28" s="117"/>
      <c r="GD28" s="258">
        <v>40243</v>
      </c>
      <c r="GE28" s="115"/>
      <c r="GF28" s="257">
        <v>40243</v>
      </c>
      <c r="GG28" s="117"/>
      <c r="GH28" s="258">
        <v>5</v>
      </c>
      <c r="GI28" s="115">
        <v>1</v>
      </c>
      <c r="GJ28" s="115"/>
      <c r="GK28" s="257">
        <v>6</v>
      </c>
      <c r="GL28" s="117"/>
      <c r="GM28" s="258"/>
      <c r="GN28" s="115"/>
      <c r="GO28" s="115"/>
      <c r="GP28" s="115"/>
      <c r="GQ28" s="257"/>
      <c r="GR28" s="117">
        <v>363070</v>
      </c>
      <c r="GS28" s="324">
        <f>363070/49209180</f>
        <v>7.3780949001791942E-3</v>
      </c>
      <c r="GT28" s="293"/>
      <c r="GU28" s="293"/>
      <c r="GV28" s="293"/>
      <c r="GW28" s="293"/>
      <c r="GX28" s="293"/>
      <c r="GY28" s="293"/>
      <c r="GZ28" s="293"/>
      <c r="HA28" s="293"/>
      <c r="HB28" s="293"/>
      <c r="HC28" s="293"/>
      <c r="HD28" s="293"/>
      <c r="HE28" s="293"/>
      <c r="HF28" s="293"/>
      <c r="HG28" s="293"/>
      <c r="HH28" s="293"/>
      <c r="HI28" s="293"/>
      <c r="HJ28" s="293"/>
      <c r="HK28" s="293"/>
      <c r="HL28" s="293"/>
      <c r="HM28" s="293"/>
      <c r="HN28" s="293"/>
      <c r="HO28" s="293"/>
      <c r="HP28" s="293"/>
      <c r="HQ28" s="293"/>
      <c r="HR28" s="293"/>
      <c r="HS28" s="293"/>
      <c r="HT28" s="293"/>
      <c r="HU28" s="293"/>
      <c r="HV28" s="293"/>
      <c r="HW28" s="293"/>
      <c r="HX28" s="294"/>
    </row>
    <row r="29" spans="2:232" ht="12.75" x14ac:dyDescent="0.2">
      <c r="B29" s="259" t="s">
        <v>146</v>
      </c>
      <c r="C29" s="258">
        <v>26766</v>
      </c>
      <c r="D29" s="115"/>
      <c r="E29" s="115"/>
      <c r="F29" s="115"/>
      <c r="G29" s="257">
        <v>26766</v>
      </c>
      <c r="H29" s="117"/>
      <c r="I29" s="258"/>
      <c r="J29" s="115"/>
      <c r="K29" s="257"/>
      <c r="L29" s="117"/>
      <c r="M29" s="116">
        <v>27229</v>
      </c>
      <c r="N29" s="117">
        <v>16201</v>
      </c>
      <c r="O29" s="115">
        <v>1</v>
      </c>
      <c r="P29" s="115">
        <v>9</v>
      </c>
      <c r="Q29" s="115">
        <v>58</v>
      </c>
      <c r="R29" s="115">
        <v>1</v>
      </c>
      <c r="S29" s="115">
        <v>13</v>
      </c>
      <c r="T29" s="115">
        <v>2</v>
      </c>
      <c r="U29" s="115">
        <v>3</v>
      </c>
      <c r="V29" s="117">
        <v>16288</v>
      </c>
      <c r="W29" s="258">
        <v>3</v>
      </c>
      <c r="X29" s="115">
        <v>9</v>
      </c>
      <c r="Y29" s="257">
        <v>12</v>
      </c>
      <c r="Z29" s="117">
        <v>356</v>
      </c>
      <c r="AA29" s="115"/>
      <c r="AB29" s="117">
        <v>356</v>
      </c>
      <c r="AC29" s="258">
        <v>109</v>
      </c>
      <c r="AD29" s="115"/>
      <c r="AE29" s="115"/>
      <c r="AF29" s="257">
        <v>109</v>
      </c>
      <c r="AG29" s="117">
        <v>75</v>
      </c>
      <c r="AH29" s="115">
        <v>0</v>
      </c>
      <c r="AI29" s="115"/>
      <c r="AJ29" s="115"/>
      <c r="AK29" s="117">
        <v>75</v>
      </c>
      <c r="AL29" s="258"/>
      <c r="AM29" s="115"/>
      <c r="AN29" s="257"/>
      <c r="AO29" s="117"/>
      <c r="AP29" s="116"/>
      <c r="AQ29" s="117">
        <v>1</v>
      </c>
      <c r="AR29" s="115"/>
      <c r="AS29" s="115"/>
      <c r="AT29" s="117">
        <v>1</v>
      </c>
      <c r="AU29" s="258"/>
      <c r="AV29" s="115"/>
      <c r="AW29" s="115"/>
      <c r="AX29" s="115"/>
      <c r="AY29" s="115"/>
      <c r="AZ29" s="115"/>
      <c r="BA29" s="115"/>
      <c r="BB29" s="115"/>
      <c r="BC29" s="257"/>
      <c r="BD29" s="117"/>
      <c r="BE29" s="116">
        <v>804</v>
      </c>
      <c r="BF29" s="117">
        <v>53</v>
      </c>
      <c r="BG29" s="115">
        <v>438</v>
      </c>
      <c r="BH29" s="115">
        <v>1370</v>
      </c>
      <c r="BI29" s="115">
        <v>0</v>
      </c>
      <c r="BJ29" s="115">
        <v>24</v>
      </c>
      <c r="BK29" s="115"/>
      <c r="BL29" s="117">
        <v>1885</v>
      </c>
      <c r="BM29" s="116">
        <v>0</v>
      </c>
      <c r="BN29" s="116"/>
      <c r="BO29" s="116"/>
      <c r="BP29" s="116"/>
      <c r="BQ29" s="117">
        <v>4753</v>
      </c>
      <c r="BR29" s="115"/>
      <c r="BS29" s="117">
        <v>4753</v>
      </c>
      <c r="BT29" s="116"/>
      <c r="BU29" s="117">
        <v>2</v>
      </c>
      <c r="BV29" s="115"/>
      <c r="BW29" s="115"/>
      <c r="BX29" s="117">
        <v>2</v>
      </c>
      <c r="BY29" s="258"/>
      <c r="BZ29" s="115"/>
      <c r="CA29" s="115">
        <v>581</v>
      </c>
      <c r="CB29" s="115">
        <v>15</v>
      </c>
      <c r="CC29" s="115"/>
      <c r="CD29" s="115"/>
      <c r="CE29" s="115"/>
      <c r="CF29" s="115"/>
      <c r="CG29" s="115"/>
      <c r="CH29" s="115"/>
      <c r="CI29" s="115"/>
      <c r="CJ29" s="115"/>
      <c r="CK29" s="115"/>
      <c r="CL29" s="115"/>
      <c r="CM29" s="115"/>
      <c r="CN29" s="257">
        <v>596</v>
      </c>
      <c r="CO29" s="117">
        <v>1</v>
      </c>
      <c r="CP29" s="115"/>
      <c r="CQ29" s="117">
        <v>1</v>
      </c>
      <c r="CR29" s="116"/>
      <c r="CS29" s="117">
        <v>31</v>
      </c>
      <c r="CT29" s="115"/>
      <c r="CU29" s="115">
        <v>20548</v>
      </c>
      <c r="CV29" s="115">
        <v>51</v>
      </c>
      <c r="CW29" s="115">
        <v>58929</v>
      </c>
      <c r="CX29" s="115"/>
      <c r="CY29" s="115"/>
      <c r="CZ29" s="115"/>
      <c r="DA29" s="115"/>
      <c r="DB29" s="115"/>
      <c r="DC29" s="115"/>
      <c r="DD29" s="117">
        <v>79559</v>
      </c>
      <c r="DE29" s="258">
        <v>13189</v>
      </c>
      <c r="DF29" s="115"/>
      <c r="DG29" s="115">
        <v>326</v>
      </c>
      <c r="DH29" s="115">
        <v>15</v>
      </c>
      <c r="DI29" s="115">
        <v>47</v>
      </c>
      <c r="DJ29" s="115"/>
      <c r="DK29" s="115"/>
      <c r="DL29" s="257">
        <v>13577</v>
      </c>
      <c r="DM29" s="117"/>
      <c r="DN29" s="116"/>
      <c r="DO29" s="117"/>
      <c r="DP29" s="115"/>
      <c r="DQ29" s="117"/>
      <c r="DR29" s="116">
        <v>1397</v>
      </c>
      <c r="DS29" s="117"/>
      <c r="DT29" s="115"/>
      <c r="DU29" s="117"/>
      <c r="DV29" s="258">
        <v>2</v>
      </c>
      <c r="DW29" s="115"/>
      <c r="DX29" s="257">
        <v>2</v>
      </c>
      <c r="DY29" s="117">
        <v>8</v>
      </c>
      <c r="DZ29" s="116"/>
      <c r="EA29" s="117">
        <v>40</v>
      </c>
      <c r="EB29" s="115"/>
      <c r="EC29" s="117">
        <v>40</v>
      </c>
      <c r="ED29" s="116"/>
      <c r="EE29" s="116"/>
      <c r="EF29" s="117">
        <v>6562</v>
      </c>
      <c r="EG29" s="115">
        <v>17264</v>
      </c>
      <c r="EH29" s="115">
        <v>37</v>
      </c>
      <c r="EI29" s="115">
        <v>4</v>
      </c>
      <c r="EJ29" s="115">
        <v>46</v>
      </c>
      <c r="EK29" s="115">
        <v>2</v>
      </c>
      <c r="EL29" s="117">
        <v>23915</v>
      </c>
      <c r="EM29" s="258">
        <v>64</v>
      </c>
      <c r="EN29" s="115">
        <v>74</v>
      </c>
      <c r="EO29" s="115">
        <v>8</v>
      </c>
      <c r="EP29" s="115">
        <v>55</v>
      </c>
      <c r="EQ29" s="115">
        <v>636</v>
      </c>
      <c r="ER29" s="115">
        <v>20</v>
      </c>
      <c r="ES29" s="115">
        <v>36</v>
      </c>
      <c r="ET29" s="115">
        <v>1</v>
      </c>
      <c r="EU29" s="115">
        <v>1</v>
      </c>
      <c r="EV29" s="115">
        <v>8</v>
      </c>
      <c r="EW29" s="115"/>
      <c r="EX29" s="115">
        <v>6</v>
      </c>
      <c r="EY29" s="115"/>
      <c r="EZ29" s="257">
        <v>909</v>
      </c>
      <c r="FA29" s="117"/>
      <c r="FB29" s="116">
        <v>1</v>
      </c>
      <c r="FC29" s="117">
        <v>447</v>
      </c>
      <c r="FD29" s="115"/>
      <c r="FE29" s="115"/>
      <c r="FF29" s="117">
        <v>447</v>
      </c>
      <c r="FG29" s="116"/>
      <c r="FH29" s="116"/>
      <c r="FI29" s="117"/>
      <c r="FJ29" s="115"/>
      <c r="FK29" s="115"/>
      <c r="FL29" s="115"/>
      <c r="FM29" s="117"/>
      <c r="FN29" s="258">
        <v>2</v>
      </c>
      <c r="FO29" s="115"/>
      <c r="FP29" s="257">
        <v>2</v>
      </c>
      <c r="FQ29" s="117"/>
      <c r="FR29" s="115"/>
      <c r="FS29" s="117"/>
      <c r="FT29" s="116"/>
      <c r="FU29" s="117">
        <v>4</v>
      </c>
      <c r="FV29" s="115"/>
      <c r="FW29" s="117">
        <v>4</v>
      </c>
      <c r="FX29" s="258"/>
      <c r="FY29" s="115"/>
      <c r="FZ29" s="115"/>
      <c r="GA29" s="115"/>
      <c r="GB29" s="257"/>
      <c r="GC29" s="117"/>
      <c r="GD29" s="258">
        <v>2167</v>
      </c>
      <c r="GE29" s="115"/>
      <c r="GF29" s="257">
        <v>2167</v>
      </c>
      <c r="GG29" s="117"/>
      <c r="GH29" s="258"/>
      <c r="GI29" s="115"/>
      <c r="GJ29" s="115"/>
      <c r="GK29" s="257"/>
      <c r="GL29" s="117"/>
      <c r="GM29" s="258"/>
      <c r="GN29" s="115"/>
      <c r="GO29" s="115"/>
      <c r="GP29" s="115"/>
      <c r="GQ29" s="257"/>
      <c r="GR29" s="117">
        <v>200905</v>
      </c>
      <c r="GS29" s="324">
        <f>200905/49209180</f>
        <v>4.0826731922783514E-3</v>
      </c>
      <c r="GT29" s="293"/>
      <c r="GU29" s="293"/>
      <c r="GV29" s="293"/>
      <c r="GW29" s="293"/>
      <c r="GX29" s="293"/>
      <c r="GY29" s="293"/>
      <c r="GZ29" s="293"/>
      <c r="HA29" s="293"/>
      <c r="HB29" s="293"/>
      <c r="HC29" s="293"/>
      <c r="HD29" s="293"/>
      <c r="HE29" s="293"/>
      <c r="HF29" s="293"/>
      <c r="HG29" s="293"/>
      <c r="HH29" s="293"/>
      <c r="HI29" s="293"/>
      <c r="HJ29" s="293"/>
      <c r="HK29" s="293"/>
      <c r="HL29" s="293"/>
      <c r="HM29" s="293"/>
      <c r="HN29" s="293"/>
      <c r="HO29" s="293"/>
      <c r="HP29" s="293"/>
      <c r="HQ29" s="293"/>
      <c r="HR29" s="293"/>
      <c r="HS29" s="293"/>
      <c r="HT29" s="293"/>
      <c r="HU29" s="293"/>
      <c r="HV29" s="293"/>
      <c r="HW29" s="293"/>
      <c r="HX29" s="294"/>
    </row>
    <row r="30" spans="2:232" ht="12.75" x14ac:dyDescent="0.2">
      <c r="B30" s="259" t="s">
        <v>158</v>
      </c>
      <c r="C30" s="258">
        <v>18974</v>
      </c>
      <c r="D30" s="115">
        <v>0</v>
      </c>
      <c r="E30" s="115"/>
      <c r="F30" s="115"/>
      <c r="G30" s="257">
        <v>18974</v>
      </c>
      <c r="H30" s="117"/>
      <c r="I30" s="258">
        <v>6</v>
      </c>
      <c r="J30" s="115"/>
      <c r="K30" s="257">
        <v>6</v>
      </c>
      <c r="L30" s="117"/>
      <c r="M30" s="116">
        <v>1173</v>
      </c>
      <c r="N30" s="117">
        <v>40547</v>
      </c>
      <c r="O30" s="115">
        <v>4</v>
      </c>
      <c r="P30" s="115">
        <v>11</v>
      </c>
      <c r="Q30" s="115">
        <v>47</v>
      </c>
      <c r="R30" s="115">
        <v>32</v>
      </c>
      <c r="S30" s="115">
        <v>2</v>
      </c>
      <c r="T30" s="115">
        <v>29</v>
      </c>
      <c r="U30" s="115"/>
      <c r="V30" s="117">
        <v>40672</v>
      </c>
      <c r="W30" s="258">
        <v>9</v>
      </c>
      <c r="X30" s="115">
        <v>1</v>
      </c>
      <c r="Y30" s="257">
        <v>10</v>
      </c>
      <c r="Z30" s="117">
        <v>352</v>
      </c>
      <c r="AA30" s="115"/>
      <c r="AB30" s="117">
        <v>352</v>
      </c>
      <c r="AC30" s="258">
        <v>203</v>
      </c>
      <c r="AD30" s="115">
        <v>5</v>
      </c>
      <c r="AE30" s="115"/>
      <c r="AF30" s="257">
        <v>208</v>
      </c>
      <c r="AG30" s="117">
        <v>3</v>
      </c>
      <c r="AH30" s="115"/>
      <c r="AI30" s="115">
        <v>14</v>
      </c>
      <c r="AJ30" s="115"/>
      <c r="AK30" s="117">
        <v>17</v>
      </c>
      <c r="AL30" s="258">
        <v>10</v>
      </c>
      <c r="AM30" s="115">
        <v>1</v>
      </c>
      <c r="AN30" s="257">
        <v>11</v>
      </c>
      <c r="AO30" s="117"/>
      <c r="AP30" s="116"/>
      <c r="AQ30" s="117">
        <v>2</v>
      </c>
      <c r="AR30" s="115">
        <v>12</v>
      </c>
      <c r="AS30" s="115"/>
      <c r="AT30" s="117">
        <v>14</v>
      </c>
      <c r="AU30" s="258">
        <v>3</v>
      </c>
      <c r="AV30" s="115">
        <v>0</v>
      </c>
      <c r="AW30" s="115"/>
      <c r="AX30" s="115"/>
      <c r="AY30" s="115">
        <v>2</v>
      </c>
      <c r="AZ30" s="115"/>
      <c r="BA30" s="115"/>
      <c r="BB30" s="115"/>
      <c r="BC30" s="257">
        <v>5</v>
      </c>
      <c r="BD30" s="117">
        <v>0</v>
      </c>
      <c r="BE30" s="116">
        <v>44</v>
      </c>
      <c r="BF30" s="117">
        <v>88</v>
      </c>
      <c r="BG30" s="115">
        <v>36</v>
      </c>
      <c r="BH30" s="115">
        <v>601</v>
      </c>
      <c r="BI30" s="115">
        <v>17</v>
      </c>
      <c r="BJ30" s="115">
        <v>10</v>
      </c>
      <c r="BK30" s="115"/>
      <c r="BL30" s="117">
        <v>752</v>
      </c>
      <c r="BM30" s="116">
        <v>0</v>
      </c>
      <c r="BN30" s="116"/>
      <c r="BO30" s="116">
        <v>2</v>
      </c>
      <c r="BP30" s="116"/>
      <c r="BQ30" s="117">
        <v>24</v>
      </c>
      <c r="BR30" s="115"/>
      <c r="BS30" s="117">
        <v>24</v>
      </c>
      <c r="BT30" s="116">
        <v>0</v>
      </c>
      <c r="BU30" s="117">
        <v>3</v>
      </c>
      <c r="BV30" s="115">
        <v>1</v>
      </c>
      <c r="BW30" s="115"/>
      <c r="BX30" s="117">
        <v>4</v>
      </c>
      <c r="BY30" s="258"/>
      <c r="BZ30" s="115"/>
      <c r="CA30" s="115"/>
      <c r="CB30" s="115"/>
      <c r="CC30" s="115">
        <v>5</v>
      </c>
      <c r="CD30" s="115"/>
      <c r="CE30" s="115">
        <v>1</v>
      </c>
      <c r="CF30" s="115"/>
      <c r="CG30" s="115">
        <v>3</v>
      </c>
      <c r="CH30" s="115">
        <v>7</v>
      </c>
      <c r="CI30" s="115">
        <v>3</v>
      </c>
      <c r="CJ30" s="115"/>
      <c r="CK30" s="115">
        <v>1</v>
      </c>
      <c r="CL30" s="115">
        <v>0</v>
      </c>
      <c r="CM30" s="115"/>
      <c r="CN30" s="257">
        <v>20</v>
      </c>
      <c r="CO30" s="117"/>
      <c r="CP30" s="115"/>
      <c r="CQ30" s="117"/>
      <c r="CR30" s="116"/>
      <c r="CS30" s="117">
        <v>102</v>
      </c>
      <c r="CT30" s="115"/>
      <c r="CU30" s="115">
        <v>113690</v>
      </c>
      <c r="CV30" s="115">
        <v>155</v>
      </c>
      <c r="CW30" s="115">
        <v>50042</v>
      </c>
      <c r="CX30" s="115">
        <v>41</v>
      </c>
      <c r="CY30" s="115">
        <v>66</v>
      </c>
      <c r="CZ30" s="115">
        <v>1</v>
      </c>
      <c r="DA30" s="115">
        <v>1</v>
      </c>
      <c r="DB30" s="115"/>
      <c r="DC30" s="115"/>
      <c r="DD30" s="117">
        <v>164098</v>
      </c>
      <c r="DE30" s="258">
        <v>2295</v>
      </c>
      <c r="DF30" s="115">
        <v>2</v>
      </c>
      <c r="DG30" s="115">
        <v>27</v>
      </c>
      <c r="DH30" s="115">
        <v>5</v>
      </c>
      <c r="DI30" s="115">
        <v>20</v>
      </c>
      <c r="DJ30" s="115"/>
      <c r="DK30" s="115"/>
      <c r="DL30" s="257">
        <v>2349</v>
      </c>
      <c r="DM30" s="117"/>
      <c r="DN30" s="116"/>
      <c r="DO30" s="117"/>
      <c r="DP30" s="115"/>
      <c r="DQ30" s="117"/>
      <c r="DR30" s="116">
        <v>8</v>
      </c>
      <c r="DS30" s="117"/>
      <c r="DT30" s="115"/>
      <c r="DU30" s="117"/>
      <c r="DV30" s="258">
        <v>29</v>
      </c>
      <c r="DW30" s="115"/>
      <c r="DX30" s="257">
        <v>29</v>
      </c>
      <c r="DY30" s="117"/>
      <c r="DZ30" s="116">
        <v>1</v>
      </c>
      <c r="EA30" s="117">
        <v>128</v>
      </c>
      <c r="EB30" s="115"/>
      <c r="EC30" s="117">
        <v>128</v>
      </c>
      <c r="ED30" s="116"/>
      <c r="EE30" s="116"/>
      <c r="EF30" s="117">
        <v>74</v>
      </c>
      <c r="EG30" s="115">
        <v>1716</v>
      </c>
      <c r="EH30" s="115">
        <v>12</v>
      </c>
      <c r="EI30" s="115"/>
      <c r="EJ30" s="115"/>
      <c r="EK30" s="115">
        <v>15</v>
      </c>
      <c r="EL30" s="117">
        <v>1817</v>
      </c>
      <c r="EM30" s="258">
        <v>133</v>
      </c>
      <c r="EN30" s="115">
        <v>17507</v>
      </c>
      <c r="EO30" s="115">
        <v>114</v>
      </c>
      <c r="EP30" s="115">
        <v>171</v>
      </c>
      <c r="EQ30" s="115">
        <v>7214</v>
      </c>
      <c r="ER30" s="115">
        <v>19</v>
      </c>
      <c r="ES30" s="115">
        <v>254</v>
      </c>
      <c r="ET30" s="115">
        <v>78</v>
      </c>
      <c r="EU30" s="115">
        <v>26</v>
      </c>
      <c r="EV30" s="115">
        <v>98</v>
      </c>
      <c r="EW30" s="115">
        <v>1</v>
      </c>
      <c r="EX30" s="115">
        <v>50</v>
      </c>
      <c r="EY30" s="115"/>
      <c r="EZ30" s="257">
        <v>25665</v>
      </c>
      <c r="FA30" s="117"/>
      <c r="FB30" s="116">
        <v>11</v>
      </c>
      <c r="FC30" s="117">
        <v>1</v>
      </c>
      <c r="FD30" s="115"/>
      <c r="FE30" s="115"/>
      <c r="FF30" s="117">
        <v>1</v>
      </c>
      <c r="FG30" s="116"/>
      <c r="FH30" s="116"/>
      <c r="FI30" s="117">
        <v>4</v>
      </c>
      <c r="FJ30" s="115">
        <v>13</v>
      </c>
      <c r="FK30" s="115">
        <v>14</v>
      </c>
      <c r="FL30" s="115">
        <v>24</v>
      </c>
      <c r="FM30" s="117">
        <v>55</v>
      </c>
      <c r="FN30" s="258"/>
      <c r="FO30" s="115"/>
      <c r="FP30" s="257"/>
      <c r="FQ30" s="117"/>
      <c r="FR30" s="115"/>
      <c r="FS30" s="117"/>
      <c r="FT30" s="116"/>
      <c r="FU30" s="117">
        <v>652</v>
      </c>
      <c r="FV30" s="115"/>
      <c r="FW30" s="117">
        <v>652</v>
      </c>
      <c r="FX30" s="258">
        <v>2</v>
      </c>
      <c r="FY30" s="115">
        <v>18</v>
      </c>
      <c r="FZ30" s="115"/>
      <c r="GA30" s="115"/>
      <c r="GB30" s="257">
        <v>20</v>
      </c>
      <c r="GC30" s="117"/>
      <c r="GD30" s="258">
        <v>552</v>
      </c>
      <c r="GE30" s="115">
        <v>6</v>
      </c>
      <c r="GF30" s="257">
        <v>558</v>
      </c>
      <c r="GG30" s="117"/>
      <c r="GH30" s="258">
        <v>2</v>
      </c>
      <c r="GI30" s="115"/>
      <c r="GJ30" s="115"/>
      <c r="GK30" s="257">
        <v>2</v>
      </c>
      <c r="GL30" s="117">
        <v>42</v>
      </c>
      <c r="GM30" s="258"/>
      <c r="GN30" s="115">
        <v>8</v>
      </c>
      <c r="GO30" s="115">
        <v>47</v>
      </c>
      <c r="GP30" s="115">
        <v>2</v>
      </c>
      <c r="GQ30" s="257">
        <v>57</v>
      </c>
      <c r="GR30" s="117">
        <v>257781</v>
      </c>
      <c r="GS30" s="324">
        <f>257781/49209180</f>
        <v>5.2384737969622744E-3</v>
      </c>
      <c r="GT30" s="293"/>
      <c r="GU30" s="293"/>
      <c r="GV30" s="293"/>
      <c r="GW30" s="293"/>
      <c r="GX30" s="293"/>
      <c r="GY30" s="293"/>
      <c r="GZ30" s="293"/>
      <c r="HA30" s="293"/>
      <c r="HB30" s="293"/>
      <c r="HC30" s="293"/>
      <c r="HD30" s="293"/>
      <c r="HE30" s="293"/>
      <c r="HF30" s="293"/>
      <c r="HG30" s="293"/>
      <c r="HH30" s="293"/>
      <c r="HI30" s="293"/>
      <c r="HJ30" s="293"/>
      <c r="HK30" s="293"/>
      <c r="HL30" s="293"/>
      <c r="HM30" s="293"/>
      <c r="HN30" s="293"/>
      <c r="HO30" s="293"/>
      <c r="HP30" s="293"/>
      <c r="HQ30" s="293"/>
      <c r="HR30" s="293"/>
      <c r="HS30" s="293"/>
      <c r="HT30" s="293"/>
      <c r="HU30" s="293"/>
      <c r="HV30" s="293"/>
      <c r="HW30" s="293"/>
      <c r="HX30" s="294"/>
    </row>
    <row r="31" spans="2:232" ht="12.75" x14ac:dyDescent="0.2">
      <c r="B31" s="259" t="s">
        <v>230</v>
      </c>
      <c r="C31" s="258">
        <v>89</v>
      </c>
      <c r="D31" s="115"/>
      <c r="E31" s="115"/>
      <c r="F31" s="115"/>
      <c r="G31" s="257">
        <v>89</v>
      </c>
      <c r="H31" s="117"/>
      <c r="I31" s="258">
        <v>1</v>
      </c>
      <c r="J31" s="115"/>
      <c r="K31" s="257">
        <v>1</v>
      </c>
      <c r="L31" s="117"/>
      <c r="M31" s="116">
        <v>3560</v>
      </c>
      <c r="N31" s="117">
        <v>14281</v>
      </c>
      <c r="O31" s="115"/>
      <c r="P31" s="115"/>
      <c r="Q31" s="115">
        <v>7</v>
      </c>
      <c r="R31" s="115"/>
      <c r="S31" s="115"/>
      <c r="T31" s="115"/>
      <c r="U31" s="115"/>
      <c r="V31" s="117">
        <v>14288</v>
      </c>
      <c r="W31" s="258"/>
      <c r="X31" s="115">
        <v>3</v>
      </c>
      <c r="Y31" s="257">
        <v>3</v>
      </c>
      <c r="Z31" s="117">
        <v>11306</v>
      </c>
      <c r="AA31" s="115"/>
      <c r="AB31" s="117">
        <v>11306</v>
      </c>
      <c r="AC31" s="258">
        <v>983</v>
      </c>
      <c r="AD31" s="115">
        <v>1</v>
      </c>
      <c r="AE31" s="115"/>
      <c r="AF31" s="257">
        <v>984</v>
      </c>
      <c r="AG31" s="117"/>
      <c r="AH31" s="115"/>
      <c r="AI31" s="115"/>
      <c r="AJ31" s="115"/>
      <c r="AK31" s="117"/>
      <c r="AL31" s="258"/>
      <c r="AM31" s="115"/>
      <c r="AN31" s="257"/>
      <c r="AO31" s="117"/>
      <c r="AP31" s="116"/>
      <c r="AQ31" s="117">
        <v>15</v>
      </c>
      <c r="AR31" s="115"/>
      <c r="AS31" s="115"/>
      <c r="AT31" s="117">
        <v>15</v>
      </c>
      <c r="AU31" s="258">
        <v>3</v>
      </c>
      <c r="AV31" s="115"/>
      <c r="AW31" s="115"/>
      <c r="AX31" s="115"/>
      <c r="AY31" s="115"/>
      <c r="AZ31" s="115"/>
      <c r="BA31" s="115"/>
      <c r="BB31" s="115"/>
      <c r="BC31" s="257">
        <v>3</v>
      </c>
      <c r="BD31" s="117"/>
      <c r="BE31" s="116">
        <v>2</v>
      </c>
      <c r="BF31" s="117">
        <v>16</v>
      </c>
      <c r="BG31" s="115">
        <v>21</v>
      </c>
      <c r="BH31" s="115">
        <v>309</v>
      </c>
      <c r="BI31" s="115">
        <v>4</v>
      </c>
      <c r="BJ31" s="115">
        <v>16</v>
      </c>
      <c r="BK31" s="115"/>
      <c r="BL31" s="117">
        <v>366</v>
      </c>
      <c r="BM31" s="116"/>
      <c r="BN31" s="116"/>
      <c r="BO31" s="116"/>
      <c r="BP31" s="116"/>
      <c r="BQ31" s="117">
        <v>110</v>
      </c>
      <c r="BR31" s="115">
        <v>2</v>
      </c>
      <c r="BS31" s="117">
        <v>112</v>
      </c>
      <c r="BT31" s="116"/>
      <c r="BU31" s="117"/>
      <c r="BV31" s="115">
        <v>1</v>
      </c>
      <c r="BW31" s="115"/>
      <c r="BX31" s="117">
        <v>1</v>
      </c>
      <c r="BY31" s="258"/>
      <c r="BZ31" s="115">
        <v>0</v>
      </c>
      <c r="CA31" s="115">
        <v>66</v>
      </c>
      <c r="CB31" s="115"/>
      <c r="CC31" s="115"/>
      <c r="CD31" s="115"/>
      <c r="CE31" s="115"/>
      <c r="CF31" s="115"/>
      <c r="CG31" s="115"/>
      <c r="CH31" s="115"/>
      <c r="CI31" s="115"/>
      <c r="CJ31" s="115">
        <v>1</v>
      </c>
      <c r="CK31" s="115"/>
      <c r="CL31" s="115"/>
      <c r="CM31" s="115"/>
      <c r="CN31" s="257">
        <v>67</v>
      </c>
      <c r="CO31" s="117"/>
      <c r="CP31" s="115"/>
      <c r="CQ31" s="117"/>
      <c r="CR31" s="116">
        <v>2</v>
      </c>
      <c r="CS31" s="117">
        <v>190</v>
      </c>
      <c r="CT31" s="115"/>
      <c r="CU31" s="115">
        <v>388015</v>
      </c>
      <c r="CV31" s="115">
        <v>125</v>
      </c>
      <c r="CW31" s="115">
        <v>216177</v>
      </c>
      <c r="CX31" s="115"/>
      <c r="CY31" s="115">
        <v>2</v>
      </c>
      <c r="CZ31" s="115"/>
      <c r="DA31" s="115"/>
      <c r="DB31" s="115"/>
      <c r="DC31" s="115"/>
      <c r="DD31" s="117">
        <v>604509</v>
      </c>
      <c r="DE31" s="258">
        <v>221</v>
      </c>
      <c r="DF31" s="115"/>
      <c r="DG31" s="115">
        <v>8</v>
      </c>
      <c r="DH31" s="115">
        <v>3</v>
      </c>
      <c r="DI31" s="115"/>
      <c r="DJ31" s="115"/>
      <c r="DK31" s="115"/>
      <c r="DL31" s="257">
        <v>232</v>
      </c>
      <c r="DM31" s="117"/>
      <c r="DN31" s="116"/>
      <c r="DO31" s="117"/>
      <c r="DP31" s="115"/>
      <c r="DQ31" s="117"/>
      <c r="DR31" s="116">
        <v>2</v>
      </c>
      <c r="DS31" s="117"/>
      <c r="DT31" s="115"/>
      <c r="DU31" s="117"/>
      <c r="DV31" s="258"/>
      <c r="DW31" s="115"/>
      <c r="DX31" s="257"/>
      <c r="DY31" s="117">
        <v>0</v>
      </c>
      <c r="DZ31" s="116"/>
      <c r="EA31" s="117">
        <v>29</v>
      </c>
      <c r="EB31" s="115"/>
      <c r="EC31" s="117">
        <v>29</v>
      </c>
      <c r="ED31" s="116">
        <v>2</v>
      </c>
      <c r="EE31" s="116"/>
      <c r="EF31" s="117">
        <v>0</v>
      </c>
      <c r="EG31" s="115">
        <v>2</v>
      </c>
      <c r="EH31" s="115"/>
      <c r="EI31" s="115"/>
      <c r="EJ31" s="115"/>
      <c r="EK31" s="115"/>
      <c r="EL31" s="117">
        <v>2</v>
      </c>
      <c r="EM31" s="258">
        <v>92</v>
      </c>
      <c r="EN31" s="115">
        <v>217</v>
      </c>
      <c r="EO31" s="115">
        <v>20</v>
      </c>
      <c r="EP31" s="115">
        <v>43</v>
      </c>
      <c r="EQ31" s="115">
        <v>14156</v>
      </c>
      <c r="ER31" s="115">
        <v>12</v>
      </c>
      <c r="ES31" s="115">
        <v>68</v>
      </c>
      <c r="ET31" s="115">
        <v>0</v>
      </c>
      <c r="EU31" s="115">
        <v>0</v>
      </c>
      <c r="EV31" s="115"/>
      <c r="EW31" s="115"/>
      <c r="EX31" s="115">
        <v>1</v>
      </c>
      <c r="EY31" s="115"/>
      <c r="EZ31" s="257">
        <v>14609</v>
      </c>
      <c r="FA31" s="117"/>
      <c r="FB31" s="116">
        <v>0</v>
      </c>
      <c r="FC31" s="117">
        <v>0</v>
      </c>
      <c r="FD31" s="115"/>
      <c r="FE31" s="115"/>
      <c r="FF31" s="117">
        <v>0</v>
      </c>
      <c r="FG31" s="116"/>
      <c r="FH31" s="116"/>
      <c r="FI31" s="117"/>
      <c r="FJ31" s="115"/>
      <c r="FK31" s="115"/>
      <c r="FL31" s="115"/>
      <c r="FM31" s="117"/>
      <c r="FN31" s="258">
        <v>0</v>
      </c>
      <c r="FO31" s="115"/>
      <c r="FP31" s="257">
        <v>0</v>
      </c>
      <c r="FQ31" s="117"/>
      <c r="FR31" s="115"/>
      <c r="FS31" s="117"/>
      <c r="FT31" s="116"/>
      <c r="FU31" s="117">
        <v>90</v>
      </c>
      <c r="FV31" s="115"/>
      <c r="FW31" s="117">
        <v>90</v>
      </c>
      <c r="FX31" s="258">
        <v>2</v>
      </c>
      <c r="FY31" s="115"/>
      <c r="FZ31" s="115"/>
      <c r="GA31" s="115"/>
      <c r="GB31" s="257">
        <v>2</v>
      </c>
      <c r="GC31" s="117"/>
      <c r="GD31" s="258">
        <v>170407</v>
      </c>
      <c r="GE31" s="115"/>
      <c r="GF31" s="257">
        <v>170407</v>
      </c>
      <c r="GG31" s="117"/>
      <c r="GH31" s="258"/>
      <c r="GI31" s="115"/>
      <c r="GJ31" s="115"/>
      <c r="GK31" s="257"/>
      <c r="GL31" s="117"/>
      <c r="GM31" s="258"/>
      <c r="GN31" s="115"/>
      <c r="GO31" s="115"/>
      <c r="GP31" s="115"/>
      <c r="GQ31" s="257"/>
      <c r="GR31" s="117">
        <v>820683</v>
      </c>
      <c r="GS31" s="324">
        <f>820683/49209180</f>
        <v>1.6677437014800896E-2</v>
      </c>
      <c r="GT31" s="293"/>
      <c r="GU31" s="293"/>
      <c r="GV31" s="293"/>
      <c r="GW31" s="293"/>
      <c r="GX31" s="293"/>
      <c r="GY31" s="293"/>
      <c r="GZ31" s="293"/>
      <c r="HA31" s="293"/>
      <c r="HB31" s="293"/>
      <c r="HC31" s="293"/>
      <c r="HD31" s="293"/>
      <c r="HE31" s="293"/>
      <c r="HF31" s="293"/>
      <c r="HG31" s="293"/>
      <c r="HH31" s="293"/>
      <c r="HI31" s="293"/>
      <c r="HJ31" s="293"/>
      <c r="HK31" s="293"/>
      <c r="HL31" s="293"/>
      <c r="HM31" s="293"/>
      <c r="HN31" s="293"/>
      <c r="HO31" s="293"/>
      <c r="HP31" s="293"/>
      <c r="HQ31" s="293"/>
      <c r="HR31" s="293"/>
      <c r="HS31" s="293"/>
      <c r="HT31" s="293"/>
      <c r="HU31" s="293"/>
      <c r="HV31" s="293"/>
      <c r="HW31" s="293"/>
      <c r="HX31" s="294"/>
    </row>
    <row r="32" spans="2:232" ht="12.75" x14ac:dyDescent="0.2">
      <c r="B32" s="259" t="s">
        <v>250</v>
      </c>
      <c r="C32" s="258">
        <v>383</v>
      </c>
      <c r="D32" s="115"/>
      <c r="E32" s="115"/>
      <c r="F32" s="115"/>
      <c r="G32" s="257">
        <v>383</v>
      </c>
      <c r="H32" s="117"/>
      <c r="I32" s="258">
        <v>2</v>
      </c>
      <c r="J32" s="115"/>
      <c r="K32" s="257">
        <v>2</v>
      </c>
      <c r="L32" s="117"/>
      <c r="M32" s="116">
        <v>27578</v>
      </c>
      <c r="N32" s="117">
        <v>67559</v>
      </c>
      <c r="O32" s="115">
        <v>17</v>
      </c>
      <c r="P32" s="115"/>
      <c r="Q32" s="115">
        <v>3</v>
      </c>
      <c r="R32" s="115"/>
      <c r="S32" s="115">
        <v>26</v>
      </c>
      <c r="T32" s="115">
        <v>0</v>
      </c>
      <c r="U32" s="115"/>
      <c r="V32" s="117">
        <v>67605</v>
      </c>
      <c r="W32" s="258">
        <v>3</v>
      </c>
      <c r="X32" s="115">
        <v>9</v>
      </c>
      <c r="Y32" s="257">
        <v>12</v>
      </c>
      <c r="Z32" s="117">
        <v>8223</v>
      </c>
      <c r="AA32" s="115"/>
      <c r="AB32" s="117">
        <v>8223</v>
      </c>
      <c r="AC32" s="258">
        <v>91</v>
      </c>
      <c r="AD32" s="115"/>
      <c r="AE32" s="115"/>
      <c r="AF32" s="257">
        <v>91</v>
      </c>
      <c r="AG32" s="117">
        <v>3</v>
      </c>
      <c r="AH32" s="115"/>
      <c r="AI32" s="115">
        <v>6</v>
      </c>
      <c r="AJ32" s="115"/>
      <c r="AK32" s="117">
        <v>9</v>
      </c>
      <c r="AL32" s="258">
        <v>2</v>
      </c>
      <c r="AM32" s="115"/>
      <c r="AN32" s="257">
        <v>2</v>
      </c>
      <c r="AO32" s="117"/>
      <c r="AP32" s="116"/>
      <c r="AQ32" s="117">
        <v>1</v>
      </c>
      <c r="AR32" s="115">
        <v>1</v>
      </c>
      <c r="AS32" s="115"/>
      <c r="AT32" s="117">
        <v>2</v>
      </c>
      <c r="AU32" s="258">
        <v>1</v>
      </c>
      <c r="AV32" s="115"/>
      <c r="AW32" s="115"/>
      <c r="AX32" s="115"/>
      <c r="AY32" s="115"/>
      <c r="AZ32" s="115"/>
      <c r="BA32" s="115"/>
      <c r="BB32" s="115"/>
      <c r="BC32" s="257">
        <v>1</v>
      </c>
      <c r="BD32" s="117"/>
      <c r="BE32" s="116">
        <v>0</v>
      </c>
      <c r="BF32" s="117">
        <v>93</v>
      </c>
      <c r="BG32" s="115">
        <v>40</v>
      </c>
      <c r="BH32" s="115">
        <v>270</v>
      </c>
      <c r="BI32" s="115">
        <v>12</v>
      </c>
      <c r="BJ32" s="115">
        <v>8</v>
      </c>
      <c r="BK32" s="115"/>
      <c r="BL32" s="117">
        <v>423</v>
      </c>
      <c r="BM32" s="116">
        <v>1</v>
      </c>
      <c r="BN32" s="116"/>
      <c r="BO32" s="116"/>
      <c r="BP32" s="116"/>
      <c r="BQ32" s="117">
        <v>66</v>
      </c>
      <c r="BR32" s="115"/>
      <c r="BS32" s="117">
        <v>66</v>
      </c>
      <c r="BT32" s="116"/>
      <c r="BU32" s="117"/>
      <c r="BV32" s="115">
        <v>3</v>
      </c>
      <c r="BW32" s="115"/>
      <c r="BX32" s="117">
        <v>3</v>
      </c>
      <c r="BY32" s="258"/>
      <c r="BZ32" s="115">
        <v>1</v>
      </c>
      <c r="CA32" s="115">
        <v>13</v>
      </c>
      <c r="CB32" s="115">
        <v>0</v>
      </c>
      <c r="CC32" s="115">
        <v>4</v>
      </c>
      <c r="CD32" s="115"/>
      <c r="CE32" s="115"/>
      <c r="CF32" s="115"/>
      <c r="CG32" s="115"/>
      <c r="CH32" s="115">
        <v>2</v>
      </c>
      <c r="CI32" s="115"/>
      <c r="CJ32" s="115"/>
      <c r="CK32" s="115"/>
      <c r="CL32" s="115"/>
      <c r="CM32" s="115"/>
      <c r="CN32" s="257">
        <v>20</v>
      </c>
      <c r="CO32" s="117">
        <v>2</v>
      </c>
      <c r="CP32" s="115"/>
      <c r="CQ32" s="117">
        <v>2</v>
      </c>
      <c r="CR32" s="116">
        <v>0</v>
      </c>
      <c r="CS32" s="117">
        <v>59</v>
      </c>
      <c r="CT32" s="115">
        <v>16</v>
      </c>
      <c r="CU32" s="115">
        <v>191349</v>
      </c>
      <c r="CV32" s="115">
        <v>29</v>
      </c>
      <c r="CW32" s="115">
        <v>46479</v>
      </c>
      <c r="CX32" s="115">
        <v>106</v>
      </c>
      <c r="CY32" s="115">
        <v>41</v>
      </c>
      <c r="CZ32" s="115">
        <v>3</v>
      </c>
      <c r="DA32" s="115"/>
      <c r="DB32" s="115"/>
      <c r="DC32" s="115">
        <v>0</v>
      </c>
      <c r="DD32" s="117">
        <v>238082</v>
      </c>
      <c r="DE32" s="258">
        <v>1921</v>
      </c>
      <c r="DF32" s="115">
        <v>9</v>
      </c>
      <c r="DG32" s="115">
        <v>16</v>
      </c>
      <c r="DH32" s="115">
        <v>1</v>
      </c>
      <c r="DI32" s="115"/>
      <c r="DJ32" s="115"/>
      <c r="DK32" s="115"/>
      <c r="DL32" s="257">
        <v>1947</v>
      </c>
      <c r="DM32" s="117">
        <v>9</v>
      </c>
      <c r="DN32" s="116"/>
      <c r="DO32" s="117"/>
      <c r="DP32" s="115"/>
      <c r="DQ32" s="117"/>
      <c r="DR32" s="116">
        <v>9</v>
      </c>
      <c r="DS32" s="117"/>
      <c r="DT32" s="115"/>
      <c r="DU32" s="117"/>
      <c r="DV32" s="258">
        <v>2</v>
      </c>
      <c r="DW32" s="115"/>
      <c r="DX32" s="257">
        <v>2</v>
      </c>
      <c r="DY32" s="117">
        <v>3</v>
      </c>
      <c r="DZ32" s="116"/>
      <c r="EA32" s="117">
        <v>63</v>
      </c>
      <c r="EB32" s="115"/>
      <c r="EC32" s="117">
        <v>63</v>
      </c>
      <c r="ED32" s="116"/>
      <c r="EE32" s="116"/>
      <c r="EF32" s="117">
        <v>48</v>
      </c>
      <c r="EG32" s="115">
        <v>88</v>
      </c>
      <c r="EH32" s="115"/>
      <c r="EI32" s="115"/>
      <c r="EJ32" s="115"/>
      <c r="EK32" s="115"/>
      <c r="EL32" s="117">
        <v>136</v>
      </c>
      <c r="EM32" s="258">
        <v>26</v>
      </c>
      <c r="EN32" s="115">
        <v>5045</v>
      </c>
      <c r="EO32" s="115">
        <v>47</v>
      </c>
      <c r="EP32" s="115">
        <v>62</v>
      </c>
      <c r="EQ32" s="115">
        <v>1709</v>
      </c>
      <c r="ER32" s="115">
        <v>5</v>
      </c>
      <c r="ES32" s="115">
        <v>33</v>
      </c>
      <c r="ET32" s="115">
        <v>0</v>
      </c>
      <c r="EU32" s="115"/>
      <c r="EV32" s="115"/>
      <c r="EW32" s="115"/>
      <c r="EX32" s="115">
        <v>4</v>
      </c>
      <c r="EY32" s="115"/>
      <c r="EZ32" s="257">
        <v>6931</v>
      </c>
      <c r="FA32" s="117"/>
      <c r="FB32" s="116"/>
      <c r="FC32" s="117"/>
      <c r="FD32" s="115"/>
      <c r="FE32" s="115"/>
      <c r="FF32" s="117"/>
      <c r="FG32" s="116"/>
      <c r="FH32" s="116"/>
      <c r="FI32" s="117">
        <v>2</v>
      </c>
      <c r="FJ32" s="115">
        <v>10</v>
      </c>
      <c r="FK32" s="115"/>
      <c r="FL32" s="115"/>
      <c r="FM32" s="117">
        <v>12</v>
      </c>
      <c r="FN32" s="258"/>
      <c r="FO32" s="115"/>
      <c r="FP32" s="257"/>
      <c r="FQ32" s="117"/>
      <c r="FR32" s="115"/>
      <c r="FS32" s="117"/>
      <c r="FT32" s="116"/>
      <c r="FU32" s="117">
        <v>92</v>
      </c>
      <c r="FV32" s="115"/>
      <c r="FW32" s="117">
        <v>92</v>
      </c>
      <c r="FX32" s="258">
        <v>7</v>
      </c>
      <c r="FY32" s="115">
        <v>7</v>
      </c>
      <c r="FZ32" s="115"/>
      <c r="GA32" s="115">
        <v>1</v>
      </c>
      <c r="GB32" s="257">
        <v>15</v>
      </c>
      <c r="GC32" s="117"/>
      <c r="GD32" s="258">
        <v>32941</v>
      </c>
      <c r="GE32" s="115"/>
      <c r="GF32" s="257">
        <v>32941</v>
      </c>
      <c r="GG32" s="117"/>
      <c r="GH32" s="258">
        <v>0</v>
      </c>
      <c r="GI32" s="115"/>
      <c r="GJ32" s="115"/>
      <c r="GK32" s="257">
        <v>0</v>
      </c>
      <c r="GL32" s="117">
        <v>11</v>
      </c>
      <c r="GM32" s="258"/>
      <c r="GN32" s="115">
        <v>1</v>
      </c>
      <c r="GO32" s="115">
        <v>3</v>
      </c>
      <c r="GP32" s="115"/>
      <c r="GQ32" s="257">
        <v>4</v>
      </c>
      <c r="GR32" s="117">
        <v>384680</v>
      </c>
      <c r="GS32" s="324">
        <f>384680/49209180</f>
        <v>7.8172406042937518E-3</v>
      </c>
      <c r="GT32" s="293"/>
      <c r="GU32" s="293"/>
      <c r="GV32" s="293"/>
      <c r="GW32" s="293"/>
      <c r="GX32" s="293"/>
      <c r="GY32" s="293"/>
      <c r="GZ32" s="293"/>
      <c r="HA32" s="293"/>
      <c r="HB32" s="293"/>
      <c r="HC32" s="293"/>
      <c r="HD32" s="293"/>
      <c r="HE32" s="293"/>
      <c r="HF32" s="293"/>
      <c r="HG32" s="293"/>
      <c r="HH32" s="293"/>
      <c r="HI32" s="293"/>
      <c r="HJ32" s="293"/>
      <c r="HK32" s="293"/>
      <c r="HL32" s="293"/>
      <c r="HM32" s="293"/>
      <c r="HN32" s="293"/>
      <c r="HO32" s="293"/>
      <c r="HP32" s="293"/>
      <c r="HQ32" s="293"/>
      <c r="HR32" s="293"/>
      <c r="HS32" s="293"/>
      <c r="HT32" s="293"/>
      <c r="HU32" s="293"/>
      <c r="HV32" s="293"/>
      <c r="HW32" s="293"/>
      <c r="HX32" s="294"/>
    </row>
    <row r="33" spans="2:232" ht="12.75" x14ac:dyDescent="0.2">
      <c r="B33" s="259" t="s">
        <v>257</v>
      </c>
      <c r="C33" s="258">
        <v>28</v>
      </c>
      <c r="D33" s="115"/>
      <c r="E33" s="115"/>
      <c r="F33" s="115"/>
      <c r="G33" s="257">
        <v>28</v>
      </c>
      <c r="H33" s="117"/>
      <c r="I33" s="258"/>
      <c r="J33" s="115"/>
      <c r="K33" s="257"/>
      <c r="L33" s="117"/>
      <c r="M33" s="116">
        <v>808</v>
      </c>
      <c r="N33" s="117">
        <v>616</v>
      </c>
      <c r="O33" s="115"/>
      <c r="P33" s="115"/>
      <c r="Q33" s="115"/>
      <c r="R33" s="115"/>
      <c r="S33" s="115"/>
      <c r="T33" s="115"/>
      <c r="U33" s="115"/>
      <c r="V33" s="117">
        <v>616</v>
      </c>
      <c r="W33" s="258"/>
      <c r="X33" s="115"/>
      <c r="Y33" s="257"/>
      <c r="Z33" s="117">
        <v>50</v>
      </c>
      <c r="AA33" s="115"/>
      <c r="AB33" s="117">
        <v>50</v>
      </c>
      <c r="AC33" s="258">
        <v>9</v>
      </c>
      <c r="AD33" s="115"/>
      <c r="AE33" s="115"/>
      <c r="AF33" s="257">
        <v>9</v>
      </c>
      <c r="AG33" s="117"/>
      <c r="AH33" s="115"/>
      <c r="AI33" s="115"/>
      <c r="AJ33" s="115"/>
      <c r="AK33" s="117"/>
      <c r="AL33" s="258"/>
      <c r="AM33" s="115"/>
      <c r="AN33" s="257"/>
      <c r="AO33" s="117"/>
      <c r="AP33" s="116"/>
      <c r="AQ33" s="117"/>
      <c r="AR33" s="115"/>
      <c r="AS33" s="115"/>
      <c r="AT33" s="117"/>
      <c r="AU33" s="258"/>
      <c r="AV33" s="115"/>
      <c r="AW33" s="115"/>
      <c r="AX33" s="115"/>
      <c r="AY33" s="115"/>
      <c r="AZ33" s="115"/>
      <c r="BA33" s="115"/>
      <c r="BB33" s="115"/>
      <c r="BC33" s="257"/>
      <c r="BD33" s="117"/>
      <c r="BE33" s="116"/>
      <c r="BF33" s="117">
        <v>5</v>
      </c>
      <c r="BG33" s="115">
        <v>5</v>
      </c>
      <c r="BH33" s="115">
        <v>44</v>
      </c>
      <c r="BI33" s="115"/>
      <c r="BJ33" s="115">
        <v>1</v>
      </c>
      <c r="BK33" s="115"/>
      <c r="BL33" s="117">
        <v>55</v>
      </c>
      <c r="BM33" s="116">
        <v>1</v>
      </c>
      <c r="BN33" s="116"/>
      <c r="BO33" s="116"/>
      <c r="BP33" s="116"/>
      <c r="BQ33" s="117">
        <v>14</v>
      </c>
      <c r="BR33" s="115"/>
      <c r="BS33" s="117">
        <v>14</v>
      </c>
      <c r="BT33" s="116"/>
      <c r="BU33" s="117"/>
      <c r="BV33" s="115"/>
      <c r="BW33" s="115"/>
      <c r="BX33" s="117"/>
      <c r="BY33" s="258"/>
      <c r="BZ33" s="115"/>
      <c r="CA33" s="115">
        <v>1</v>
      </c>
      <c r="CB33" s="115"/>
      <c r="CC33" s="115"/>
      <c r="CD33" s="115"/>
      <c r="CE33" s="115"/>
      <c r="CF33" s="115"/>
      <c r="CG33" s="115"/>
      <c r="CH33" s="115"/>
      <c r="CI33" s="115"/>
      <c r="CJ33" s="115"/>
      <c r="CK33" s="115"/>
      <c r="CL33" s="115"/>
      <c r="CM33" s="115"/>
      <c r="CN33" s="257">
        <v>1</v>
      </c>
      <c r="CO33" s="117"/>
      <c r="CP33" s="115"/>
      <c r="CQ33" s="117"/>
      <c r="CR33" s="116">
        <v>2</v>
      </c>
      <c r="CS33" s="117">
        <v>12</v>
      </c>
      <c r="CT33" s="115"/>
      <c r="CU33" s="115">
        <v>22400</v>
      </c>
      <c r="CV33" s="115">
        <v>2</v>
      </c>
      <c r="CW33" s="115">
        <v>10029</v>
      </c>
      <c r="CX33" s="115">
        <v>0</v>
      </c>
      <c r="CY33" s="115">
        <v>1</v>
      </c>
      <c r="CZ33" s="115"/>
      <c r="DA33" s="115"/>
      <c r="DB33" s="115"/>
      <c r="DC33" s="115"/>
      <c r="DD33" s="117">
        <v>32444</v>
      </c>
      <c r="DE33" s="258">
        <v>46</v>
      </c>
      <c r="DF33" s="115"/>
      <c r="DG33" s="115"/>
      <c r="DH33" s="115"/>
      <c r="DI33" s="115"/>
      <c r="DJ33" s="115"/>
      <c r="DK33" s="115"/>
      <c r="DL33" s="257">
        <v>46</v>
      </c>
      <c r="DM33" s="117"/>
      <c r="DN33" s="116"/>
      <c r="DO33" s="117"/>
      <c r="DP33" s="115"/>
      <c r="DQ33" s="117"/>
      <c r="DR33" s="116">
        <v>1</v>
      </c>
      <c r="DS33" s="117"/>
      <c r="DT33" s="115"/>
      <c r="DU33" s="117"/>
      <c r="DV33" s="258"/>
      <c r="DW33" s="115"/>
      <c r="DX33" s="257"/>
      <c r="DY33" s="117">
        <v>5</v>
      </c>
      <c r="DZ33" s="116">
        <v>2</v>
      </c>
      <c r="EA33" s="117">
        <v>9</v>
      </c>
      <c r="EB33" s="115"/>
      <c r="EC33" s="117">
        <v>9</v>
      </c>
      <c r="ED33" s="116"/>
      <c r="EE33" s="116"/>
      <c r="EF33" s="117">
        <v>2</v>
      </c>
      <c r="EG33" s="115">
        <v>5</v>
      </c>
      <c r="EH33" s="115"/>
      <c r="EI33" s="115"/>
      <c r="EJ33" s="115"/>
      <c r="EK33" s="115"/>
      <c r="EL33" s="117">
        <v>7</v>
      </c>
      <c r="EM33" s="258">
        <v>1</v>
      </c>
      <c r="EN33" s="115">
        <v>18</v>
      </c>
      <c r="EO33" s="115"/>
      <c r="EP33" s="115"/>
      <c r="EQ33" s="115">
        <v>100</v>
      </c>
      <c r="ER33" s="115"/>
      <c r="ES33" s="115"/>
      <c r="ET33" s="115"/>
      <c r="EU33" s="115"/>
      <c r="EV33" s="115"/>
      <c r="EW33" s="115"/>
      <c r="EX33" s="115"/>
      <c r="EY33" s="115"/>
      <c r="EZ33" s="257">
        <v>119</v>
      </c>
      <c r="FA33" s="117"/>
      <c r="FB33" s="116"/>
      <c r="FC33" s="117"/>
      <c r="FD33" s="115"/>
      <c r="FE33" s="115"/>
      <c r="FF33" s="117"/>
      <c r="FG33" s="116"/>
      <c r="FH33" s="116"/>
      <c r="FI33" s="117">
        <v>2</v>
      </c>
      <c r="FJ33" s="115"/>
      <c r="FK33" s="115"/>
      <c r="FL33" s="115">
        <v>11</v>
      </c>
      <c r="FM33" s="117">
        <v>13</v>
      </c>
      <c r="FN33" s="258"/>
      <c r="FO33" s="115"/>
      <c r="FP33" s="257"/>
      <c r="FQ33" s="117"/>
      <c r="FR33" s="115"/>
      <c r="FS33" s="117"/>
      <c r="FT33" s="116"/>
      <c r="FU33" s="117">
        <v>5</v>
      </c>
      <c r="FV33" s="115"/>
      <c r="FW33" s="117">
        <v>5</v>
      </c>
      <c r="FX33" s="258">
        <v>1</v>
      </c>
      <c r="FY33" s="115"/>
      <c r="FZ33" s="115"/>
      <c r="GA33" s="115"/>
      <c r="GB33" s="257">
        <v>1</v>
      </c>
      <c r="GC33" s="117"/>
      <c r="GD33" s="258">
        <v>1670</v>
      </c>
      <c r="GE33" s="115">
        <v>2</v>
      </c>
      <c r="GF33" s="257">
        <v>1672</v>
      </c>
      <c r="GG33" s="117"/>
      <c r="GH33" s="258"/>
      <c r="GI33" s="115"/>
      <c r="GJ33" s="115"/>
      <c r="GK33" s="257"/>
      <c r="GL33" s="117">
        <v>1</v>
      </c>
      <c r="GM33" s="258">
        <v>2</v>
      </c>
      <c r="GN33" s="115"/>
      <c r="GO33" s="115"/>
      <c r="GP33" s="115"/>
      <c r="GQ33" s="257">
        <v>2</v>
      </c>
      <c r="GR33" s="117">
        <v>35911</v>
      </c>
      <c r="GS33" s="324">
        <f>35911/49209180</f>
        <v>7.2976221103460777E-4</v>
      </c>
      <c r="GT33" s="293"/>
      <c r="GU33" s="293"/>
      <c r="GV33" s="293"/>
      <c r="GW33" s="293"/>
      <c r="GX33" s="293"/>
      <c r="GY33" s="293"/>
      <c r="GZ33" s="293"/>
      <c r="HA33" s="293"/>
      <c r="HB33" s="293"/>
      <c r="HC33" s="293"/>
      <c r="HD33" s="293"/>
      <c r="HE33" s="293"/>
      <c r="HF33" s="293"/>
      <c r="HG33" s="293"/>
      <c r="HH33" s="293"/>
      <c r="HI33" s="293"/>
      <c r="HJ33" s="293"/>
      <c r="HK33" s="293"/>
      <c r="HL33" s="293"/>
      <c r="HM33" s="293"/>
      <c r="HN33" s="293"/>
      <c r="HO33" s="293"/>
      <c r="HP33" s="293"/>
      <c r="HQ33" s="293"/>
      <c r="HR33" s="293"/>
      <c r="HS33" s="293"/>
      <c r="HT33" s="293"/>
      <c r="HU33" s="293"/>
      <c r="HV33" s="293"/>
      <c r="HW33" s="293"/>
      <c r="HX33" s="294"/>
    </row>
    <row r="34" spans="2:232" ht="13.5" thickBot="1" x14ac:dyDescent="0.25">
      <c r="B34" s="325" t="s">
        <v>554</v>
      </c>
      <c r="C34" s="326">
        <v>11162</v>
      </c>
      <c r="D34" s="327">
        <v>2</v>
      </c>
      <c r="E34" s="327"/>
      <c r="F34" s="327">
        <v>6</v>
      </c>
      <c r="G34" s="328">
        <v>11170</v>
      </c>
      <c r="H34" s="329"/>
      <c r="I34" s="326">
        <v>25</v>
      </c>
      <c r="J34" s="327"/>
      <c r="K34" s="328">
        <v>25</v>
      </c>
      <c r="L34" s="329"/>
      <c r="M34" s="330">
        <v>9772</v>
      </c>
      <c r="N34" s="329">
        <v>12590</v>
      </c>
      <c r="O34" s="327">
        <v>4</v>
      </c>
      <c r="P34" s="327">
        <v>158</v>
      </c>
      <c r="Q34" s="327">
        <v>1</v>
      </c>
      <c r="R34" s="327">
        <v>3</v>
      </c>
      <c r="S34" s="327">
        <v>2</v>
      </c>
      <c r="T34" s="327">
        <v>1</v>
      </c>
      <c r="U34" s="327"/>
      <c r="V34" s="329">
        <v>12759</v>
      </c>
      <c r="W34" s="326">
        <v>1</v>
      </c>
      <c r="X34" s="327">
        <v>0</v>
      </c>
      <c r="Y34" s="328">
        <v>1</v>
      </c>
      <c r="Z34" s="329">
        <v>784</v>
      </c>
      <c r="AA34" s="327">
        <v>1</v>
      </c>
      <c r="AB34" s="329">
        <v>785</v>
      </c>
      <c r="AC34" s="326">
        <v>90</v>
      </c>
      <c r="AD34" s="327"/>
      <c r="AE34" s="327"/>
      <c r="AF34" s="328">
        <v>90</v>
      </c>
      <c r="AG34" s="329"/>
      <c r="AH34" s="327"/>
      <c r="AI34" s="327">
        <v>43</v>
      </c>
      <c r="AJ34" s="327"/>
      <c r="AK34" s="329">
        <v>43</v>
      </c>
      <c r="AL34" s="326">
        <v>407</v>
      </c>
      <c r="AM34" s="327"/>
      <c r="AN34" s="328">
        <v>407</v>
      </c>
      <c r="AO34" s="329"/>
      <c r="AP34" s="330"/>
      <c r="AQ34" s="329"/>
      <c r="AR34" s="327">
        <v>244</v>
      </c>
      <c r="AS34" s="327"/>
      <c r="AT34" s="329">
        <v>244</v>
      </c>
      <c r="AU34" s="326">
        <v>9</v>
      </c>
      <c r="AV34" s="327"/>
      <c r="AW34" s="327"/>
      <c r="AX34" s="327"/>
      <c r="AY34" s="327">
        <v>17</v>
      </c>
      <c r="AZ34" s="327"/>
      <c r="BA34" s="327"/>
      <c r="BB34" s="327"/>
      <c r="BC34" s="328">
        <v>26</v>
      </c>
      <c r="BD34" s="329"/>
      <c r="BE34" s="330">
        <v>176</v>
      </c>
      <c r="BF34" s="329">
        <v>497</v>
      </c>
      <c r="BG34" s="327">
        <v>141</v>
      </c>
      <c r="BH34" s="327">
        <v>3605</v>
      </c>
      <c r="BI34" s="327">
        <v>5</v>
      </c>
      <c r="BJ34" s="327">
        <v>22</v>
      </c>
      <c r="BK34" s="327"/>
      <c r="BL34" s="329">
        <v>4270</v>
      </c>
      <c r="BM34" s="330">
        <v>14</v>
      </c>
      <c r="BN34" s="330"/>
      <c r="BO34" s="330"/>
      <c r="BP34" s="330">
        <v>0</v>
      </c>
      <c r="BQ34" s="329">
        <v>11978</v>
      </c>
      <c r="BR34" s="327">
        <v>57769</v>
      </c>
      <c r="BS34" s="329">
        <v>69747</v>
      </c>
      <c r="BT34" s="330">
        <v>1</v>
      </c>
      <c r="BU34" s="329">
        <v>3</v>
      </c>
      <c r="BV34" s="327">
        <v>31</v>
      </c>
      <c r="BW34" s="327">
        <v>0</v>
      </c>
      <c r="BX34" s="329">
        <v>34</v>
      </c>
      <c r="BY34" s="326"/>
      <c r="BZ34" s="327">
        <v>498</v>
      </c>
      <c r="CA34" s="327">
        <v>193</v>
      </c>
      <c r="CB34" s="327">
        <v>8</v>
      </c>
      <c r="CC34" s="327">
        <v>56</v>
      </c>
      <c r="CD34" s="327">
        <v>6</v>
      </c>
      <c r="CE34" s="327"/>
      <c r="CF34" s="327"/>
      <c r="CG34" s="327">
        <v>3</v>
      </c>
      <c r="CH34" s="327">
        <v>35</v>
      </c>
      <c r="CI34" s="327">
        <v>21</v>
      </c>
      <c r="CJ34" s="327">
        <v>58070</v>
      </c>
      <c r="CK34" s="327"/>
      <c r="CL34" s="327">
        <v>0</v>
      </c>
      <c r="CM34" s="327">
        <v>18736</v>
      </c>
      <c r="CN34" s="328">
        <v>77626</v>
      </c>
      <c r="CO34" s="329"/>
      <c r="CP34" s="327"/>
      <c r="CQ34" s="329"/>
      <c r="CR34" s="330"/>
      <c r="CS34" s="329">
        <v>25</v>
      </c>
      <c r="CT34" s="327">
        <v>151</v>
      </c>
      <c r="CU34" s="327">
        <v>133547</v>
      </c>
      <c r="CV34" s="327">
        <v>42</v>
      </c>
      <c r="CW34" s="327">
        <v>83193</v>
      </c>
      <c r="CX34" s="327">
        <v>734</v>
      </c>
      <c r="CY34" s="327">
        <v>447</v>
      </c>
      <c r="CZ34" s="327">
        <v>39</v>
      </c>
      <c r="DA34" s="327"/>
      <c r="DB34" s="327"/>
      <c r="DC34" s="327">
        <v>0</v>
      </c>
      <c r="DD34" s="329">
        <v>218178</v>
      </c>
      <c r="DE34" s="326">
        <v>1323</v>
      </c>
      <c r="DF34" s="327">
        <v>69</v>
      </c>
      <c r="DG34" s="327">
        <v>3</v>
      </c>
      <c r="DH34" s="327">
        <v>82</v>
      </c>
      <c r="DI34" s="327">
        <v>1</v>
      </c>
      <c r="DJ34" s="327"/>
      <c r="DK34" s="327"/>
      <c r="DL34" s="328">
        <v>1478</v>
      </c>
      <c r="DM34" s="329"/>
      <c r="DN34" s="330"/>
      <c r="DO34" s="329"/>
      <c r="DP34" s="327"/>
      <c r="DQ34" s="329"/>
      <c r="DR34" s="330">
        <v>113</v>
      </c>
      <c r="DS34" s="329">
        <v>73680</v>
      </c>
      <c r="DT34" s="327">
        <v>5988</v>
      </c>
      <c r="DU34" s="329">
        <v>79668</v>
      </c>
      <c r="DV34" s="326">
        <v>611</v>
      </c>
      <c r="DW34" s="327"/>
      <c r="DX34" s="328">
        <v>611</v>
      </c>
      <c r="DY34" s="329">
        <v>29</v>
      </c>
      <c r="DZ34" s="330">
        <v>4</v>
      </c>
      <c r="EA34" s="329">
        <v>118</v>
      </c>
      <c r="EB34" s="327"/>
      <c r="EC34" s="329">
        <v>118</v>
      </c>
      <c r="ED34" s="330">
        <v>0</v>
      </c>
      <c r="EE34" s="330">
        <v>0</v>
      </c>
      <c r="EF34" s="329">
        <v>1008</v>
      </c>
      <c r="EG34" s="327">
        <v>593</v>
      </c>
      <c r="EH34" s="327">
        <v>10</v>
      </c>
      <c r="EI34" s="327"/>
      <c r="EJ34" s="327"/>
      <c r="EK34" s="327"/>
      <c r="EL34" s="329">
        <v>1611</v>
      </c>
      <c r="EM34" s="326">
        <v>5</v>
      </c>
      <c r="EN34" s="327">
        <v>868</v>
      </c>
      <c r="EO34" s="327">
        <v>3</v>
      </c>
      <c r="EP34" s="327">
        <v>3</v>
      </c>
      <c r="EQ34" s="327">
        <v>488</v>
      </c>
      <c r="ER34" s="327"/>
      <c r="ES34" s="327">
        <v>34</v>
      </c>
      <c r="ET34" s="327">
        <v>0</v>
      </c>
      <c r="EU34" s="327"/>
      <c r="EV34" s="327"/>
      <c r="EW34" s="327"/>
      <c r="EX34" s="327">
        <v>1</v>
      </c>
      <c r="EY34" s="327"/>
      <c r="EZ34" s="328">
        <v>1402</v>
      </c>
      <c r="FA34" s="329"/>
      <c r="FB34" s="330"/>
      <c r="FC34" s="329">
        <v>1</v>
      </c>
      <c r="FD34" s="327"/>
      <c r="FE34" s="327">
        <v>2</v>
      </c>
      <c r="FF34" s="329">
        <v>3</v>
      </c>
      <c r="FG34" s="330"/>
      <c r="FH34" s="330">
        <v>33</v>
      </c>
      <c r="FI34" s="329">
        <v>31</v>
      </c>
      <c r="FJ34" s="327">
        <v>1302</v>
      </c>
      <c r="FK34" s="327">
        <v>252</v>
      </c>
      <c r="FL34" s="327">
        <v>926</v>
      </c>
      <c r="FM34" s="329">
        <v>2511</v>
      </c>
      <c r="FN34" s="326">
        <v>2</v>
      </c>
      <c r="FO34" s="327">
        <v>8531</v>
      </c>
      <c r="FP34" s="328">
        <v>8533</v>
      </c>
      <c r="FQ34" s="329">
        <v>1</v>
      </c>
      <c r="FR34" s="327"/>
      <c r="FS34" s="329">
        <v>1</v>
      </c>
      <c r="FT34" s="330"/>
      <c r="FU34" s="329">
        <v>2208</v>
      </c>
      <c r="FV34" s="327"/>
      <c r="FW34" s="329">
        <v>2208</v>
      </c>
      <c r="FX34" s="326">
        <v>8</v>
      </c>
      <c r="FY34" s="327">
        <v>252</v>
      </c>
      <c r="FZ34" s="327">
        <v>8</v>
      </c>
      <c r="GA34" s="327">
        <v>55</v>
      </c>
      <c r="GB34" s="328">
        <v>323</v>
      </c>
      <c r="GC34" s="329"/>
      <c r="GD34" s="326">
        <v>49184</v>
      </c>
      <c r="GE34" s="327">
        <v>49</v>
      </c>
      <c r="GF34" s="328">
        <v>49233</v>
      </c>
      <c r="GG34" s="329"/>
      <c r="GH34" s="326">
        <v>9</v>
      </c>
      <c r="GI34" s="327"/>
      <c r="GJ34" s="327"/>
      <c r="GK34" s="328">
        <v>9</v>
      </c>
      <c r="GL34" s="329">
        <v>763</v>
      </c>
      <c r="GM34" s="326">
        <v>5</v>
      </c>
      <c r="GN34" s="327"/>
      <c r="GO34" s="327">
        <v>247</v>
      </c>
      <c r="GP34" s="327">
        <v>12</v>
      </c>
      <c r="GQ34" s="328">
        <v>264</v>
      </c>
      <c r="GR34" s="329">
        <v>554283</v>
      </c>
      <c r="GS34" s="331">
        <f>554283/49209180</f>
        <v>1.126381297148215E-2</v>
      </c>
      <c r="GT34" s="293"/>
      <c r="GU34" s="293"/>
      <c r="GV34" s="293"/>
      <c r="GW34" s="293"/>
      <c r="GX34" s="293"/>
      <c r="GY34" s="293"/>
      <c r="GZ34" s="293"/>
      <c r="HA34" s="293"/>
      <c r="HB34" s="293"/>
      <c r="HC34" s="293"/>
      <c r="HD34" s="293"/>
      <c r="HE34" s="293"/>
      <c r="HF34" s="293"/>
      <c r="HG34" s="293"/>
      <c r="HH34" s="293"/>
      <c r="HI34" s="293"/>
      <c r="HJ34" s="293"/>
      <c r="HK34" s="293"/>
      <c r="HL34" s="293"/>
      <c r="HM34" s="293"/>
      <c r="HN34" s="293"/>
      <c r="HO34" s="293"/>
      <c r="HP34" s="293"/>
      <c r="HQ34" s="293"/>
      <c r="HR34" s="293"/>
      <c r="HS34" s="293"/>
      <c r="HT34" s="293"/>
      <c r="HU34" s="293"/>
      <c r="HV34" s="293"/>
      <c r="HW34" s="293"/>
      <c r="HX34" s="294"/>
    </row>
    <row r="35" spans="2:232" ht="13.5" thickBot="1" x14ac:dyDescent="0.25">
      <c r="B35" s="332" t="s">
        <v>544</v>
      </c>
      <c r="C35" s="333">
        <v>58285</v>
      </c>
      <c r="D35" s="334">
        <v>2</v>
      </c>
      <c r="E35" s="334">
        <v>1</v>
      </c>
      <c r="F35" s="334">
        <v>9</v>
      </c>
      <c r="G35" s="335">
        <v>58297</v>
      </c>
      <c r="H35" s="336"/>
      <c r="I35" s="333">
        <v>202</v>
      </c>
      <c r="J35" s="334"/>
      <c r="K35" s="335">
        <v>202</v>
      </c>
      <c r="L35" s="336">
        <v>1</v>
      </c>
      <c r="M35" s="337">
        <v>133186</v>
      </c>
      <c r="N35" s="336">
        <v>479819</v>
      </c>
      <c r="O35" s="334">
        <v>78</v>
      </c>
      <c r="P35" s="334">
        <v>209</v>
      </c>
      <c r="Q35" s="334">
        <v>400</v>
      </c>
      <c r="R35" s="334">
        <v>91</v>
      </c>
      <c r="S35" s="334">
        <v>8242</v>
      </c>
      <c r="T35" s="334">
        <v>243</v>
      </c>
      <c r="U35" s="334">
        <v>12</v>
      </c>
      <c r="V35" s="336">
        <v>489094</v>
      </c>
      <c r="W35" s="333">
        <v>35</v>
      </c>
      <c r="X35" s="334">
        <v>62</v>
      </c>
      <c r="Y35" s="335">
        <v>97</v>
      </c>
      <c r="Z35" s="336">
        <v>29064</v>
      </c>
      <c r="AA35" s="334">
        <v>1</v>
      </c>
      <c r="AB35" s="336">
        <v>29065</v>
      </c>
      <c r="AC35" s="333">
        <v>29363</v>
      </c>
      <c r="AD35" s="334">
        <v>9</v>
      </c>
      <c r="AE35" s="334"/>
      <c r="AF35" s="335">
        <v>29372</v>
      </c>
      <c r="AG35" s="336">
        <v>189</v>
      </c>
      <c r="AH35" s="334">
        <v>0</v>
      </c>
      <c r="AI35" s="334">
        <v>86</v>
      </c>
      <c r="AJ35" s="334">
        <v>0</v>
      </c>
      <c r="AK35" s="336">
        <v>275</v>
      </c>
      <c r="AL35" s="333">
        <v>419</v>
      </c>
      <c r="AM35" s="334">
        <v>42</v>
      </c>
      <c r="AN35" s="335">
        <v>461</v>
      </c>
      <c r="AO35" s="336"/>
      <c r="AP35" s="337"/>
      <c r="AQ35" s="336">
        <v>238</v>
      </c>
      <c r="AR35" s="334">
        <v>257</v>
      </c>
      <c r="AS35" s="334"/>
      <c r="AT35" s="336">
        <v>495</v>
      </c>
      <c r="AU35" s="333">
        <v>34</v>
      </c>
      <c r="AV35" s="334">
        <v>8</v>
      </c>
      <c r="AW35" s="334">
        <v>2</v>
      </c>
      <c r="AX35" s="334"/>
      <c r="AY35" s="334">
        <v>19</v>
      </c>
      <c r="AZ35" s="334"/>
      <c r="BA35" s="334"/>
      <c r="BB35" s="334"/>
      <c r="BC35" s="335">
        <v>63</v>
      </c>
      <c r="BD35" s="336">
        <v>4</v>
      </c>
      <c r="BE35" s="337">
        <v>1562</v>
      </c>
      <c r="BF35" s="336">
        <v>1252</v>
      </c>
      <c r="BG35" s="334">
        <v>1843</v>
      </c>
      <c r="BH35" s="334">
        <v>12181</v>
      </c>
      <c r="BI35" s="334">
        <v>78</v>
      </c>
      <c r="BJ35" s="334">
        <v>261</v>
      </c>
      <c r="BK35" s="334"/>
      <c r="BL35" s="336">
        <v>15615</v>
      </c>
      <c r="BM35" s="337">
        <v>25</v>
      </c>
      <c r="BN35" s="337"/>
      <c r="BO35" s="337">
        <v>4</v>
      </c>
      <c r="BP35" s="337">
        <v>14</v>
      </c>
      <c r="BQ35" s="336">
        <v>17714</v>
      </c>
      <c r="BR35" s="334">
        <v>57772</v>
      </c>
      <c r="BS35" s="336">
        <v>75486</v>
      </c>
      <c r="BT35" s="337">
        <v>1</v>
      </c>
      <c r="BU35" s="336">
        <v>601</v>
      </c>
      <c r="BV35" s="334">
        <v>42298</v>
      </c>
      <c r="BW35" s="334">
        <v>16314</v>
      </c>
      <c r="BX35" s="336">
        <v>59213</v>
      </c>
      <c r="BY35" s="333"/>
      <c r="BZ35" s="334">
        <v>499</v>
      </c>
      <c r="CA35" s="334">
        <v>859</v>
      </c>
      <c r="CB35" s="334">
        <v>23</v>
      </c>
      <c r="CC35" s="334">
        <v>66</v>
      </c>
      <c r="CD35" s="334">
        <v>6</v>
      </c>
      <c r="CE35" s="334">
        <v>1</v>
      </c>
      <c r="CF35" s="334"/>
      <c r="CG35" s="334">
        <v>6</v>
      </c>
      <c r="CH35" s="334">
        <v>44</v>
      </c>
      <c r="CI35" s="334">
        <v>37</v>
      </c>
      <c r="CJ35" s="334">
        <v>58071</v>
      </c>
      <c r="CK35" s="334">
        <v>1</v>
      </c>
      <c r="CL35" s="334">
        <v>0</v>
      </c>
      <c r="CM35" s="334">
        <v>18736</v>
      </c>
      <c r="CN35" s="335">
        <v>78349</v>
      </c>
      <c r="CO35" s="336">
        <v>6</v>
      </c>
      <c r="CP35" s="334"/>
      <c r="CQ35" s="336">
        <v>6</v>
      </c>
      <c r="CR35" s="337">
        <v>64</v>
      </c>
      <c r="CS35" s="336">
        <v>1144</v>
      </c>
      <c r="CT35" s="334">
        <v>168</v>
      </c>
      <c r="CU35" s="334">
        <v>1551017</v>
      </c>
      <c r="CV35" s="334">
        <v>1479</v>
      </c>
      <c r="CW35" s="334">
        <v>1039018</v>
      </c>
      <c r="CX35" s="334">
        <v>893</v>
      </c>
      <c r="CY35" s="334">
        <v>565</v>
      </c>
      <c r="CZ35" s="334">
        <v>47</v>
      </c>
      <c r="DA35" s="334">
        <v>9</v>
      </c>
      <c r="DB35" s="334"/>
      <c r="DC35" s="334">
        <v>0</v>
      </c>
      <c r="DD35" s="336">
        <v>2594340</v>
      </c>
      <c r="DE35" s="333">
        <v>33141</v>
      </c>
      <c r="DF35" s="334">
        <v>89</v>
      </c>
      <c r="DG35" s="334">
        <v>578</v>
      </c>
      <c r="DH35" s="334">
        <v>168</v>
      </c>
      <c r="DI35" s="334">
        <v>71</v>
      </c>
      <c r="DJ35" s="334">
        <v>1</v>
      </c>
      <c r="DK35" s="334"/>
      <c r="DL35" s="335">
        <v>34048</v>
      </c>
      <c r="DM35" s="336">
        <v>27</v>
      </c>
      <c r="DN35" s="337"/>
      <c r="DO35" s="336"/>
      <c r="DP35" s="334"/>
      <c r="DQ35" s="336"/>
      <c r="DR35" s="337">
        <v>1566</v>
      </c>
      <c r="DS35" s="336">
        <v>73774</v>
      </c>
      <c r="DT35" s="334">
        <v>5988</v>
      </c>
      <c r="DU35" s="336">
        <v>79762</v>
      </c>
      <c r="DV35" s="333">
        <v>648</v>
      </c>
      <c r="DW35" s="334"/>
      <c r="DX35" s="335">
        <v>648</v>
      </c>
      <c r="DY35" s="336">
        <v>410</v>
      </c>
      <c r="DZ35" s="337">
        <v>10</v>
      </c>
      <c r="EA35" s="336">
        <v>1133</v>
      </c>
      <c r="EB35" s="334"/>
      <c r="EC35" s="336">
        <v>1133</v>
      </c>
      <c r="ED35" s="337">
        <v>2</v>
      </c>
      <c r="EE35" s="337">
        <v>0</v>
      </c>
      <c r="EF35" s="336">
        <v>7741</v>
      </c>
      <c r="EG35" s="334">
        <v>19966</v>
      </c>
      <c r="EH35" s="334">
        <v>59</v>
      </c>
      <c r="EI35" s="334">
        <v>4</v>
      </c>
      <c r="EJ35" s="334">
        <v>46</v>
      </c>
      <c r="EK35" s="334">
        <v>17</v>
      </c>
      <c r="EL35" s="336">
        <v>27833</v>
      </c>
      <c r="EM35" s="333">
        <v>2601</v>
      </c>
      <c r="EN35" s="334">
        <v>42844</v>
      </c>
      <c r="EO35" s="334">
        <v>407</v>
      </c>
      <c r="EP35" s="334">
        <v>15343</v>
      </c>
      <c r="EQ35" s="334">
        <v>47547</v>
      </c>
      <c r="ER35" s="334">
        <v>217</v>
      </c>
      <c r="ES35" s="334">
        <v>3420</v>
      </c>
      <c r="ET35" s="334">
        <v>302</v>
      </c>
      <c r="EU35" s="334">
        <v>101</v>
      </c>
      <c r="EV35" s="334">
        <v>211</v>
      </c>
      <c r="EW35" s="334">
        <v>1</v>
      </c>
      <c r="EX35" s="334">
        <v>174</v>
      </c>
      <c r="EY35" s="334"/>
      <c r="EZ35" s="335">
        <v>113168</v>
      </c>
      <c r="FA35" s="336"/>
      <c r="FB35" s="337">
        <v>14</v>
      </c>
      <c r="FC35" s="336">
        <v>450</v>
      </c>
      <c r="FD35" s="334"/>
      <c r="FE35" s="334">
        <v>2</v>
      </c>
      <c r="FF35" s="336">
        <v>452</v>
      </c>
      <c r="FG35" s="337"/>
      <c r="FH35" s="337">
        <v>34</v>
      </c>
      <c r="FI35" s="336">
        <v>11179</v>
      </c>
      <c r="FJ35" s="334">
        <v>1325</v>
      </c>
      <c r="FK35" s="334">
        <v>266</v>
      </c>
      <c r="FL35" s="334">
        <v>961</v>
      </c>
      <c r="FM35" s="336">
        <v>13731</v>
      </c>
      <c r="FN35" s="333">
        <v>10</v>
      </c>
      <c r="FO35" s="334">
        <v>8620</v>
      </c>
      <c r="FP35" s="335">
        <v>8630</v>
      </c>
      <c r="FQ35" s="336">
        <v>43</v>
      </c>
      <c r="FR35" s="334"/>
      <c r="FS35" s="336">
        <v>43</v>
      </c>
      <c r="FT35" s="337"/>
      <c r="FU35" s="336">
        <v>470137</v>
      </c>
      <c r="FV35" s="334"/>
      <c r="FW35" s="336">
        <v>470137</v>
      </c>
      <c r="FX35" s="333">
        <v>364</v>
      </c>
      <c r="FY35" s="334">
        <v>278</v>
      </c>
      <c r="FZ35" s="334">
        <v>9</v>
      </c>
      <c r="GA35" s="334">
        <v>57</v>
      </c>
      <c r="GB35" s="335">
        <v>708</v>
      </c>
      <c r="GC35" s="336"/>
      <c r="GD35" s="333">
        <v>371382</v>
      </c>
      <c r="GE35" s="334">
        <v>58</v>
      </c>
      <c r="GF35" s="335">
        <v>371440</v>
      </c>
      <c r="GG35" s="336"/>
      <c r="GH35" s="333">
        <v>248</v>
      </c>
      <c r="GI35" s="334">
        <v>3</v>
      </c>
      <c r="GJ35" s="334"/>
      <c r="GK35" s="335">
        <v>251</v>
      </c>
      <c r="GL35" s="336">
        <v>819</v>
      </c>
      <c r="GM35" s="333">
        <v>7</v>
      </c>
      <c r="GN35" s="334">
        <v>13</v>
      </c>
      <c r="GO35" s="334">
        <v>299</v>
      </c>
      <c r="GP35" s="334">
        <v>14</v>
      </c>
      <c r="GQ35" s="335">
        <v>333</v>
      </c>
      <c r="GR35" s="336">
        <v>4690490</v>
      </c>
      <c r="GS35" s="338">
        <f>4690490/49209180</f>
        <v>9.5317377773821876E-2</v>
      </c>
      <c r="GT35" s="293"/>
      <c r="GU35" s="293"/>
      <c r="GV35" s="293"/>
      <c r="GW35" s="293"/>
      <c r="GX35" s="293"/>
      <c r="GY35" s="293"/>
      <c r="GZ35" s="293"/>
      <c r="HA35" s="293"/>
      <c r="HB35" s="293"/>
      <c r="HC35" s="293"/>
      <c r="HD35" s="293"/>
      <c r="HE35" s="293"/>
      <c r="HF35" s="293"/>
      <c r="HG35" s="293"/>
      <c r="HH35" s="293"/>
      <c r="HI35" s="293"/>
      <c r="HJ35" s="293"/>
      <c r="HK35" s="293"/>
      <c r="HL35" s="293"/>
      <c r="HM35" s="293"/>
      <c r="HN35" s="293"/>
      <c r="HO35" s="293"/>
      <c r="HP35" s="293"/>
      <c r="HQ35" s="293"/>
      <c r="HR35" s="293"/>
      <c r="HS35" s="293"/>
      <c r="HT35" s="293"/>
      <c r="HU35" s="293"/>
      <c r="HV35" s="293"/>
      <c r="HW35" s="293"/>
      <c r="HX35" s="294"/>
    </row>
    <row r="36" spans="2:232" ht="12.75" x14ac:dyDescent="0.2">
      <c r="B36" s="339" t="s">
        <v>38</v>
      </c>
      <c r="C36" s="340">
        <v>52</v>
      </c>
      <c r="D36" s="341">
        <v>6</v>
      </c>
      <c r="E36" s="341"/>
      <c r="F36" s="341">
        <v>3</v>
      </c>
      <c r="G36" s="342">
        <v>61</v>
      </c>
      <c r="H36" s="343"/>
      <c r="I36" s="340"/>
      <c r="J36" s="341"/>
      <c r="K36" s="342"/>
      <c r="L36" s="343"/>
      <c r="M36" s="344">
        <v>493</v>
      </c>
      <c r="N36" s="343">
        <v>1406</v>
      </c>
      <c r="O36" s="341">
        <v>2</v>
      </c>
      <c r="P36" s="341">
        <v>3</v>
      </c>
      <c r="Q36" s="341">
        <v>1</v>
      </c>
      <c r="R36" s="341"/>
      <c r="S36" s="341"/>
      <c r="T36" s="341"/>
      <c r="U36" s="341"/>
      <c r="V36" s="343">
        <v>1412</v>
      </c>
      <c r="W36" s="340"/>
      <c r="X36" s="341"/>
      <c r="Y36" s="342"/>
      <c r="Z36" s="343">
        <v>19</v>
      </c>
      <c r="AA36" s="341"/>
      <c r="AB36" s="343">
        <v>19</v>
      </c>
      <c r="AC36" s="340">
        <v>8</v>
      </c>
      <c r="AD36" s="341"/>
      <c r="AE36" s="341"/>
      <c r="AF36" s="342">
        <v>8</v>
      </c>
      <c r="AG36" s="343"/>
      <c r="AH36" s="341"/>
      <c r="AI36" s="341"/>
      <c r="AJ36" s="341"/>
      <c r="AK36" s="343"/>
      <c r="AL36" s="340"/>
      <c r="AM36" s="341"/>
      <c r="AN36" s="342"/>
      <c r="AO36" s="343"/>
      <c r="AP36" s="344"/>
      <c r="AQ36" s="343"/>
      <c r="AR36" s="341">
        <v>2</v>
      </c>
      <c r="AS36" s="341"/>
      <c r="AT36" s="343">
        <v>2</v>
      </c>
      <c r="AU36" s="340">
        <v>1</v>
      </c>
      <c r="AV36" s="341"/>
      <c r="AW36" s="341">
        <v>1</v>
      </c>
      <c r="AX36" s="341"/>
      <c r="AY36" s="341">
        <v>1</v>
      </c>
      <c r="AZ36" s="341"/>
      <c r="BA36" s="341"/>
      <c r="BB36" s="341"/>
      <c r="BC36" s="342">
        <v>3</v>
      </c>
      <c r="BD36" s="343"/>
      <c r="BE36" s="344">
        <v>1</v>
      </c>
      <c r="BF36" s="343">
        <v>5</v>
      </c>
      <c r="BG36" s="341">
        <v>6</v>
      </c>
      <c r="BH36" s="341">
        <v>32</v>
      </c>
      <c r="BI36" s="341">
        <v>1</v>
      </c>
      <c r="BJ36" s="341">
        <v>0</v>
      </c>
      <c r="BK36" s="341"/>
      <c r="BL36" s="343">
        <v>44</v>
      </c>
      <c r="BM36" s="344"/>
      <c r="BN36" s="344"/>
      <c r="BO36" s="344"/>
      <c r="BP36" s="344"/>
      <c r="BQ36" s="343">
        <v>1</v>
      </c>
      <c r="BR36" s="341"/>
      <c r="BS36" s="343">
        <v>1</v>
      </c>
      <c r="BT36" s="344"/>
      <c r="BU36" s="343"/>
      <c r="BV36" s="341"/>
      <c r="BW36" s="341"/>
      <c r="BX36" s="343"/>
      <c r="BY36" s="340"/>
      <c r="BZ36" s="341"/>
      <c r="CA36" s="341"/>
      <c r="CB36" s="341">
        <v>1</v>
      </c>
      <c r="CC36" s="341">
        <v>19</v>
      </c>
      <c r="CD36" s="341"/>
      <c r="CE36" s="341">
        <v>2</v>
      </c>
      <c r="CF36" s="341"/>
      <c r="CG36" s="341">
        <v>1</v>
      </c>
      <c r="CH36" s="341"/>
      <c r="CI36" s="341">
        <v>1</v>
      </c>
      <c r="CJ36" s="341"/>
      <c r="CK36" s="341">
        <v>6</v>
      </c>
      <c r="CL36" s="341">
        <v>1</v>
      </c>
      <c r="CM36" s="341"/>
      <c r="CN36" s="342">
        <v>31</v>
      </c>
      <c r="CO36" s="343">
        <v>2</v>
      </c>
      <c r="CP36" s="341"/>
      <c r="CQ36" s="343">
        <v>2</v>
      </c>
      <c r="CR36" s="344"/>
      <c r="CS36" s="343">
        <v>1</v>
      </c>
      <c r="CT36" s="341">
        <v>2</v>
      </c>
      <c r="CU36" s="341">
        <v>16993</v>
      </c>
      <c r="CV36" s="341">
        <v>9</v>
      </c>
      <c r="CW36" s="341">
        <v>3509</v>
      </c>
      <c r="CX36" s="341">
        <v>36</v>
      </c>
      <c r="CY36" s="341">
        <v>15</v>
      </c>
      <c r="CZ36" s="341">
        <v>2</v>
      </c>
      <c r="DA36" s="341"/>
      <c r="DB36" s="341"/>
      <c r="DC36" s="341"/>
      <c r="DD36" s="343">
        <v>20567</v>
      </c>
      <c r="DE36" s="340">
        <v>83</v>
      </c>
      <c r="DF36" s="341">
        <v>8</v>
      </c>
      <c r="DG36" s="341"/>
      <c r="DH36" s="341">
        <v>1</v>
      </c>
      <c r="DI36" s="341">
        <v>1</v>
      </c>
      <c r="DJ36" s="341"/>
      <c r="DK36" s="341"/>
      <c r="DL36" s="342">
        <v>93</v>
      </c>
      <c r="DM36" s="343"/>
      <c r="DN36" s="344"/>
      <c r="DO36" s="343"/>
      <c r="DP36" s="341"/>
      <c r="DQ36" s="343"/>
      <c r="DR36" s="344">
        <v>0</v>
      </c>
      <c r="DS36" s="343"/>
      <c r="DT36" s="341"/>
      <c r="DU36" s="343"/>
      <c r="DV36" s="340">
        <v>211</v>
      </c>
      <c r="DW36" s="341"/>
      <c r="DX36" s="342">
        <v>211</v>
      </c>
      <c r="DY36" s="343">
        <v>1</v>
      </c>
      <c r="DZ36" s="344"/>
      <c r="EA36" s="343">
        <v>1</v>
      </c>
      <c r="EB36" s="341"/>
      <c r="EC36" s="343">
        <v>1</v>
      </c>
      <c r="ED36" s="344"/>
      <c r="EE36" s="344"/>
      <c r="EF36" s="343">
        <v>176</v>
      </c>
      <c r="EG36" s="341">
        <v>4</v>
      </c>
      <c r="EH36" s="341">
        <v>4</v>
      </c>
      <c r="EI36" s="341"/>
      <c r="EJ36" s="341"/>
      <c r="EK36" s="341"/>
      <c r="EL36" s="343">
        <v>184</v>
      </c>
      <c r="EM36" s="340">
        <v>0</v>
      </c>
      <c r="EN36" s="341">
        <v>289</v>
      </c>
      <c r="EO36" s="341">
        <v>1</v>
      </c>
      <c r="EP36" s="341">
        <v>7</v>
      </c>
      <c r="EQ36" s="341">
        <v>89</v>
      </c>
      <c r="ER36" s="341"/>
      <c r="ES36" s="341">
        <v>2</v>
      </c>
      <c r="ET36" s="341"/>
      <c r="EU36" s="341"/>
      <c r="EV36" s="341"/>
      <c r="EW36" s="341"/>
      <c r="EX36" s="341">
        <v>1</v>
      </c>
      <c r="EY36" s="341"/>
      <c r="EZ36" s="342">
        <v>389</v>
      </c>
      <c r="FA36" s="343"/>
      <c r="FB36" s="344"/>
      <c r="FC36" s="343"/>
      <c r="FD36" s="341"/>
      <c r="FE36" s="341"/>
      <c r="FF36" s="343"/>
      <c r="FG36" s="344"/>
      <c r="FH36" s="344"/>
      <c r="FI36" s="343"/>
      <c r="FJ36" s="341"/>
      <c r="FK36" s="341"/>
      <c r="FL36" s="341">
        <v>6</v>
      </c>
      <c r="FM36" s="343">
        <v>6</v>
      </c>
      <c r="FN36" s="340"/>
      <c r="FO36" s="341"/>
      <c r="FP36" s="342"/>
      <c r="FQ36" s="343"/>
      <c r="FR36" s="341"/>
      <c r="FS36" s="343"/>
      <c r="FT36" s="344"/>
      <c r="FU36" s="343">
        <v>0</v>
      </c>
      <c r="FV36" s="341"/>
      <c r="FW36" s="343">
        <v>0</v>
      </c>
      <c r="FX36" s="340"/>
      <c r="FY36" s="341">
        <v>1</v>
      </c>
      <c r="FZ36" s="341">
        <v>3</v>
      </c>
      <c r="GA36" s="341"/>
      <c r="GB36" s="342">
        <v>4</v>
      </c>
      <c r="GC36" s="343"/>
      <c r="GD36" s="340">
        <v>81</v>
      </c>
      <c r="GE36" s="341">
        <v>2</v>
      </c>
      <c r="GF36" s="342">
        <v>83</v>
      </c>
      <c r="GG36" s="343"/>
      <c r="GH36" s="340"/>
      <c r="GI36" s="341"/>
      <c r="GJ36" s="341"/>
      <c r="GK36" s="342"/>
      <c r="GL36" s="343">
        <v>19</v>
      </c>
      <c r="GM36" s="340">
        <v>13</v>
      </c>
      <c r="GN36" s="341"/>
      <c r="GO36" s="341">
        <v>3</v>
      </c>
      <c r="GP36" s="341"/>
      <c r="GQ36" s="342">
        <v>16</v>
      </c>
      <c r="GR36" s="343">
        <v>23651</v>
      </c>
      <c r="GS36" s="345">
        <f>23651/49209180</f>
        <v>4.806217051371309E-4</v>
      </c>
      <c r="GT36" s="293"/>
      <c r="GU36" s="293"/>
      <c r="GV36" s="293"/>
      <c r="GW36" s="293"/>
      <c r="GX36" s="293"/>
      <c r="GY36" s="293"/>
      <c r="GZ36" s="293"/>
      <c r="HA36" s="293"/>
      <c r="HB36" s="293"/>
      <c r="HC36" s="293"/>
      <c r="HD36" s="293"/>
      <c r="HE36" s="293"/>
      <c r="HF36" s="293"/>
      <c r="HG36" s="293"/>
      <c r="HH36" s="293"/>
      <c r="HI36" s="293"/>
      <c r="HJ36" s="293"/>
      <c r="HK36" s="293"/>
      <c r="HL36" s="293"/>
      <c r="HM36" s="293"/>
      <c r="HN36" s="293"/>
      <c r="HO36" s="293"/>
      <c r="HP36" s="293"/>
      <c r="HQ36" s="293"/>
      <c r="HR36" s="293"/>
      <c r="HS36" s="293"/>
      <c r="HT36" s="293"/>
      <c r="HU36" s="293"/>
      <c r="HV36" s="293"/>
      <c r="HW36" s="293"/>
      <c r="HX36" s="294"/>
    </row>
    <row r="37" spans="2:232" ht="12.75" x14ac:dyDescent="0.2">
      <c r="B37" s="259" t="s">
        <v>69</v>
      </c>
      <c r="C37" s="258">
        <v>281</v>
      </c>
      <c r="D37" s="115">
        <v>17</v>
      </c>
      <c r="E37" s="115">
        <v>1</v>
      </c>
      <c r="F37" s="115">
        <v>4</v>
      </c>
      <c r="G37" s="257">
        <v>303</v>
      </c>
      <c r="H37" s="117"/>
      <c r="I37" s="258">
        <v>64</v>
      </c>
      <c r="J37" s="115"/>
      <c r="K37" s="257">
        <v>64</v>
      </c>
      <c r="L37" s="117"/>
      <c r="M37" s="116">
        <v>4171</v>
      </c>
      <c r="N37" s="117">
        <v>7682</v>
      </c>
      <c r="O37" s="115">
        <v>20</v>
      </c>
      <c r="P37" s="115">
        <v>129</v>
      </c>
      <c r="Q37" s="115">
        <v>24</v>
      </c>
      <c r="R37" s="115"/>
      <c r="S37" s="115">
        <v>32</v>
      </c>
      <c r="T37" s="115"/>
      <c r="U37" s="115"/>
      <c r="V37" s="117">
        <v>7887</v>
      </c>
      <c r="W37" s="258">
        <v>9</v>
      </c>
      <c r="X37" s="115">
        <v>19</v>
      </c>
      <c r="Y37" s="257">
        <v>28</v>
      </c>
      <c r="Z37" s="117">
        <v>999</v>
      </c>
      <c r="AA37" s="115"/>
      <c r="AB37" s="117">
        <v>999</v>
      </c>
      <c r="AC37" s="258">
        <v>2437</v>
      </c>
      <c r="AD37" s="115">
        <v>1</v>
      </c>
      <c r="AE37" s="115"/>
      <c r="AF37" s="257">
        <v>2438</v>
      </c>
      <c r="AG37" s="117">
        <v>14</v>
      </c>
      <c r="AH37" s="115">
        <v>0</v>
      </c>
      <c r="AI37" s="115">
        <v>44</v>
      </c>
      <c r="AJ37" s="115"/>
      <c r="AK37" s="117">
        <v>58</v>
      </c>
      <c r="AL37" s="258"/>
      <c r="AM37" s="115"/>
      <c r="AN37" s="257"/>
      <c r="AO37" s="117"/>
      <c r="AP37" s="116"/>
      <c r="AQ37" s="117"/>
      <c r="AR37" s="115">
        <v>174</v>
      </c>
      <c r="AS37" s="115"/>
      <c r="AT37" s="117">
        <v>174</v>
      </c>
      <c r="AU37" s="258">
        <v>37</v>
      </c>
      <c r="AV37" s="115"/>
      <c r="AW37" s="115">
        <v>19</v>
      </c>
      <c r="AX37" s="115"/>
      <c r="AY37" s="115">
        <v>11</v>
      </c>
      <c r="AZ37" s="115"/>
      <c r="BA37" s="115"/>
      <c r="BB37" s="115"/>
      <c r="BC37" s="257">
        <v>67</v>
      </c>
      <c r="BD37" s="117"/>
      <c r="BE37" s="116">
        <v>1</v>
      </c>
      <c r="BF37" s="117">
        <v>94</v>
      </c>
      <c r="BG37" s="115">
        <v>500</v>
      </c>
      <c r="BH37" s="115">
        <v>463</v>
      </c>
      <c r="BI37" s="115">
        <v>63</v>
      </c>
      <c r="BJ37" s="115">
        <v>19</v>
      </c>
      <c r="BK37" s="115"/>
      <c r="BL37" s="117">
        <v>1139</v>
      </c>
      <c r="BM37" s="116"/>
      <c r="BN37" s="116"/>
      <c r="BO37" s="116">
        <v>1</v>
      </c>
      <c r="BP37" s="116">
        <v>1</v>
      </c>
      <c r="BQ37" s="117">
        <v>11</v>
      </c>
      <c r="BR37" s="115"/>
      <c r="BS37" s="117">
        <v>11</v>
      </c>
      <c r="BT37" s="116"/>
      <c r="BU37" s="117">
        <v>5</v>
      </c>
      <c r="BV37" s="115">
        <v>0</v>
      </c>
      <c r="BW37" s="115"/>
      <c r="BX37" s="117">
        <v>5</v>
      </c>
      <c r="BY37" s="258"/>
      <c r="BZ37" s="115"/>
      <c r="CA37" s="115">
        <v>0</v>
      </c>
      <c r="CB37" s="115">
        <v>19</v>
      </c>
      <c r="CC37" s="115">
        <v>119</v>
      </c>
      <c r="CD37" s="115">
        <v>119</v>
      </c>
      <c r="CE37" s="115"/>
      <c r="CF37" s="115"/>
      <c r="CG37" s="115">
        <v>35</v>
      </c>
      <c r="CH37" s="115">
        <v>15</v>
      </c>
      <c r="CI37" s="115">
        <v>60</v>
      </c>
      <c r="CJ37" s="115"/>
      <c r="CK37" s="115"/>
      <c r="CL37" s="115">
        <v>5</v>
      </c>
      <c r="CM37" s="115"/>
      <c r="CN37" s="257">
        <v>372</v>
      </c>
      <c r="CO37" s="117">
        <v>5</v>
      </c>
      <c r="CP37" s="115"/>
      <c r="CQ37" s="117">
        <v>5</v>
      </c>
      <c r="CR37" s="116">
        <v>3</v>
      </c>
      <c r="CS37" s="117">
        <v>84</v>
      </c>
      <c r="CT37" s="115">
        <v>54</v>
      </c>
      <c r="CU37" s="115">
        <v>187584</v>
      </c>
      <c r="CV37" s="115">
        <v>1160</v>
      </c>
      <c r="CW37" s="115">
        <v>31999</v>
      </c>
      <c r="CX37" s="115">
        <v>124</v>
      </c>
      <c r="CY37" s="115">
        <v>37</v>
      </c>
      <c r="CZ37" s="115">
        <v>154</v>
      </c>
      <c r="DA37" s="115">
        <v>4</v>
      </c>
      <c r="DB37" s="115"/>
      <c r="DC37" s="115"/>
      <c r="DD37" s="117">
        <v>221200</v>
      </c>
      <c r="DE37" s="258">
        <v>1718</v>
      </c>
      <c r="DF37" s="115">
        <v>53</v>
      </c>
      <c r="DG37" s="115">
        <v>144</v>
      </c>
      <c r="DH37" s="115">
        <v>229</v>
      </c>
      <c r="DI37" s="115">
        <v>34</v>
      </c>
      <c r="DJ37" s="115"/>
      <c r="DK37" s="115"/>
      <c r="DL37" s="257">
        <v>2178</v>
      </c>
      <c r="DM37" s="117"/>
      <c r="DN37" s="116"/>
      <c r="DO37" s="117"/>
      <c r="DP37" s="115"/>
      <c r="DQ37" s="117"/>
      <c r="DR37" s="116">
        <v>67</v>
      </c>
      <c r="DS37" s="117"/>
      <c r="DT37" s="115"/>
      <c r="DU37" s="117"/>
      <c r="DV37" s="258">
        <v>946</v>
      </c>
      <c r="DW37" s="115"/>
      <c r="DX37" s="257">
        <v>946</v>
      </c>
      <c r="DY37" s="117">
        <v>5</v>
      </c>
      <c r="DZ37" s="116">
        <v>0</v>
      </c>
      <c r="EA37" s="117">
        <v>62</v>
      </c>
      <c r="EB37" s="115"/>
      <c r="EC37" s="117">
        <v>62</v>
      </c>
      <c r="ED37" s="116">
        <v>1</v>
      </c>
      <c r="EE37" s="116"/>
      <c r="EF37" s="117">
        <v>349</v>
      </c>
      <c r="EG37" s="115">
        <v>77</v>
      </c>
      <c r="EH37" s="115">
        <v>70</v>
      </c>
      <c r="EI37" s="115"/>
      <c r="EJ37" s="115"/>
      <c r="EK37" s="115"/>
      <c r="EL37" s="117">
        <v>496</v>
      </c>
      <c r="EM37" s="258">
        <v>76</v>
      </c>
      <c r="EN37" s="115">
        <v>3653</v>
      </c>
      <c r="EO37" s="115">
        <v>42</v>
      </c>
      <c r="EP37" s="115">
        <v>130</v>
      </c>
      <c r="EQ37" s="115">
        <v>509</v>
      </c>
      <c r="ER37" s="115">
        <v>3</v>
      </c>
      <c r="ES37" s="115">
        <v>307</v>
      </c>
      <c r="ET37" s="115">
        <v>1</v>
      </c>
      <c r="EU37" s="115"/>
      <c r="EV37" s="115">
        <v>1</v>
      </c>
      <c r="EW37" s="115"/>
      <c r="EX37" s="115">
        <v>8</v>
      </c>
      <c r="EY37" s="115"/>
      <c r="EZ37" s="257">
        <v>4730</v>
      </c>
      <c r="FA37" s="117"/>
      <c r="FB37" s="116">
        <v>14</v>
      </c>
      <c r="FC37" s="117"/>
      <c r="FD37" s="115"/>
      <c r="FE37" s="115"/>
      <c r="FF37" s="117"/>
      <c r="FG37" s="116"/>
      <c r="FH37" s="116">
        <v>12</v>
      </c>
      <c r="FI37" s="117">
        <v>1</v>
      </c>
      <c r="FJ37" s="115"/>
      <c r="FK37" s="115"/>
      <c r="FL37" s="115">
        <v>40</v>
      </c>
      <c r="FM37" s="117">
        <v>41</v>
      </c>
      <c r="FN37" s="258"/>
      <c r="FO37" s="115"/>
      <c r="FP37" s="257"/>
      <c r="FQ37" s="117"/>
      <c r="FR37" s="115"/>
      <c r="FS37" s="117"/>
      <c r="FT37" s="116"/>
      <c r="FU37" s="117">
        <v>100</v>
      </c>
      <c r="FV37" s="115"/>
      <c r="FW37" s="117">
        <v>100</v>
      </c>
      <c r="FX37" s="258"/>
      <c r="FY37" s="115">
        <v>37</v>
      </c>
      <c r="FZ37" s="115">
        <v>11</v>
      </c>
      <c r="GA37" s="115"/>
      <c r="GB37" s="257">
        <v>48</v>
      </c>
      <c r="GC37" s="117"/>
      <c r="GD37" s="258">
        <v>54</v>
      </c>
      <c r="GE37" s="115">
        <v>18</v>
      </c>
      <c r="GF37" s="257">
        <v>72</v>
      </c>
      <c r="GG37" s="117"/>
      <c r="GH37" s="258">
        <v>125</v>
      </c>
      <c r="GI37" s="115"/>
      <c r="GJ37" s="115"/>
      <c r="GK37" s="257">
        <v>125</v>
      </c>
      <c r="GL37" s="117">
        <v>45</v>
      </c>
      <c r="GM37" s="258">
        <v>8</v>
      </c>
      <c r="GN37" s="115"/>
      <c r="GO37" s="115">
        <v>242</v>
      </c>
      <c r="GP37" s="115"/>
      <c r="GQ37" s="257">
        <v>250</v>
      </c>
      <c r="GR37" s="117">
        <v>248119</v>
      </c>
      <c r="GS37" s="324">
        <f>248119/49209180</f>
        <v>5.0421283183340994E-3</v>
      </c>
      <c r="GT37" s="293"/>
      <c r="GU37" s="293"/>
      <c r="GV37" s="293"/>
      <c r="GW37" s="293"/>
      <c r="GX37" s="293"/>
      <c r="GY37" s="293"/>
      <c r="GZ37" s="293"/>
      <c r="HA37" s="293"/>
      <c r="HB37" s="293"/>
      <c r="HC37" s="293"/>
      <c r="HD37" s="293"/>
      <c r="HE37" s="293"/>
      <c r="HF37" s="293"/>
      <c r="HG37" s="293"/>
      <c r="HH37" s="293"/>
      <c r="HI37" s="293"/>
      <c r="HJ37" s="293"/>
      <c r="HK37" s="293"/>
      <c r="HL37" s="293"/>
      <c r="HM37" s="293"/>
      <c r="HN37" s="293"/>
      <c r="HO37" s="293"/>
      <c r="HP37" s="293"/>
      <c r="HQ37" s="293"/>
      <c r="HR37" s="293"/>
      <c r="HS37" s="293"/>
      <c r="HT37" s="293"/>
      <c r="HU37" s="293"/>
      <c r="HV37" s="293"/>
      <c r="HW37" s="293"/>
      <c r="HX37" s="294"/>
    </row>
    <row r="38" spans="2:232" ht="12.75" x14ac:dyDescent="0.2">
      <c r="B38" s="259" t="s">
        <v>78</v>
      </c>
      <c r="C38" s="258">
        <v>304</v>
      </c>
      <c r="D38" s="115">
        <v>6</v>
      </c>
      <c r="E38" s="115">
        <v>1</v>
      </c>
      <c r="F38" s="115">
        <v>0</v>
      </c>
      <c r="G38" s="257">
        <v>311</v>
      </c>
      <c r="H38" s="117"/>
      <c r="I38" s="258">
        <v>13</v>
      </c>
      <c r="J38" s="115"/>
      <c r="K38" s="257">
        <v>13</v>
      </c>
      <c r="L38" s="117"/>
      <c r="M38" s="116">
        <v>1349</v>
      </c>
      <c r="N38" s="117">
        <v>1063</v>
      </c>
      <c r="O38" s="115">
        <v>9</v>
      </c>
      <c r="P38" s="115">
        <v>2293</v>
      </c>
      <c r="Q38" s="115">
        <v>8</v>
      </c>
      <c r="R38" s="115">
        <v>2</v>
      </c>
      <c r="S38" s="115">
        <v>1</v>
      </c>
      <c r="T38" s="115"/>
      <c r="U38" s="115">
        <v>1</v>
      </c>
      <c r="V38" s="117">
        <v>3377</v>
      </c>
      <c r="W38" s="258">
        <v>0</v>
      </c>
      <c r="X38" s="115">
        <v>12</v>
      </c>
      <c r="Y38" s="257">
        <v>12</v>
      </c>
      <c r="Z38" s="117">
        <v>87</v>
      </c>
      <c r="AA38" s="115">
        <v>3</v>
      </c>
      <c r="AB38" s="117">
        <v>90</v>
      </c>
      <c r="AC38" s="258">
        <v>1317</v>
      </c>
      <c r="AD38" s="115">
        <v>0</v>
      </c>
      <c r="AE38" s="115"/>
      <c r="AF38" s="257">
        <v>1317</v>
      </c>
      <c r="AG38" s="117">
        <v>5</v>
      </c>
      <c r="AH38" s="115">
        <v>1</v>
      </c>
      <c r="AI38" s="115">
        <v>17</v>
      </c>
      <c r="AJ38" s="115"/>
      <c r="AK38" s="117">
        <v>23</v>
      </c>
      <c r="AL38" s="258">
        <v>2</v>
      </c>
      <c r="AM38" s="115">
        <v>46</v>
      </c>
      <c r="AN38" s="257">
        <v>48</v>
      </c>
      <c r="AO38" s="117"/>
      <c r="AP38" s="116"/>
      <c r="AQ38" s="117">
        <v>2</v>
      </c>
      <c r="AR38" s="115">
        <v>50</v>
      </c>
      <c r="AS38" s="115"/>
      <c r="AT38" s="117">
        <v>52</v>
      </c>
      <c r="AU38" s="258">
        <v>24</v>
      </c>
      <c r="AV38" s="115"/>
      <c r="AW38" s="115">
        <v>295</v>
      </c>
      <c r="AX38" s="115"/>
      <c r="AY38" s="115">
        <v>14</v>
      </c>
      <c r="AZ38" s="115"/>
      <c r="BA38" s="115">
        <v>1</v>
      </c>
      <c r="BB38" s="115"/>
      <c r="BC38" s="257">
        <v>334</v>
      </c>
      <c r="BD38" s="117">
        <v>1</v>
      </c>
      <c r="BE38" s="116">
        <v>1</v>
      </c>
      <c r="BF38" s="117">
        <v>17</v>
      </c>
      <c r="BG38" s="115">
        <v>23</v>
      </c>
      <c r="BH38" s="115">
        <v>344</v>
      </c>
      <c r="BI38" s="115">
        <v>25</v>
      </c>
      <c r="BJ38" s="115">
        <v>3</v>
      </c>
      <c r="BK38" s="115"/>
      <c r="BL38" s="117">
        <v>412</v>
      </c>
      <c r="BM38" s="116"/>
      <c r="BN38" s="116"/>
      <c r="BO38" s="116"/>
      <c r="BP38" s="116"/>
      <c r="BQ38" s="117">
        <v>7</v>
      </c>
      <c r="BR38" s="115">
        <v>6</v>
      </c>
      <c r="BS38" s="117">
        <v>13</v>
      </c>
      <c r="BT38" s="116"/>
      <c r="BU38" s="117"/>
      <c r="BV38" s="115">
        <v>3</v>
      </c>
      <c r="BW38" s="115"/>
      <c r="BX38" s="117">
        <v>3</v>
      </c>
      <c r="BY38" s="258"/>
      <c r="BZ38" s="115"/>
      <c r="CA38" s="115"/>
      <c r="CB38" s="115"/>
      <c r="CC38" s="115">
        <v>13</v>
      </c>
      <c r="CD38" s="115">
        <v>4</v>
      </c>
      <c r="CE38" s="115"/>
      <c r="CF38" s="115"/>
      <c r="CG38" s="115">
        <v>1</v>
      </c>
      <c r="CH38" s="115">
        <v>9</v>
      </c>
      <c r="CI38" s="115">
        <v>30</v>
      </c>
      <c r="CJ38" s="115"/>
      <c r="CK38" s="115">
        <v>24</v>
      </c>
      <c r="CL38" s="115">
        <v>1</v>
      </c>
      <c r="CM38" s="115"/>
      <c r="CN38" s="257">
        <v>82</v>
      </c>
      <c r="CO38" s="117">
        <v>1</v>
      </c>
      <c r="CP38" s="115"/>
      <c r="CQ38" s="117">
        <v>1</v>
      </c>
      <c r="CR38" s="116"/>
      <c r="CS38" s="117">
        <v>224</v>
      </c>
      <c r="CT38" s="115">
        <v>312</v>
      </c>
      <c r="CU38" s="115">
        <v>148487</v>
      </c>
      <c r="CV38" s="115">
        <v>1296</v>
      </c>
      <c r="CW38" s="115">
        <v>14970</v>
      </c>
      <c r="CX38" s="115">
        <v>268</v>
      </c>
      <c r="CY38" s="115">
        <v>156</v>
      </c>
      <c r="CZ38" s="115">
        <v>87</v>
      </c>
      <c r="DA38" s="115">
        <v>51</v>
      </c>
      <c r="DB38" s="115"/>
      <c r="DC38" s="115">
        <v>0</v>
      </c>
      <c r="DD38" s="117">
        <v>165851</v>
      </c>
      <c r="DE38" s="258">
        <v>194</v>
      </c>
      <c r="DF38" s="115">
        <v>87</v>
      </c>
      <c r="DG38" s="115">
        <v>195</v>
      </c>
      <c r="DH38" s="115">
        <v>138</v>
      </c>
      <c r="DI38" s="115">
        <v>9</v>
      </c>
      <c r="DJ38" s="115"/>
      <c r="DK38" s="115"/>
      <c r="DL38" s="257">
        <v>623</v>
      </c>
      <c r="DM38" s="117"/>
      <c r="DN38" s="116"/>
      <c r="DO38" s="117"/>
      <c r="DP38" s="115"/>
      <c r="DQ38" s="117"/>
      <c r="DR38" s="116">
        <v>12</v>
      </c>
      <c r="DS38" s="117"/>
      <c r="DT38" s="115"/>
      <c r="DU38" s="117"/>
      <c r="DV38" s="258">
        <v>267</v>
      </c>
      <c r="DW38" s="115"/>
      <c r="DX38" s="257">
        <v>267</v>
      </c>
      <c r="DY38" s="117">
        <v>1</v>
      </c>
      <c r="DZ38" s="116"/>
      <c r="EA38" s="117">
        <v>50</v>
      </c>
      <c r="EB38" s="115"/>
      <c r="EC38" s="117">
        <v>50</v>
      </c>
      <c r="ED38" s="116"/>
      <c r="EE38" s="116"/>
      <c r="EF38" s="117">
        <v>301</v>
      </c>
      <c r="EG38" s="115">
        <v>19</v>
      </c>
      <c r="EH38" s="115">
        <v>1</v>
      </c>
      <c r="EI38" s="115"/>
      <c r="EJ38" s="115"/>
      <c r="EK38" s="115"/>
      <c r="EL38" s="117">
        <v>321</v>
      </c>
      <c r="EM38" s="258">
        <v>33</v>
      </c>
      <c r="EN38" s="115">
        <v>123</v>
      </c>
      <c r="EO38" s="115">
        <v>12</v>
      </c>
      <c r="EP38" s="115">
        <v>1948</v>
      </c>
      <c r="EQ38" s="115">
        <v>176</v>
      </c>
      <c r="ER38" s="115">
        <v>5</v>
      </c>
      <c r="ES38" s="115">
        <v>145</v>
      </c>
      <c r="ET38" s="115">
        <v>3</v>
      </c>
      <c r="EU38" s="115">
        <v>0</v>
      </c>
      <c r="EV38" s="115">
        <v>0</v>
      </c>
      <c r="EW38" s="115">
        <v>0</v>
      </c>
      <c r="EX38" s="115">
        <v>11</v>
      </c>
      <c r="EY38" s="115"/>
      <c r="EZ38" s="257">
        <v>2456</v>
      </c>
      <c r="FA38" s="117"/>
      <c r="FB38" s="116"/>
      <c r="FC38" s="117"/>
      <c r="FD38" s="115"/>
      <c r="FE38" s="115">
        <v>47</v>
      </c>
      <c r="FF38" s="117">
        <v>47</v>
      </c>
      <c r="FG38" s="116">
        <v>5</v>
      </c>
      <c r="FH38" s="116"/>
      <c r="FI38" s="117">
        <v>3</v>
      </c>
      <c r="FJ38" s="115">
        <v>77</v>
      </c>
      <c r="FK38" s="115"/>
      <c r="FL38" s="115">
        <v>14</v>
      </c>
      <c r="FM38" s="117">
        <v>94</v>
      </c>
      <c r="FN38" s="258"/>
      <c r="FO38" s="115"/>
      <c r="FP38" s="257"/>
      <c r="FQ38" s="117">
        <v>753</v>
      </c>
      <c r="FR38" s="115"/>
      <c r="FS38" s="117">
        <v>753</v>
      </c>
      <c r="FT38" s="116"/>
      <c r="FU38" s="117">
        <v>93</v>
      </c>
      <c r="FV38" s="115"/>
      <c r="FW38" s="117">
        <v>93</v>
      </c>
      <c r="FX38" s="258"/>
      <c r="FY38" s="115">
        <v>94</v>
      </c>
      <c r="FZ38" s="115">
        <v>101</v>
      </c>
      <c r="GA38" s="115">
        <v>6</v>
      </c>
      <c r="GB38" s="257">
        <v>201</v>
      </c>
      <c r="GC38" s="117"/>
      <c r="GD38" s="258">
        <v>348</v>
      </c>
      <c r="GE38" s="115"/>
      <c r="GF38" s="257">
        <v>348</v>
      </c>
      <c r="GG38" s="117"/>
      <c r="GH38" s="258">
        <v>5</v>
      </c>
      <c r="GI38" s="115"/>
      <c r="GJ38" s="115"/>
      <c r="GK38" s="257">
        <v>5</v>
      </c>
      <c r="GL38" s="117">
        <v>66</v>
      </c>
      <c r="GM38" s="258">
        <v>110</v>
      </c>
      <c r="GN38" s="115"/>
      <c r="GO38" s="115">
        <v>55</v>
      </c>
      <c r="GP38" s="115">
        <v>3</v>
      </c>
      <c r="GQ38" s="257">
        <v>168</v>
      </c>
      <c r="GR38" s="117">
        <v>178800</v>
      </c>
      <c r="GS38" s="324">
        <f>178800/49209180</f>
        <v>3.6334683894346542E-3</v>
      </c>
      <c r="GT38" s="293"/>
      <c r="GU38" s="293"/>
      <c r="GV38" s="293"/>
      <c r="GW38" s="293"/>
      <c r="GX38" s="293"/>
      <c r="GY38" s="293"/>
      <c r="GZ38" s="293"/>
      <c r="HA38" s="293"/>
      <c r="HB38" s="293"/>
      <c r="HC38" s="293"/>
      <c r="HD38" s="293"/>
      <c r="HE38" s="293"/>
      <c r="HF38" s="293"/>
      <c r="HG38" s="293"/>
      <c r="HH38" s="293"/>
      <c r="HI38" s="293"/>
      <c r="HJ38" s="293"/>
      <c r="HK38" s="293"/>
      <c r="HL38" s="293"/>
      <c r="HM38" s="293"/>
      <c r="HN38" s="293"/>
      <c r="HO38" s="293"/>
      <c r="HP38" s="293"/>
      <c r="HQ38" s="293"/>
      <c r="HR38" s="293"/>
      <c r="HS38" s="293"/>
      <c r="HT38" s="293"/>
      <c r="HU38" s="293"/>
      <c r="HV38" s="293"/>
      <c r="HW38" s="293"/>
      <c r="HX38" s="294"/>
    </row>
    <row r="39" spans="2:232" ht="12.75" x14ac:dyDescent="0.2">
      <c r="B39" s="259" t="s">
        <v>88</v>
      </c>
      <c r="C39" s="258">
        <v>114</v>
      </c>
      <c r="D39" s="115">
        <v>169</v>
      </c>
      <c r="E39" s="115">
        <v>203</v>
      </c>
      <c r="F39" s="115">
        <v>201</v>
      </c>
      <c r="G39" s="257">
        <v>687</v>
      </c>
      <c r="H39" s="117"/>
      <c r="I39" s="258">
        <v>2</v>
      </c>
      <c r="J39" s="115"/>
      <c r="K39" s="257">
        <v>2</v>
      </c>
      <c r="L39" s="117"/>
      <c r="M39" s="116">
        <v>1063</v>
      </c>
      <c r="N39" s="117">
        <v>3071</v>
      </c>
      <c r="O39" s="115">
        <v>29</v>
      </c>
      <c r="P39" s="115">
        <v>5711</v>
      </c>
      <c r="Q39" s="115">
        <v>61</v>
      </c>
      <c r="R39" s="115">
        <v>2</v>
      </c>
      <c r="S39" s="115">
        <v>28</v>
      </c>
      <c r="T39" s="115">
        <v>3</v>
      </c>
      <c r="U39" s="115">
        <v>3</v>
      </c>
      <c r="V39" s="117">
        <v>8908</v>
      </c>
      <c r="W39" s="258">
        <v>1</v>
      </c>
      <c r="X39" s="115">
        <v>1</v>
      </c>
      <c r="Y39" s="257">
        <v>2</v>
      </c>
      <c r="Z39" s="117">
        <v>55</v>
      </c>
      <c r="AA39" s="115">
        <v>13</v>
      </c>
      <c r="AB39" s="117">
        <v>68</v>
      </c>
      <c r="AC39" s="258">
        <v>2971</v>
      </c>
      <c r="AD39" s="115">
        <v>14</v>
      </c>
      <c r="AE39" s="115"/>
      <c r="AF39" s="257">
        <v>2985</v>
      </c>
      <c r="AG39" s="117">
        <v>0</v>
      </c>
      <c r="AH39" s="115"/>
      <c r="AI39" s="115">
        <v>266</v>
      </c>
      <c r="AJ39" s="115">
        <v>5</v>
      </c>
      <c r="AK39" s="117">
        <v>271</v>
      </c>
      <c r="AL39" s="258">
        <v>20</v>
      </c>
      <c r="AM39" s="115">
        <v>1</v>
      </c>
      <c r="AN39" s="257">
        <v>21</v>
      </c>
      <c r="AO39" s="117"/>
      <c r="AP39" s="116"/>
      <c r="AQ39" s="117">
        <v>1</v>
      </c>
      <c r="AR39" s="115">
        <v>1139</v>
      </c>
      <c r="AS39" s="115"/>
      <c r="AT39" s="117">
        <v>1140</v>
      </c>
      <c r="AU39" s="258">
        <v>362</v>
      </c>
      <c r="AV39" s="115">
        <v>2</v>
      </c>
      <c r="AW39" s="115">
        <v>2090</v>
      </c>
      <c r="AX39" s="115"/>
      <c r="AY39" s="115">
        <v>291</v>
      </c>
      <c r="AZ39" s="115"/>
      <c r="BA39" s="115">
        <v>70</v>
      </c>
      <c r="BB39" s="115">
        <v>56</v>
      </c>
      <c r="BC39" s="257">
        <v>2871</v>
      </c>
      <c r="BD39" s="117"/>
      <c r="BE39" s="116"/>
      <c r="BF39" s="117">
        <v>15</v>
      </c>
      <c r="BG39" s="115">
        <v>84</v>
      </c>
      <c r="BH39" s="115">
        <v>75</v>
      </c>
      <c r="BI39" s="115">
        <v>6</v>
      </c>
      <c r="BJ39" s="115">
        <v>4</v>
      </c>
      <c r="BK39" s="115">
        <v>0</v>
      </c>
      <c r="BL39" s="117">
        <v>184</v>
      </c>
      <c r="BM39" s="116"/>
      <c r="BN39" s="116"/>
      <c r="BO39" s="116"/>
      <c r="BP39" s="116"/>
      <c r="BQ39" s="117">
        <v>36</v>
      </c>
      <c r="BR39" s="115"/>
      <c r="BS39" s="117">
        <v>36</v>
      </c>
      <c r="BT39" s="116">
        <v>181</v>
      </c>
      <c r="BU39" s="117"/>
      <c r="BV39" s="115"/>
      <c r="BW39" s="115"/>
      <c r="BX39" s="117"/>
      <c r="BY39" s="258">
        <v>38</v>
      </c>
      <c r="BZ39" s="115"/>
      <c r="CA39" s="115"/>
      <c r="CB39" s="115">
        <v>193</v>
      </c>
      <c r="CC39" s="115">
        <v>432</v>
      </c>
      <c r="CD39" s="115">
        <v>352</v>
      </c>
      <c r="CE39" s="115">
        <v>174</v>
      </c>
      <c r="CF39" s="115">
        <v>20</v>
      </c>
      <c r="CG39" s="115">
        <v>273</v>
      </c>
      <c r="CH39" s="115">
        <v>39</v>
      </c>
      <c r="CI39" s="115">
        <v>261</v>
      </c>
      <c r="CJ39" s="115"/>
      <c r="CK39" s="115">
        <v>235</v>
      </c>
      <c r="CL39" s="115">
        <v>23</v>
      </c>
      <c r="CM39" s="115"/>
      <c r="CN39" s="257">
        <v>2040</v>
      </c>
      <c r="CO39" s="117">
        <v>1</v>
      </c>
      <c r="CP39" s="115"/>
      <c r="CQ39" s="117">
        <v>1</v>
      </c>
      <c r="CR39" s="116">
        <v>0</v>
      </c>
      <c r="CS39" s="117">
        <v>191</v>
      </c>
      <c r="CT39" s="115">
        <v>212</v>
      </c>
      <c r="CU39" s="115">
        <v>45147</v>
      </c>
      <c r="CV39" s="115">
        <v>2414</v>
      </c>
      <c r="CW39" s="115">
        <v>10082</v>
      </c>
      <c r="CX39" s="115">
        <v>4219</v>
      </c>
      <c r="CY39" s="115">
        <v>3541</v>
      </c>
      <c r="CZ39" s="115">
        <v>973</v>
      </c>
      <c r="DA39" s="115">
        <v>37</v>
      </c>
      <c r="DB39" s="115">
        <v>5</v>
      </c>
      <c r="DC39" s="115">
        <v>5</v>
      </c>
      <c r="DD39" s="117">
        <v>66826</v>
      </c>
      <c r="DE39" s="258">
        <v>636</v>
      </c>
      <c r="DF39" s="115">
        <v>2086</v>
      </c>
      <c r="DG39" s="115">
        <v>38</v>
      </c>
      <c r="DH39" s="115">
        <v>668</v>
      </c>
      <c r="DI39" s="115">
        <v>102</v>
      </c>
      <c r="DJ39" s="115"/>
      <c r="DK39" s="115"/>
      <c r="DL39" s="257">
        <v>3530</v>
      </c>
      <c r="DM39" s="117"/>
      <c r="DN39" s="116"/>
      <c r="DO39" s="117"/>
      <c r="DP39" s="115">
        <v>16</v>
      </c>
      <c r="DQ39" s="117">
        <v>16</v>
      </c>
      <c r="DR39" s="116">
        <v>14</v>
      </c>
      <c r="DS39" s="117"/>
      <c r="DT39" s="115"/>
      <c r="DU39" s="117"/>
      <c r="DV39" s="258">
        <v>6764</v>
      </c>
      <c r="DW39" s="115"/>
      <c r="DX39" s="257">
        <v>6764</v>
      </c>
      <c r="DY39" s="117">
        <v>5</v>
      </c>
      <c r="DZ39" s="116"/>
      <c r="EA39" s="117">
        <v>21</v>
      </c>
      <c r="EB39" s="115"/>
      <c r="EC39" s="117">
        <v>21</v>
      </c>
      <c r="ED39" s="116"/>
      <c r="EE39" s="116"/>
      <c r="EF39" s="117">
        <v>6391</v>
      </c>
      <c r="EG39" s="115">
        <v>469</v>
      </c>
      <c r="EH39" s="115">
        <v>647</v>
      </c>
      <c r="EI39" s="115"/>
      <c r="EJ39" s="115"/>
      <c r="EK39" s="115"/>
      <c r="EL39" s="117">
        <v>7507</v>
      </c>
      <c r="EM39" s="258">
        <v>230</v>
      </c>
      <c r="EN39" s="115">
        <v>458</v>
      </c>
      <c r="EO39" s="115">
        <v>125</v>
      </c>
      <c r="EP39" s="115">
        <v>5115</v>
      </c>
      <c r="EQ39" s="115">
        <v>908</v>
      </c>
      <c r="ER39" s="115">
        <v>31</v>
      </c>
      <c r="ES39" s="115">
        <v>258</v>
      </c>
      <c r="ET39" s="115">
        <v>20</v>
      </c>
      <c r="EU39" s="115">
        <v>13</v>
      </c>
      <c r="EV39" s="115">
        <v>64</v>
      </c>
      <c r="EW39" s="115">
        <v>33</v>
      </c>
      <c r="EX39" s="115">
        <v>159</v>
      </c>
      <c r="EY39" s="115"/>
      <c r="EZ39" s="257">
        <v>7414</v>
      </c>
      <c r="FA39" s="117"/>
      <c r="FB39" s="116"/>
      <c r="FC39" s="117"/>
      <c r="FD39" s="115">
        <v>15</v>
      </c>
      <c r="FE39" s="115">
        <v>120</v>
      </c>
      <c r="FF39" s="117">
        <v>135</v>
      </c>
      <c r="FG39" s="116">
        <v>18</v>
      </c>
      <c r="FH39" s="116">
        <v>43</v>
      </c>
      <c r="FI39" s="117">
        <v>2</v>
      </c>
      <c r="FJ39" s="115">
        <v>308</v>
      </c>
      <c r="FK39" s="115">
        <v>70</v>
      </c>
      <c r="FL39" s="115">
        <v>287</v>
      </c>
      <c r="FM39" s="117">
        <v>667</v>
      </c>
      <c r="FN39" s="258"/>
      <c r="FO39" s="115"/>
      <c r="FP39" s="257"/>
      <c r="FQ39" s="117">
        <v>25</v>
      </c>
      <c r="FR39" s="115"/>
      <c r="FS39" s="117">
        <v>25</v>
      </c>
      <c r="FT39" s="116"/>
      <c r="FU39" s="117">
        <v>1</v>
      </c>
      <c r="FV39" s="115"/>
      <c r="FW39" s="117">
        <v>1</v>
      </c>
      <c r="FX39" s="258">
        <v>1</v>
      </c>
      <c r="FY39" s="115">
        <v>742</v>
      </c>
      <c r="FZ39" s="115">
        <v>120</v>
      </c>
      <c r="GA39" s="115">
        <v>51</v>
      </c>
      <c r="GB39" s="257">
        <v>914</v>
      </c>
      <c r="GC39" s="117"/>
      <c r="GD39" s="258">
        <v>1264</v>
      </c>
      <c r="GE39" s="115">
        <v>66</v>
      </c>
      <c r="GF39" s="257">
        <v>1330</v>
      </c>
      <c r="GG39" s="117"/>
      <c r="GH39" s="258">
        <v>0</v>
      </c>
      <c r="GI39" s="115">
        <v>1</v>
      </c>
      <c r="GJ39" s="115"/>
      <c r="GK39" s="257">
        <v>1</v>
      </c>
      <c r="GL39" s="117">
        <v>1572</v>
      </c>
      <c r="GM39" s="258">
        <v>1402</v>
      </c>
      <c r="GN39" s="115"/>
      <c r="GO39" s="115">
        <v>1662</v>
      </c>
      <c r="GP39" s="115">
        <v>20</v>
      </c>
      <c r="GQ39" s="257">
        <v>3084</v>
      </c>
      <c r="GR39" s="117">
        <v>120347</v>
      </c>
      <c r="GS39" s="324">
        <f>120347/49209180</f>
        <v>2.445620918698503E-3</v>
      </c>
      <c r="GT39" s="293"/>
      <c r="GU39" s="293"/>
      <c r="GV39" s="293"/>
      <c r="GW39" s="293"/>
      <c r="GX39" s="293"/>
      <c r="GY39" s="293"/>
      <c r="GZ39" s="293"/>
      <c r="HA39" s="293"/>
      <c r="HB39" s="293"/>
      <c r="HC39" s="293"/>
      <c r="HD39" s="293"/>
      <c r="HE39" s="293"/>
      <c r="HF39" s="293"/>
      <c r="HG39" s="293"/>
      <c r="HH39" s="293"/>
      <c r="HI39" s="293"/>
      <c r="HJ39" s="293"/>
      <c r="HK39" s="293"/>
      <c r="HL39" s="293"/>
      <c r="HM39" s="293"/>
      <c r="HN39" s="293"/>
      <c r="HO39" s="293"/>
      <c r="HP39" s="293"/>
      <c r="HQ39" s="293"/>
      <c r="HR39" s="293"/>
      <c r="HS39" s="293"/>
      <c r="HT39" s="293"/>
      <c r="HU39" s="293"/>
      <c r="HV39" s="293"/>
      <c r="HW39" s="293"/>
      <c r="HX39" s="294"/>
    </row>
    <row r="40" spans="2:232" ht="12.75" x14ac:dyDescent="0.2">
      <c r="B40" s="259" t="s">
        <v>112</v>
      </c>
      <c r="C40" s="258">
        <v>235</v>
      </c>
      <c r="D40" s="115">
        <v>118</v>
      </c>
      <c r="E40" s="115">
        <v>165</v>
      </c>
      <c r="F40" s="115">
        <v>99</v>
      </c>
      <c r="G40" s="257">
        <v>617</v>
      </c>
      <c r="H40" s="117"/>
      <c r="I40" s="258">
        <v>20</v>
      </c>
      <c r="J40" s="115"/>
      <c r="K40" s="257">
        <v>20</v>
      </c>
      <c r="L40" s="117"/>
      <c r="M40" s="116">
        <v>2955</v>
      </c>
      <c r="N40" s="117">
        <v>14282</v>
      </c>
      <c r="O40" s="115">
        <v>18</v>
      </c>
      <c r="P40" s="115">
        <v>2345</v>
      </c>
      <c r="Q40" s="115">
        <v>39</v>
      </c>
      <c r="R40" s="115">
        <v>1</v>
      </c>
      <c r="S40" s="115">
        <v>13</v>
      </c>
      <c r="T40" s="115"/>
      <c r="U40" s="115"/>
      <c r="V40" s="117">
        <v>16698</v>
      </c>
      <c r="W40" s="258">
        <v>2</v>
      </c>
      <c r="X40" s="115">
        <v>1</v>
      </c>
      <c r="Y40" s="257">
        <v>3</v>
      </c>
      <c r="Z40" s="117">
        <v>83</v>
      </c>
      <c r="AA40" s="115">
        <v>55</v>
      </c>
      <c r="AB40" s="117">
        <v>138</v>
      </c>
      <c r="AC40" s="258">
        <v>3100</v>
      </c>
      <c r="AD40" s="115">
        <v>0</v>
      </c>
      <c r="AE40" s="115"/>
      <c r="AF40" s="257">
        <v>3100</v>
      </c>
      <c r="AG40" s="117">
        <v>7</v>
      </c>
      <c r="AH40" s="115"/>
      <c r="AI40" s="115">
        <v>183</v>
      </c>
      <c r="AJ40" s="115">
        <v>13</v>
      </c>
      <c r="AK40" s="117">
        <v>203</v>
      </c>
      <c r="AL40" s="258">
        <v>52</v>
      </c>
      <c r="AM40" s="115">
        <v>4</v>
      </c>
      <c r="AN40" s="257">
        <v>56</v>
      </c>
      <c r="AO40" s="117"/>
      <c r="AP40" s="116"/>
      <c r="AQ40" s="117">
        <v>9</v>
      </c>
      <c r="AR40" s="115">
        <v>666</v>
      </c>
      <c r="AS40" s="115"/>
      <c r="AT40" s="117">
        <v>675</v>
      </c>
      <c r="AU40" s="258">
        <v>279</v>
      </c>
      <c r="AV40" s="115">
        <v>0</v>
      </c>
      <c r="AW40" s="115">
        <v>684</v>
      </c>
      <c r="AX40" s="115"/>
      <c r="AY40" s="115">
        <v>116</v>
      </c>
      <c r="AZ40" s="115">
        <v>2</v>
      </c>
      <c r="BA40" s="115">
        <v>3</v>
      </c>
      <c r="BB40" s="115">
        <v>30</v>
      </c>
      <c r="BC40" s="257">
        <v>1114</v>
      </c>
      <c r="BD40" s="117"/>
      <c r="BE40" s="116">
        <v>1</v>
      </c>
      <c r="BF40" s="117">
        <v>26</v>
      </c>
      <c r="BG40" s="115">
        <v>65</v>
      </c>
      <c r="BH40" s="115">
        <v>155</v>
      </c>
      <c r="BI40" s="115">
        <v>12</v>
      </c>
      <c r="BJ40" s="115">
        <v>6</v>
      </c>
      <c r="BK40" s="115">
        <v>236</v>
      </c>
      <c r="BL40" s="117">
        <v>500</v>
      </c>
      <c r="BM40" s="116"/>
      <c r="BN40" s="116"/>
      <c r="BO40" s="116"/>
      <c r="BP40" s="116">
        <v>0</v>
      </c>
      <c r="BQ40" s="117">
        <v>130</v>
      </c>
      <c r="BR40" s="115"/>
      <c r="BS40" s="117">
        <v>130</v>
      </c>
      <c r="BT40" s="116">
        <v>160</v>
      </c>
      <c r="BU40" s="117">
        <v>1</v>
      </c>
      <c r="BV40" s="115"/>
      <c r="BW40" s="115"/>
      <c r="BX40" s="117">
        <v>1</v>
      </c>
      <c r="BY40" s="258">
        <v>61</v>
      </c>
      <c r="BZ40" s="115"/>
      <c r="CA40" s="115">
        <v>0</v>
      </c>
      <c r="CB40" s="115">
        <v>195</v>
      </c>
      <c r="CC40" s="115">
        <v>169</v>
      </c>
      <c r="CD40" s="115">
        <v>100</v>
      </c>
      <c r="CE40" s="115">
        <v>86</v>
      </c>
      <c r="CF40" s="115">
        <v>1</v>
      </c>
      <c r="CG40" s="115">
        <v>62</v>
      </c>
      <c r="CH40" s="115">
        <v>32</v>
      </c>
      <c r="CI40" s="115">
        <v>234</v>
      </c>
      <c r="CJ40" s="115"/>
      <c r="CK40" s="115">
        <v>114</v>
      </c>
      <c r="CL40" s="115">
        <v>42</v>
      </c>
      <c r="CM40" s="115"/>
      <c r="CN40" s="257">
        <v>1096</v>
      </c>
      <c r="CO40" s="117"/>
      <c r="CP40" s="115"/>
      <c r="CQ40" s="117"/>
      <c r="CR40" s="116"/>
      <c r="CS40" s="117">
        <v>227</v>
      </c>
      <c r="CT40" s="115">
        <v>448</v>
      </c>
      <c r="CU40" s="115">
        <v>183215</v>
      </c>
      <c r="CV40" s="115">
        <v>1333</v>
      </c>
      <c r="CW40" s="115">
        <v>31926</v>
      </c>
      <c r="CX40" s="115">
        <v>3674</v>
      </c>
      <c r="CY40" s="115">
        <v>2229</v>
      </c>
      <c r="CZ40" s="115">
        <v>597</v>
      </c>
      <c r="DA40" s="115">
        <v>67</v>
      </c>
      <c r="DB40" s="115">
        <v>4</v>
      </c>
      <c r="DC40" s="115">
        <v>0</v>
      </c>
      <c r="DD40" s="117">
        <v>223720</v>
      </c>
      <c r="DE40" s="258">
        <v>1492</v>
      </c>
      <c r="DF40" s="115">
        <v>1181</v>
      </c>
      <c r="DG40" s="115">
        <v>46</v>
      </c>
      <c r="DH40" s="115">
        <v>386</v>
      </c>
      <c r="DI40" s="115">
        <v>81</v>
      </c>
      <c r="DJ40" s="115"/>
      <c r="DK40" s="115"/>
      <c r="DL40" s="257">
        <v>3186</v>
      </c>
      <c r="DM40" s="117"/>
      <c r="DN40" s="116"/>
      <c r="DO40" s="117"/>
      <c r="DP40" s="115">
        <v>19</v>
      </c>
      <c r="DQ40" s="117">
        <v>19</v>
      </c>
      <c r="DR40" s="116">
        <v>67</v>
      </c>
      <c r="DS40" s="117"/>
      <c r="DT40" s="115"/>
      <c r="DU40" s="117"/>
      <c r="DV40" s="258">
        <v>4636</v>
      </c>
      <c r="DW40" s="115"/>
      <c r="DX40" s="257">
        <v>4636</v>
      </c>
      <c r="DY40" s="117">
        <v>7</v>
      </c>
      <c r="DZ40" s="116">
        <v>0</v>
      </c>
      <c r="EA40" s="117">
        <v>28</v>
      </c>
      <c r="EB40" s="115"/>
      <c r="EC40" s="117">
        <v>28</v>
      </c>
      <c r="ED40" s="116"/>
      <c r="EE40" s="116"/>
      <c r="EF40" s="117">
        <v>2460</v>
      </c>
      <c r="EG40" s="115">
        <v>262</v>
      </c>
      <c r="EH40" s="115">
        <v>52</v>
      </c>
      <c r="EI40" s="115"/>
      <c r="EJ40" s="115"/>
      <c r="EK40" s="115"/>
      <c r="EL40" s="117">
        <v>2774</v>
      </c>
      <c r="EM40" s="258">
        <v>99</v>
      </c>
      <c r="EN40" s="115">
        <v>1889</v>
      </c>
      <c r="EO40" s="115">
        <v>31</v>
      </c>
      <c r="EP40" s="115">
        <v>1808</v>
      </c>
      <c r="EQ40" s="115">
        <v>1792</v>
      </c>
      <c r="ER40" s="115">
        <v>14</v>
      </c>
      <c r="ES40" s="115">
        <v>163</v>
      </c>
      <c r="ET40" s="115">
        <v>12</v>
      </c>
      <c r="EU40" s="115">
        <v>1</v>
      </c>
      <c r="EV40" s="115">
        <v>4</v>
      </c>
      <c r="EW40" s="115">
        <v>4</v>
      </c>
      <c r="EX40" s="115">
        <v>26</v>
      </c>
      <c r="EY40" s="115"/>
      <c r="EZ40" s="257">
        <v>5843</v>
      </c>
      <c r="FA40" s="117"/>
      <c r="FB40" s="116">
        <v>4</v>
      </c>
      <c r="FC40" s="117"/>
      <c r="FD40" s="115">
        <v>3</v>
      </c>
      <c r="FE40" s="115">
        <v>144</v>
      </c>
      <c r="FF40" s="117">
        <v>147</v>
      </c>
      <c r="FG40" s="116">
        <v>10</v>
      </c>
      <c r="FH40" s="116">
        <v>10</v>
      </c>
      <c r="FI40" s="117">
        <v>2</v>
      </c>
      <c r="FJ40" s="115">
        <v>318</v>
      </c>
      <c r="FK40" s="115">
        <v>55</v>
      </c>
      <c r="FL40" s="115">
        <v>238</v>
      </c>
      <c r="FM40" s="117">
        <v>613</v>
      </c>
      <c r="FN40" s="258">
        <v>50</v>
      </c>
      <c r="FO40" s="115"/>
      <c r="FP40" s="257">
        <v>50</v>
      </c>
      <c r="FQ40" s="117">
        <v>525</v>
      </c>
      <c r="FR40" s="115"/>
      <c r="FS40" s="117">
        <v>525</v>
      </c>
      <c r="FT40" s="116"/>
      <c r="FU40" s="117">
        <v>13</v>
      </c>
      <c r="FV40" s="115"/>
      <c r="FW40" s="117">
        <v>13</v>
      </c>
      <c r="FX40" s="258">
        <v>3</v>
      </c>
      <c r="FY40" s="115">
        <v>790</v>
      </c>
      <c r="FZ40" s="115">
        <v>349</v>
      </c>
      <c r="GA40" s="115">
        <v>76</v>
      </c>
      <c r="GB40" s="257">
        <v>1218</v>
      </c>
      <c r="GC40" s="117"/>
      <c r="GD40" s="258">
        <v>803</v>
      </c>
      <c r="GE40" s="115">
        <v>48</v>
      </c>
      <c r="GF40" s="257">
        <v>851</v>
      </c>
      <c r="GG40" s="117"/>
      <c r="GH40" s="258">
        <v>27</v>
      </c>
      <c r="GI40" s="115"/>
      <c r="GJ40" s="115"/>
      <c r="GK40" s="257">
        <v>27</v>
      </c>
      <c r="GL40" s="117">
        <v>1152</v>
      </c>
      <c r="GM40" s="258">
        <v>657</v>
      </c>
      <c r="GN40" s="115"/>
      <c r="GO40" s="115">
        <v>653</v>
      </c>
      <c r="GP40" s="115">
        <v>482</v>
      </c>
      <c r="GQ40" s="257">
        <v>1792</v>
      </c>
      <c r="GR40" s="117">
        <v>274159</v>
      </c>
      <c r="GS40" s="324">
        <f>274159/49209180</f>
        <v>5.5712978757215623E-3</v>
      </c>
      <c r="GT40" s="293"/>
      <c r="GU40" s="293"/>
      <c r="GV40" s="293"/>
      <c r="GW40" s="293"/>
      <c r="GX40" s="293"/>
      <c r="GY40" s="293"/>
      <c r="GZ40" s="293"/>
      <c r="HA40" s="293"/>
      <c r="HB40" s="293"/>
      <c r="HC40" s="293"/>
      <c r="HD40" s="293"/>
      <c r="HE40" s="293"/>
      <c r="HF40" s="293"/>
      <c r="HG40" s="293"/>
      <c r="HH40" s="293"/>
      <c r="HI40" s="293"/>
      <c r="HJ40" s="293"/>
      <c r="HK40" s="293"/>
      <c r="HL40" s="293"/>
      <c r="HM40" s="293"/>
      <c r="HN40" s="293"/>
      <c r="HO40" s="293"/>
      <c r="HP40" s="293"/>
      <c r="HQ40" s="293"/>
      <c r="HR40" s="293"/>
      <c r="HS40" s="293"/>
      <c r="HT40" s="293"/>
      <c r="HU40" s="293"/>
      <c r="HV40" s="293"/>
      <c r="HW40" s="293"/>
      <c r="HX40" s="294"/>
    </row>
    <row r="41" spans="2:232" ht="12.75" x14ac:dyDescent="0.2">
      <c r="B41" s="259" t="s">
        <v>119</v>
      </c>
      <c r="C41" s="258">
        <v>1239</v>
      </c>
      <c r="D41" s="115"/>
      <c r="E41" s="115"/>
      <c r="F41" s="115"/>
      <c r="G41" s="257">
        <v>1239</v>
      </c>
      <c r="H41" s="117"/>
      <c r="I41" s="258">
        <v>378750</v>
      </c>
      <c r="J41" s="115"/>
      <c r="K41" s="257">
        <v>378750</v>
      </c>
      <c r="L41" s="117"/>
      <c r="M41" s="116">
        <v>68742</v>
      </c>
      <c r="N41" s="117">
        <v>87492</v>
      </c>
      <c r="O41" s="115">
        <v>9415</v>
      </c>
      <c r="P41" s="115">
        <v>1</v>
      </c>
      <c r="Q41" s="115">
        <v>7</v>
      </c>
      <c r="R41" s="115"/>
      <c r="S41" s="115"/>
      <c r="T41" s="115"/>
      <c r="U41" s="115"/>
      <c r="V41" s="117">
        <v>96915</v>
      </c>
      <c r="W41" s="258">
        <v>3101</v>
      </c>
      <c r="X41" s="115">
        <v>7324</v>
      </c>
      <c r="Y41" s="257">
        <v>10425</v>
      </c>
      <c r="Z41" s="117">
        <v>27246</v>
      </c>
      <c r="AA41" s="115"/>
      <c r="AB41" s="117">
        <v>27246</v>
      </c>
      <c r="AC41" s="258">
        <v>153</v>
      </c>
      <c r="AD41" s="115"/>
      <c r="AE41" s="115"/>
      <c r="AF41" s="257">
        <v>153</v>
      </c>
      <c r="AG41" s="117">
        <v>15</v>
      </c>
      <c r="AH41" s="115"/>
      <c r="AI41" s="115">
        <v>1</v>
      </c>
      <c r="AJ41" s="115"/>
      <c r="AK41" s="117">
        <v>16</v>
      </c>
      <c r="AL41" s="258">
        <v>1</v>
      </c>
      <c r="AM41" s="115"/>
      <c r="AN41" s="257">
        <v>1</v>
      </c>
      <c r="AO41" s="117"/>
      <c r="AP41" s="116"/>
      <c r="AQ41" s="117"/>
      <c r="AR41" s="115">
        <v>1</v>
      </c>
      <c r="AS41" s="115"/>
      <c r="AT41" s="117">
        <v>1</v>
      </c>
      <c r="AU41" s="258">
        <v>1</v>
      </c>
      <c r="AV41" s="115"/>
      <c r="AW41" s="115"/>
      <c r="AX41" s="115"/>
      <c r="AY41" s="115"/>
      <c r="AZ41" s="115"/>
      <c r="BA41" s="115"/>
      <c r="BB41" s="115"/>
      <c r="BC41" s="257">
        <v>1</v>
      </c>
      <c r="BD41" s="117">
        <v>18297</v>
      </c>
      <c r="BE41" s="116">
        <v>25</v>
      </c>
      <c r="BF41" s="117">
        <v>1751</v>
      </c>
      <c r="BG41" s="115">
        <v>2099</v>
      </c>
      <c r="BH41" s="115">
        <v>11331</v>
      </c>
      <c r="BI41" s="115">
        <v>58</v>
      </c>
      <c r="BJ41" s="115">
        <v>69</v>
      </c>
      <c r="BK41" s="115"/>
      <c r="BL41" s="117">
        <v>15308</v>
      </c>
      <c r="BM41" s="116">
        <v>1</v>
      </c>
      <c r="BN41" s="116"/>
      <c r="BO41" s="116">
        <v>8</v>
      </c>
      <c r="BP41" s="116">
        <v>6</v>
      </c>
      <c r="BQ41" s="117">
        <v>256</v>
      </c>
      <c r="BR41" s="115"/>
      <c r="BS41" s="117">
        <v>256</v>
      </c>
      <c r="BT41" s="116"/>
      <c r="BU41" s="117">
        <v>146022</v>
      </c>
      <c r="BV41" s="115">
        <v>343</v>
      </c>
      <c r="BW41" s="115">
        <v>537</v>
      </c>
      <c r="BX41" s="117">
        <v>146902</v>
      </c>
      <c r="BY41" s="258"/>
      <c r="BZ41" s="115"/>
      <c r="CA41" s="115">
        <v>3</v>
      </c>
      <c r="CB41" s="115"/>
      <c r="CC41" s="115"/>
      <c r="CD41" s="115"/>
      <c r="CE41" s="115"/>
      <c r="CF41" s="115"/>
      <c r="CG41" s="115"/>
      <c r="CH41" s="115">
        <v>0</v>
      </c>
      <c r="CI41" s="115">
        <v>1</v>
      </c>
      <c r="CJ41" s="115"/>
      <c r="CK41" s="115"/>
      <c r="CL41" s="115">
        <v>1</v>
      </c>
      <c r="CM41" s="115"/>
      <c r="CN41" s="257">
        <v>5</v>
      </c>
      <c r="CO41" s="117">
        <v>35680</v>
      </c>
      <c r="CP41" s="115"/>
      <c r="CQ41" s="117">
        <v>35680</v>
      </c>
      <c r="CR41" s="116">
        <v>12311</v>
      </c>
      <c r="CS41" s="117">
        <v>16</v>
      </c>
      <c r="CT41" s="115">
        <v>1280</v>
      </c>
      <c r="CU41" s="115">
        <v>932835</v>
      </c>
      <c r="CV41" s="115">
        <v>182</v>
      </c>
      <c r="CW41" s="115">
        <v>118941</v>
      </c>
      <c r="CX41" s="115">
        <v>58</v>
      </c>
      <c r="CY41" s="115">
        <v>25</v>
      </c>
      <c r="CZ41" s="115">
        <v>30</v>
      </c>
      <c r="DA41" s="115">
        <v>0</v>
      </c>
      <c r="DB41" s="115"/>
      <c r="DC41" s="115">
        <v>271</v>
      </c>
      <c r="DD41" s="117">
        <v>1053638</v>
      </c>
      <c r="DE41" s="258">
        <v>48747</v>
      </c>
      <c r="DF41" s="115">
        <v>10</v>
      </c>
      <c r="DG41" s="115">
        <v>73</v>
      </c>
      <c r="DH41" s="115">
        <v>8</v>
      </c>
      <c r="DI41" s="115"/>
      <c r="DJ41" s="115"/>
      <c r="DK41" s="115"/>
      <c r="DL41" s="257">
        <v>48838</v>
      </c>
      <c r="DM41" s="117"/>
      <c r="DN41" s="116"/>
      <c r="DO41" s="117"/>
      <c r="DP41" s="115"/>
      <c r="DQ41" s="117"/>
      <c r="DR41" s="116">
        <v>80</v>
      </c>
      <c r="DS41" s="117"/>
      <c r="DT41" s="115"/>
      <c r="DU41" s="117"/>
      <c r="DV41" s="258">
        <v>4</v>
      </c>
      <c r="DW41" s="115"/>
      <c r="DX41" s="257">
        <v>4</v>
      </c>
      <c r="DY41" s="117">
        <v>409</v>
      </c>
      <c r="DZ41" s="116">
        <v>9</v>
      </c>
      <c r="EA41" s="117">
        <v>292</v>
      </c>
      <c r="EB41" s="115"/>
      <c r="EC41" s="117">
        <v>292</v>
      </c>
      <c r="ED41" s="116"/>
      <c r="EE41" s="116"/>
      <c r="EF41" s="117">
        <v>336</v>
      </c>
      <c r="EG41" s="115">
        <v>1050</v>
      </c>
      <c r="EH41" s="115">
        <v>5</v>
      </c>
      <c r="EI41" s="115"/>
      <c r="EJ41" s="115"/>
      <c r="EK41" s="115"/>
      <c r="EL41" s="117">
        <v>1391</v>
      </c>
      <c r="EM41" s="258">
        <v>81</v>
      </c>
      <c r="EN41" s="115">
        <v>18631</v>
      </c>
      <c r="EO41" s="115">
        <v>18</v>
      </c>
      <c r="EP41" s="115">
        <v>46</v>
      </c>
      <c r="EQ41" s="115">
        <v>2689</v>
      </c>
      <c r="ER41" s="115">
        <v>13</v>
      </c>
      <c r="ES41" s="115">
        <v>43</v>
      </c>
      <c r="ET41" s="115"/>
      <c r="EU41" s="115"/>
      <c r="EV41" s="115">
        <v>2</v>
      </c>
      <c r="EW41" s="115"/>
      <c r="EX41" s="115"/>
      <c r="EY41" s="115"/>
      <c r="EZ41" s="257">
        <v>21523</v>
      </c>
      <c r="FA41" s="117"/>
      <c r="FB41" s="116">
        <v>1</v>
      </c>
      <c r="FC41" s="117">
        <v>2</v>
      </c>
      <c r="FD41" s="115"/>
      <c r="FE41" s="115"/>
      <c r="FF41" s="117">
        <v>2</v>
      </c>
      <c r="FG41" s="116"/>
      <c r="FH41" s="116">
        <v>0</v>
      </c>
      <c r="FI41" s="117">
        <v>34</v>
      </c>
      <c r="FJ41" s="115">
        <v>5</v>
      </c>
      <c r="FK41" s="115"/>
      <c r="FL41" s="115">
        <v>8</v>
      </c>
      <c r="FM41" s="117">
        <v>47</v>
      </c>
      <c r="FN41" s="258">
        <v>4</v>
      </c>
      <c r="FO41" s="115"/>
      <c r="FP41" s="257">
        <v>4</v>
      </c>
      <c r="FQ41" s="117"/>
      <c r="FR41" s="115"/>
      <c r="FS41" s="117"/>
      <c r="FT41" s="116"/>
      <c r="FU41" s="117">
        <v>10574</v>
      </c>
      <c r="FV41" s="115"/>
      <c r="FW41" s="117">
        <v>10574</v>
      </c>
      <c r="FX41" s="258">
        <v>1</v>
      </c>
      <c r="FY41" s="115">
        <v>4</v>
      </c>
      <c r="FZ41" s="115">
        <v>1</v>
      </c>
      <c r="GA41" s="115"/>
      <c r="GB41" s="257">
        <v>6</v>
      </c>
      <c r="GC41" s="117"/>
      <c r="GD41" s="258">
        <v>1194</v>
      </c>
      <c r="GE41" s="115">
        <v>1</v>
      </c>
      <c r="GF41" s="257">
        <v>1195</v>
      </c>
      <c r="GG41" s="117"/>
      <c r="GH41" s="258">
        <v>553936</v>
      </c>
      <c r="GI41" s="115"/>
      <c r="GJ41" s="115">
        <v>96</v>
      </c>
      <c r="GK41" s="257">
        <v>554032</v>
      </c>
      <c r="GL41" s="117">
        <v>150</v>
      </c>
      <c r="GM41" s="258">
        <v>0</v>
      </c>
      <c r="GN41" s="115">
        <v>6</v>
      </c>
      <c r="GO41" s="115">
        <v>4</v>
      </c>
      <c r="GP41" s="115">
        <v>1</v>
      </c>
      <c r="GQ41" s="257">
        <v>11</v>
      </c>
      <c r="GR41" s="117">
        <v>2504494</v>
      </c>
      <c r="GS41" s="324">
        <f>2504494/49209180</f>
        <v>5.0894853358661937E-2</v>
      </c>
      <c r="GT41" s="293"/>
      <c r="GU41" s="293"/>
      <c r="GV41" s="293"/>
      <c r="GW41" s="293"/>
      <c r="GX41" s="293"/>
      <c r="GY41" s="293"/>
      <c r="GZ41" s="293"/>
      <c r="HA41" s="293"/>
      <c r="HB41" s="293"/>
      <c r="HC41" s="293"/>
      <c r="HD41" s="293"/>
      <c r="HE41" s="293"/>
      <c r="HF41" s="293"/>
      <c r="HG41" s="293"/>
      <c r="HH41" s="293"/>
      <c r="HI41" s="293"/>
      <c r="HJ41" s="293"/>
      <c r="HK41" s="293"/>
      <c r="HL41" s="293"/>
      <c r="HM41" s="293"/>
      <c r="HN41" s="293"/>
      <c r="HO41" s="293"/>
      <c r="HP41" s="293"/>
      <c r="HQ41" s="293"/>
      <c r="HR41" s="293"/>
      <c r="HS41" s="293"/>
      <c r="HT41" s="293"/>
      <c r="HU41" s="293"/>
      <c r="HV41" s="293"/>
      <c r="HW41" s="293"/>
      <c r="HX41" s="294"/>
    </row>
    <row r="42" spans="2:232" ht="12.75" x14ac:dyDescent="0.2">
      <c r="B42" s="259" t="s">
        <v>165</v>
      </c>
      <c r="C42" s="258">
        <v>13</v>
      </c>
      <c r="D42" s="115">
        <v>0</v>
      </c>
      <c r="E42" s="115"/>
      <c r="F42" s="115"/>
      <c r="G42" s="257">
        <v>13</v>
      </c>
      <c r="H42" s="117"/>
      <c r="I42" s="258">
        <v>20</v>
      </c>
      <c r="J42" s="115"/>
      <c r="K42" s="257">
        <v>20</v>
      </c>
      <c r="L42" s="117"/>
      <c r="M42" s="116">
        <v>1071</v>
      </c>
      <c r="N42" s="117">
        <v>642</v>
      </c>
      <c r="O42" s="115"/>
      <c r="P42" s="115">
        <v>33</v>
      </c>
      <c r="Q42" s="115">
        <v>30</v>
      </c>
      <c r="R42" s="115">
        <v>1</v>
      </c>
      <c r="S42" s="115">
        <v>17</v>
      </c>
      <c r="T42" s="115"/>
      <c r="U42" s="115"/>
      <c r="V42" s="117">
        <v>723</v>
      </c>
      <c r="W42" s="258">
        <v>1</v>
      </c>
      <c r="X42" s="115">
        <v>8</v>
      </c>
      <c r="Y42" s="257">
        <v>9</v>
      </c>
      <c r="Z42" s="117">
        <v>133</v>
      </c>
      <c r="AA42" s="115"/>
      <c r="AB42" s="117">
        <v>133</v>
      </c>
      <c r="AC42" s="258">
        <v>579</v>
      </c>
      <c r="AD42" s="115"/>
      <c r="AE42" s="115"/>
      <c r="AF42" s="257">
        <v>579</v>
      </c>
      <c r="AG42" s="117">
        <v>0</v>
      </c>
      <c r="AH42" s="115">
        <v>1</v>
      </c>
      <c r="AI42" s="115"/>
      <c r="AJ42" s="115"/>
      <c r="AK42" s="117">
        <v>1</v>
      </c>
      <c r="AL42" s="258"/>
      <c r="AM42" s="115"/>
      <c r="AN42" s="257"/>
      <c r="AO42" s="117"/>
      <c r="AP42" s="116"/>
      <c r="AQ42" s="117"/>
      <c r="AR42" s="115"/>
      <c r="AS42" s="115"/>
      <c r="AT42" s="117"/>
      <c r="AU42" s="258">
        <v>7</v>
      </c>
      <c r="AV42" s="115"/>
      <c r="AW42" s="115"/>
      <c r="AX42" s="115"/>
      <c r="AY42" s="115"/>
      <c r="AZ42" s="115"/>
      <c r="BA42" s="115"/>
      <c r="BB42" s="115"/>
      <c r="BC42" s="257">
        <v>7</v>
      </c>
      <c r="BD42" s="117">
        <v>0</v>
      </c>
      <c r="BE42" s="116"/>
      <c r="BF42" s="117">
        <v>33</v>
      </c>
      <c r="BG42" s="115">
        <v>350</v>
      </c>
      <c r="BH42" s="115">
        <v>2905</v>
      </c>
      <c r="BI42" s="115">
        <v>178</v>
      </c>
      <c r="BJ42" s="115">
        <v>11</v>
      </c>
      <c r="BK42" s="115"/>
      <c r="BL42" s="117">
        <v>3477</v>
      </c>
      <c r="BM42" s="116"/>
      <c r="BN42" s="116"/>
      <c r="BO42" s="116"/>
      <c r="BP42" s="116"/>
      <c r="BQ42" s="117">
        <v>93</v>
      </c>
      <c r="BR42" s="115"/>
      <c r="BS42" s="117">
        <v>93</v>
      </c>
      <c r="BT42" s="116"/>
      <c r="BU42" s="117">
        <v>0</v>
      </c>
      <c r="BV42" s="115"/>
      <c r="BW42" s="115">
        <v>1</v>
      </c>
      <c r="BX42" s="117">
        <v>1</v>
      </c>
      <c r="BY42" s="258">
        <v>7</v>
      </c>
      <c r="BZ42" s="115"/>
      <c r="CA42" s="115"/>
      <c r="CB42" s="115"/>
      <c r="CC42" s="115"/>
      <c r="CD42" s="115"/>
      <c r="CE42" s="115"/>
      <c r="CF42" s="115"/>
      <c r="CG42" s="115"/>
      <c r="CH42" s="115"/>
      <c r="CI42" s="115"/>
      <c r="CJ42" s="115"/>
      <c r="CK42" s="115"/>
      <c r="CL42" s="115"/>
      <c r="CM42" s="115"/>
      <c r="CN42" s="257">
        <v>7</v>
      </c>
      <c r="CO42" s="117"/>
      <c r="CP42" s="115"/>
      <c r="CQ42" s="117"/>
      <c r="CR42" s="116"/>
      <c r="CS42" s="117">
        <v>265</v>
      </c>
      <c r="CT42" s="115">
        <v>1</v>
      </c>
      <c r="CU42" s="115">
        <v>81731</v>
      </c>
      <c r="CV42" s="115">
        <v>331</v>
      </c>
      <c r="CW42" s="115">
        <v>5714</v>
      </c>
      <c r="CX42" s="115">
        <v>86</v>
      </c>
      <c r="CY42" s="115">
        <v>2</v>
      </c>
      <c r="CZ42" s="115">
        <v>0</v>
      </c>
      <c r="DA42" s="115">
        <v>20</v>
      </c>
      <c r="DB42" s="115"/>
      <c r="DC42" s="115"/>
      <c r="DD42" s="117">
        <v>88150</v>
      </c>
      <c r="DE42" s="258">
        <v>127</v>
      </c>
      <c r="DF42" s="115">
        <v>7</v>
      </c>
      <c r="DG42" s="115">
        <v>66</v>
      </c>
      <c r="DH42" s="115">
        <v>69</v>
      </c>
      <c r="DI42" s="115">
        <v>5</v>
      </c>
      <c r="DJ42" s="115"/>
      <c r="DK42" s="115"/>
      <c r="DL42" s="257">
        <v>274</v>
      </c>
      <c r="DM42" s="117"/>
      <c r="DN42" s="116"/>
      <c r="DO42" s="117"/>
      <c r="DP42" s="115"/>
      <c r="DQ42" s="117"/>
      <c r="DR42" s="116">
        <v>25</v>
      </c>
      <c r="DS42" s="117"/>
      <c r="DT42" s="115"/>
      <c r="DU42" s="117"/>
      <c r="DV42" s="258">
        <v>7</v>
      </c>
      <c r="DW42" s="115"/>
      <c r="DX42" s="257">
        <v>7</v>
      </c>
      <c r="DY42" s="117">
        <v>1</v>
      </c>
      <c r="DZ42" s="116">
        <v>1</v>
      </c>
      <c r="EA42" s="117">
        <v>64</v>
      </c>
      <c r="EB42" s="115"/>
      <c r="EC42" s="117">
        <v>64</v>
      </c>
      <c r="ED42" s="116">
        <v>33</v>
      </c>
      <c r="EE42" s="116"/>
      <c r="EF42" s="117">
        <v>29</v>
      </c>
      <c r="EG42" s="115">
        <v>7</v>
      </c>
      <c r="EH42" s="115"/>
      <c r="EI42" s="115"/>
      <c r="EJ42" s="115"/>
      <c r="EK42" s="115"/>
      <c r="EL42" s="117">
        <v>36</v>
      </c>
      <c r="EM42" s="258">
        <v>38</v>
      </c>
      <c r="EN42" s="115">
        <v>168</v>
      </c>
      <c r="EO42" s="115">
        <v>13</v>
      </c>
      <c r="EP42" s="115">
        <v>81</v>
      </c>
      <c r="EQ42" s="115">
        <v>86</v>
      </c>
      <c r="ER42" s="115">
        <v>5</v>
      </c>
      <c r="ES42" s="115">
        <v>61</v>
      </c>
      <c r="ET42" s="115">
        <v>12</v>
      </c>
      <c r="EU42" s="115">
        <v>0</v>
      </c>
      <c r="EV42" s="115">
        <v>2</v>
      </c>
      <c r="EW42" s="115"/>
      <c r="EX42" s="115">
        <v>12</v>
      </c>
      <c r="EY42" s="115"/>
      <c r="EZ42" s="257">
        <v>478</v>
      </c>
      <c r="FA42" s="117"/>
      <c r="FB42" s="116"/>
      <c r="FC42" s="117"/>
      <c r="FD42" s="115"/>
      <c r="FE42" s="115"/>
      <c r="FF42" s="117"/>
      <c r="FG42" s="116"/>
      <c r="FH42" s="116"/>
      <c r="FI42" s="117"/>
      <c r="FJ42" s="115"/>
      <c r="FK42" s="115"/>
      <c r="FL42" s="115"/>
      <c r="FM42" s="117"/>
      <c r="FN42" s="258"/>
      <c r="FO42" s="115"/>
      <c r="FP42" s="257"/>
      <c r="FQ42" s="117"/>
      <c r="FR42" s="115"/>
      <c r="FS42" s="117"/>
      <c r="FT42" s="116"/>
      <c r="FU42" s="117">
        <v>3</v>
      </c>
      <c r="FV42" s="115"/>
      <c r="FW42" s="117">
        <v>3</v>
      </c>
      <c r="FX42" s="258">
        <v>1</v>
      </c>
      <c r="FY42" s="115">
        <v>2</v>
      </c>
      <c r="FZ42" s="115">
        <v>1</v>
      </c>
      <c r="GA42" s="115"/>
      <c r="GB42" s="257">
        <v>4</v>
      </c>
      <c r="GC42" s="117"/>
      <c r="GD42" s="258">
        <v>63</v>
      </c>
      <c r="GE42" s="115"/>
      <c r="GF42" s="257">
        <v>63</v>
      </c>
      <c r="GG42" s="117"/>
      <c r="GH42" s="258">
        <v>10</v>
      </c>
      <c r="GI42" s="115"/>
      <c r="GJ42" s="115"/>
      <c r="GK42" s="257">
        <v>10</v>
      </c>
      <c r="GL42" s="117">
        <v>4</v>
      </c>
      <c r="GM42" s="258">
        <v>157</v>
      </c>
      <c r="GN42" s="115"/>
      <c r="GO42" s="115"/>
      <c r="GP42" s="115"/>
      <c r="GQ42" s="257">
        <v>157</v>
      </c>
      <c r="GR42" s="117">
        <v>95444</v>
      </c>
      <c r="GS42" s="324">
        <f>95444/49209180</f>
        <v>1.9395568062707E-3</v>
      </c>
      <c r="GT42" s="293"/>
      <c r="GU42" s="293"/>
      <c r="GV42" s="293"/>
      <c r="GW42" s="293"/>
      <c r="GX42" s="293"/>
      <c r="GY42" s="293"/>
      <c r="GZ42" s="293"/>
      <c r="HA42" s="293"/>
      <c r="HB42" s="293"/>
      <c r="HC42" s="293"/>
      <c r="HD42" s="293"/>
      <c r="HE42" s="293"/>
      <c r="HF42" s="293"/>
      <c r="HG42" s="293"/>
      <c r="HH42" s="293"/>
      <c r="HI42" s="293"/>
      <c r="HJ42" s="293"/>
      <c r="HK42" s="293"/>
      <c r="HL42" s="293"/>
      <c r="HM42" s="293"/>
      <c r="HN42" s="293"/>
      <c r="HO42" s="293"/>
      <c r="HP42" s="293"/>
      <c r="HQ42" s="293"/>
      <c r="HR42" s="293"/>
      <c r="HS42" s="293"/>
      <c r="HT42" s="293"/>
      <c r="HU42" s="293"/>
      <c r="HV42" s="293"/>
      <c r="HW42" s="293"/>
      <c r="HX42" s="294"/>
    </row>
    <row r="43" spans="2:232" ht="12.75" x14ac:dyDescent="0.2">
      <c r="B43" s="259" t="s">
        <v>194</v>
      </c>
      <c r="C43" s="258">
        <v>105</v>
      </c>
      <c r="D43" s="115">
        <v>3</v>
      </c>
      <c r="E43" s="115">
        <v>5</v>
      </c>
      <c r="F43" s="115">
        <v>1</v>
      </c>
      <c r="G43" s="257">
        <v>114</v>
      </c>
      <c r="H43" s="117">
        <v>0</v>
      </c>
      <c r="I43" s="258">
        <v>241</v>
      </c>
      <c r="J43" s="115"/>
      <c r="K43" s="257">
        <v>241</v>
      </c>
      <c r="L43" s="117"/>
      <c r="M43" s="116">
        <v>3437</v>
      </c>
      <c r="N43" s="117">
        <v>7084</v>
      </c>
      <c r="O43" s="115">
        <v>47</v>
      </c>
      <c r="P43" s="115">
        <v>35</v>
      </c>
      <c r="Q43" s="115"/>
      <c r="R43" s="115"/>
      <c r="S43" s="115"/>
      <c r="T43" s="115"/>
      <c r="U43" s="115"/>
      <c r="V43" s="117">
        <v>7166</v>
      </c>
      <c r="W43" s="258"/>
      <c r="X43" s="115"/>
      <c r="Y43" s="257"/>
      <c r="Z43" s="117">
        <v>69</v>
      </c>
      <c r="AA43" s="115">
        <v>6</v>
      </c>
      <c r="AB43" s="117">
        <v>75</v>
      </c>
      <c r="AC43" s="258">
        <v>55</v>
      </c>
      <c r="AD43" s="115"/>
      <c r="AE43" s="115"/>
      <c r="AF43" s="257">
        <v>55</v>
      </c>
      <c r="AG43" s="117">
        <v>1</v>
      </c>
      <c r="AH43" s="115">
        <v>2</v>
      </c>
      <c r="AI43" s="115">
        <v>10</v>
      </c>
      <c r="AJ43" s="115"/>
      <c r="AK43" s="117">
        <v>13</v>
      </c>
      <c r="AL43" s="258">
        <v>3</v>
      </c>
      <c r="AM43" s="115">
        <v>1</v>
      </c>
      <c r="AN43" s="257">
        <v>4</v>
      </c>
      <c r="AO43" s="117"/>
      <c r="AP43" s="116"/>
      <c r="AQ43" s="117">
        <v>1</v>
      </c>
      <c r="AR43" s="115">
        <v>21</v>
      </c>
      <c r="AS43" s="115"/>
      <c r="AT43" s="117">
        <v>22</v>
      </c>
      <c r="AU43" s="258">
        <v>5</v>
      </c>
      <c r="AV43" s="115"/>
      <c r="AW43" s="115"/>
      <c r="AX43" s="115"/>
      <c r="AY43" s="115"/>
      <c r="AZ43" s="115"/>
      <c r="BA43" s="115"/>
      <c r="BB43" s="115">
        <v>0</v>
      </c>
      <c r="BC43" s="257">
        <v>5</v>
      </c>
      <c r="BD43" s="117"/>
      <c r="BE43" s="116">
        <v>1</v>
      </c>
      <c r="BF43" s="117">
        <v>19</v>
      </c>
      <c r="BG43" s="115">
        <v>62</v>
      </c>
      <c r="BH43" s="115">
        <v>219</v>
      </c>
      <c r="BI43" s="115">
        <v>6</v>
      </c>
      <c r="BJ43" s="115">
        <v>3</v>
      </c>
      <c r="BK43" s="115"/>
      <c r="BL43" s="117">
        <v>309</v>
      </c>
      <c r="BM43" s="116"/>
      <c r="BN43" s="116"/>
      <c r="BO43" s="116"/>
      <c r="BP43" s="116">
        <v>2</v>
      </c>
      <c r="BQ43" s="117">
        <v>12</v>
      </c>
      <c r="BR43" s="115"/>
      <c r="BS43" s="117">
        <v>12</v>
      </c>
      <c r="BT43" s="116"/>
      <c r="BU43" s="117">
        <v>16</v>
      </c>
      <c r="BV43" s="115"/>
      <c r="BW43" s="115"/>
      <c r="BX43" s="117">
        <v>16</v>
      </c>
      <c r="BY43" s="258"/>
      <c r="BZ43" s="115"/>
      <c r="CA43" s="115">
        <v>2</v>
      </c>
      <c r="CB43" s="115">
        <v>0</v>
      </c>
      <c r="CC43" s="115">
        <v>7</v>
      </c>
      <c r="CD43" s="115">
        <v>2</v>
      </c>
      <c r="CE43" s="115">
        <v>4</v>
      </c>
      <c r="CF43" s="115"/>
      <c r="CG43" s="115">
        <v>0</v>
      </c>
      <c r="CH43" s="115">
        <v>1</v>
      </c>
      <c r="CI43" s="115">
        <v>4</v>
      </c>
      <c r="CJ43" s="115"/>
      <c r="CK43" s="115">
        <v>1</v>
      </c>
      <c r="CL43" s="115"/>
      <c r="CM43" s="115"/>
      <c r="CN43" s="257">
        <v>21</v>
      </c>
      <c r="CO43" s="117">
        <v>8</v>
      </c>
      <c r="CP43" s="115"/>
      <c r="CQ43" s="117">
        <v>8</v>
      </c>
      <c r="CR43" s="116"/>
      <c r="CS43" s="117">
        <v>68</v>
      </c>
      <c r="CT43" s="115">
        <v>3</v>
      </c>
      <c r="CU43" s="115">
        <v>93838</v>
      </c>
      <c r="CV43" s="115">
        <v>23</v>
      </c>
      <c r="CW43" s="115">
        <v>31247</v>
      </c>
      <c r="CX43" s="115">
        <v>79</v>
      </c>
      <c r="CY43" s="115">
        <v>53</v>
      </c>
      <c r="CZ43" s="115">
        <v>6</v>
      </c>
      <c r="DA43" s="115"/>
      <c r="DB43" s="115"/>
      <c r="DC43" s="115">
        <v>1</v>
      </c>
      <c r="DD43" s="117">
        <v>125318</v>
      </c>
      <c r="DE43" s="258">
        <v>462</v>
      </c>
      <c r="DF43" s="115">
        <v>38</v>
      </c>
      <c r="DG43" s="115">
        <v>2</v>
      </c>
      <c r="DH43" s="115">
        <v>16</v>
      </c>
      <c r="DI43" s="115">
        <v>2</v>
      </c>
      <c r="DJ43" s="115"/>
      <c r="DK43" s="115"/>
      <c r="DL43" s="257">
        <v>520</v>
      </c>
      <c r="DM43" s="117"/>
      <c r="DN43" s="116"/>
      <c r="DO43" s="117"/>
      <c r="DP43" s="115">
        <v>18</v>
      </c>
      <c r="DQ43" s="117">
        <v>18</v>
      </c>
      <c r="DR43" s="116">
        <v>10</v>
      </c>
      <c r="DS43" s="117"/>
      <c r="DT43" s="115"/>
      <c r="DU43" s="117"/>
      <c r="DV43" s="258">
        <v>86</v>
      </c>
      <c r="DW43" s="115"/>
      <c r="DX43" s="257">
        <v>86</v>
      </c>
      <c r="DY43" s="117">
        <v>145</v>
      </c>
      <c r="DZ43" s="116"/>
      <c r="EA43" s="117">
        <v>12</v>
      </c>
      <c r="EB43" s="115"/>
      <c r="EC43" s="117">
        <v>12</v>
      </c>
      <c r="ED43" s="116"/>
      <c r="EE43" s="116"/>
      <c r="EF43" s="117">
        <v>356</v>
      </c>
      <c r="EG43" s="115">
        <v>12</v>
      </c>
      <c r="EH43" s="115"/>
      <c r="EI43" s="115"/>
      <c r="EJ43" s="115"/>
      <c r="EK43" s="115"/>
      <c r="EL43" s="117">
        <v>368</v>
      </c>
      <c r="EM43" s="258">
        <v>9</v>
      </c>
      <c r="EN43" s="115">
        <v>1084</v>
      </c>
      <c r="EO43" s="115">
        <v>1</v>
      </c>
      <c r="EP43" s="115">
        <v>18</v>
      </c>
      <c r="EQ43" s="115">
        <v>509</v>
      </c>
      <c r="ER43" s="115"/>
      <c r="ES43" s="115">
        <v>3</v>
      </c>
      <c r="ET43" s="115">
        <v>1</v>
      </c>
      <c r="EU43" s="115"/>
      <c r="EV43" s="115"/>
      <c r="EW43" s="115"/>
      <c r="EX43" s="115"/>
      <c r="EY43" s="115"/>
      <c r="EZ43" s="257">
        <v>1625</v>
      </c>
      <c r="FA43" s="117">
        <v>0</v>
      </c>
      <c r="FB43" s="116"/>
      <c r="FC43" s="117"/>
      <c r="FD43" s="115"/>
      <c r="FE43" s="115"/>
      <c r="FF43" s="117"/>
      <c r="FG43" s="116"/>
      <c r="FH43" s="116"/>
      <c r="FI43" s="117">
        <v>5</v>
      </c>
      <c r="FJ43" s="115"/>
      <c r="FK43" s="115">
        <v>2</v>
      </c>
      <c r="FL43" s="115"/>
      <c r="FM43" s="117">
        <v>7</v>
      </c>
      <c r="FN43" s="258">
        <v>1</v>
      </c>
      <c r="FO43" s="115"/>
      <c r="FP43" s="257">
        <v>1</v>
      </c>
      <c r="FQ43" s="117">
        <v>1</v>
      </c>
      <c r="FR43" s="115"/>
      <c r="FS43" s="117">
        <v>1</v>
      </c>
      <c r="FT43" s="116"/>
      <c r="FU43" s="117">
        <v>10</v>
      </c>
      <c r="FV43" s="115"/>
      <c r="FW43" s="117">
        <v>10</v>
      </c>
      <c r="FX43" s="258">
        <v>129</v>
      </c>
      <c r="FY43" s="115">
        <v>20</v>
      </c>
      <c r="FZ43" s="115">
        <v>11</v>
      </c>
      <c r="GA43" s="115">
        <v>1</v>
      </c>
      <c r="GB43" s="257">
        <v>161</v>
      </c>
      <c r="GC43" s="117"/>
      <c r="GD43" s="258">
        <v>509</v>
      </c>
      <c r="GE43" s="115">
        <v>19</v>
      </c>
      <c r="GF43" s="257">
        <v>528</v>
      </c>
      <c r="GG43" s="117"/>
      <c r="GH43" s="258">
        <v>51</v>
      </c>
      <c r="GI43" s="115"/>
      <c r="GJ43" s="115"/>
      <c r="GK43" s="257">
        <v>51</v>
      </c>
      <c r="GL43" s="117">
        <v>12</v>
      </c>
      <c r="GM43" s="258">
        <v>0</v>
      </c>
      <c r="GN43" s="115"/>
      <c r="GO43" s="115">
        <v>14</v>
      </c>
      <c r="GP43" s="115"/>
      <c r="GQ43" s="257">
        <v>14</v>
      </c>
      <c r="GR43" s="117">
        <v>140388</v>
      </c>
      <c r="GS43" s="324">
        <f>140388/49209180</f>
        <v>2.852882328053424E-3</v>
      </c>
      <c r="GT43" s="293"/>
      <c r="GU43" s="293"/>
      <c r="GV43" s="293"/>
      <c r="GW43" s="293"/>
      <c r="GX43" s="293"/>
      <c r="GY43" s="293"/>
      <c r="GZ43" s="293"/>
      <c r="HA43" s="293"/>
      <c r="HB43" s="293"/>
      <c r="HC43" s="293"/>
      <c r="HD43" s="293"/>
      <c r="HE43" s="293"/>
      <c r="HF43" s="293"/>
      <c r="HG43" s="293"/>
      <c r="HH43" s="293"/>
      <c r="HI43" s="293"/>
      <c r="HJ43" s="293"/>
      <c r="HK43" s="293"/>
      <c r="HL43" s="293"/>
      <c r="HM43" s="293"/>
      <c r="HN43" s="293"/>
      <c r="HO43" s="293"/>
      <c r="HP43" s="293"/>
      <c r="HQ43" s="293"/>
      <c r="HR43" s="293"/>
      <c r="HS43" s="293"/>
      <c r="HT43" s="293"/>
      <c r="HU43" s="293"/>
      <c r="HV43" s="293"/>
      <c r="HW43" s="293"/>
      <c r="HX43" s="294"/>
    </row>
    <row r="44" spans="2:232" ht="12.75" x14ac:dyDescent="0.2">
      <c r="B44" s="259" t="s">
        <v>220</v>
      </c>
      <c r="C44" s="258">
        <v>9</v>
      </c>
      <c r="D44" s="115">
        <v>0</v>
      </c>
      <c r="E44" s="115"/>
      <c r="F44" s="115"/>
      <c r="G44" s="257">
        <v>9</v>
      </c>
      <c r="H44" s="117"/>
      <c r="I44" s="258"/>
      <c r="J44" s="115"/>
      <c r="K44" s="257"/>
      <c r="L44" s="117"/>
      <c r="M44" s="116">
        <v>345</v>
      </c>
      <c r="N44" s="117">
        <v>297</v>
      </c>
      <c r="O44" s="115">
        <v>2</v>
      </c>
      <c r="P44" s="115">
        <v>85</v>
      </c>
      <c r="Q44" s="115">
        <v>24</v>
      </c>
      <c r="R44" s="115">
        <v>6</v>
      </c>
      <c r="S44" s="115">
        <v>30</v>
      </c>
      <c r="T44" s="115"/>
      <c r="U44" s="115"/>
      <c r="V44" s="117">
        <v>444</v>
      </c>
      <c r="W44" s="258">
        <v>1</v>
      </c>
      <c r="X44" s="115">
        <v>0</v>
      </c>
      <c r="Y44" s="257">
        <v>1</v>
      </c>
      <c r="Z44" s="117">
        <v>24</v>
      </c>
      <c r="AA44" s="115"/>
      <c r="AB44" s="117">
        <v>24</v>
      </c>
      <c r="AC44" s="258">
        <v>884</v>
      </c>
      <c r="AD44" s="115">
        <v>0</v>
      </c>
      <c r="AE44" s="115"/>
      <c r="AF44" s="257">
        <v>884</v>
      </c>
      <c r="AG44" s="117">
        <v>7</v>
      </c>
      <c r="AH44" s="115"/>
      <c r="AI44" s="115"/>
      <c r="AJ44" s="115"/>
      <c r="AK44" s="117">
        <v>7</v>
      </c>
      <c r="AL44" s="258"/>
      <c r="AM44" s="115"/>
      <c r="AN44" s="257"/>
      <c r="AO44" s="117"/>
      <c r="AP44" s="116"/>
      <c r="AQ44" s="117"/>
      <c r="AR44" s="115"/>
      <c r="AS44" s="115"/>
      <c r="AT44" s="117"/>
      <c r="AU44" s="258">
        <v>5</v>
      </c>
      <c r="AV44" s="115"/>
      <c r="AW44" s="115"/>
      <c r="AX44" s="115"/>
      <c r="AY44" s="115"/>
      <c r="AZ44" s="115"/>
      <c r="BA44" s="115"/>
      <c r="BB44" s="115"/>
      <c r="BC44" s="257">
        <v>5</v>
      </c>
      <c r="BD44" s="117">
        <v>0</v>
      </c>
      <c r="BE44" s="116"/>
      <c r="BF44" s="117">
        <v>7</v>
      </c>
      <c r="BG44" s="115">
        <v>78</v>
      </c>
      <c r="BH44" s="115">
        <v>82</v>
      </c>
      <c r="BI44" s="115">
        <v>26</v>
      </c>
      <c r="BJ44" s="115">
        <v>16</v>
      </c>
      <c r="BK44" s="115"/>
      <c r="BL44" s="117">
        <v>209</v>
      </c>
      <c r="BM44" s="116"/>
      <c r="BN44" s="116"/>
      <c r="BO44" s="116"/>
      <c r="BP44" s="116"/>
      <c r="BQ44" s="117">
        <v>3</v>
      </c>
      <c r="BR44" s="115"/>
      <c r="BS44" s="117">
        <v>3</v>
      </c>
      <c r="BT44" s="116"/>
      <c r="BU44" s="117">
        <v>2</v>
      </c>
      <c r="BV44" s="115"/>
      <c r="BW44" s="115"/>
      <c r="BX44" s="117">
        <v>2</v>
      </c>
      <c r="BY44" s="258"/>
      <c r="BZ44" s="115"/>
      <c r="CA44" s="115"/>
      <c r="CB44" s="115"/>
      <c r="CC44" s="115"/>
      <c r="CD44" s="115"/>
      <c r="CE44" s="115"/>
      <c r="CF44" s="115"/>
      <c r="CG44" s="115"/>
      <c r="CH44" s="115"/>
      <c r="CI44" s="115"/>
      <c r="CJ44" s="115"/>
      <c r="CK44" s="115"/>
      <c r="CL44" s="115"/>
      <c r="CM44" s="115"/>
      <c r="CN44" s="257"/>
      <c r="CO44" s="117"/>
      <c r="CP44" s="115"/>
      <c r="CQ44" s="117"/>
      <c r="CR44" s="116"/>
      <c r="CS44" s="117">
        <v>53</v>
      </c>
      <c r="CT44" s="115"/>
      <c r="CU44" s="115">
        <v>33925</v>
      </c>
      <c r="CV44" s="115">
        <v>519</v>
      </c>
      <c r="CW44" s="115">
        <v>1724</v>
      </c>
      <c r="CX44" s="115">
        <v>3</v>
      </c>
      <c r="CY44" s="115">
        <v>2</v>
      </c>
      <c r="CZ44" s="115">
        <v>2</v>
      </c>
      <c r="DA44" s="115">
        <v>3</v>
      </c>
      <c r="DB44" s="115"/>
      <c r="DC44" s="115"/>
      <c r="DD44" s="117">
        <v>36231</v>
      </c>
      <c r="DE44" s="258">
        <v>110</v>
      </c>
      <c r="DF44" s="115">
        <v>1</v>
      </c>
      <c r="DG44" s="115">
        <v>57</v>
      </c>
      <c r="DH44" s="115">
        <v>94</v>
      </c>
      <c r="DI44" s="115">
        <v>21</v>
      </c>
      <c r="DJ44" s="115"/>
      <c r="DK44" s="115"/>
      <c r="DL44" s="257">
        <v>283</v>
      </c>
      <c r="DM44" s="117"/>
      <c r="DN44" s="116"/>
      <c r="DO44" s="117"/>
      <c r="DP44" s="115"/>
      <c r="DQ44" s="117"/>
      <c r="DR44" s="116">
        <v>18</v>
      </c>
      <c r="DS44" s="117"/>
      <c r="DT44" s="115"/>
      <c r="DU44" s="117"/>
      <c r="DV44" s="258">
        <v>1</v>
      </c>
      <c r="DW44" s="115"/>
      <c r="DX44" s="257">
        <v>1</v>
      </c>
      <c r="DY44" s="117"/>
      <c r="DZ44" s="116"/>
      <c r="EA44" s="117">
        <v>5</v>
      </c>
      <c r="EB44" s="115"/>
      <c r="EC44" s="117">
        <v>5</v>
      </c>
      <c r="ED44" s="116"/>
      <c r="EE44" s="116"/>
      <c r="EF44" s="117">
        <v>8</v>
      </c>
      <c r="EG44" s="115">
        <v>13</v>
      </c>
      <c r="EH44" s="115"/>
      <c r="EI44" s="115"/>
      <c r="EJ44" s="115"/>
      <c r="EK44" s="115"/>
      <c r="EL44" s="117">
        <v>21</v>
      </c>
      <c r="EM44" s="258">
        <v>19</v>
      </c>
      <c r="EN44" s="115">
        <v>76</v>
      </c>
      <c r="EO44" s="115">
        <v>10</v>
      </c>
      <c r="EP44" s="115">
        <v>123</v>
      </c>
      <c r="EQ44" s="115">
        <v>68</v>
      </c>
      <c r="ER44" s="115">
        <v>4</v>
      </c>
      <c r="ES44" s="115">
        <v>90</v>
      </c>
      <c r="ET44" s="115">
        <v>7</v>
      </c>
      <c r="EU44" s="115">
        <v>9</v>
      </c>
      <c r="EV44" s="115">
        <v>0</v>
      </c>
      <c r="EW44" s="115"/>
      <c r="EX44" s="115">
        <v>2</v>
      </c>
      <c r="EY44" s="115"/>
      <c r="EZ44" s="257">
        <v>408</v>
      </c>
      <c r="FA44" s="117"/>
      <c r="FB44" s="116"/>
      <c r="FC44" s="117"/>
      <c r="FD44" s="115"/>
      <c r="FE44" s="115"/>
      <c r="FF44" s="117"/>
      <c r="FG44" s="116"/>
      <c r="FH44" s="116"/>
      <c r="FI44" s="117"/>
      <c r="FJ44" s="115"/>
      <c r="FK44" s="115"/>
      <c r="FL44" s="115"/>
      <c r="FM44" s="117"/>
      <c r="FN44" s="258"/>
      <c r="FO44" s="115"/>
      <c r="FP44" s="257"/>
      <c r="FQ44" s="117"/>
      <c r="FR44" s="115"/>
      <c r="FS44" s="117"/>
      <c r="FT44" s="116"/>
      <c r="FU44" s="117">
        <v>9</v>
      </c>
      <c r="FV44" s="115"/>
      <c r="FW44" s="117">
        <v>9</v>
      </c>
      <c r="FX44" s="258"/>
      <c r="FY44" s="115"/>
      <c r="FZ44" s="115"/>
      <c r="GA44" s="115"/>
      <c r="GB44" s="257"/>
      <c r="GC44" s="117"/>
      <c r="GD44" s="258">
        <v>9</v>
      </c>
      <c r="GE44" s="115"/>
      <c r="GF44" s="257">
        <v>9</v>
      </c>
      <c r="GG44" s="117"/>
      <c r="GH44" s="258">
        <v>1</v>
      </c>
      <c r="GI44" s="115"/>
      <c r="GJ44" s="115"/>
      <c r="GK44" s="257">
        <v>1</v>
      </c>
      <c r="GL44" s="117"/>
      <c r="GM44" s="258">
        <v>13</v>
      </c>
      <c r="GN44" s="115"/>
      <c r="GO44" s="115"/>
      <c r="GP44" s="115"/>
      <c r="GQ44" s="257">
        <v>13</v>
      </c>
      <c r="GR44" s="117">
        <v>38932</v>
      </c>
      <c r="GS44" s="324">
        <f>38932/49209180</f>
        <v>7.9115319539972012E-4</v>
      </c>
      <c r="GT44" s="293"/>
      <c r="GU44" s="293"/>
      <c r="GV44" s="293"/>
      <c r="GW44" s="293"/>
      <c r="GX44" s="293"/>
      <c r="GY44" s="293"/>
      <c r="GZ44" s="293"/>
      <c r="HA44" s="293"/>
      <c r="HB44" s="293"/>
      <c r="HC44" s="293"/>
      <c r="HD44" s="293"/>
      <c r="HE44" s="293"/>
      <c r="HF44" s="293"/>
      <c r="HG44" s="293"/>
      <c r="HH44" s="293"/>
      <c r="HI44" s="293"/>
      <c r="HJ44" s="293"/>
      <c r="HK44" s="293"/>
      <c r="HL44" s="293"/>
      <c r="HM44" s="293"/>
      <c r="HN44" s="293"/>
      <c r="HO44" s="293"/>
      <c r="HP44" s="293"/>
      <c r="HQ44" s="293"/>
      <c r="HR44" s="293"/>
      <c r="HS44" s="293"/>
      <c r="HT44" s="293"/>
      <c r="HU44" s="293"/>
      <c r="HV44" s="293"/>
      <c r="HW44" s="293"/>
      <c r="HX44" s="294"/>
    </row>
    <row r="45" spans="2:232" ht="12.75" x14ac:dyDescent="0.2">
      <c r="B45" s="259" t="s">
        <v>237</v>
      </c>
      <c r="C45" s="258">
        <v>20</v>
      </c>
      <c r="D45" s="115">
        <v>8</v>
      </c>
      <c r="E45" s="115"/>
      <c r="F45" s="115">
        <v>8</v>
      </c>
      <c r="G45" s="257">
        <v>36</v>
      </c>
      <c r="H45" s="117"/>
      <c r="I45" s="258"/>
      <c r="J45" s="115"/>
      <c r="K45" s="257"/>
      <c r="L45" s="117"/>
      <c r="M45" s="116">
        <v>362</v>
      </c>
      <c r="N45" s="117">
        <v>1757</v>
      </c>
      <c r="O45" s="115">
        <v>33</v>
      </c>
      <c r="P45" s="115">
        <v>102</v>
      </c>
      <c r="Q45" s="115">
        <v>9</v>
      </c>
      <c r="R45" s="115"/>
      <c r="S45" s="115">
        <v>4</v>
      </c>
      <c r="T45" s="115">
        <v>0</v>
      </c>
      <c r="U45" s="115"/>
      <c r="V45" s="117">
        <v>1905</v>
      </c>
      <c r="W45" s="258">
        <v>1</v>
      </c>
      <c r="X45" s="115">
        <v>3</v>
      </c>
      <c r="Y45" s="257">
        <v>4</v>
      </c>
      <c r="Z45" s="117">
        <v>430</v>
      </c>
      <c r="AA45" s="115"/>
      <c r="AB45" s="117">
        <v>430</v>
      </c>
      <c r="AC45" s="258">
        <v>458</v>
      </c>
      <c r="AD45" s="115"/>
      <c r="AE45" s="115"/>
      <c r="AF45" s="257">
        <v>458</v>
      </c>
      <c r="AG45" s="117">
        <v>2</v>
      </c>
      <c r="AH45" s="115"/>
      <c r="AI45" s="115"/>
      <c r="AJ45" s="115"/>
      <c r="AK45" s="117">
        <v>2</v>
      </c>
      <c r="AL45" s="258"/>
      <c r="AM45" s="115"/>
      <c r="AN45" s="257"/>
      <c r="AO45" s="117"/>
      <c r="AP45" s="116"/>
      <c r="AQ45" s="117"/>
      <c r="AR45" s="115"/>
      <c r="AS45" s="115"/>
      <c r="AT45" s="117"/>
      <c r="AU45" s="258">
        <v>6</v>
      </c>
      <c r="AV45" s="115"/>
      <c r="AW45" s="115">
        <v>7</v>
      </c>
      <c r="AX45" s="115"/>
      <c r="AY45" s="115">
        <v>32</v>
      </c>
      <c r="AZ45" s="115"/>
      <c r="BA45" s="115"/>
      <c r="BB45" s="115"/>
      <c r="BC45" s="257">
        <v>45</v>
      </c>
      <c r="BD45" s="117"/>
      <c r="BE45" s="116">
        <v>1</v>
      </c>
      <c r="BF45" s="117">
        <v>6</v>
      </c>
      <c r="BG45" s="115">
        <v>24</v>
      </c>
      <c r="BH45" s="115">
        <v>73</v>
      </c>
      <c r="BI45" s="115">
        <v>7</v>
      </c>
      <c r="BJ45" s="115">
        <v>4</v>
      </c>
      <c r="BK45" s="115"/>
      <c r="BL45" s="117">
        <v>114</v>
      </c>
      <c r="BM45" s="116"/>
      <c r="BN45" s="116"/>
      <c r="BO45" s="116">
        <v>45</v>
      </c>
      <c r="BP45" s="116">
        <v>1</v>
      </c>
      <c r="BQ45" s="117">
        <v>3</v>
      </c>
      <c r="BR45" s="115"/>
      <c r="BS45" s="117">
        <v>3</v>
      </c>
      <c r="BT45" s="116"/>
      <c r="BU45" s="117"/>
      <c r="BV45" s="115"/>
      <c r="BW45" s="115"/>
      <c r="BX45" s="117"/>
      <c r="BY45" s="258"/>
      <c r="BZ45" s="115"/>
      <c r="CA45" s="115"/>
      <c r="CB45" s="115">
        <v>0</v>
      </c>
      <c r="CC45" s="115">
        <v>1</v>
      </c>
      <c r="CD45" s="115"/>
      <c r="CE45" s="115">
        <v>4</v>
      </c>
      <c r="CF45" s="115"/>
      <c r="CG45" s="115">
        <v>7</v>
      </c>
      <c r="CH45" s="115"/>
      <c r="CI45" s="115"/>
      <c r="CJ45" s="115"/>
      <c r="CK45" s="115"/>
      <c r="CL45" s="115"/>
      <c r="CM45" s="115"/>
      <c r="CN45" s="257">
        <v>12</v>
      </c>
      <c r="CO45" s="117">
        <v>3</v>
      </c>
      <c r="CP45" s="115"/>
      <c r="CQ45" s="117">
        <v>3</v>
      </c>
      <c r="CR45" s="116"/>
      <c r="CS45" s="117">
        <v>19</v>
      </c>
      <c r="CT45" s="115"/>
      <c r="CU45" s="115">
        <v>30708</v>
      </c>
      <c r="CV45" s="115">
        <v>287</v>
      </c>
      <c r="CW45" s="115">
        <v>3145</v>
      </c>
      <c r="CX45" s="115">
        <v>39</v>
      </c>
      <c r="CY45" s="115">
        <v>29</v>
      </c>
      <c r="CZ45" s="115"/>
      <c r="DA45" s="115">
        <v>1</v>
      </c>
      <c r="DB45" s="115"/>
      <c r="DC45" s="115"/>
      <c r="DD45" s="117">
        <v>34228</v>
      </c>
      <c r="DE45" s="258">
        <v>214</v>
      </c>
      <c r="DF45" s="115">
        <v>59</v>
      </c>
      <c r="DG45" s="115">
        <v>21</v>
      </c>
      <c r="DH45" s="115">
        <v>26</v>
      </c>
      <c r="DI45" s="115">
        <v>5</v>
      </c>
      <c r="DJ45" s="115"/>
      <c r="DK45" s="115"/>
      <c r="DL45" s="257">
        <v>325</v>
      </c>
      <c r="DM45" s="117"/>
      <c r="DN45" s="116"/>
      <c r="DO45" s="117"/>
      <c r="DP45" s="115"/>
      <c r="DQ45" s="117"/>
      <c r="DR45" s="116">
        <v>16</v>
      </c>
      <c r="DS45" s="117"/>
      <c r="DT45" s="115"/>
      <c r="DU45" s="117"/>
      <c r="DV45" s="258">
        <v>80</v>
      </c>
      <c r="DW45" s="115"/>
      <c r="DX45" s="257">
        <v>80</v>
      </c>
      <c r="DY45" s="117">
        <v>2</v>
      </c>
      <c r="DZ45" s="116"/>
      <c r="EA45" s="117">
        <v>17</v>
      </c>
      <c r="EB45" s="115"/>
      <c r="EC45" s="117">
        <v>17</v>
      </c>
      <c r="ED45" s="116"/>
      <c r="EE45" s="116"/>
      <c r="EF45" s="117">
        <v>11</v>
      </c>
      <c r="EG45" s="115">
        <v>14</v>
      </c>
      <c r="EH45" s="115">
        <v>4</v>
      </c>
      <c r="EI45" s="115"/>
      <c r="EJ45" s="115"/>
      <c r="EK45" s="115"/>
      <c r="EL45" s="117">
        <v>29</v>
      </c>
      <c r="EM45" s="258">
        <v>63</v>
      </c>
      <c r="EN45" s="115">
        <v>325</v>
      </c>
      <c r="EO45" s="115">
        <v>4</v>
      </c>
      <c r="EP45" s="115">
        <v>126</v>
      </c>
      <c r="EQ45" s="115">
        <v>153</v>
      </c>
      <c r="ER45" s="115">
        <v>8</v>
      </c>
      <c r="ES45" s="115">
        <v>83</v>
      </c>
      <c r="ET45" s="115">
        <v>5</v>
      </c>
      <c r="EU45" s="115">
        <v>2</v>
      </c>
      <c r="EV45" s="115">
        <v>1</v>
      </c>
      <c r="EW45" s="115"/>
      <c r="EX45" s="115">
        <v>18</v>
      </c>
      <c r="EY45" s="115"/>
      <c r="EZ45" s="257">
        <v>788</v>
      </c>
      <c r="FA45" s="117"/>
      <c r="FB45" s="116">
        <v>32</v>
      </c>
      <c r="FC45" s="117">
        <v>0</v>
      </c>
      <c r="FD45" s="115"/>
      <c r="FE45" s="115">
        <v>4</v>
      </c>
      <c r="FF45" s="117">
        <v>4</v>
      </c>
      <c r="FG45" s="116"/>
      <c r="FH45" s="116"/>
      <c r="FI45" s="117">
        <v>1</v>
      </c>
      <c r="FJ45" s="115"/>
      <c r="FK45" s="115"/>
      <c r="FL45" s="115"/>
      <c r="FM45" s="117">
        <v>1</v>
      </c>
      <c r="FN45" s="258"/>
      <c r="FO45" s="115"/>
      <c r="FP45" s="257"/>
      <c r="FQ45" s="117"/>
      <c r="FR45" s="115"/>
      <c r="FS45" s="117"/>
      <c r="FT45" s="116"/>
      <c r="FU45" s="117"/>
      <c r="FV45" s="115"/>
      <c r="FW45" s="117"/>
      <c r="FX45" s="258"/>
      <c r="FY45" s="115">
        <v>9</v>
      </c>
      <c r="FZ45" s="115"/>
      <c r="GA45" s="115">
        <v>17</v>
      </c>
      <c r="GB45" s="257">
        <v>26</v>
      </c>
      <c r="GC45" s="117"/>
      <c r="GD45" s="258">
        <v>74</v>
      </c>
      <c r="GE45" s="115">
        <v>1</v>
      </c>
      <c r="GF45" s="257">
        <v>75</v>
      </c>
      <c r="GG45" s="117"/>
      <c r="GH45" s="258">
        <v>5</v>
      </c>
      <c r="GI45" s="115"/>
      <c r="GJ45" s="115"/>
      <c r="GK45" s="257">
        <v>5</v>
      </c>
      <c r="GL45" s="117"/>
      <c r="GM45" s="258">
        <v>1</v>
      </c>
      <c r="GN45" s="115">
        <v>1</v>
      </c>
      <c r="GO45" s="115"/>
      <c r="GP45" s="115"/>
      <c r="GQ45" s="257">
        <v>2</v>
      </c>
      <c r="GR45" s="117">
        <v>39051</v>
      </c>
      <c r="GS45" s="324">
        <f>39051/49209180</f>
        <v>7.9357144337702842E-4</v>
      </c>
      <c r="GT45" s="293"/>
      <c r="GU45" s="293"/>
      <c r="GV45" s="293"/>
      <c r="GW45" s="293"/>
      <c r="GX45" s="293"/>
      <c r="GY45" s="293"/>
      <c r="GZ45" s="293"/>
      <c r="HA45" s="293"/>
      <c r="HB45" s="293"/>
      <c r="HC45" s="293"/>
      <c r="HD45" s="293"/>
      <c r="HE45" s="293"/>
      <c r="HF45" s="293"/>
      <c r="HG45" s="293"/>
      <c r="HH45" s="293"/>
      <c r="HI45" s="293"/>
      <c r="HJ45" s="293"/>
      <c r="HK45" s="293"/>
      <c r="HL45" s="293"/>
      <c r="HM45" s="293"/>
      <c r="HN45" s="293"/>
      <c r="HO45" s="293"/>
      <c r="HP45" s="293"/>
      <c r="HQ45" s="293"/>
      <c r="HR45" s="293"/>
      <c r="HS45" s="293"/>
      <c r="HT45" s="293"/>
      <c r="HU45" s="293"/>
      <c r="HV45" s="293"/>
      <c r="HW45" s="293"/>
      <c r="HX45" s="294"/>
    </row>
    <row r="46" spans="2:232" ht="13.5" thickBot="1" x14ac:dyDescent="0.25">
      <c r="B46" s="325" t="s">
        <v>554</v>
      </c>
      <c r="C46" s="326">
        <v>47</v>
      </c>
      <c r="D46" s="327">
        <v>9</v>
      </c>
      <c r="E46" s="327">
        <v>0</v>
      </c>
      <c r="F46" s="327">
        <v>6</v>
      </c>
      <c r="G46" s="328">
        <v>62</v>
      </c>
      <c r="H46" s="329"/>
      <c r="I46" s="326">
        <v>1253</v>
      </c>
      <c r="J46" s="327">
        <v>0</v>
      </c>
      <c r="K46" s="328">
        <v>1253</v>
      </c>
      <c r="L46" s="329"/>
      <c r="M46" s="330">
        <v>4905</v>
      </c>
      <c r="N46" s="329">
        <v>9239</v>
      </c>
      <c r="O46" s="327">
        <v>55</v>
      </c>
      <c r="P46" s="327">
        <v>348</v>
      </c>
      <c r="Q46" s="327">
        <v>43</v>
      </c>
      <c r="R46" s="327"/>
      <c r="S46" s="327">
        <v>92</v>
      </c>
      <c r="T46" s="327">
        <v>0</v>
      </c>
      <c r="U46" s="327"/>
      <c r="V46" s="329">
        <v>9777</v>
      </c>
      <c r="W46" s="326">
        <v>11</v>
      </c>
      <c r="X46" s="327">
        <v>2</v>
      </c>
      <c r="Y46" s="328">
        <v>13</v>
      </c>
      <c r="Z46" s="329">
        <v>111</v>
      </c>
      <c r="AA46" s="327"/>
      <c r="AB46" s="329">
        <v>111</v>
      </c>
      <c r="AC46" s="326">
        <v>2567</v>
      </c>
      <c r="AD46" s="327"/>
      <c r="AE46" s="327"/>
      <c r="AF46" s="328">
        <v>2567</v>
      </c>
      <c r="AG46" s="329">
        <v>37</v>
      </c>
      <c r="AH46" s="327"/>
      <c r="AI46" s="327">
        <v>33</v>
      </c>
      <c r="AJ46" s="327"/>
      <c r="AK46" s="329">
        <v>70</v>
      </c>
      <c r="AL46" s="326"/>
      <c r="AM46" s="327"/>
      <c r="AN46" s="328"/>
      <c r="AO46" s="329"/>
      <c r="AP46" s="330"/>
      <c r="AQ46" s="329"/>
      <c r="AR46" s="327">
        <v>77</v>
      </c>
      <c r="AS46" s="327"/>
      <c r="AT46" s="329">
        <v>77</v>
      </c>
      <c r="AU46" s="326">
        <v>79</v>
      </c>
      <c r="AV46" s="327"/>
      <c r="AW46" s="327">
        <v>23</v>
      </c>
      <c r="AX46" s="327"/>
      <c r="AY46" s="327">
        <v>7</v>
      </c>
      <c r="AZ46" s="327"/>
      <c r="BA46" s="327">
        <v>14</v>
      </c>
      <c r="BB46" s="327">
        <v>21</v>
      </c>
      <c r="BC46" s="328">
        <v>144</v>
      </c>
      <c r="BD46" s="329">
        <v>6</v>
      </c>
      <c r="BE46" s="330">
        <v>0</v>
      </c>
      <c r="BF46" s="329">
        <v>89</v>
      </c>
      <c r="BG46" s="327">
        <v>230</v>
      </c>
      <c r="BH46" s="327">
        <v>1719</v>
      </c>
      <c r="BI46" s="327">
        <v>61</v>
      </c>
      <c r="BJ46" s="327">
        <v>8</v>
      </c>
      <c r="BK46" s="327"/>
      <c r="BL46" s="329">
        <v>2107</v>
      </c>
      <c r="BM46" s="330">
        <v>0</v>
      </c>
      <c r="BN46" s="330"/>
      <c r="BO46" s="330">
        <v>8</v>
      </c>
      <c r="BP46" s="330">
        <v>4</v>
      </c>
      <c r="BQ46" s="329">
        <v>64</v>
      </c>
      <c r="BR46" s="327">
        <v>0</v>
      </c>
      <c r="BS46" s="329">
        <v>64</v>
      </c>
      <c r="BT46" s="330">
        <v>3</v>
      </c>
      <c r="BU46" s="329">
        <v>38</v>
      </c>
      <c r="BV46" s="327"/>
      <c r="BW46" s="327"/>
      <c r="BX46" s="329">
        <v>38</v>
      </c>
      <c r="BY46" s="326">
        <v>3</v>
      </c>
      <c r="BZ46" s="327"/>
      <c r="CA46" s="327">
        <v>5</v>
      </c>
      <c r="CB46" s="327">
        <v>15</v>
      </c>
      <c r="CC46" s="327">
        <v>20</v>
      </c>
      <c r="CD46" s="327">
        <v>9</v>
      </c>
      <c r="CE46" s="327">
        <v>18</v>
      </c>
      <c r="CF46" s="327"/>
      <c r="CG46" s="327">
        <v>11</v>
      </c>
      <c r="CH46" s="327">
        <v>1</v>
      </c>
      <c r="CI46" s="327">
        <v>17</v>
      </c>
      <c r="CJ46" s="327">
        <v>8</v>
      </c>
      <c r="CK46" s="327">
        <v>0</v>
      </c>
      <c r="CL46" s="327">
        <v>3</v>
      </c>
      <c r="CM46" s="327"/>
      <c r="CN46" s="328">
        <v>110</v>
      </c>
      <c r="CO46" s="329">
        <v>6</v>
      </c>
      <c r="CP46" s="327">
        <v>133</v>
      </c>
      <c r="CQ46" s="329">
        <v>139</v>
      </c>
      <c r="CR46" s="330">
        <v>9</v>
      </c>
      <c r="CS46" s="329">
        <v>44</v>
      </c>
      <c r="CT46" s="327">
        <v>2</v>
      </c>
      <c r="CU46" s="327">
        <v>149365</v>
      </c>
      <c r="CV46" s="327">
        <v>1486</v>
      </c>
      <c r="CW46" s="327">
        <v>18743</v>
      </c>
      <c r="CX46" s="327">
        <v>322</v>
      </c>
      <c r="CY46" s="327">
        <v>63</v>
      </c>
      <c r="CZ46" s="327">
        <v>12</v>
      </c>
      <c r="DA46" s="327">
        <v>6</v>
      </c>
      <c r="DB46" s="327"/>
      <c r="DC46" s="327"/>
      <c r="DD46" s="329">
        <v>170043</v>
      </c>
      <c r="DE46" s="326">
        <v>1133</v>
      </c>
      <c r="DF46" s="327">
        <v>62</v>
      </c>
      <c r="DG46" s="327">
        <v>433</v>
      </c>
      <c r="DH46" s="327">
        <v>165</v>
      </c>
      <c r="DI46" s="327">
        <v>20</v>
      </c>
      <c r="DJ46" s="327"/>
      <c r="DK46" s="327"/>
      <c r="DL46" s="328">
        <v>1813</v>
      </c>
      <c r="DM46" s="329"/>
      <c r="DN46" s="330"/>
      <c r="DO46" s="329">
        <v>2</v>
      </c>
      <c r="DP46" s="327"/>
      <c r="DQ46" s="329">
        <v>2</v>
      </c>
      <c r="DR46" s="330">
        <v>119</v>
      </c>
      <c r="DS46" s="329"/>
      <c r="DT46" s="327"/>
      <c r="DU46" s="329"/>
      <c r="DV46" s="326">
        <v>555</v>
      </c>
      <c r="DW46" s="327">
        <v>0</v>
      </c>
      <c r="DX46" s="328">
        <v>555</v>
      </c>
      <c r="DY46" s="329">
        <v>21</v>
      </c>
      <c r="DZ46" s="330">
        <v>15</v>
      </c>
      <c r="EA46" s="329">
        <v>126</v>
      </c>
      <c r="EB46" s="327"/>
      <c r="EC46" s="329">
        <v>126</v>
      </c>
      <c r="ED46" s="330">
        <v>0</v>
      </c>
      <c r="EE46" s="330"/>
      <c r="EF46" s="329">
        <v>735</v>
      </c>
      <c r="EG46" s="327">
        <v>37</v>
      </c>
      <c r="EH46" s="327">
        <v>13</v>
      </c>
      <c r="EI46" s="327"/>
      <c r="EJ46" s="327"/>
      <c r="EK46" s="327"/>
      <c r="EL46" s="329">
        <v>785</v>
      </c>
      <c r="EM46" s="326">
        <v>73</v>
      </c>
      <c r="EN46" s="327">
        <v>566</v>
      </c>
      <c r="EO46" s="327">
        <v>112</v>
      </c>
      <c r="EP46" s="327">
        <v>654</v>
      </c>
      <c r="EQ46" s="327">
        <v>350</v>
      </c>
      <c r="ER46" s="327">
        <v>6</v>
      </c>
      <c r="ES46" s="327">
        <v>310</v>
      </c>
      <c r="ET46" s="327">
        <v>2</v>
      </c>
      <c r="EU46" s="327">
        <v>1</v>
      </c>
      <c r="EV46" s="327">
        <v>2</v>
      </c>
      <c r="EW46" s="327"/>
      <c r="EX46" s="327">
        <v>10</v>
      </c>
      <c r="EY46" s="327"/>
      <c r="EZ46" s="328">
        <v>2086</v>
      </c>
      <c r="FA46" s="329"/>
      <c r="FB46" s="330"/>
      <c r="FC46" s="329">
        <v>5</v>
      </c>
      <c r="FD46" s="327"/>
      <c r="FE46" s="327">
        <v>5</v>
      </c>
      <c r="FF46" s="329">
        <v>10</v>
      </c>
      <c r="FG46" s="330"/>
      <c r="FH46" s="330">
        <v>15</v>
      </c>
      <c r="FI46" s="329">
        <v>24</v>
      </c>
      <c r="FJ46" s="327">
        <v>30</v>
      </c>
      <c r="FK46" s="327">
        <v>11</v>
      </c>
      <c r="FL46" s="327">
        <v>44</v>
      </c>
      <c r="FM46" s="329">
        <v>109</v>
      </c>
      <c r="FN46" s="326"/>
      <c r="FO46" s="327"/>
      <c r="FP46" s="328"/>
      <c r="FQ46" s="329"/>
      <c r="FR46" s="327"/>
      <c r="FS46" s="329"/>
      <c r="FT46" s="330"/>
      <c r="FU46" s="329">
        <v>41</v>
      </c>
      <c r="FV46" s="327"/>
      <c r="FW46" s="329">
        <v>41</v>
      </c>
      <c r="FX46" s="326">
        <v>8</v>
      </c>
      <c r="FY46" s="327">
        <v>93</v>
      </c>
      <c r="FZ46" s="327">
        <v>34</v>
      </c>
      <c r="GA46" s="327">
        <v>21</v>
      </c>
      <c r="GB46" s="328">
        <v>156</v>
      </c>
      <c r="GC46" s="329"/>
      <c r="GD46" s="326">
        <v>489</v>
      </c>
      <c r="GE46" s="327">
        <v>6</v>
      </c>
      <c r="GF46" s="328">
        <v>495</v>
      </c>
      <c r="GG46" s="329"/>
      <c r="GH46" s="326">
        <v>230</v>
      </c>
      <c r="GI46" s="327">
        <v>10</v>
      </c>
      <c r="GJ46" s="327"/>
      <c r="GK46" s="328">
        <v>240</v>
      </c>
      <c r="GL46" s="329">
        <v>89</v>
      </c>
      <c r="GM46" s="326">
        <v>225</v>
      </c>
      <c r="GN46" s="327">
        <v>3</v>
      </c>
      <c r="GO46" s="327">
        <v>235</v>
      </c>
      <c r="GP46" s="327"/>
      <c r="GQ46" s="328">
        <v>463</v>
      </c>
      <c r="GR46" s="329">
        <v>198650</v>
      </c>
      <c r="GS46" s="331">
        <f>198650/49209180</f>
        <v>4.0368484091789381E-3</v>
      </c>
      <c r="GT46" s="293"/>
      <c r="GU46" s="293"/>
      <c r="GV46" s="293"/>
      <c r="GW46" s="293"/>
      <c r="GX46" s="293"/>
      <c r="GY46" s="293"/>
      <c r="GZ46" s="293"/>
      <c r="HA46" s="293"/>
      <c r="HB46" s="293"/>
      <c r="HC46" s="293"/>
      <c r="HD46" s="293"/>
      <c r="HE46" s="293"/>
      <c r="HF46" s="293"/>
      <c r="HG46" s="293"/>
      <c r="HH46" s="293"/>
      <c r="HI46" s="293"/>
      <c r="HJ46" s="293"/>
      <c r="HK46" s="293"/>
      <c r="HL46" s="293"/>
      <c r="HM46" s="293"/>
      <c r="HN46" s="293"/>
      <c r="HO46" s="293"/>
      <c r="HP46" s="293"/>
      <c r="HQ46" s="293"/>
      <c r="HR46" s="293"/>
      <c r="HS46" s="293"/>
      <c r="HT46" s="293"/>
      <c r="HU46" s="293"/>
      <c r="HV46" s="293"/>
      <c r="HW46" s="293"/>
      <c r="HX46" s="294"/>
    </row>
    <row r="47" spans="2:232" ht="13.5" thickBot="1" x14ac:dyDescent="0.25">
      <c r="B47" s="332" t="s">
        <v>545</v>
      </c>
      <c r="C47" s="333">
        <v>2419</v>
      </c>
      <c r="D47" s="334">
        <v>336</v>
      </c>
      <c r="E47" s="334">
        <v>375</v>
      </c>
      <c r="F47" s="334">
        <v>322</v>
      </c>
      <c r="G47" s="335">
        <v>3452</v>
      </c>
      <c r="H47" s="336">
        <v>0</v>
      </c>
      <c r="I47" s="333">
        <v>380363</v>
      </c>
      <c r="J47" s="334">
        <v>0</v>
      </c>
      <c r="K47" s="335">
        <v>380363</v>
      </c>
      <c r="L47" s="336"/>
      <c r="M47" s="337">
        <v>88893</v>
      </c>
      <c r="N47" s="336">
        <v>134015</v>
      </c>
      <c r="O47" s="334">
        <v>9630</v>
      </c>
      <c r="P47" s="334">
        <v>11085</v>
      </c>
      <c r="Q47" s="334">
        <v>246</v>
      </c>
      <c r="R47" s="334">
        <v>12</v>
      </c>
      <c r="S47" s="334">
        <v>217</v>
      </c>
      <c r="T47" s="334">
        <v>3</v>
      </c>
      <c r="U47" s="334">
        <v>4</v>
      </c>
      <c r="V47" s="336">
        <v>155212</v>
      </c>
      <c r="W47" s="333">
        <v>3127</v>
      </c>
      <c r="X47" s="334">
        <v>7370</v>
      </c>
      <c r="Y47" s="335">
        <v>10497</v>
      </c>
      <c r="Z47" s="336">
        <v>29256</v>
      </c>
      <c r="AA47" s="334">
        <v>77</v>
      </c>
      <c r="AB47" s="336">
        <v>29333</v>
      </c>
      <c r="AC47" s="333">
        <v>14529</v>
      </c>
      <c r="AD47" s="334">
        <v>15</v>
      </c>
      <c r="AE47" s="334"/>
      <c r="AF47" s="335">
        <v>14544</v>
      </c>
      <c r="AG47" s="336">
        <v>88</v>
      </c>
      <c r="AH47" s="334">
        <v>4</v>
      </c>
      <c r="AI47" s="334">
        <v>554</v>
      </c>
      <c r="AJ47" s="334">
        <v>18</v>
      </c>
      <c r="AK47" s="336">
        <v>664</v>
      </c>
      <c r="AL47" s="333">
        <v>78</v>
      </c>
      <c r="AM47" s="334">
        <v>52</v>
      </c>
      <c r="AN47" s="335">
        <v>130</v>
      </c>
      <c r="AO47" s="336"/>
      <c r="AP47" s="337"/>
      <c r="AQ47" s="336">
        <v>13</v>
      </c>
      <c r="AR47" s="334">
        <v>2130</v>
      </c>
      <c r="AS47" s="334"/>
      <c r="AT47" s="336">
        <v>2143</v>
      </c>
      <c r="AU47" s="333">
        <v>806</v>
      </c>
      <c r="AV47" s="334">
        <v>2</v>
      </c>
      <c r="AW47" s="334">
        <v>3119</v>
      </c>
      <c r="AX47" s="334"/>
      <c r="AY47" s="334">
        <v>472</v>
      </c>
      <c r="AZ47" s="334">
        <v>2</v>
      </c>
      <c r="BA47" s="334">
        <v>88</v>
      </c>
      <c r="BB47" s="334">
        <v>107</v>
      </c>
      <c r="BC47" s="335">
        <v>4596</v>
      </c>
      <c r="BD47" s="336">
        <v>18304</v>
      </c>
      <c r="BE47" s="337">
        <v>31</v>
      </c>
      <c r="BF47" s="336">
        <v>2062</v>
      </c>
      <c r="BG47" s="334">
        <v>3521</v>
      </c>
      <c r="BH47" s="334">
        <v>17398</v>
      </c>
      <c r="BI47" s="334">
        <v>443</v>
      </c>
      <c r="BJ47" s="334">
        <v>143</v>
      </c>
      <c r="BK47" s="334">
        <v>236</v>
      </c>
      <c r="BL47" s="336">
        <v>23803</v>
      </c>
      <c r="BM47" s="337">
        <v>1</v>
      </c>
      <c r="BN47" s="337"/>
      <c r="BO47" s="337">
        <v>62</v>
      </c>
      <c r="BP47" s="337">
        <v>14</v>
      </c>
      <c r="BQ47" s="336">
        <v>616</v>
      </c>
      <c r="BR47" s="334">
        <v>6</v>
      </c>
      <c r="BS47" s="336">
        <v>622</v>
      </c>
      <c r="BT47" s="337">
        <v>344</v>
      </c>
      <c r="BU47" s="336">
        <v>146084</v>
      </c>
      <c r="BV47" s="334">
        <v>346</v>
      </c>
      <c r="BW47" s="334">
        <v>538</v>
      </c>
      <c r="BX47" s="336">
        <v>146968</v>
      </c>
      <c r="BY47" s="333">
        <v>109</v>
      </c>
      <c r="BZ47" s="334"/>
      <c r="CA47" s="334">
        <v>10</v>
      </c>
      <c r="CB47" s="334">
        <v>423</v>
      </c>
      <c r="CC47" s="334">
        <v>780</v>
      </c>
      <c r="CD47" s="334">
        <v>586</v>
      </c>
      <c r="CE47" s="334">
        <v>288</v>
      </c>
      <c r="CF47" s="334">
        <v>21</v>
      </c>
      <c r="CG47" s="334">
        <v>390</v>
      </c>
      <c r="CH47" s="334">
        <v>97</v>
      </c>
      <c r="CI47" s="334">
        <v>608</v>
      </c>
      <c r="CJ47" s="334">
        <v>8</v>
      </c>
      <c r="CK47" s="334">
        <v>380</v>
      </c>
      <c r="CL47" s="334">
        <v>76</v>
      </c>
      <c r="CM47" s="334"/>
      <c r="CN47" s="335">
        <v>3776</v>
      </c>
      <c r="CO47" s="336">
        <v>35706</v>
      </c>
      <c r="CP47" s="334">
        <v>133</v>
      </c>
      <c r="CQ47" s="336">
        <v>35839</v>
      </c>
      <c r="CR47" s="337">
        <v>12323</v>
      </c>
      <c r="CS47" s="336">
        <v>1192</v>
      </c>
      <c r="CT47" s="334">
        <v>2314</v>
      </c>
      <c r="CU47" s="334">
        <v>1903828</v>
      </c>
      <c r="CV47" s="334">
        <v>9040</v>
      </c>
      <c r="CW47" s="334">
        <v>272000</v>
      </c>
      <c r="CX47" s="334">
        <v>8908</v>
      </c>
      <c r="CY47" s="334">
        <v>6152</v>
      </c>
      <c r="CZ47" s="334">
        <v>1863</v>
      </c>
      <c r="DA47" s="334">
        <v>189</v>
      </c>
      <c r="DB47" s="334">
        <v>9</v>
      </c>
      <c r="DC47" s="334">
        <v>277</v>
      </c>
      <c r="DD47" s="336">
        <v>2205772</v>
      </c>
      <c r="DE47" s="333">
        <v>54916</v>
      </c>
      <c r="DF47" s="334">
        <v>3592</v>
      </c>
      <c r="DG47" s="334">
        <v>1075</v>
      </c>
      <c r="DH47" s="334">
        <v>1800</v>
      </c>
      <c r="DI47" s="334">
        <v>280</v>
      </c>
      <c r="DJ47" s="334"/>
      <c r="DK47" s="334"/>
      <c r="DL47" s="335">
        <v>61663</v>
      </c>
      <c r="DM47" s="336"/>
      <c r="DN47" s="337"/>
      <c r="DO47" s="336">
        <v>2</v>
      </c>
      <c r="DP47" s="334">
        <v>53</v>
      </c>
      <c r="DQ47" s="336">
        <v>55</v>
      </c>
      <c r="DR47" s="337">
        <v>428</v>
      </c>
      <c r="DS47" s="336"/>
      <c r="DT47" s="334"/>
      <c r="DU47" s="336"/>
      <c r="DV47" s="333">
        <v>13557</v>
      </c>
      <c r="DW47" s="334">
        <v>0</v>
      </c>
      <c r="DX47" s="335">
        <v>13557</v>
      </c>
      <c r="DY47" s="336">
        <v>597</v>
      </c>
      <c r="DZ47" s="337">
        <v>25</v>
      </c>
      <c r="EA47" s="336">
        <v>678</v>
      </c>
      <c r="EB47" s="334"/>
      <c r="EC47" s="336">
        <v>678</v>
      </c>
      <c r="ED47" s="337">
        <v>34</v>
      </c>
      <c r="EE47" s="337"/>
      <c r="EF47" s="336">
        <v>11152</v>
      </c>
      <c r="EG47" s="334">
        <v>1964</v>
      </c>
      <c r="EH47" s="334">
        <v>796</v>
      </c>
      <c r="EI47" s="334"/>
      <c r="EJ47" s="334"/>
      <c r="EK47" s="334"/>
      <c r="EL47" s="336">
        <v>13912</v>
      </c>
      <c r="EM47" s="333">
        <v>721</v>
      </c>
      <c r="EN47" s="334">
        <v>27262</v>
      </c>
      <c r="EO47" s="334">
        <v>369</v>
      </c>
      <c r="EP47" s="334">
        <v>10056</v>
      </c>
      <c r="EQ47" s="334">
        <v>7329</v>
      </c>
      <c r="ER47" s="334">
        <v>89</v>
      </c>
      <c r="ES47" s="334">
        <v>1465</v>
      </c>
      <c r="ET47" s="334">
        <v>63</v>
      </c>
      <c r="EU47" s="334">
        <v>26</v>
      </c>
      <c r="EV47" s="334">
        <v>76</v>
      </c>
      <c r="EW47" s="334">
        <v>37</v>
      </c>
      <c r="EX47" s="334">
        <v>247</v>
      </c>
      <c r="EY47" s="334"/>
      <c r="EZ47" s="335">
        <v>47740</v>
      </c>
      <c r="FA47" s="336">
        <v>0</v>
      </c>
      <c r="FB47" s="337">
        <v>51</v>
      </c>
      <c r="FC47" s="336">
        <v>7</v>
      </c>
      <c r="FD47" s="334">
        <v>18</v>
      </c>
      <c r="FE47" s="334">
        <v>320</v>
      </c>
      <c r="FF47" s="336">
        <v>345</v>
      </c>
      <c r="FG47" s="337">
        <v>33</v>
      </c>
      <c r="FH47" s="337">
        <v>80</v>
      </c>
      <c r="FI47" s="336">
        <v>72</v>
      </c>
      <c r="FJ47" s="334">
        <v>738</v>
      </c>
      <c r="FK47" s="334">
        <v>138</v>
      </c>
      <c r="FL47" s="334">
        <v>637</v>
      </c>
      <c r="FM47" s="336">
        <v>1585</v>
      </c>
      <c r="FN47" s="333">
        <v>55</v>
      </c>
      <c r="FO47" s="334"/>
      <c r="FP47" s="335">
        <v>55</v>
      </c>
      <c r="FQ47" s="336">
        <v>1304</v>
      </c>
      <c r="FR47" s="334"/>
      <c r="FS47" s="336">
        <v>1304</v>
      </c>
      <c r="FT47" s="337"/>
      <c r="FU47" s="336">
        <v>10844</v>
      </c>
      <c r="FV47" s="334"/>
      <c r="FW47" s="336">
        <v>10844</v>
      </c>
      <c r="FX47" s="333">
        <v>143</v>
      </c>
      <c r="FY47" s="334">
        <v>1792</v>
      </c>
      <c r="FZ47" s="334">
        <v>631</v>
      </c>
      <c r="GA47" s="334">
        <v>172</v>
      </c>
      <c r="GB47" s="335">
        <v>2738</v>
      </c>
      <c r="GC47" s="336"/>
      <c r="GD47" s="333">
        <v>4888</v>
      </c>
      <c r="GE47" s="334">
        <v>161</v>
      </c>
      <c r="GF47" s="335">
        <v>5049</v>
      </c>
      <c r="GG47" s="336"/>
      <c r="GH47" s="333">
        <v>554390</v>
      </c>
      <c r="GI47" s="334">
        <v>11</v>
      </c>
      <c r="GJ47" s="334">
        <v>96</v>
      </c>
      <c r="GK47" s="335">
        <v>554497</v>
      </c>
      <c r="GL47" s="336">
        <v>3109</v>
      </c>
      <c r="GM47" s="333">
        <v>2586</v>
      </c>
      <c r="GN47" s="334">
        <v>10</v>
      </c>
      <c r="GO47" s="334">
        <v>2868</v>
      </c>
      <c r="GP47" s="334">
        <v>506</v>
      </c>
      <c r="GQ47" s="335">
        <v>5970</v>
      </c>
      <c r="GR47" s="336">
        <v>3862035</v>
      </c>
      <c r="GS47" s="338">
        <f>3862035/49209180</f>
        <v>7.8482002748267707E-2</v>
      </c>
      <c r="GT47" s="293"/>
      <c r="GU47" s="293"/>
      <c r="GV47" s="293"/>
      <c r="GW47" s="293"/>
      <c r="GX47" s="293"/>
      <c r="GY47" s="293"/>
      <c r="GZ47" s="293"/>
      <c r="HA47" s="293"/>
      <c r="HB47" s="293"/>
      <c r="HC47" s="293"/>
      <c r="HD47" s="293"/>
      <c r="HE47" s="293"/>
      <c r="HF47" s="293"/>
      <c r="HG47" s="293"/>
      <c r="HH47" s="293"/>
      <c r="HI47" s="293"/>
      <c r="HJ47" s="293"/>
      <c r="HK47" s="293"/>
      <c r="HL47" s="293"/>
      <c r="HM47" s="293"/>
      <c r="HN47" s="293"/>
      <c r="HO47" s="293"/>
      <c r="HP47" s="293"/>
      <c r="HQ47" s="293"/>
      <c r="HR47" s="293"/>
      <c r="HS47" s="293"/>
      <c r="HT47" s="293"/>
      <c r="HU47" s="293"/>
      <c r="HV47" s="293"/>
      <c r="HW47" s="293"/>
      <c r="HX47" s="294"/>
    </row>
    <row r="48" spans="2:232" ht="13.5" thickBot="1" x14ac:dyDescent="0.25">
      <c r="B48" s="332" t="s">
        <v>546</v>
      </c>
      <c r="C48" s="333">
        <v>60704</v>
      </c>
      <c r="D48" s="334">
        <v>338</v>
      </c>
      <c r="E48" s="334">
        <v>376</v>
      </c>
      <c r="F48" s="334">
        <v>331</v>
      </c>
      <c r="G48" s="335">
        <v>61749</v>
      </c>
      <c r="H48" s="336">
        <v>0</v>
      </c>
      <c r="I48" s="333">
        <v>380565</v>
      </c>
      <c r="J48" s="334">
        <v>0</v>
      </c>
      <c r="K48" s="335">
        <v>380565</v>
      </c>
      <c r="L48" s="336">
        <v>1</v>
      </c>
      <c r="M48" s="337">
        <v>222079</v>
      </c>
      <c r="N48" s="336">
        <v>613834</v>
      </c>
      <c r="O48" s="334">
        <v>9708</v>
      </c>
      <c r="P48" s="334">
        <v>11294</v>
      </c>
      <c r="Q48" s="334">
        <v>646</v>
      </c>
      <c r="R48" s="334">
        <v>103</v>
      </c>
      <c r="S48" s="334">
        <v>8459</v>
      </c>
      <c r="T48" s="334">
        <v>246</v>
      </c>
      <c r="U48" s="334">
        <v>16</v>
      </c>
      <c r="V48" s="336">
        <v>644306</v>
      </c>
      <c r="W48" s="333">
        <v>3162</v>
      </c>
      <c r="X48" s="334">
        <v>7432</v>
      </c>
      <c r="Y48" s="335">
        <v>10594</v>
      </c>
      <c r="Z48" s="336">
        <v>58320</v>
      </c>
      <c r="AA48" s="334">
        <v>78</v>
      </c>
      <c r="AB48" s="336">
        <v>58398</v>
      </c>
      <c r="AC48" s="333">
        <v>43892</v>
      </c>
      <c r="AD48" s="334">
        <v>24</v>
      </c>
      <c r="AE48" s="334"/>
      <c r="AF48" s="335">
        <v>43916</v>
      </c>
      <c r="AG48" s="336">
        <v>277</v>
      </c>
      <c r="AH48" s="334">
        <v>4</v>
      </c>
      <c r="AI48" s="334">
        <v>640</v>
      </c>
      <c r="AJ48" s="334">
        <v>18</v>
      </c>
      <c r="AK48" s="336">
        <v>939</v>
      </c>
      <c r="AL48" s="333">
        <v>497</v>
      </c>
      <c r="AM48" s="334">
        <v>94</v>
      </c>
      <c r="AN48" s="335">
        <v>591</v>
      </c>
      <c r="AO48" s="336"/>
      <c r="AP48" s="337"/>
      <c r="AQ48" s="336">
        <v>251</v>
      </c>
      <c r="AR48" s="334">
        <v>2387</v>
      </c>
      <c r="AS48" s="334"/>
      <c r="AT48" s="336">
        <v>2638</v>
      </c>
      <c r="AU48" s="333">
        <v>840</v>
      </c>
      <c r="AV48" s="334">
        <v>10</v>
      </c>
      <c r="AW48" s="334">
        <v>3121</v>
      </c>
      <c r="AX48" s="334"/>
      <c r="AY48" s="334">
        <v>491</v>
      </c>
      <c r="AZ48" s="334">
        <v>2</v>
      </c>
      <c r="BA48" s="334">
        <v>88</v>
      </c>
      <c r="BB48" s="334">
        <v>107</v>
      </c>
      <c r="BC48" s="335">
        <v>4659</v>
      </c>
      <c r="BD48" s="336">
        <v>18308</v>
      </c>
      <c r="BE48" s="337">
        <v>1593</v>
      </c>
      <c r="BF48" s="336">
        <v>3314</v>
      </c>
      <c r="BG48" s="334">
        <v>5364</v>
      </c>
      <c r="BH48" s="334">
        <v>29579</v>
      </c>
      <c r="BI48" s="334">
        <v>521</v>
      </c>
      <c r="BJ48" s="334">
        <v>404</v>
      </c>
      <c r="BK48" s="334">
        <v>236</v>
      </c>
      <c r="BL48" s="336">
        <v>39418</v>
      </c>
      <c r="BM48" s="337">
        <v>26</v>
      </c>
      <c r="BN48" s="337"/>
      <c r="BO48" s="337">
        <v>66</v>
      </c>
      <c r="BP48" s="337">
        <v>28</v>
      </c>
      <c r="BQ48" s="336">
        <v>18330</v>
      </c>
      <c r="BR48" s="334">
        <v>57778</v>
      </c>
      <c r="BS48" s="336">
        <v>76108</v>
      </c>
      <c r="BT48" s="337">
        <v>345</v>
      </c>
      <c r="BU48" s="336">
        <v>146685</v>
      </c>
      <c r="BV48" s="334">
        <v>42644</v>
      </c>
      <c r="BW48" s="334">
        <v>16852</v>
      </c>
      <c r="BX48" s="336">
        <v>206181</v>
      </c>
      <c r="BY48" s="333">
        <v>109</v>
      </c>
      <c r="BZ48" s="334">
        <v>499</v>
      </c>
      <c r="CA48" s="334">
        <v>869</v>
      </c>
      <c r="CB48" s="334">
        <v>446</v>
      </c>
      <c r="CC48" s="334">
        <v>846</v>
      </c>
      <c r="CD48" s="334">
        <v>592</v>
      </c>
      <c r="CE48" s="334">
        <v>289</v>
      </c>
      <c r="CF48" s="334">
        <v>21</v>
      </c>
      <c r="CG48" s="334">
        <v>396</v>
      </c>
      <c r="CH48" s="334">
        <v>141</v>
      </c>
      <c r="CI48" s="334">
        <v>645</v>
      </c>
      <c r="CJ48" s="334">
        <v>58079</v>
      </c>
      <c r="CK48" s="334">
        <v>381</v>
      </c>
      <c r="CL48" s="334">
        <v>76</v>
      </c>
      <c r="CM48" s="334">
        <v>18736</v>
      </c>
      <c r="CN48" s="335">
        <v>82125</v>
      </c>
      <c r="CO48" s="336">
        <v>35712</v>
      </c>
      <c r="CP48" s="334">
        <v>133</v>
      </c>
      <c r="CQ48" s="336">
        <v>35845</v>
      </c>
      <c r="CR48" s="337">
        <v>12387</v>
      </c>
      <c r="CS48" s="336">
        <v>2336</v>
      </c>
      <c r="CT48" s="334">
        <v>2482</v>
      </c>
      <c r="CU48" s="334">
        <v>3454845</v>
      </c>
      <c r="CV48" s="334">
        <v>10519</v>
      </c>
      <c r="CW48" s="334">
        <v>1311018</v>
      </c>
      <c r="CX48" s="334">
        <v>9801</v>
      </c>
      <c r="CY48" s="334">
        <v>6717</v>
      </c>
      <c r="CZ48" s="334">
        <v>1910</v>
      </c>
      <c r="DA48" s="334">
        <v>198</v>
      </c>
      <c r="DB48" s="334">
        <v>9</v>
      </c>
      <c r="DC48" s="334">
        <v>277</v>
      </c>
      <c r="DD48" s="336">
        <v>4800112</v>
      </c>
      <c r="DE48" s="333">
        <v>88057</v>
      </c>
      <c r="DF48" s="334">
        <v>3681</v>
      </c>
      <c r="DG48" s="334">
        <v>1653</v>
      </c>
      <c r="DH48" s="334">
        <v>1968</v>
      </c>
      <c r="DI48" s="334">
        <v>351</v>
      </c>
      <c r="DJ48" s="334">
        <v>1</v>
      </c>
      <c r="DK48" s="334"/>
      <c r="DL48" s="335">
        <v>95711</v>
      </c>
      <c r="DM48" s="336">
        <v>27</v>
      </c>
      <c r="DN48" s="337"/>
      <c r="DO48" s="336">
        <v>2</v>
      </c>
      <c r="DP48" s="334">
        <v>53</v>
      </c>
      <c r="DQ48" s="336">
        <v>55</v>
      </c>
      <c r="DR48" s="337">
        <v>1994</v>
      </c>
      <c r="DS48" s="336">
        <v>73774</v>
      </c>
      <c r="DT48" s="334">
        <v>5988</v>
      </c>
      <c r="DU48" s="336">
        <v>79762</v>
      </c>
      <c r="DV48" s="333">
        <v>14205</v>
      </c>
      <c r="DW48" s="334">
        <v>0</v>
      </c>
      <c r="DX48" s="335">
        <v>14205</v>
      </c>
      <c r="DY48" s="336">
        <v>1007</v>
      </c>
      <c r="DZ48" s="337">
        <v>35</v>
      </c>
      <c r="EA48" s="336">
        <v>1811</v>
      </c>
      <c r="EB48" s="334"/>
      <c r="EC48" s="336">
        <v>1811</v>
      </c>
      <c r="ED48" s="337">
        <v>36</v>
      </c>
      <c r="EE48" s="337">
        <v>0</v>
      </c>
      <c r="EF48" s="336">
        <v>18893</v>
      </c>
      <c r="EG48" s="334">
        <v>21930</v>
      </c>
      <c r="EH48" s="334">
        <v>855</v>
      </c>
      <c r="EI48" s="334">
        <v>4</v>
      </c>
      <c r="EJ48" s="334">
        <v>46</v>
      </c>
      <c r="EK48" s="334">
        <v>17</v>
      </c>
      <c r="EL48" s="336">
        <v>41745</v>
      </c>
      <c r="EM48" s="333">
        <v>3322</v>
      </c>
      <c r="EN48" s="334">
        <v>70106</v>
      </c>
      <c r="EO48" s="334">
        <v>776</v>
      </c>
      <c r="EP48" s="334">
        <v>25399</v>
      </c>
      <c r="EQ48" s="334">
        <v>54876</v>
      </c>
      <c r="ER48" s="334">
        <v>306</v>
      </c>
      <c r="ES48" s="334">
        <v>4885</v>
      </c>
      <c r="ET48" s="334">
        <v>365</v>
      </c>
      <c r="EU48" s="334">
        <v>127</v>
      </c>
      <c r="EV48" s="334">
        <v>287</v>
      </c>
      <c r="EW48" s="334">
        <v>38</v>
      </c>
      <c r="EX48" s="334">
        <v>421</v>
      </c>
      <c r="EY48" s="334"/>
      <c r="EZ48" s="335">
        <v>160908</v>
      </c>
      <c r="FA48" s="336">
        <v>0</v>
      </c>
      <c r="FB48" s="337">
        <v>65</v>
      </c>
      <c r="FC48" s="336">
        <v>457</v>
      </c>
      <c r="FD48" s="334">
        <v>18</v>
      </c>
      <c r="FE48" s="334">
        <v>322</v>
      </c>
      <c r="FF48" s="336">
        <v>797</v>
      </c>
      <c r="FG48" s="337">
        <v>33</v>
      </c>
      <c r="FH48" s="337">
        <v>114</v>
      </c>
      <c r="FI48" s="336">
        <v>11251</v>
      </c>
      <c r="FJ48" s="334">
        <v>2063</v>
      </c>
      <c r="FK48" s="334">
        <v>404</v>
      </c>
      <c r="FL48" s="334">
        <v>1598</v>
      </c>
      <c r="FM48" s="336">
        <v>15316</v>
      </c>
      <c r="FN48" s="333">
        <v>65</v>
      </c>
      <c r="FO48" s="334">
        <v>8620</v>
      </c>
      <c r="FP48" s="335">
        <v>8685</v>
      </c>
      <c r="FQ48" s="336">
        <v>1347</v>
      </c>
      <c r="FR48" s="334"/>
      <c r="FS48" s="336">
        <v>1347</v>
      </c>
      <c r="FT48" s="337"/>
      <c r="FU48" s="336">
        <v>480981</v>
      </c>
      <c r="FV48" s="334"/>
      <c r="FW48" s="336">
        <v>480981</v>
      </c>
      <c r="FX48" s="333">
        <v>507</v>
      </c>
      <c r="FY48" s="334">
        <v>2070</v>
      </c>
      <c r="FZ48" s="334">
        <v>640</v>
      </c>
      <c r="GA48" s="334">
        <v>229</v>
      </c>
      <c r="GB48" s="335">
        <v>3446</v>
      </c>
      <c r="GC48" s="336"/>
      <c r="GD48" s="333">
        <v>376270</v>
      </c>
      <c r="GE48" s="334">
        <v>219</v>
      </c>
      <c r="GF48" s="335">
        <v>376489</v>
      </c>
      <c r="GG48" s="336"/>
      <c r="GH48" s="333">
        <v>554638</v>
      </c>
      <c r="GI48" s="334">
        <v>14</v>
      </c>
      <c r="GJ48" s="334">
        <v>96</v>
      </c>
      <c r="GK48" s="335">
        <v>554748</v>
      </c>
      <c r="GL48" s="336">
        <v>3928</v>
      </c>
      <c r="GM48" s="333">
        <v>2593</v>
      </c>
      <c r="GN48" s="334">
        <v>23</v>
      </c>
      <c r="GO48" s="334">
        <v>3167</v>
      </c>
      <c r="GP48" s="334">
        <v>520</v>
      </c>
      <c r="GQ48" s="335">
        <v>6303</v>
      </c>
      <c r="GR48" s="336">
        <v>8552525</v>
      </c>
      <c r="GS48" s="338">
        <f>8552525/49209180</f>
        <v>0.17379938052208957</v>
      </c>
      <c r="GT48" s="293"/>
      <c r="GU48" s="293"/>
      <c r="GV48" s="293"/>
      <c r="GW48" s="293"/>
      <c r="GX48" s="293"/>
      <c r="GY48" s="293"/>
      <c r="GZ48" s="293"/>
      <c r="HA48" s="293"/>
      <c r="HB48" s="293"/>
      <c r="HC48" s="293"/>
      <c r="HD48" s="293"/>
      <c r="HE48" s="293"/>
      <c r="HF48" s="293"/>
      <c r="HG48" s="293"/>
      <c r="HH48" s="293"/>
      <c r="HI48" s="293"/>
      <c r="HJ48" s="293"/>
      <c r="HK48" s="293"/>
      <c r="HL48" s="293"/>
      <c r="HM48" s="293"/>
      <c r="HN48" s="293"/>
      <c r="HO48" s="293"/>
      <c r="HP48" s="293"/>
      <c r="HQ48" s="293"/>
      <c r="HR48" s="293"/>
      <c r="HS48" s="293"/>
      <c r="HT48" s="293"/>
      <c r="HU48" s="293"/>
      <c r="HV48" s="293"/>
      <c r="HW48" s="293"/>
      <c r="HX48" s="294"/>
    </row>
    <row r="49" spans="2:232" ht="12.75" x14ac:dyDescent="0.2">
      <c r="B49" s="339" t="s">
        <v>22</v>
      </c>
      <c r="C49" s="340">
        <v>51595</v>
      </c>
      <c r="D49" s="341"/>
      <c r="E49" s="341"/>
      <c r="F49" s="341"/>
      <c r="G49" s="342">
        <v>51595</v>
      </c>
      <c r="H49" s="343">
        <v>0</v>
      </c>
      <c r="I49" s="340">
        <v>213</v>
      </c>
      <c r="J49" s="341"/>
      <c r="K49" s="342">
        <v>213</v>
      </c>
      <c r="L49" s="343">
        <v>5</v>
      </c>
      <c r="M49" s="344">
        <v>111904</v>
      </c>
      <c r="N49" s="343">
        <v>3334082</v>
      </c>
      <c r="O49" s="341">
        <v>2189</v>
      </c>
      <c r="P49" s="341">
        <v>13014</v>
      </c>
      <c r="Q49" s="341">
        <v>2663</v>
      </c>
      <c r="R49" s="341">
        <v>18</v>
      </c>
      <c r="S49" s="341">
        <v>610</v>
      </c>
      <c r="T49" s="341">
        <v>46</v>
      </c>
      <c r="U49" s="341">
        <v>5</v>
      </c>
      <c r="V49" s="343">
        <v>3352627</v>
      </c>
      <c r="W49" s="340">
        <v>444</v>
      </c>
      <c r="X49" s="341">
        <v>458</v>
      </c>
      <c r="Y49" s="342">
        <v>902</v>
      </c>
      <c r="Z49" s="343">
        <v>7450</v>
      </c>
      <c r="AA49" s="341"/>
      <c r="AB49" s="343">
        <v>7450</v>
      </c>
      <c r="AC49" s="340">
        <v>43138</v>
      </c>
      <c r="AD49" s="341">
        <v>94</v>
      </c>
      <c r="AE49" s="341">
        <v>20</v>
      </c>
      <c r="AF49" s="342">
        <v>43252</v>
      </c>
      <c r="AG49" s="343">
        <v>2800</v>
      </c>
      <c r="AH49" s="341">
        <v>6826</v>
      </c>
      <c r="AI49" s="341">
        <v>1</v>
      </c>
      <c r="AJ49" s="341"/>
      <c r="AK49" s="343">
        <v>9627</v>
      </c>
      <c r="AL49" s="340"/>
      <c r="AM49" s="341">
        <v>1</v>
      </c>
      <c r="AN49" s="342">
        <v>1</v>
      </c>
      <c r="AO49" s="343"/>
      <c r="AP49" s="344"/>
      <c r="AQ49" s="343">
        <v>85</v>
      </c>
      <c r="AR49" s="341">
        <v>25</v>
      </c>
      <c r="AS49" s="341"/>
      <c r="AT49" s="343">
        <v>110</v>
      </c>
      <c r="AU49" s="340">
        <v>1485</v>
      </c>
      <c r="AV49" s="341">
        <v>17</v>
      </c>
      <c r="AW49" s="341">
        <v>512</v>
      </c>
      <c r="AX49" s="341">
        <v>16</v>
      </c>
      <c r="AY49" s="341"/>
      <c r="AZ49" s="341"/>
      <c r="BA49" s="341"/>
      <c r="BB49" s="341"/>
      <c r="BC49" s="342">
        <v>2030</v>
      </c>
      <c r="BD49" s="343">
        <v>30</v>
      </c>
      <c r="BE49" s="344">
        <v>21252</v>
      </c>
      <c r="BF49" s="343">
        <v>11201</v>
      </c>
      <c r="BG49" s="341">
        <v>41122</v>
      </c>
      <c r="BH49" s="341">
        <v>302984</v>
      </c>
      <c r="BI49" s="341">
        <v>2785</v>
      </c>
      <c r="BJ49" s="341">
        <v>6736</v>
      </c>
      <c r="BK49" s="341"/>
      <c r="BL49" s="343">
        <v>364828</v>
      </c>
      <c r="BM49" s="344">
        <v>13528</v>
      </c>
      <c r="BN49" s="344">
        <v>4</v>
      </c>
      <c r="BO49" s="344">
        <v>11</v>
      </c>
      <c r="BP49" s="344">
        <v>302</v>
      </c>
      <c r="BQ49" s="343">
        <v>28732</v>
      </c>
      <c r="BR49" s="341"/>
      <c r="BS49" s="343">
        <v>28732</v>
      </c>
      <c r="BT49" s="344"/>
      <c r="BU49" s="343">
        <v>68</v>
      </c>
      <c r="BV49" s="341">
        <v>121</v>
      </c>
      <c r="BW49" s="341">
        <v>2</v>
      </c>
      <c r="BX49" s="343">
        <v>191</v>
      </c>
      <c r="BY49" s="340"/>
      <c r="BZ49" s="341"/>
      <c r="CA49" s="341">
        <v>12</v>
      </c>
      <c r="CB49" s="341">
        <v>1</v>
      </c>
      <c r="CC49" s="341">
        <v>2</v>
      </c>
      <c r="CD49" s="341"/>
      <c r="CE49" s="341"/>
      <c r="CF49" s="341"/>
      <c r="CG49" s="341">
        <v>1</v>
      </c>
      <c r="CH49" s="341"/>
      <c r="CI49" s="341">
        <v>2</v>
      </c>
      <c r="CJ49" s="341"/>
      <c r="CK49" s="341">
        <v>1</v>
      </c>
      <c r="CL49" s="341">
        <v>2</v>
      </c>
      <c r="CM49" s="341"/>
      <c r="CN49" s="342">
        <v>21</v>
      </c>
      <c r="CO49" s="343">
        <v>60</v>
      </c>
      <c r="CP49" s="341"/>
      <c r="CQ49" s="343">
        <v>60</v>
      </c>
      <c r="CR49" s="344">
        <v>4</v>
      </c>
      <c r="CS49" s="343">
        <v>890</v>
      </c>
      <c r="CT49" s="341">
        <v>7</v>
      </c>
      <c r="CU49" s="341">
        <v>600895</v>
      </c>
      <c r="CV49" s="341">
        <v>20564</v>
      </c>
      <c r="CW49" s="341">
        <v>663997</v>
      </c>
      <c r="CX49" s="341">
        <v>8</v>
      </c>
      <c r="CY49" s="341">
        <v>16</v>
      </c>
      <c r="CZ49" s="341">
        <v>41</v>
      </c>
      <c r="DA49" s="341">
        <v>74</v>
      </c>
      <c r="DB49" s="341">
        <v>7</v>
      </c>
      <c r="DC49" s="341">
        <v>5</v>
      </c>
      <c r="DD49" s="343">
        <v>1286504</v>
      </c>
      <c r="DE49" s="340">
        <v>488260</v>
      </c>
      <c r="DF49" s="341">
        <v>17</v>
      </c>
      <c r="DG49" s="341">
        <v>5216</v>
      </c>
      <c r="DH49" s="341">
        <v>3257</v>
      </c>
      <c r="DI49" s="341">
        <v>954</v>
      </c>
      <c r="DJ49" s="341">
        <v>9</v>
      </c>
      <c r="DK49" s="341">
        <v>7</v>
      </c>
      <c r="DL49" s="342">
        <v>497720</v>
      </c>
      <c r="DM49" s="343">
        <v>0</v>
      </c>
      <c r="DN49" s="344">
        <v>4</v>
      </c>
      <c r="DO49" s="343">
        <v>1</v>
      </c>
      <c r="DP49" s="341"/>
      <c r="DQ49" s="343">
        <v>1</v>
      </c>
      <c r="DR49" s="344">
        <v>50470</v>
      </c>
      <c r="DS49" s="343"/>
      <c r="DT49" s="341"/>
      <c r="DU49" s="343"/>
      <c r="DV49" s="340">
        <v>35</v>
      </c>
      <c r="DW49" s="341">
        <v>4</v>
      </c>
      <c r="DX49" s="342">
        <v>39</v>
      </c>
      <c r="DY49" s="343">
        <v>3218</v>
      </c>
      <c r="DZ49" s="344">
        <v>6018</v>
      </c>
      <c r="EA49" s="343">
        <v>5111</v>
      </c>
      <c r="EB49" s="341"/>
      <c r="EC49" s="343">
        <v>5111</v>
      </c>
      <c r="ED49" s="344"/>
      <c r="EE49" s="344">
        <v>3</v>
      </c>
      <c r="EF49" s="343">
        <v>309</v>
      </c>
      <c r="EG49" s="341">
        <v>855</v>
      </c>
      <c r="EH49" s="341">
        <v>1</v>
      </c>
      <c r="EI49" s="341"/>
      <c r="EJ49" s="341"/>
      <c r="EK49" s="341">
        <v>3</v>
      </c>
      <c r="EL49" s="343">
        <v>1168</v>
      </c>
      <c r="EM49" s="340">
        <v>47976</v>
      </c>
      <c r="EN49" s="341">
        <v>91067</v>
      </c>
      <c r="EO49" s="341">
        <v>2482</v>
      </c>
      <c r="EP49" s="341">
        <v>26235</v>
      </c>
      <c r="EQ49" s="341">
        <v>63676</v>
      </c>
      <c r="ER49" s="341">
        <v>2293</v>
      </c>
      <c r="ES49" s="341">
        <v>24089</v>
      </c>
      <c r="ET49" s="341">
        <v>218</v>
      </c>
      <c r="EU49" s="341">
        <v>201</v>
      </c>
      <c r="EV49" s="341">
        <v>57</v>
      </c>
      <c r="EW49" s="341"/>
      <c r="EX49" s="341">
        <v>107</v>
      </c>
      <c r="EY49" s="341">
        <v>5</v>
      </c>
      <c r="EZ49" s="342">
        <v>258406</v>
      </c>
      <c r="FA49" s="343">
        <v>1</v>
      </c>
      <c r="FB49" s="344">
        <v>341</v>
      </c>
      <c r="FC49" s="343">
        <v>2994</v>
      </c>
      <c r="FD49" s="341"/>
      <c r="FE49" s="341"/>
      <c r="FF49" s="343">
        <v>2994</v>
      </c>
      <c r="FG49" s="344"/>
      <c r="FH49" s="344">
        <v>0</v>
      </c>
      <c r="FI49" s="343">
        <v>25444</v>
      </c>
      <c r="FJ49" s="341">
        <v>1</v>
      </c>
      <c r="FK49" s="341"/>
      <c r="FL49" s="341">
        <v>4</v>
      </c>
      <c r="FM49" s="343">
        <v>25449</v>
      </c>
      <c r="FN49" s="340">
        <v>95</v>
      </c>
      <c r="FO49" s="341"/>
      <c r="FP49" s="342">
        <v>95</v>
      </c>
      <c r="FQ49" s="343">
        <v>1</v>
      </c>
      <c r="FR49" s="341"/>
      <c r="FS49" s="343">
        <v>1</v>
      </c>
      <c r="FT49" s="344">
        <v>11</v>
      </c>
      <c r="FU49" s="343">
        <v>9270</v>
      </c>
      <c r="FV49" s="341"/>
      <c r="FW49" s="343">
        <v>9270</v>
      </c>
      <c r="FX49" s="340">
        <v>45</v>
      </c>
      <c r="FY49" s="341"/>
      <c r="FZ49" s="341">
        <v>1</v>
      </c>
      <c r="GA49" s="341">
        <v>0</v>
      </c>
      <c r="GB49" s="342">
        <v>46</v>
      </c>
      <c r="GC49" s="343">
        <v>0</v>
      </c>
      <c r="GD49" s="340">
        <v>17691</v>
      </c>
      <c r="GE49" s="341"/>
      <c r="GF49" s="342">
        <v>17691</v>
      </c>
      <c r="GG49" s="343"/>
      <c r="GH49" s="340">
        <v>68</v>
      </c>
      <c r="GI49" s="341">
        <v>0</v>
      </c>
      <c r="GJ49" s="341"/>
      <c r="GK49" s="342">
        <v>68</v>
      </c>
      <c r="GL49" s="343">
        <v>25</v>
      </c>
      <c r="GM49" s="340">
        <v>4</v>
      </c>
      <c r="GN49" s="341">
        <v>19921</v>
      </c>
      <c r="GO49" s="341">
        <v>1</v>
      </c>
      <c r="GP49" s="341"/>
      <c r="GQ49" s="342">
        <v>19926</v>
      </c>
      <c r="GR49" s="343">
        <v>6193259</v>
      </c>
      <c r="GS49" s="345">
        <f>6193259/49209180</f>
        <v>0.1258557651234993</v>
      </c>
      <c r="GT49" s="293"/>
      <c r="GU49" s="293"/>
      <c r="GV49" s="293"/>
      <c r="GW49" s="293"/>
      <c r="GX49" s="293"/>
      <c r="GY49" s="293"/>
      <c r="GZ49" s="293"/>
      <c r="HA49" s="293"/>
      <c r="HB49" s="293"/>
      <c r="HC49" s="293"/>
      <c r="HD49" s="293"/>
      <c r="HE49" s="293"/>
      <c r="HF49" s="293"/>
      <c r="HG49" s="293"/>
      <c r="HH49" s="293"/>
      <c r="HI49" s="293"/>
      <c r="HJ49" s="293"/>
      <c r="HK49" s="293"/>
      <c r="HL49" s="293"/>
      <c r="HM49" s="293"/>
      <c r="HN49" s="293"/>
      <c r="HO49" s="293"/>
      <c r="HP49" s="293"/>
      <c r="HQ49" s="293"/>
      <c r="HR49" s="293"/>
      <c r="HS49" s="293"/>
      <c r="HT49" s="293"/>
      <c r="HU49" s="293"/>
      <c r="HV49" s="293"/>
      <c r="HW49" s="293"/>
      <c r="HX49" s="294"/>
    </row>
    <row r="50" spans="2:232" ht="12.75" x14ac:dyDescent="0.2">
      <c r="B50" s="259" t="s">
        <v>34</v>
      </c>
      <c r="C50" s="258">
        <v>542</v>
      </c>
      <c r="D50" s="115"/>
      <c r="E50" s="115"/>
      <c r="F50" s="115"/>
      <c r="G50" s="257">
        <v>542</v>
      </c>
      <c r="H50" s="117"/>
      <c r="I50" s="258">
        <v>29</v>
      </c>
      <c r="J50" s="115"/>
      <c r="K50" s="257">
        <v>29</v>
      </c>
      <c r="L50" s="117">
        <v>1</v>
      </c>
      <c r="M50" s="116">
        <v>27672</v>
      </c>
      <c r="N50" s="117">
        <v>165998</v>
      </c>
      <c r="O50" s="115">
        <v>29</v>
      </c>
      <c r="P50" s="115">
        <v>295</v>
      </c>
      <c r="Q50" s="115">
        <v>191</v>
      </c>
      <c r="R50" s="115">
        <v>2</v>
      </c>
      <c r="S50" s="115">
        <v>19</v>
      </c>
      <c r="T50" s="115">
        <v>5</v>
      </c>
      <c r="U50" s="115"/>
      <c r="V50" s="117">
        <v>166539</v>
      </c>
      <c r="W50" s="258">
        <v>36</v>
      </c>
      <c r="X50" s="115">
        <v>53</v>
      </c>
      <c r="Y50" s="257">
        <v>89</v>
      </c>
      <c r="Z50" s="117">
        <v>935</v>
      </c>
      <c r="AA50" s="115"/>
      <c r="AB50" s="117">
        <v>935</v>
      </c>
      <c r="AC50" s="258">
        <v>4915</v>
      </c>
      <c r="AD50" s="115">
        <v>26</v>
      </c>
      <c r="AE50" s="115"/>
      <c r="AF50" s="257">
        <v>4941</v>
      </c>
      <c r="AG50" s="117">
        <v>209</v>
      </c>
      <c r="AH50" s="115">
        <v>6</v>
      </c>
      <c r="AI50" s="115">
        <v>6</v>
      </c>
      <c r="AJ50" s="115"/>
      <c r="AK50" s="117">
        <v>221</v>
      </c>
      <c r="AL50" s="258"/>
      <c r="AM50" s="115"/>
      <c r="AN50" s="257"/>
      <c r="AO50" s="117"/>
      <c r="AP50" s="116">
        <v>0</v>
      </c>
      <c r="AQ50" s="117">
        <v>1</v>
      </c>
      <c r="AR50" s="115">
        <v>1</v>
      </c>
      <c r="AS50" s="115"/>
      <c r="AT50" s="117">
        <v>2</v>
      </c>
      <c r="AU50" s="258">
        <v>12</v>
      </c>
      <c r="AV50" s="115">
        <v>0</v>
      </c>
      <c r="AW50" s="115">
        <v>61</v>
      </c>
      <c r="AX50" s="115">
        <v>7</v>
      </c>
      <c r="AY50" s="115"/>
      <c r="AZ50" s="115"/>
      <c r="BA50" s="115"/>
      <c r="BB50" s="115"/>
      <c r="BC50" s="257">
        <v>80</v>
      </c>
      <c r="BD50" s="117">
        <v>2</v>
      </c>
      <c r="BE50" s="116">
        <v>33</v>
      </c>
      <c r="BF50" s="117">
        <v>1216</v>
      </c>
      <c r="BG50" s="115">
        <v>3241</v>
      </c>
      <c r="BH50" s="115">
        <v>74249</v>
      </c>
      <c r="BI50" s="115">
        <v>521</v>
      </c>
      <c r="BJ50" s="115">
        <v>850</v>
      </c>
      <c r="BK50" s="115"/>
      <c r="BL50" s="117">
        <v>80077</v>
      </c>
      <c r="BM50" s="116">
        <v>67</v>
      </c>
      <c r="BN50" s="116"/>
      <c r="BO50" s="116">
        <v>2</v>
      </c>
      <c r="BP50" s="116">
        <v>2</v>
      </c>
      <c r="BQ50" s="117">
        <v>138</v>
      </c>
      <c r="BR50" s="115"/>
      <c r="BS50" s="117">
        <v>138</v>
      </c>
      <c r="BT50" s="116"/>
      <c r="BU50" s="117">
        <v>11</v>
      </c>
      <c r="BV50" s="115">
        <v>3</v>
      </c>
      <c r="BW50" s="115"/>
      <c r="BX50" s="117">
        <v>14</v>
      </c>
      <c r="BY50" s="258"/>
      <c r="BZ50" s="115"/>
      <c r="CA50" s="115"/>
      <c r="CB50" s="115">
        <v>1</v>
      </c>
      <c r="CC50" s="115"/>
      <c r="CD50" s="115"/>
      <c r="CE50" s="115"/>
      <c r="CF50" s="115"/>
      <c r="CG50" s="115"/>
      <c r="CH50" s="115"/>
      <c r="CI50" s="115"/>
      <c r="CJ50" s="115"/>
      <c r="CK50" s="115"/>
      <c r="CL50" s="115"/>
      <c r="CM50" s="115"/>
      <c r="CN50" s="257">
        <v>1</v>
      </c>
      <c r="CO50" s="117">
        <v>8</v>
      </c>
      <c r="CP50" s="115"/>
      <c r="CQ50" s="117">
        <v>8</v>
      </c>
      <c r="CR50" s="116">
        <v>5</v>
      </c>
      <c r="CS50" s="117">
        <v>285</v>
      </c>
      <c r="CT50" s="115">
        <v>3</v>
      </c>
      <c r="CU50" s="115">
        <v>75037</v>
      </c>
      <c r="CV50" s="115">
        <v>3390</v>
      </c>
      <c r="CW50" s="115">
        <v>88089</v>
      </c>
      <c r="CX50" s="115">
        <v>1</v>
      </c>
      <c r="CY50" s="115"/>
      <c r="CZ50" s="115"/>
      <c r="DA50" s="115">
        <v>3</v>
      </c>
      <c r="DB50" s="115">
        <v>3</v>
      </c>
      <c r="DC50" s="115">
        <v>0</v>
      </c>
      <c r="DD50" s="117">
        <v>166811</v>
      </c>
      <c r="DE50" s="258">
        <v>26636</v>
      </c>
      <c r="DF50" s="115">
        <v>0</v>
      </c>
      <c r="DG50" s="115">
        <v>324</v>
      </c>
      <c r="DH50" s="115">
        <v>428</v>
      </c>
      <c r="DI50" s="115">
        <v>73</v>
      </c>
      <c r="DJ50" s="115">
        <v>0</v>
      </c>
      <c r="DK50" s="115"/>
      <c r="DL50" s="257">
        <v>27461</v>
      </c>
      <c r="DM50" s="117">
        <v>0</v>
      </c>
      <c r="DN50" s="116"/>
      <c r="DO50" s="117"/>
      <c r="DP50" s="115"/>
      <c r="DQ50" s="117"/>
      <c r="DR50" s="116">
        <v>4589</v>
      </c>
      <c r="DS50" s="117"/>
      <c r="DT50" s="115"/>
      <c r="DU50" s="117"/>
      <c r="DV50" s="258"/>
      <c r="DW50" s="115">
        <v>15</v>
      </c>
      <c r="DX50" s="257">
        <v>15</v>
      </c>
      <c r="DY50" s="117">
        <v>229</v>
      </c>
      <c r="DZ50" s="116">
        <v>25</v>
      </c>
      <c r="EA50" s="117">
        <v>487</v>
      </c>
      <c r="EB50" s="115"/>
      <c r="EC50" s="117">
        <v>487</v>
      </c>
      <c r="ED50" s="116"/>
      <c r="EE50" s="116"/>
      <c r="EF50" s="117">
        <v>9</v>
      </c>
      <c r="EG50" s="115">
        <v>54</v>
      </c>
      <c r="EH50" s="115"/>
      <c r="EI50" s="115"/>
      <c r="EJ50" s="115"/>
      <c r="EK50" s="115"/>
      <c r="EL50" s="117">
        <v>63</v>
      </c>
      <c r="EM50" s="258">
        <v>2867</v>
      </c>
      <c r="EN50" s="115">
        <v>4517</v>
      </c>
      <c r="EO50" s="115">
        <v>171</v>
      </c>
      <c r="EP50" s="115">
        <v>1400</v>
      </c>
      <c r="EQ50" s="115">
        <v>1699</v>
      </c>
      <c r="ER50" s="115">
        <v>166</v>
      </c>
      <c r="ES50" s="115">
        <v>1294</v>
      </c>
      <c r="ET50" s="115">
        <v>99</v>
      </c>
      <c r="EU50" s="115">
        <v>42</v>
      </c>
      <c r="EV50" s="115">
        <v>21</v>
      </c>
      <c r="EW50" s="115"/>
      <c r="EX50" s="115">
        <v>11</v>
      </c>
      <c r="EY50" s="115">
        <v>2</v>
      </c>
      <c r="EZ50" s="257">
        <v>12289</v>
      </c>
      <c r="FA50" s="117"/>
      <c r="FB50" s="116">
        <v>16</v>
      </c>
      <c r="FC50" s="117">
        <v>652</v>
      </c>
      <c r="FD50" s="115"/>
      <c r="FE50" s="115"/>
      <c r="FF50" s="117">
        <v>652</v>
      </c>
      <c r="FG50" s="116"/>
      <c r="FH50" s="116"/>
      <c r="FI50" s="117">
        <v>1921</v>
      </c>
      <c r="FJ50" s="115"/>
      <c r="FK50" s="115"/>
      <c r="FL50" s="115"/>
      <c r="FM50" s="117">
        <v>1921</v>
      </c>
      <c r="FN50" s="258">
        <v>6</v>
      </c>
      <c r="FO50" s="115"/>
      <c r="FP50" s="257">
        <v>6</v>
      </c>
      <c r="FQ50" s="117"/>
      <c r="FR50" s="115"/>
      <c r="FS50" s="117"/>
      <c r="FT50" s="116"/>
      <c r="FU50" s="117">
        <v>230</v>
      </c>
      <c r="FV50" s="115"/>
      <c r="FW50" s="117">
        <v>230</v>
      </c>
      <c r="FX50" s="258">
        <v>6</v>
      </c>
      <c r="FY50" s="115"/>
      <c r="FZ50" s="115"/>
      <c r="GA50" s="115"/>
      <c r="GB50" s="257">
        <v>6</v>
      </c>
      <c r="GC50" s="117"/>
      <c r="GD50" s="258">
        <v>268</v>
      </c>
      <c r="GE50" s="115"/>
      <c r="GF50" s="257">
        <v>268</v>
      </c>
      <c r="GG50" s="117"/>
      <c r="GH50" s="258">
        <v>9</v>
      </c>
      <c r="GI50" s="115"/>
      <c r="GJ50" s="115"/>
      <c r="GK50" s="257">
        <v>9</v>
      </c>
      <c r="GL50" s="117"/>
      <c r="GM50" s="258"/>
      <c r="GN50" s="115">
        <v>5</v>
      </c>
      <c r="GO50" s="115"/>
      <c r="GP50" s="115"/>
      <c r="GQ50" s="257">
        <v>5</v>
      </c>
      <c r="GR50" s="117">
        <v>496482</v>
      </c>
      <c r="GS50" s="324">
        <f>496482/49209180</f>
        <v>1.008921506109226E-2</v>
      </c>
      <c r="GT50" s="293"/>
      <c r="GU50" s="293"/>
      <c r="GV50" s="293"/>
      <c r="GW50" s="293"/>
      <c r="GX50" s="293"/>
      <c r="GY50" s="293"/>
      <c r="GZ50" s="293"/>
      <c r="HA50" s="293"/>
      <c r="HB50" s="293"/>
      <c r="HC50" s="293"/>
      <c r="HD50" s="293"/>
      <c r="HE50" s="293"/>
      <c r="HF50" s="293"/>
      <c r="HG50" s="293"/>
      <c r="HH50" s="293"/>
      <c r="HI50" s="293"/>
      <c r="HJ50" s="293"/>
      <c r="HK50" s="293"/>
      <c r="HL50" s="293"/>
      <c r="HM50" s="293"/>
      <c r="HN50" s="293"/>
      <c r="HO50" s="293"/>
      <c r="HP50" s="293"/>
      <c r="HQ50" s="293"/>
      <c r="HR50" s="293"/>
      <c r="HS50" s="293"/>
      <c r="HT50" s="293"/>
      <c r="HU50" s="293"/>
      <c r="HV50" s="293"/>
      <c r="HW50" s="293"/>
      <c r="HX50" s="294"/>
    </row>
    <row r="51" spans="2:232" ht="12.75" x14ac:dyDescent="0.2">
      <c r="B51" s="259" t="s">
        <v>43</v>
      </c>
      <c r="C51" s="258">
        <v>3564</v>
      </c>
      <c r="D51" s="115"/>
      <c r="E51" s="115"/>
      <c r="F51" s="115">
        <v>2</v>
      </c>
      <c r="G51" s="257">
        <v>3566</v>
      </c>
      <c r="H51" s="117"/>
      <c r="I51" s="258">
        <v>18</v>
      </c>
      <c r="J51" s="115"/>
      <c r="K51" s="257">
        <v>18</v>
      </c>
      <c r="L51" s="117">
        <v>0</v>
      </c>
      <c r="M51" s="116">
        <v>9785</v>
      </c>
      <c r="N51" s="117">
        <v>195033</v>
      </c>
      <c r="O51" s="115">
        <v>757</v>
      </c>
      <c r="P51" s="115">
        <v>207</v>
      </c>
      <c r="Q51" s="115">
        <v>415</v>
      </c>
      <c r="R51" s="115">
        <v>9</v>
      </c>
      <c r="S51" s="115">
        <v>47</v>
      </c>
      <c r="T51" s="115">
        <v>2</v>
      </c>
      <c r="U51" s="115">
        <v>1</v>
      </c>
      <c r="V51" s="117">
        <v>196471</v>
      </c>
      <c r="W51" s="258">
        <v>49</v>
      </c>
      <c r="X51" s="115">
        <v>91</v>
      </c>
      <c r="Y51" s="257">
        <v>140</v>
      </c>
      <c r="Z51" s="117">
        <v>804</v>
      </c>
      <c r="AA51" s="115"/>
      <c r="AB51" s="117">
        <v>804</v>
      </c>
      <c r="AC51" s="258">
        <v>4954</v>
      </c>
      <c r="AD51" s="115">
        <v>0</v>
      </c>
      <c r="AE51" s="115"/>
      <c r="AF51" s="257">
        <v>4954</v>
      </c>
      <c r="AG51" s="117">
        <v>282</v>
      </c>
      <c r="AH51" s="115">
        <v>604</v>
      </c>
      <c r="AI51" s="115">
        <v>0</v>
      </c>
      <c r="AJ51" s="115"/>
      <c r="AK51" s="117">
        <v>886</v>
      </c>
      <c r="AL51" s="258"/>
      <c r="AM51" s="115"/>
      <c r="AN51" s="257"/>
      <c r="AO51" s="117"/>
      <c r="AP51" s="116"/>
      <c r="AQ51" s="117">
        <v>8</v>
      </c>
      <c r="AR51" s="115"/>
      <c r="AS51" s="115"/>
      <c r="AT51" s="117">
        <v>8</v>
      </c>
      <c r="AU51" s="258">
        <v>74</v>
      </c>
      <c r="AV51" s="115"/>
      <c r="AW51" s="115">
        <v>103</v>
      </c>
      <c r="AX51" s="115">
        <v>1</v>
      </c>
      <c r="AY51" s="115"/>
      <c r="AZ51" s="115"/>
      <c r="BA51" s="115"/>
      <c r="BB51" s="115"/>
      <c r="BC51" s="257">
        <v>178</v>
      </c>
      <c r="BD51" s="117"/>
      <c r="BE51" s="116">
        <v>792</v>
      </c>
      <c r="BF51" s="117">
        <v>2155</v>
      </c>
      <c r="BG51" s="115">
        <v>6500</v>
      </c>
      <c r="BH51" s="115">
        <v>49539</v>
      </c>
      <c r="BI51" s="115">
        <v>229</v>
      </c>
      <c r="BJ51" s="115">
        <v>1127</v>
      </c>
      <c r="BK51" s="115"/>
      <c r="BL51" s="117">
        <v>59550</v>
      </c>
      <c r="BM51" s="116">
        <v>743</v>
      </c>
      <c r="BN51" s="116"/>
      <c r="BO51" s="116">
        <v>0</v>
      </c>
      <c r="BP51" s="116">
        <v>25784</v>
      </c>
      <c r="BQ51" s="117">
        <v>1091</v>
      </c>
      <c r="BR51" s="115"/>
      <c r="BS51" s="117">
        <v>1091</v>
      </c>
      <c r="BT51" s="116"/>
      <c r="BU51" s="117">
        <v>5</v>
      </c>
      <c r="BV51" s="115">
        <v>6</v>
      </c>
      <c r="BW51" s="115"/>
      <c r="BX51" s="117">
        <v>11</v>
      </c>
      <c r="BY51" s="258"/>
      <c r="BZ51" s="115"/>
      <c r="CA51" s="115">
        <v>2</v>
      </c>
      <c r="CB51" s="115"/>
      <c r="CC51" s="115"/>
      <c r="CD51" s="115"/>
      <c r="CE51" s="115"/>
      <c r="CF51" s="115"/>
      <c r="CG51" s="115"/>
      <c r="CH51" s="115">
        <v>1</v>
      </c>
      <c r="CI51" s="115"/>
      <c r="CJ51" s="115"/>
      <c r="CK51" s="115"/>
      <c r="CL51" s="115"/>
      <c r="CM51" s="115"/>
      <c r="CN51" s="257">
        <v>3</v>
      </c>
      <c r="CO51" s="117">
        <v>9</v>
      </c>
      <c r="CP51" s="115"/>
      <c r="CQ51" s="117">
        <v>9</v>
      </c>
      <c r="CR51" s="116">
        <v>1</v>
      </c>
      <c r="CS51" s="117">
        <v>90</v>
      </c>
      <c r="CT51" s="115"/>
      <c r="CU51" s="115">
        <v>73149</v>
      </c>
      <c r="CV51" s="115">
        <v>1939</v>
      </c>
      <c r="CW51" s="115">
        <v>89715</v>
      </c>
      <c r="CX51" s="115">
        <v>3</v>
      </c>
      <c r="CY51" s="115">
        <v>14</v>
      </c>
      <c r="CZ51" s="115">
        <v>1</v>
      </c>
      <c r="DA51" s="115">
        <v>18</v>
      </c>
      <c r="DB51" s="115">
        <v>2</v>
      </c>
      <c r="DC51" s="115">
        <v>2</v>
      </c>
      <c r="DD51" s="117">
        <v>164933</v>
      </c>
      <c r="DE51" s="258">
        <v>47192</v>
      </c>
      <c r="DF51" s="115">
        <v>2</v>
      </c>
      <c r="DG51" s="115">
        <v>522</v>
      </c>
      <c r="DH51" s="115">
        <v>241</v>
      </c>
      <c r="DI51" s="115">
        <v>23</v>
      </c>
      <c r="DJ51" s="115">
        <v>0</v>
      </c>
      <c r="DK51" s="115"/>
      <c r="DL51" s="257">
        <v>47980</v>
      </c>
      <c r="DM51" s="117"/>
      <c r="DN51" s="116"/>
      <c r="DO51" s="117"/>
      <c r="DP51" s="115"/>
      <c r="DQ51" s="117"/>
      <c r="DR51" s="116">
        <v>13063</v>
      </c>
      <c r="DS51" s="117"/>
      <c r="DT51" s="115"/>
      <c r="DU51" s="117"/>
      <c r="DV51" s="258">
        <v>8</v>
      </c>
      <c r="DW51" s="115">
        <v>10</v>
      </c>
      <c r="DX51" s="257">
        <v>18</v>
      </c>
      <c r="DY51" s="117">
        <v>527</v>
      </c>
      <c r="DZ51" s="116">
        <v>3622</v>
      </c>
      <c r="EA51" s="117">
        <v>576</v>
      </c>
      <c r="EB51" s="115"/>
      <c r="EC51" s="117">
        <v>576</v>
      </c>
      <c r="ED51" s="116"/>
      <c r="EE51" s="116"/>
      <c r="EF51" s="117">
        <v>9</v>
      </c>
      <c r="EG51" s="115">
        <v>53</v>
      </c>
      <c r="EH51" s="115"/>
      <c r="EI51" s="115"/>
      <c r="EJ51" s="115"/>
      <c r="EK51" s="115"/>
      <c r="EL51" s="117">
        <v>62</v>
      </c>
      <c r="EM51" s="258">
        <v>8041</v>
      </c>
      <c r="EN51" s="115">
        <v>14027</v>
      </c>
      <c r="EO51" s="115">
        <v>262</v>
      </c>
      <c r="EP51" s="115">
        <v>2767</v>
      </c>
      <c r="EQ51" s="115">
        <v>25778</v>
      </c>
      <c r="ER51" s="115">
        <v>351</v>
      </c>
      <c r="ES51" s="115">
        <v>3006</v>
      </c>
      <c r="ET51" s="115">
        <v>17</v>
      </c>
      <c r="EU51" s="115">
        <v>30</v>
      </c>
      <c r="EV51" s="115">
        <v>5</v>
      </c>
      <c r="EW51" s="115">
        <v>0</v>
      </c>
      <c r="EX51" s="115">
        <v>18</v>
      </c>
      <c r="EY51" s="115"/>
      <c r="EZ51" s="257">
        <v>54302</v>
      </c>
      <c r="FA51" s="117"/>
      <c r="FB51" s="116">
        <v>19</v>
      </c>
      <c r="FC51" s="117">
        <v>351</v>
      </c>
      <c r="FD51" s="115"/>
      <c r="FE51" s="115"/>
      <c r="FF51" s="117">
        <v>351</v>
      </c>
      <c r="FG51" s="116"/>
      <c r="FH51" s="116">
        <v>1</v>
      </c>
      <c r="FI51" s="117">
        <v>1362</v>
      </c>
      <c r="FJ51" s="115"/>
      <c r="FK51" s="115"/>
      <c r="FL51" s="115"/>
      <c r="FM51" s="117">
        <v>1362</v>
      </c>
      <c r="FN51" s="258">
        <v>40</v>
      </c>
      <c r="FO51" s="115"/>
      <c r="FP51" s="257">
        <v>40</v>
      </c>
      <c r="FQ51" s="117">
        <v>2</v>
      </c>
      <c r="FR51" s="115"/>
      <c r="FS51" s="117">
        <v>2</v>
      </c>
      <c r="FT51" s="116">
        <v>1</v>
      </c>
      <c r="FU51" s="117">
        <v>1270</v>
      </c>
      <c r="FV51" s="115"/>
      <c r="FW51" s="117">
        <v>1270</v>
      </c>
      <c r="FX51" s="258"/>
      <c r="FY51" s="115">
        <v>2</v>
      </c>
      <c r="FZ51" s="115"/>
      <c r="GA51" s="115"/>
      <c r="GB51" s="257">
        <v>2</v>
      </c>
      <c r="GC51" s="117"/>
      <c r="GD51" s="258">
        <v>2337</v>
      </c>
      <c r="GE51" s="115"/>
      <c r="GF51" s="257">
        <v>2337</v>
      </c>
      <c r="GG51" s="117"/>
      <c r="GH51" s="258">
        <v>4</v>
      </c>
      <c r="GI51" s="115"/>
      <c r="GJ51" s="115"/>
      <c r="GK51" s="257">
        <v>4</v>
      </c>
      <c r="GL51" s="117"/>
      <c r="GM51" s="258">
        <v>1</v>
      </c>
      <c r="GN51" s="115">
        <v>1088</v>
      </c>
      <c r="GO51" s="115"/>
      <c r="GP51" s="115"/>
      <c r="GQ51" s="257">
        <v>1089</v>
      </c>
      <c r="GR51" s="117">
        <v>596355</v>
      </c>
      <c r="GS51" s="324">
        <f>596355/49209180</f>
        <v>1.2118775399224291E-2</v>
      </c>
      <c r="GT51" s="293"/>
      <c r="GU51" s="293"/>
      <c r="GV51" s="293"/>
      <c r="GW51" s="293"/>
      <c r="GX51" s="293"/>
      <c r="GY51" s="293"/>
      <c r="GZ51" s="293"/>
      <c r="HA51" s="293"/>
      <c r="HB51" s="293"/>
      <c r="HC51" s="293"/>
      <c r="HD51" s="293"/>
      <c r="HE51" s="293"/>
      <c r="HF51" s="293"/>
      <c r="HG51" s="293"/>
      <c r="HH51" s="293"/>
      <c r="HI51" s="293"/>
      <c r="HJ51" s="293"/>
      <c r="HK51" s="293"/>
      <c r="HL51" s="293"/>
      <c r="HM51" s="293"/>
      <c r="HN51" s="293"/>
      <c r="HO51" s="293"/>
      <c r="HP51" s="293"/>
      <c r="HQ51" s="293"/>
      <c r="HR51" s="293"/>
      <c r="HS51" s="293"/>
      <c r="HT51" s="293"/>
      <c r="HU51" s="293"/>
      <c r="HV51" s="293"/>
      <c r="HW51" s="293"/>
      <c r="HX51" s="294"/>
    </row>
    <row r="52" spans="2:232" ht="12.75" x14ac:dyDescent="0.2">
      <c r="B52" s="259" t="s">
        <v>68</v>
      </c>
      <c r="C52" s="258">
        <v>102</v>
      </c>
      <c r="D52" s="115"/>
      <c r="E52" s="115">
        <v>1</v>
      </c>
      <c r="F52" s="115"/>
      <c r="G52" s="257">
        <v>103</v>
      </c>
      <c r="H52" s="117">
        <v>2</v>
      </c>
      <c r="I52" s="258">
        <v>15</v>
      </c>
      <c r="J52" s="115"/>
      <c r="K52" s="257">
        <v>15</v>
      </c>
      <c r="L52" s="117"/>
      <c r="M52" s="116">
        <v>770</v>
      </c>
      <c r="N52" s="117">
        <v>296448</v>
      </c>
      <c r="O52" s="115">
        <v>11</v>
      </c>
      <c r="P52" s="115">
        <v>11</v>
      </c>
      <c r="Q52" s="115">
        <v>57</v>
      </c>
      <c r="R52" s="115"/>
      <c r="S52" s="115">
        <v>4</v>
      </c>
      <c r="T52" s="115"/>
      <c r="U52" s="115"/>
      <c r="V52" s="117">
        <v>296531</v>
      </c>
      <c r="W52" s="258">
        <v>127</v>
      </c>
      <c r="X52" s="115">
        <v>103</v>
      </c>
      <c r="Y52" s="257">
        <v>230</v>
      </c>
      <c r="Z52" s="117">
        <v>477</v>
      </c>
      <c r="AA52" s="115"/>
      <c r="AB52" s="117">
        <v>477</v>
      </c>
      <c r="AC52" s="258">
        <v>950</v>
      </c>
      <c r="AD52" s="115">
        <v>27</v>
      </c>
      <c r="AE52" s="115"/>
      <c r="AF52" s="257">
        <v>977</v>
      </c>
      <c r="AG52" s="117">
        <v>42</v>
      </c>
      <c r="AH52" s="115">
        <v>4</v>
      </c>
      <c r="AI52" s="115"/>
      <c r="AJ52" s="115"/>
      <c r="AK52" s="117">
        <v>46</v>
      </c>
      <c r="AL52" s="258"/>
      <c r="AM52" s="115"/>
      <c r="AN52" s="257"/>
      <c r="AO52" s="117"/>
      <c r="AP52" s="116"/>
      <c r="AQ52" s="117"/>
      <c r="AR52" s="115"/>
      <c r="AS52" s="115"/>
      <c r="AT52" s="117"/>
      <c r="AU52" s="258">
        <v>7</v>
      </c>
      <c r="AV52" s="115"/>
      <c r="AW52" s="115">
        <v>2</v>
      </c>
      <c r="AX52" s="115"/>
      <c r="AY52" s="115"/>
      <c r="AZ52" s="115"/>
      <c r="BA52" s="115"/>
      <c r="BB52" s="115"/>
      <c r="BC52" s="257">
        <v>9</v>
      </c>
      <c r="BD52" s="117"/>
      <c r="BE52" s="116">
        <v>1</v>
      </c>
      <c r="BF52" s="117">
        <v>391</v>
      </c>
      <c r="BG52" s="115">
        <v>527</v>
      </c>
      <c r="BH52" s="115">
        <v>2715</v>
      </c>
      <c r="BI52" s="115">
        <v>120</v>
      </c>
      <c r="BJ52" s="115">
        <v>98</v>
      </c>
      <c r="BK52" s="115"/>
      <c r="BL52" s="117">
        <v>3851</v>
      </c>
      <c r="BM52" s="116">
        <v>0</v>
      </c>
      <c r="BN52" s="116"/>
      <c r="BO52" s="116"/>
      <c r="BP52" s="116">
        <v>5</v>
      </c>
      <c r="BQ52" s="117">
        <v>5</v>
      </c>
      <c r="BR52" s="115"/>
      <c r="BS52" s="117">
        <v>5</v>
      </c>
      <c r="BT52" s="116"/>
      <c r="BU52" s="117">
        <v>4</v>
      </c>
      <c r="BV52" s="115">
        <v>2</v>
      </c>
      <c r="BW52" s="115"/>
      <c r="BX52" s="117">
        <v>6</v>
      </c>
      <c r="BY52" s="258"/>
      <c r="BZ52" s="115"/>
      <c r="CA52" s="115"/>
      <c r="CB52" s="115"/>
      <c r="CC52" s="115"/>
      <c r="CD52" s="115"/>
      <c r="CE52" s="115"/>
      <c r="CF52" s="115"/>
      <c r="CG52" s="115"/>
      <c r="CH52" s="115"/>
      <c r="CI52" s="115"/>
      <c r="CJ52" s="115"/>
      <c r="CK52" s="115"/>
      <c r="CL52" s="115"/>
      <c r="CM52" s="115"/>
      <c r="CN52" s="257"/>
      <c r="CO52" s="117">
        <v>5</v>
      </c>
      <c r="CP52" s="115"/>
      <c r="CQ52" s="117">
        <v>5</v>
      </c>
      <c r="CR52" s="116"/>
      <c r="CS52" s="117">
        <v>87</v>
      </c>
      <c r="CT52" s="115"/>
      <c r="CU52" s="115">
        <v>27260</v>
      </c>
      <c r="CV52" s="115">
        <v>628</v>
      </c>
      <c r="CW52" s="115">
        <v>13984</v>
      </c>
      <c r="CX52" s="115"/>
      <c r="CY52" s="115"/>
      <c r="CZ52" s="115"/>
      <c r="DA52" s="115">
        <v>4</v>
      </c>
      <c r="DB52" s="115"/>
      <c r="DC52" s="115"/>
      <c r="DD52" s="117">
        <v>41963</v>
      </c>
      <c r="DE52" s="258">
        <v>9600</v>
      </c>
      <c r="DF52" s="115">
        <v>0</v>
      </c>
      <c r="DG52" s="115">
        <v>35</v>
      </c>
      <c r="DH52" s="115">
        <v>59</v>
      </c>
      <c r="DI52" s="115">
        <v>1</v>
      </c>
      <c r="DJ52" s="115"/>
      <c r="DK52" s="115"/>
      <c r="DL52" s="257">
        <v>9695</v>
      </c>
      <c r="DM52" s="117"/>
      <c r="DN52" s="116"/>
      <c r="DO52" s="117"/>
      <c r="DP52" s="115"/>
      <c r="DQ52" s="117"/>
      <c r="DR52" s="116">
        <v>168</v>
      </c>
      <c r="DS52" s="117"/>
      <c r="DT52" s="115"/>
      <c r="DU52" s="117"/>
      <c r="DV52" s="258">
        <v>1</v>
      </c>
      <c r="DW52" s="115"/>
      <c r="DX52" s="257">
        <v>1</v>
      </c>
      <c r="DY52" s="117">
        <v>11</v>
      </c>
      <c r="DZ52" s="116"/>
      <c r="EA52" s="117">
        <v>1257</v>
      </c>
      <c r="EB52" s="115"/>
      <c r="EC52" s="117">
        <v>1257</v>
      </c>
      <c r="ED52" s="116"/>
      <c r="EE52" s="116"/>
      <c r="EF52" s="117">
        <v>3</v>
      </c>
      <c r="EG52" s="115">
        <v>36</v>
      </c>
      <c r="EH52" s="115"/>
      <c r="EI52" s="115"/>
      <c r="EJ52" s="115"/>
      <c r="EK52" s="115"/>
      <c r="EL52" s="117">
        <v>39</v>
      </c>
      <c r="EM52" s="258">
        <v>3417</v>
      </c>
      <c r="EN52" s="115">
        <v>7190</v>
      </c>
      <c r="EO52" s="115">
        <v>63</v>
      </c>
      <c r="EP52" s="115">
        <v>659</v>
      </c>
      <c r="EQ52" s="115">
        <v>14884</v>
      </c>
      <c r="ER52" s="115">
        <v>446</v>
      </c>
      <c r="ES52" s="115">
        <v>1154</v>
      </c>
      <c r="ET52" s="115">
        <v>13</v>
      </c>
      <c r="EU52" s="115">
        <v>21</v>
      </c>
      <c r="EV52" s="115">
        <v>4</v>
      </c>
      <c r="EW52" s="115"/>
      <c r="EX52" s="115">
        <v>15</v>
      </c>
      <c r="EY52" s="115"/>
      <c r="EZ52" s="257">
        <v>27866</v>
      </c>
      <c r="FA52" s="117"/>
      <c r="FB52" s="116">
        <v>2</v>
      </c>
      <c r="FC52" s="117">
        <v>7</v>
      </c>
      <c r="FD52" s="115"/>
      <c r="FE52" s="115"/>
      <c r="FF52" s="117">
        <v>7</v>
      </c>
      <c r="FG52" s="116"/>
      <c r="FH52" s="116"/>
      <c r="FI52" s="117">
        <v>27</v>
      </c>
      <c r="FJ52" s="115"/>
      <c r="FK52" s="115"/>
      <c r="FL52" s="115"/>
      <c r="FM52" s="117">
        <v>27</v>
      </c>
      <c r="FN52" s="258"/>
      <c r="FO52" s="115"/>
      <c r="FP52" s="257"/>
      <c r="FQ52" s="117">
        <v>1</v>
      </c>
      <c r="FR52" s="115"/>
      <c r="FS52" s="117">
        <v>1</v>
      </c>
      <c r="FT52" s="116">
        <v>1</v>
      </c>
      <c r="FU52" s="117">
        <v>57</v>
      </c>
      <c r="FV52" s="115"/>
      <c r="FW52" s="117">
        <v>57</v>
      </c>
      <c r="FX52" s="258">
        <v>1</v>
      </c>
      <c r="FY52" s="115"/>
      <c r="FZ52" s="115">
        <v>0</v>
      </c>
      <c r="GA52" s="115"/>
      <c r="GB52" s="257">
        <v>1</v>
      </c>
      <c r="GC52" s="117"/>
      <c r="GD52" s="258">
        <v>17</v>
      </c>
      <c r="GE52" s="115"/>
      <c r="GF52" s="257">
        <v>17</v>
      </c>
      <c r="GG52" s="117"/>
      <c r="GH52" s="258">
        <v>9</v>
      </c>
      <c r="GI52" s="115"/>
      <c r="GJ52" s="115"/>
      <c r="GK52" s="257">
        <v>9</v>
      </c>
      <c r="GL52" s="117"/>
      <c r="GM52" s="258"/>
      <c r="GN52" s="115">
        <v>3</v>
      </c>
      <c r="GO52" s="115"/>
      <c r="GP52" s="115"/>
      <c r="GQ52" s="257">
        <v>3</v>
      </c>
      <c r="GR52" s="117">
        <v>384158</v>
      </c>
      <c r="GS52" s="324">
        <f>384158/49209180</f>
        <v>7.8066328274521138E-3</v>
      </c>
      <c r="GT52" s="293"/>
      <c r="GU52" s="293"/>
      <c r="GV52" s="293"/>
      <c r="GW52" s="293"/>
      <c r="GX52" s="293"/>
      <c r="GY52" s="293"/>
      <c r="GZ52" s="293"/>
      <c r="HA52" s="293"/>
      <c r="HB52" s="293"/>
      <c r="HC52" s="293"/>
      <c r="HD52" s="293"/>
      <c r="HE52" s="293"/>
      <c r="HF52" s="293"/>
      <c r="HG52" s="293"/>
      <c r="HH52" s="293"/>
      <c r="HI52" s="293"/>
      <c r="HJ52" s="293"/>
      <c r="HK52" s="293"/>
      <c r="HL52" s="293"/>
      <c r="HM52" s="293"/>
      <c r="HN52" s="293"/>
      <c r="HO52" s="293"/>
      <c r="HP52" s="293"/>
      <c r="HQ52" s="293"/>
      <c r="HR52" s="293"/>
      <c r="HS52" s="293"/>
      <c r="HT52" s="293"/>
      <c r="HU52" s="293"/>
      <c r="HV52" s="293"/>
      <c r="HW52" s="293"/>
      <c r="HX52" s="294"/>
    </row>
    <row r="53" spans="2:232" ht="12.75" x14ac:dyDescent="0.2">
      <c r="B53" s="259" t="s">
        <v>70</v>
      </c>
      <c r="C53" s="258">
        <v>108</v>
      </c>
      <c r="D53" s="115"/>
      <c r="E53" s="115"/>
      <c r="F53" s="115"/>
      <c r="G53" s="257">
        <v>108</v>
      </c>
      <c r="H53" s="117"/>
      <c r="I53" s="258">
        <v>8</v>
      </c>
      <c r="J53" s="115"/>
      <c r="K53" s="257">
        <v>8</v>
      </c>
      <c r="L53" s="117"/>
      <c r="M53" s="116">
        <v>1406</v>
      </c>
      <c r="N53" s="117">
        <v>164680</v>
      </c>
      <c r="O53" s="115">
        <v>21837</v>
      </c>
      <c r="P53" s="115">
        <v>26</v>
      </c>
      <c r="Q53" s="115">
        <v>176</v>
      </c>
      <c r="R53" s="115">
        <v>5</v>
      </c>
      <c r="S53" s="115">
        <v>21</v>
      </c>
      <c r="T53" s="115">
        <v>2</v>
      </c>
      <c r="U53" s="115"/>
      <c r="V53" s="117">
        <v>186747</v>
      </c>
      <c r="W53" s="258">
        <v>7</v>
      </c>
      <c r="X53" s="115">
        <v>11</v>
      </c>
      <c r="Y53" s="257">
        <v>18</v>
      </c>
      <c r="Z53" s="117">
        <v>290</v>
      </c>
      <c r="AA53" s="115"/>
      <c r="AB53" s="117">
        <v>290</v>
      </c>
      <c r="AC53" s="258">
        <v>2212</v>
      </c>
      <c r="AD53" s="115">
        <v>5</v>
      </c>
      <c r="AE53" s="115"/>
      <c r="AF53" s="257">
        <v>2217</v>
      </c>
      <c r="AG53" s="117">
        <v>49</v>
      </c>
      <c r="AH53" s="115">
        <v>1</v>
      </c>
      <c r="AI53" s="115">
        <v>0</v>
      </c>
      <c r="AJ53" s="115"/>
      <c r="AK53" s="117">
        <v>50</v>
      </c>
      <c r="AL53" s="258"/>
      <c r="AM53" s="115"/>
      <c r="AN53" s="257"/>
      <c r="AO53" s="117"/>
      <c r="AP53" s="116"/>
      <c r="AQ53" s="117">
        <v>6</v>
      </c>
      <c r="AR53" s="115">
        <v>2</v>
      </c>
      <c r="AS53" s="115"/>
      <c r="AT53" s="117">
        <v>8</v>
      </c>
      <c r="AU53" s="258">
        <v>68</v>
      </c>
      <c r="AV53" s="115">
        <v>2</v>
      </c>
      <c r="AW53" s="115">
        <v>18</v>
      </c>
      <c r="AX53" s="115"/>
      <c r="AY53" s="115">
        <v>1</v>
      </c>
      <c r="AZ53" s="115"/>
      <c r="BA53" s="115"/>
      <c r="BB53" s="115"/>
      <c r="BC53" s="257">
        <v>89</v>
      </c>
      <c r="BD53" s="117">
        <v>4</v>
      </c>
      <c r="BE53" s="116">
        <v>15</v>
      </c>
      <c r="BF53" s="117">
        <v>214</v>
      </c>
      <c r="BG53" s="115">
        <v>711</v>
      </c>
      <c r="BH53" s="115">
        <v>7360</v>
      </c>
      <c r="BI53" s="115">
        <v>149</v>
      </c>
      <c r="BJ53" s="115">
        <v>147</v>
      </c>
      <c r="BK53" s="115"/>
      <c r="BL53" s="117">
        <v>8581</v>
      </c>
      <c r="BM53" s="116">
        <v>3</v>
      </c>
      <c r="BN53" s="116"/>
      <c r="BO53" s="116"/>
      <c r="BP53" s="116">
        <v>12</v>
      </c>
      <c r="BQ53" s="117">
        <v>21</v>
      </c>
      <c r="BR53" s="115"/>
      <c r="BS53" s="117">
        <v>21</v>
      </c>
      <c r="BT53" s="116"/>
      <c r="BU53" s="117">
        <v>4</v>
      </c>
      <c r="BV53" s="115">
        <v>5</v>
      </c>
      <c r="BW53" s="115"/>
      <c r="BX53" s="117">
        <v>9</v>
      </c>
      <c r="BY53" s="258"/>
      <c r="BZ53" s="115"/>
      <c r="CA53" s="115"/>
      <c r="CB53" s="115"/>
      <c r="CC53" s="115"/>
      <c r="CD53" s="115"/>
      <c r="CE53" s="115"/>
      <c r="CF53" s="115"/>
      <c r="CG53" s="115"/>
      <c r="CH53" s="115"/>
      <c r="CI53" s="115"/>
      <c r="CJ53" s="115"/>
      <c r="CK53" s="115">
        <v>1</v>
      </c>
      <c r="CL53" s="115"/>
      <c r="CM53" s="115"/>
      <c r="CN53" s="257">
        <v>1</v>
      </c>
      <c r="CO53" s="117"/>
      <c r="CP53" s="115"/>
      <c r="CQ53" s="117"/>
      <c r="CR53" s="116">
        <v>2</v>
      </c>
      <c r="CS53" s="117">
        <v>84</v>
      </c>
      <c r="CT53" s="115">
        <v>3</v>
      </c>
      <c r="CU53" s="115">
        <v>28845</v>
      </c>
      <c r="CV53" s="115">
        <v>559</v>
      </c>
      <c r="CW53" s="115">
        <v>46084</v>
      </c>
      <c r="CX53" s="115">
        <v>9</v>
      </c>
      <c r="CY53" s="115">
        <v>2</v>
      </c>
      <c r="CZ53" s="115">
        <v>12</v>
      </c>
      <c r="DA53" s="115">
        <v>48</v>
      </c>
      <c r="DB53" s="115">
        <v>1</v>
      </c>
      <c r="DC53" s="115">
        <v>16</v>
      </c>
      <c r="DD53" s="117">
        <v>75663</v>
      </c>
      <c r="DE53" s="258">
        <v>8868</v>
      </c>
      <c r="DF53" s="115">
        <v>14</v>
      </c>
      <c r="DG53" s="115">
        <v>131</v>
      </c>
      <c r="DH53" s="115">
        <v>67</v>
      </c>
      <c r="DI53" s="115">
        <v>23</v>
      </c>
      <c r="DJ53" s="115"/>
      <c r="DK53" s="115"/>
      <c r="DL53" s="257">
        <v>9103</v>
      </c>
      <c r="DM53" s="117"/>
      <c r="DN53" s="116"/>
      <c r="DO53" s="117"/>
      <c r="DP53" s="115"/>
      <c r="DQ53" s="117"/>
      <c r="DR53" s="116">
        <v>659</v>
      </c>
      <c r="DS53" s="117"/>
      <c r="DT53" s="115"/>
      <c r="DU53" s="117"/>
      <c r="DV53" s="258">
        <v>14</v>
      </c>
      <c r="DW53" s="115"/>
      <c r="DX53" s="257">
        <v>14</v>
      </c>
      <c r="DY53" s="117">
        <v>9769</v>
      </c>
      <c r="DZ53" s="116">
        <v>2</v>
      </c>
      <c r="EA53" s="117">
        <v>166</v>
      </c>
      <c r="EB53" s="115"/>
      <c r="EC53" s="117">
        <v>166</v>
      </c>
      <c r="ED53" s="116"/>
      <c r="EE53" s="116"/>
      <c r="EF53" s="117">
        <v>51</v>
      </c>
      <c r="EG53" s="115">
        <v>31</v>
      </c>
      <c r="EH53" s="115"/>
      <c r="EI53" s="115"/>
      <c r="EJ53" s="115"/>
      <c r="EK53" s="115"/>
      <c r="EL53" s="117">
        <v>82</v>
      </c>
      <c r="EM53" s="258">
        <v>1372</v>
      </c>
      <c r="EN53" s="115">
        <v>7817</v>
      </c>
      <c r="EO53" s="115">
        <v>97</v>
      </c>
      <c r="EP53" s="115">
        <v>1827</v>
      </c>
      <c r="EQ53" s="115">
        <v>12695</v>
      </c>
      <c r="ER53" s="115">
        <v>53</v>
      </c>
      <c r="ES53" s="115">
        <v>512</v>
      </c>
      <c r="ET53" s="115">
        <v>8</v>
      </c>
      <c r="EU53" s="115">
        <v>8</v>
      </c>
      <c r="EV53" s="115">
        <v>6</v>
      </c>
      <c r="EW53" s="115"/>
      <c r="EX53" s="115">
        <v>7</v>
      </c>
      <c r="EY53" s="115"/>
      <c r="EZ53" s="257">
        <v>24402</v>
      </c>
      <c r="FA53" s="117"/>
      <c r="FB53" s="116">
        <v>1</v>
      </c>
      <c r="FC53" s="117">
        <v>5</v>
      </c>
      <c r="FD53" s="115"/>
      <c r="FE53" s="115"/>
      <c r="FF53" s="117">
        <v>5</v>
      </c>
      <c r="FG53" s="116"/>
      <c r="FH53" s="116"/>
      <c r="FI53" s="117">
        <v>15</v>
      </c>
      <c r="FJ53" s="115"/>
      <c r="FK53" s="115"/>
      <c r="FL53" s="115"/>
      <c r="FM53" s="117">
        <v>15</v>
      </c>
      <c r="FN53" s="258"/>
      <c r="FO53" s="115"/>
      <c r="FP53" s="257"/>
      <c r="FQ53" s="117"/>
      <c r="FR53" s="115"/>
      <c r="FS53" s="117"/>
      <c r="FT53" s="116"/>
      <c r="FU53" s="117">
        <v>242</v>
      </c>
      <c r="FV53" s="115"/>
      <c r="FW53" s="117">
        <v>242</v>
      </c>
      <c r="FX53" s="258">
        <v>29</v>
      </c>
      <c r="FY53" s="115"/>
      <c r="FZ53" s="115"/>
      <c r="GA53" s="115"/>
      <c r="GB53" s="257">
        <v>29</v>
      </c>
      <c r="GC53" s="117"/>
      <c r="GD53" s="258">
        <v>44</v>
      </c>
      <c r="GE53" s="115"/>
      <c r="GF53" s="257">
        <v>44</v>
      </c>
      <c r="GG53" s="117"/>
      <c r="GH53" s="258">
        <v>4</v>
      </c>
      <c r="GI53" s="115"/>
      <c r="GJ53" s="115"/>
      <c r="GK53" s="257">
        <v>4</v>
      </c>
      <c r="GL53" s="117">
        <v>32</v>
      </c>
      <c r="GM53" s="258">
        <v>13</v>
      </c>
      <c r="GN53" s="115"/>
      <c r="GO53" s="115">
        <v>1</v>
      </c>
      <c r="GP53" s="115"/>
      <c r="GQ53" s="257">
        <v>14</v>
      </c>
      <c r="GR53" s="117">
        <v>319835</v>
      </c>
      <c r="GS53" s="324">
        <f>319835/49209180</f>
        <v>6.4994986707764693E-3</v>
      </c>
      <c r="GT53" s="293"/>
      <c r="GU53" s="293"/>
      <c r="GV53" s="293"/>
      <c r="GW53" s="293"/>
      <c r="GX53" s="293"/>
      <c r="GY53" s="293"/>
      <c r="GZ53" s="293"/>
      <c r="HA53" s="293"/>
      <c r="HB53" s="293"/>
      <c r="HC53" s="293"/>
      <c r="HD53" s="293"/>
      <c r="HE53" s="293"/>
      <c r="HF53" s="293"/>
      <c r="HG53" s="293"/>
      <c r="HH53" s="293"/>
      <c r="HI53" s="293"/>
      <c r="HJ53" s="293"/>
      <c r="HK53" s="293"/>
      <c r="HL53" s="293"/>
      <c r="HM53" s="293"/>
      <c r="HN53" s="293"/>
      <c r="HO53" s="293"/>
      <c r="HP53" s="293"/>
      <c r="HQ53" s="293"/>
      <c r="HR53" s="293"/>
      <c r="HS53" s="293"/>
      <c r="HT53" s="293"/>
      <c r="HU53" s="293"/>
      <c r="HV53" s="293"/>
      <c r="HW53" s="293"/>
      <c r="HX53" s="294"/>
    </row>
    <row r="54" spans="2:232" ht="12.75" x14ac:dyDescent="0.2">
      <c r="B54" s="259" t="s">
        <v>90</v>
      </c>
      <c r="C54" s="258">
        <v>32</v>
      </c>
      <c r="D54" s="115">
        <v>1</v>
      </c>
      <c r="E54" s="115"/>
      <c r="F54" s="115"/>
      <c r="G54" s="257">
        <v>33</v>
      </c>
      <c r="H54" s="117"/>
      <c r="I54" s="258">
        <v>13</v>
      </c>
      <c r="J54" s="115"/>
      <c r="K54" s="257">
        <v>13</v>
      </c>
      <c r="L54" s="117"/>
      <c r="M54" s="116">
        <v>430</v>
      </c>
      <c r="N54" s="117">
        <v>42382</v>
      </c>
      <c r="O54" s="115">
        <v>26174</v>
      </c>
      <c r="P54" s="115">
        <v>15</v>
      </c>
      <c r="Q54" s="115">
        <v>69</v>
      </c>
      <c r="R54" s="115">
        <v>3</v>
      </c>
      <c r="S54" s="115">
        <v>6</v>
      </c>
      <c r="T54" s="115">
        <v>1</v>
      </c>
      <c r="U54" s="115"/>
      <c r="V54" s="117">
        <v>68650</v>
      </c>
      <c r="W54" s="258">
        <v>2</v>
      </c>
      <c r="X54" s="115">
        <v>7</v>
      </c>
      <c r="Y54" s="257">
        <v>9</v>
      </c>
      <c r="Z54" s="117">
        <v>70</v>
      </c>
      <c r="AA54" s="115"/>
      <c r="AB54" s="117">
        <v>70</v>
      </c>
      <c r="AC54" s="258">
        <v>650</v>
      </c>
      <c r="AD54" s="115">
        <v>1</v>
      </c>
      <c r="AE54" s="115"/>
      <c r="AF54" s="257">
        <v>651</v>
      </c>
      <c r="AG54" s="117">
        <v>34</v>
      </c>
      <c r="AH54" s="115">
        <v>1</v>
      </c>
      <c r="AI54" s="115"/>
      <c r="AJ54" s="115"/>
      <c r="AK54" s="117">
        <v>35</v>
      </c>
      <c r="AL54" s="258"/>
      <c r="AM54" s="115"/>
      <c r="AN54" s="257"/>
      <c r="AO54" s="117"/>
      <c r="AP54" s="116"/>
      <c r="AQ54" s="117"/>
      <c r="AR54" s="115">
        <v>6</v>
      </c>
      <c r="AS54" s="115"/>
      <c r="AT54" s="117">
        <v>6</v>
      </c>
      <c r="AU54" s="258">
        <v>22</v>
      </c>
      <c r="AV54" s="115">
        <v>0</v>
      </c>
      <c r="AW54" s="115">
        <v>1</v>
      </c>
      <c r="AX54" s="115">
        <v>1</v>
      </c>
      <c r="AY54" s="115"/>
      <c r="AZ54" s="115"/>
      <c r="BA54" s="115"/>
      <c r="BB54" s="115"/>
      <c r="BC54" s="257">
        <v>24</v>
      </c>
      <c r="BD54" s="117"/>
      <c r="BE54" s="116">
        <v>2</v>
      </c>
      <c r="BF54" s="117">
        <v>141</v>
      </c>
      <c r="BG54" s="115">
        <v>161</v>
      </c>
      <c r="BH54" s="115">
        <v>2013</v>
      </c>
      <c r="BI54" s="115">
        <v>65</v>
      </c>
      <c r="BJ54" s="115">
        <v>31</v>
      </c>
      <c r="BK54" s="115"/>
      <c r="BL54" s="117">
        <v>2411</v>
      </c>
      <c r="BM54" s="116">
        <v>8</v>
      </c>
      <c r="BN54" s="116"/>
      <c r="BO54" s="116"/>
      <c r="BP54" s="116">
        <v>2</v>
      </c>
      <c r="BQ54" s="117">
        <v>11</v>
      </c>
      <c r="BR54" s="115"/>
      <c r="BS54" s="117">
        <v>11</v>
      </c>
      <c r="BT54" s="116"/>
      <c r="BU54" s="117">
        <v>2</v>
      </c>
      <c r="BV54" s="115">
        <v>3</v>
      </c>
      <c r="BW54" s="115">
        <v>8</v>
      </c>
      <c r="BX54" s="117">
        <v>13</v>
      </c>
      <c r="BY54" s="258"/>
      <c r="BZ54" s="115"/>
      <c r="CA54" s="115"/>
      <c r="CB54" s="115"/>
      <c r="CC54" s="115"/>
      <c r="CD54" s="115"/>
      <c r="CE54" s="115"/>
      <c r="CF54" s="115"/>
      <c r="CG54" s="115"/>
      <c r="CH54" s="115"/>
      <c r="CI54" s="115"/>
      <c r="CJ54" s="115"/>
      <c r="CK54" s="115"/>
      <c r="CL54" s="115"/>
      <c r="CM54" s="115"/>
      <c r="CN54" s="257"/>
      <c r="CO54" s="117">
        <v>4</v>
      </c>
      <c r="CP54" s="115"/>
      <c r="CQ54" s="117">
        <v>4</v>
      </c>
      <c r="CR54" s="116"/>
      <c r="CS54" s="117">
        <v>53</v>
      </c>
      <c r="CT54" s="115"/>
      <c r="CU54" s="115">
        <v>19068</v>
      </c>
      <c r="CV54" s="115">
        <v>486</v>
      </c>
      <c r="CW54" s="115">
        <v>12297</v>
      </c>
      <c r="CX54" s="115">
        <v>3</v>
      </c>
      <c r="CY54" s="115">
        <v>1</v>
      </c>
      <c r="CZ54" s="115"/>
      <c r="DA54" s="115">
        <v>7</v>
      </c>
      <c r="DB54" s="115"/>
      <c r="DC54" s="115"/>
      <c r="DD54" s="117">
        <v>31915</v>
      </c>
      <c r="DE54" s="258">
        <v>422</v>
      </c>
      <c r="DF54" s="115">
        <v>3</v>
      </c>
      <c r="DG54" s="115">
        <v>83</v>
      </c>
      <c r="DH54" s="115">
        <v>77</v>
      </c>
      <c r="DI54" s="115">
        <v>6</v>
      </c>
      <c r="DJ54" s="115"/>
      <c r="DK54" s="115"/>
      <c r="DL54" s="257">
        <v>591</v>
      </c>
      <c r="DM54" s="117">
        <v>12</v>
      </c>
      <c r="DN54" s="116"/>
      <c r="DO54" s="117"/>
      <c r="DP54" s="115"/>
      <c r="DQ54" s="117"/>
      <c r="DR54" s="116">
        <v>8</v>
      </c>
      <c r="DS54" s="117"/>
      <c r="DT54" s="115"/>
      <c r="DU54" s="117"/>
      <c r="DV54" s="258">
        <v>42</v>
      </c>
      <c r="DW54" s="115"/>
      <c r="DX54" s="257">
        <v>42</v>
      </c>
      <c r="DY54" s="117">
        <v>28</v>
      </c>
      <c r="DZ54" s="116"/>
      <c r="EA54" s="117">
        <v>107</v>
      </c>
      <c r="EB54" s="115"/>
      <c r="EC54" s="117">
        <v>107</v>
      </c>
      <c r="ED54" s="116"/>
      <c r="EE54" s="116"/>
      <c r="EF54" s="117">
        <v>5</v>
      </c>
      <c r="EG54" s="115">
        <v>12</v>
      </c>
      <c r="EH54" s="115"/>
      <c r="EI54" s="115"/>
      <c r="EJ54" s="115"/>
      <c r="EK54" s="115"/>
      <c r="EL54" s="117">
        <v>17</v>
      </c>
      <c r="EM54" s="258">
        <v>1559</v>
      </c>
      <c r="EN54" s="115">
        <v>5590</v>
      </c>
      <c r="EO54" s="115">
        <v>89</v>
      </c>
      <c r="EP54" s="115">
        <v>3348</v>
      </c>
      <c r="EQ54" s="115">
        <v>124</v>
      </c>
      <c r="ER54" s="115">
        <v>18</v>
      </c>
      <c r="ES54" s="115">
        <v>394</v>
      </c>
      <c r="ET54" s="115">
        <v>1</v>
      </c>
      <c r="EU54" s="115">
        <v>0</v>
      </c>
      <c r="EV54" s="115"/>
      <c r="EW54" s="115"/>
      <c r="EX54" s="115">
        <v>3</v>
      </c>
      <c r="EY54" s="115"/>
      <c r="EZ54" s="257">
        <v>11126</v>
      </c>
      <c r="FA54" s="117"/>
      <c r="FB54" s="116"/>
      <c r="FC54" s="117">
        <v>0</v>
      </c>
      <c r="FD54" s="115"/>
      <c r="FE54" s="115">
        <v>1</v>
      </c>
      <c r="FF54" s="117">
        <v>1</v>
      </c>
      <c r="FG54" s="116"/>
      <c r="FH54" s="116"/>
      <c r="FI54" s="117">
        <v>3</v>
      </c>
      <c r="FJ54" s="115"/>
      <c r="FK54" s="115"/>
      <c r="FL54" s="115">
        <v>2</v>
      </c>
      <c r="FM54" s="117">
        <v>5</v>
      </c>
      <c r="FN54" s="258"/>
      <c r="FO54" s="115"/>
      <c r="FP54" s="257"/>
      <c r="FQ54" s="117"/>
      <c r="FR54" s="115"/>
      <c r="FS54" s="117"/>
      <c r="FT54" s="116">
        <v>1</v>
      </c>
      <c r="FU54" s="117">
        <v>864</v>
      </c>
      <c r="FV54" s="115"/>
      <c r="FW54" s="117">
        <v>864</v>
      </c>
      <c r="FX54" s="258"/>
      <c r="FY54" s="115"/>
      <c r="FZ54" s="115"/>
      <c r="GA54" s="115">
        <v>6</v>
      </c>
      <c r="GB54" s="257">
        <v>6</v>
      </c>
      <c r="GC54" s="117"/>
      <c r="GD54" s="258">
        <v>9</v>
      </c>
      <c r="GE54" s="115"/>
      <c r="GF54" s="257">
        <v>9</v>
      </c>
      <c r="GG54" s="117"/>
      <c r="GH54" s="258">
        <v>2</v>
      </c>
      <c r="GI54" s="115"/>
      <c r="GJ54" s="115"/>
      <c r="GK54" s="257">
        <v>2</v>
      </c>
      <c r="GL54" s="117">
        <v>10</v>
      </c>
      <c r="GM54" s="258">
        <v>2</v>
      </c>
      <c r="GN54" s="115">
        <v>2</v>
      </c>
      <c r="GO54" s="115">
        <v>3</v>
      </c>
      <c r="GP54" s="115"/>
      <c r="GQ54" s="257">
        <v>7</v>
      </c>
      <c r="GR54" s="117">
        <v>117123</v>
      </c>
      <c r="GS54" s="324">
        <f>117123/49209180</f>
        <v>2.3801046877838647E-3</v>
      </c>
      <c r="GT54" s="293"/>
      <c r="GU54" s="293"/>
      <c r="GV54" s="293"/>
      <c r="GW54" s="293"/>
      <c r="GX54" s="293"/>
      <c r="GY54" s="293"/>
      <c r="GZ54" s="293"/>
      <c r="HA54" s="293"/>
      <c r="HB54" s="293"/>
      <c r="HC54" s="293"/>
      <c r="HD54" s="293"/>
      <c r="HE54" s="293"/>
      <c r="HF54" s="293"/>
      <c r="HG54" s="293"/>
      <c r="HH54" s="293"/>
      <c r="HI54" s="293"/>
      <c r="HJ54" s="293"/>
      <c r="HK54" s="293"/>
      <c r="HL54" s="293"/>
      <c r="HM54" s="293"/>
      <c r="HN54" s="293"/>
      <c r="HO54" s="293"/>
      <c r="HP54" s="293"/>
      <c r="HQ54" s="293"/>
      <c r="HR54" s="293"/>
      <c r="HS54" s="293"/>
      <c r="HT54" s="293"/>
      <c r="HU54" s="293"/>
      <c r="HV54" s="293"/>
      <c r="HW54" s="293"/>
      <c r="HX54" s="294"/>
    </row>
    <row r="55" spans="2:232" ht="12.75" x14ac:dyDescent="0.2">
      <c r="B55" s="259" t="s">
        <v>91</v>
      </c>
      <c r="C55" s="258">
        <v>984</v>
      </c>
      <c r="D55" s="115">
        <v>0</v>
      </c>
      <c r="E55" s="115"/>
      <c r="F55" s="115"/>
      <c r="G55" s="257">
        <v>984</v>
      </c>
      <c r="H55" s="117"/>
      <c r="I55" s="258">
        <v>32</v>
      </c>
      <c r="J55" s="115"/>
      <c r="K55" s="257">
        <v>32</v>
      </c>
      <c r="L55" s="117">
        <v>4</v>
      </c>
      <c r="M55" s="116">
        <v>16178</v>
      </c>
      <c r="N55" s="117">
        <v>175120</v>
      </c>
      <c r="O55" s="115">
        <v>396</v>
      </c>
      <c r="P55" s="115">
        <v>571</v>
      </c>
      <c r="Q55" s="115">
        <v>822</v>
      </c>
      <c r="R55" s="115">
        <v>28</v>
      </c>
      <c r="S55" s="115">
        <v>39</v>
      </c>
      <c r="T55" s="115">
        <v>14</v>
      </c>
      <c r="U55" s="115">
        <v>0</v>
      </c>
      <c r="V55" s="117">
        <v>176990</v>
      </c>
      <c r="W55" s="258">
        <v>175</v>
      </c>
      <c r="X55" s="115">
        <v>166</v>
      </c>
      <c r="Y55" s="257">
        <v>341</v>
      </c>
      <c r="Z55" s="117">
        <v>1984</v>
      </c>
      <c r="AA55" s="115"/>
      <c r="AB55" s="117">
        <v>1984</v>
      </c>
      <c r="AC55" s="258">
        <v>16270</v>
      </c>
      <c r="AD55" s="115">
        <v>24</v>
      </c>
      <c r="AE55" s="115"/>
      <c r="AF55" s="257">
        <v>16294</v>
      </c>
      <c r="AG55" s="117">
        <v>663</v>
      </c>
      <c r="AH55" s="115">
        <v>41</v>
      </c>
      <c r="AI55" s="115"/>
      <c r="AJ55" s="115"/>
      <c r="AK55" s="117">
        <v>704</v>
      </c>
      <c r="AL55" s="258">
        <v>1</v>
      </c>
      <c r="AM55" s="115"/>
      <c r="AN55" s="257">
        <v>1</v>
      </c>
      <c r="AO55" s="117"/>
      <c r="AP55" s="116"/>
      <c r="AQ55" s="117">
        <v>5</v>
      </c>
      <c r="AR55" s="115"/>
      <c r="AS55" s="115"/>
      <c r="AT55" s="117">
        <v>5</v>
      </c>
      <c r="AU55" s="258">
        <v>295</v>
      </c>
      <c r="AV55" s="115">
        <v>9</v>
      </c>
      <c r="AW55" s="115">
        <v>803</v>
      </c>
      <c r="AX55" s="115">
        <v>0</v>
      </c>
      <c r="AY55" s="115"/>
      <c r="AZ55" s="115"/>
      <c r="BA55" s="115"/>
      <c r="BB55" s="115"/>
      <c r="BC55" s="257">
        <v>1107</v>
      </c>
      <c r="BD55" s="117">
        <v>2</v>
      </c>
      <c r="BE55" s="116">
        <v>126</v>
      </c>
      <c r="BF55" s="117">
        <v>1765</v>
      </c>
      <c r="BG55" s="115">
        <v>26077</v>
      </c>
      <c r="BH55" s="115">
        <v>74961</v>
      </c>
      <c r="BI55" s="115">
        <v>1191</v>
      </c>
      <c r="BJ55" s="115">
        <v>1580</v>
      </c>
      <c r="BK55" s="115"/>
      <c r="BL55" s="117">
        <v>105574</v>
      </c>
      <c r="BM55" s="116">
        <v>672</v>
      </c>
      <c r="BN55" s="116">
        <v>9</v>
      </c>
      <c r="BO55" s="116"/>
      <c r="BP55" s="116">
        <v>1002</v>
      </c>
      <c r="BQ55" s="117">
        <v>1663</v>
      </c>
      <c r="BR55" s="115"/>
      <c r="BS55" s="117">
        <v>1663</v>
      </c>
      <c r="BT55" s="116"/>
      <c r="BU55" s="117">
        <v>9</v>
      </c>
      <c r="BV55" s="115">
        <v>9</v>
      </c>
      <c r="BW55" s="115">
        <v>1</v>
      </c>
      <c r="BX55" s="117">
        <v>19</v>
      </c>
      <c r="BY55" s="258"/>
      <c r="BZ55" s="115"/>
      <c r="CA55" s="115">
        <v>0</v>
      </c>
      <c r="CB55" s="115">
        <v>0</v>
      </c>
      <c r="CC55" s="115"/>
      <c r="CD55" s="115"/>
      <c r="CE55" s="115"/>
      <c r="CF55" s="115"/>
      <c r="CG55" s="115"/>
      <c r="CH55" s="115"/>
      <c r="CI55" s="115"/>
      <c r="CJ55" s="115"/>
      <c r="CK55" s="115">
        <v>0</v>
      </c>
      <c r="CL55" s="115"/>
      <c r="CM55" s="115"/>
      <c r="CN55" s="257">
        <v>0</v>
      </c>
      <c r="CO55" s="117">
        <v>23</v>
      </c>
      <c r="CP55" s="115"/>
      <c r="CQ55" s="117">
        <v>23</v>
      </c>
      <c r="CR55" s="116">
        <v>1</v>
      </c>
      <c r="CS55" s="117">
        <v>613</v>
      </c>
      <c r="CT55" s="115"/>
      <c r="CU55" s="115">
        <v>323983</v>
      </c>
      <c r="CV55" s="115">
        <v>8935</v>
      </c>
      <c r="CW55" s="115">
        <v>255519</v>
      </c>
      <c r="CX55" s="115">
        <v>21</v>
      </c>
      <c r="CY55" s="115">
        <v>4</v>
      </c>
      <c r="CZ55" s="115">
        <v>8</v>
      </c>
      <c r="DA55" s="115">
        <v>65</v>
      </c>
      <c r="DB55" s="115"/>
      <c r="DC55" s="115">
        <v>1</v>
      </c>
      <c r="DD55" s="117">
        <v>589149</v>
      </c>
      <c r="DE55" s="258">
        <v>59212</v>
      </c>
      <c r="DF55" s="115">
        <v>13</v>
      </c>
      <c r="DG55" s="115">
        <v>1516</v>
      </c>
      <c r="DH55" s="115">
        <v>4175</v>
      </c>
      <c r="DI55" s="115">
        <v>62</v>
      </c>
      <c r="DJ55" s="115">
        <v>1</v>
      </c>
      <c r="DK55" s="115">
        <v>4</v>
      </c>
      <c r="DL55" s="257">
        <v>64983</v>
      </c>
      <c r="DM55" s="117">
        <v>1</v>
      </c>
      <c r="DN55" s="116"/>
      <c r="DO55" s="117"/>
      <c r="DP55" s="115"/>
      <c r="DQ55" s="117"/>
      <c r="DR55" s="116">
        <v>6623</v>
      </c>
      <c r="DS55" s="117"/>
      <c r="DT55" s="115"/>
      <c r="DU55" s="117"/>
      <c r="DV55" s="258">
        <v>42</v>
      </c>
      <c r="DW55" s="115"/>
      <c r="DX55" s="257">
        <v>42</v>
      </c>
      <c r="DY55" s="117">
        <v>229</v>
      </c>
      <c r="DZ55" s="116">
        <v>144</v>
      </c>
      <c r="EA55" s="117">
        <v>1139</v>
      </c>
      <c r="EB55" s="115"/>
      <c r="EC55" s="117">
        <v>1139</v>
      </c>
      <c r="ED55" s="116"/>
      <c r="EE55" s="116"/>
      <c r="EF55" s="117">
        <v>33</v>
      </c>
      <c r="EG55" s="115">
        <v>153</v>
      </c>
      <c r="EH55" s="115">
        <v>1</v>
      </c>
      <c r="EI55" s="115"/>
      <c r="EJ55" s="115"/>
      <c r="EK55" s="115">
        <v>0</v>
      </c>
      <c r="EL55" s="117">
        <v>187</v>
      </c>
      <c r="EM55" s="258">
        <v>11355</v>
      </c>
      <c r="EN55" s="115">
        <v>4478</v>
      </c>
      <c r="EO55" s="115">
        <v>835</v>
      </c>
      <c r="EP55" s="115">
        <v>6099</v>
      </c>
      <c r="EQ55" s="115">
        <v>15478</v>
      </c>
      <c r="ER55" s="115">
        <v>1509</v>
      </c>
      <c r="ES55" s="115">
        <v>3588</v>
      </c>
      <c r="ET55" s="115">
        <v>214</v>
      </c>
      <c r="EU55" s="115">
        <v>223</v>
      </c>
      <c r="EV55" s="115">
        <v>74</v>
      </c>
      <c r="EW55" s="115">
        <v>2</v>
      </c>
      <c r="EX55" s="115">
        <v>74</v>
      </c>
      <c r="EY55" s="115"/>
      <c r="EZ55" s="257">
        <v>43929</v>
      </c>
      <c r="FA55" s="117"/>
      <c r="FB55" s="116">
        <v>25</v>
      </c>
      <c r="FC55" s="117">
        <v>18</v>
      </c>
      <c r="FD55" s="115"/>
      <c r="FE55" s="115"/>
      <c r="FF55" s="117">
        <v>18</v>
      </c>
      <c r="FG55" s="116"/>
      <c r="FH55" s="116"/>
      <c r="FI55" s="117">
        <v>760</v>
      </c>
      <c r="FJ55" s="115">
        <v>0</v>
      </c>
      <c r="FK55" s="115"/>
      <c r="FL55" s="115"/>
      <c r="FM55" s="117">
        <v>760</v>
      </c>
      <c r="FN55" s="258">
        <v>1</v>
      </c>
      <c r="FO55" s="115"/>
      <c r="FP55" s="257">
        <v>1</v>
      </c>
      <c r="FQ55" s="117"/>
      <c r="FR55" s="115"/>
      <c r="FS55" s="117"/>
      <c r="FT55" s="116">
        <v>6</v>
      </c>
      <c r="FU55" s="117">
        <v>366</v>
      </c>
      <c r="FV55" s="115"/>
      <c r="FW55" s="117">
        <v>366</v>
      </c>
      <c r="FX55" s="258">
        <v>13</v>
      </c>
      <c r="FY55" s="115">
        <v>9</v>
      </c>
      <c r="FZ55" s="115"/>
      <c r="GA55" s="115"/>
      <c r="GB55" s="257">
        <v>22</v>
      </c>
      <c r="GC55" s="117"/>
      <c r="GD55" s="258">
        <v>406</v>
      </c>
      <c r="GE55" s="115"/>
      <c r="GF55" s="257">
        <v>406</v>
      </c>
      <c r="GG55" s="117"/>
      <c r="GH55" s="258">
        <v>20</v>
      </c>
      <c r="GI55" s="115"/>
      <c r="GJ55" s="115"/>
      <c r="GK55" s="257">
        <v>20</v>
      </c>
      <c r="GL55" s="117">
        <v>1</v>
      </c>
      <c r="GM55" s="258">
        <v>24</v>
      </c>
      <c r="GN55" s="115">
        <v>32</v>
      </c>
      <c r="GO55" s="115"/>
      <c r="GP55" s="115">
        <v>2</v>
      </c>
      <c r="GQ55" s="257">
        <v>58</v>
      </c>
      <c r="GR55" s="117">
        <v>1031824</v>
      </c>
      <c r="GS55" s="324">
        <f>1031824/49209180</f>
        <v>2.096812017595091E-2</v>
      </c>
      <c r="GT55" s="293"/>
      <c r="GU55" s="293"/>
      <c r="GV55" s="293"/>
      <c r="GW55" s="293"/>
      <c r="GX55" s="293"/>
      <c r="GY55" s="293"/>
      <c r="GZ55" s="293"/>
      <c r="HA55" s="293"/>
      <c r="HB55" s="293"/>
      <c r="HC55" s="293"/>
      <c r="HD55" s="293"/>
      <c r="HE55" s="293"/>
      <c r="HF55" s="293"/>
      <c r="HG55" s="293"/>
      <c r="HH55" s="293"/>
      <c r="HI55" s="293"/>
      <c r="HJ55" s="293"/>
      <c r="HK55" s="293"/>
      <c r="HL55" s="293"/>
      <c r="HM55" s="293"/>
      <c r="HN55" s="293"/>
      <c r="HO55" s="293"/>
      <c r="HP55" s="293"/>
      <c r="HQ55" s="293"/>
      <c r="HR55" s="293"/>
      <c r="HS55" s="293"/>
      <c r="HT55" s="293"/>
      <c r="HU55" s="293"/>
      <c r="HV55" s="293"/>
      <c r="HW55" s="293"/>
      <c r="HX55" s="294"/>
    </row>
    <row r="56" spans="2:232" ht="12.75" x14ac:dyDescent="0.2">
      <c r="B56" s="259" t="s">
        <v>113</v>
      </c>
      <c r="C56" s="258">
        <v>9851</v>
      </c>
      <c r="D56" s="115"/>
      <c r="E56" s="115"/>
      <c r="F56" s="115">
        <v>2</v>
      </c>
      <c r="G56" s="257">
        <v>9853</v>
      </c>
      <c r="H56" s="117"/>
      <c r="I56" s="258">
        <v>73</v>
      </c>
      <c r="J56" s="115"/>
      <c r="K56" s="257">
        <v>73</v>
      </c>
      <c r="L56" s="117">
        <v>0</v>
      </c>
      <c r="M56" s="116">
        <v>29552</v>
      </c>
      <c r="N56" s="117">
        <v>457843</v>
      </c>
      <c r="O56" s="115">
        <v>13147</v>
      </c>
      <c r="P56" s="115">
        <v>184</v>
      </c>
      <c r="Q56" s="115">
        <v>606</v>
      </c>
      <c r="R56" s="115">
        <v>5</v>
      </c>
      <c r="S56" s="115">
        <v>263</v>
      </c>
      <c r="T56" s="115">
        <v>2</v>
      </c>
      <c r="U56" s="115">
        <v>4</v>
      </c>
      <c r="V56" s="117">
        <v>472054</v>
      </c>
      <c r="W56" s="258">
        <v>138</v>
      </c>
      <c r="X56" s="115">
        <v>135</v>
      </c>
      <c r="Y56" s="257">
        <v>273</v>
      </c>
      <c r="Z56" s="117">
        <v>2612</v>
      </c>
      <c r="AA56" s="115"/>
      <c r="AB56" s="117">
        <v>2612</v>
      </c>
      <c r="AC56" s="258">
        <v>8672</v>
      </c>
      <c r="AD56" s="115">
        <v>10</v>
      </c>
      <c r="AE56" s="115"/>
      <c r="AF56" s="257">
        <v>8682</v>
      </c>
      <c r="AG56" s="117">
        <v>792</v>
      </c>
      <c r="AH56" s="115">
        <v>692</v>
      </c>
      <c r="AI56" s="115">
        <v>7</v>
      </c>
      <c r="AJ56" s="115"/>
      <c r="AK56" s="117">
        <v>1491</v>
      </c>
      <c r="AL56" s="258"/>
      <c r="AM56" s="115"/>
      <c r="AN56" s="257"/>
      <c r="AO56" s="117"/>
      <c r="AP56" s="116"/>
      <c r="AQ56" s="117">
        <v>1</v>
      </c>
      <c r="AR56" s="115">
        <v>27</v>
      </c>
      <c r="AS56" s="115"/>
      <c r="AT56" s="117">
        <v>28</v>
      </c>
      <c r="AU56" s="258">
        <v>111</v>
      </c>
      <c r="AV56" s="115">
        <v>5</v>
      </c>
      <c r="AW56" s="115">
        <v>98</v>
      </c>
      <c r="AX56" s="115">
        <v>5</v>
      </c>
      <c r="AY56" s="115"/>
      <c r="AZ56" s="115"/>
      <c r="BA56" s="115"/>
      <c r="BB56" s="115"/>
      <c r="BC56" s="257">
        <v>219</v>
      </c>
      <c r="BD56" s="117">
        <v>8</v>
      </c>
      <c r="BE56" s="116">
        <v>1503</v>
      </c>
      <c r="BF56" s="117">
        <v>3808</v>
      </c>
      <c r="BG56" s="115">
        <v>8394</v>
      </c>
      <c r="BH56" s="115">
        <v>81170</v>
      </c>
      <c r="BI56" s="115">
        <v>667</v>
      </c>
      <c r="BJ56" s="115">
        <v>1765</v>
      </c>
      <c r="BK56" s="115"/>
      <c r="BL56" s="117">
        <v>95804</v>
      </c>
      <c r="BM56" s="116">
        <v>1932</v>
      </c>
      <c r="BN56" s="116"/>
      <c r="BO56" s="116">
        <v>2</v>
      </c>
      <c r="BP56" s="116">
        <v>3004</v>
      </c>
      <c r="BQ56" s="117">
        <v>4184</v>
      </c>
      <c r="BR56" s="115"/>
      <c r="BS56" s="117">
        <v>4184</v>
      </c>
      <c r="BT56" s="116"/>
      <c r="BU56" s="117">
        <v>21</v>
      </c>
      <c r="BV56" s="115">
        <v>51</v>
      </c>
      <c r="BW56" s="115">
        <v>2</v>
      </c>
      <c r="BX56" s="117">
        <v>74</v>
      </c>
      <c r="BY56" s="258"/>
      <c r="BZ56" s="115"/>
      <c r="CA56" s="115">
        <v>2</v>
      </c>
      <c r="CB56" s="115">
        <v>13</v>
      </c>
      <c r="CC56" s="115">
        <v>5</v>
      </c>
      <c r="CD56" s="115">
        <v>1</v>
      </c>
      <c r="CE56" s="115"/>
      <c r="CF56" s="115"/>
      <c r="CG56" s="115">
        <v>1</v>
      </c>
      <c r="CH56" s="115">
        <v>1</v>
      </c>
      <c r="CI56" s="115"/>
      <c r="CJ56" s="115"/>
      <c r="CK56" s="115">
        <v>1</v>
      </c>
      <c r="CL56" s="115"/>
      <c r="CM56" s="115"/>
      <c r="CN56" s="257">
        <v>24</v>
      </c>
      <c r="CO56" s="117">
        <v>31</v>
      </c>
      <c r="CP56" s="115"/>
      <c r="CQ56" s="117">
        <v>31</v>
      </c>
      <c r="CR56" s="116">
        <v>1</v>
      </c>
      <c r="CS56" s="117">
        <v>250</v>
      </c>
      <c r="CT56" s="115">
        <v>31</v>
      </c>
      <c r="CU56" s="115">
        <v>143108</v>
      </c>
      <c r="CV56" s="115">
        <v>3872</v>
      </c>
      <c r="CW56" s="115">
        <v>184679</v>
      </c>
      <c r="CX56" s="115">
        <v>14</v>
      </c>
      <c r="CY56" s="115">
        <v>22</v>
      </c>
      <c r="CZ56" s="115">
        <v>4</v>
      </c>
      <c r="DA56" s="115">
        <v>27</v>
      </c>
      <c r="DB56" s="115"/>
      <c r="DC56" s="115">
        <v>1</v>
      </c>
      <c r="DD56" s="117">
        <v>332008</v>
      </c>
      <c r="DE56" s="258">
        <v>91490</v>
      </c>
      <c r="DF56" s="115">
        <v>36</v>
      </c>
      <c r="DG56" s="115">
        <v>942</v>
      </c>
      <c r="DH56" s="115">
        <v>435</v>
      </c>
      <c r="DI56" s="115">
        <v>61</v>
      </c>
      <c r="DJ56" s="115"/>
      <c r="DK56" s="115">
        <v>2</v>
      </c>
      <c r="DL56" s="257">
        <v>92966</v>
      </c>
      <c r="DM56" s="117"/>
      <c r="DN56" s="116"/>
      <c r="DO56" s="117">
        <v>1</v>
      </c>
      <c r="DP56" s="115"/>
      <c r="DQ56" s="117">
        <v>1</v>
      </c>
      <c r="DR56" s="116">
        <v>39369</v>
      </c>
      <c r="DS56" s="117"/>
      <c r="DT56" s="115"/>
      <c r="DU56" s="117"/>
      <c r="DV56" s="258">
        <v>91</v>
      </c>
      <c r="DW56" s="115"/>
      <c r="DX56" s="257">
        <v>91</v>
      </c>
      <c r="DY56" s="117">
        <v>15634</v>
      </c>
      <c r="DZ56" s="116">
        <v>740</v>
      </c>
      <c r="EA56" s="117">
        <v>1013</v>
      </c>
      <c r="EB56" s="115"/>
      <c r="EC56" s="117">
        <v>1013</v>
      </c>
      <c r="ED56" s="116">
        <v>1</v>
      </c>
      <c r="EE56" s="116"/>
      <c r="EF56" s="117">
        <v>71</v>
      </c>
      <c r="EG56" s="115">
        <v>164</v>
      </c>
      <c r="EH56" s="115"/>
      <c r="EI56" s="115"/>
      <c r="EJ56" s="115"/>
      <c r="EK56" s="115">
        <v>0</v>
      </c>
      <c r="EL56" s="117">
        <v>235</v>
      </c>
      <c r="EM56" s="258">
        <v>20436</v>
      </c>
      <c r="EN56" s="115">
        <v>41265</v>
      </c>
      <c r="EO56" s="115">
        <v>641</v>
      </c>
      <c r="EP56" s="115">
        <v>7389</v>
      </c>
      <c r="EQ56" s="115">
        <v>27017</v>
      </c>
      <c r="ER56" s="115">
        <v>535</v>
      </c>
      <c r="ES56" s="115">
        <v>5567</v>
      </c>
      <c r="ET56" s="115">
        <v>21</v>
      </c>
      <c r="EU56" s="115">
        <v>88</v>
      </c>
      <c r="EV56" s="115">
        <v>38</v>
      </c>
      <c r="EW56" s="115">
        <v>2</v>
      </c>
      <c r="EX56" s="115">
        <v>58</v>
      </c>
      <c r="EY56" s="115">
        <v>1</v>
      </c>
      <c r="EZ56" s="257">
        <v>103058</v>
      </c>
      <c r="FA56" s="117"/>
      <c r="FB56" s="116">
        <v>6</v>
      </c>
      <c r="FC56" s="117">
        <v>901</v>
      </c>
      <c r="FD56" s="115"/>
      <c r="FE56" s="115">
        <v>8</v>
      </c>
      <c r="FF56" s="117">
        <v>909</v>
      </c>
      <c r="FG56" s="116">
        <v>3</v>
      </c>
      <c r="FH56" s="116">
        <v>1</v>
      </c>
      <c r="FI56" s="117">
        <v>5266</v>
      </c>
      <c r="FJ56" s="115">
        <v>0</v>
      </c>
      <c r="FK56" s="115"/>
      <c r="FL56" s="115">
        <v>2</v>
      </c>
      <c r="FM56" s="117">
        <v>5268</v>
      </c>
      <c r="FN56" s="258">
        <v>18</v>
      </c>
      <c r="FO56" s="115"/>
      <c r="FP56" s="257">
        <v>18</v>
      </c>
      <c r="FQ56" s="117"/>
      <c r="FR56" s="115"/>
      <c r="FS56" s="117"/>
      <c r="FT56" s="116">
        <v>10</v>
      </c>
      <c r="FU56" s="117">
        <v>3769</v>
      </c>
      <c r="FV56" s="115"/>
      <c r="FW56" s="117">
        <v>3769</v>
      </c>
      <c r="FX56" s="258">
        <v>3</v>
      </c>
      <c r="FY56" s="115">
        <v>7</v>
      </c>
      <c r="FZ56" s="115">
        <v>1</v>
      </c>
      <c r="GA56" s="115">
        <v>1</v>
      </c>
      <c r="GB56" s="257">
        <v>12</v>
      </c>
      <c r="GC56" s="117"/>
      <c r="GD56" s="258">
        <v>5143</v>
      </c>
      <c r="GE56" s="115">
        <v>2</v>
      </c>
      <c r="GF56" s="257">
        <v>5145</v>
      </c>
      <c r="GG56" s="117"/>
      <c r="GH56" s="258">
        <v>14</v>
      </c>
      <c r="GI56" s="115"/>
      <c r="GJ56" s="115"/>
      <c r="GK56" s="257">
        <v>14</v>
      </c>
      <c r="GL56" s="117">
        <v>12</v>
      </c>
      <c r="GM56" s="258">
        <v>29</v>
      </c>
      <c r="GN56" s="115">
        <v>484</v>
      </c>
      <c r="GO56" s="115">
        <v>16</v>
      </c>
      <c r="GP56" s="115">
        <v>4</v>
      </c>
      <c r="GQ56" s="257">
        <v>533</v>
      </c>
      <c r="GR56" s="117">
        <v>1232220</v>
      </c>
      <c r="GS56" s="324">
        <f>1232220/49209180</f>
        <v>2.5040449769738085E-2</v>
      </c>
      <c r="GT56" s="293"/>
      <c r="GU56" s="293"/>
      <c r="GV56" s="293"/>
      <c r="GW56" s="293"/>
      <c r="GX56" s="293"/>
      <c r="GY56" s="293"/>
      <c r="GZ56" s="293"/>
      <c r="HA56" s="293"/>
      <c r="HB56" s="293"/>
      <c r="HC56" s="293"/>
      <c r="HD56" s="293"/>
      <c r="HE56" s="293"/>
      <c r="HF56" s="293"/>
      <c r="HG56" s="293"/>
      <c r="HH56" s="293"/>
      <c r="HI56" s="293"/>
      <c r="HJ56" s="293"/>
      <c r="HK56" s="293"/>
      <c r="HL56" s="293"/>
      <c r="HM56" s="293"/>
      <c r="HN56" s="293"/>
      <c r="HO56" s="293"/>
      <c r="HP56" s="293"/>
      <c r="HQ56" s="293"/>
      <c r="HR56" s="293"/>
      <c r="HS56" s="293"/>
      <c r="HT56" s="293"/>
      <c r="HU56" s="293"/>
      <c r="HV56" s="293"/>
      <c r="HW56" s="293"/>
      <c r="HX56" s="294"/>
    </row>
    <row r="57" spans="2:232" ht="12.75" x14ac:dyDescent="0.2">
      <c r="B57" s="259" t="s">
        <v>118</v>
      </c>
      <c r="C57" s="258">
        <v>845</v>
      </c>
      <c r="D57" s="115"/>
      <c r="E57" s="115"/>
      <c r="F57" s="115"/>
      <c r="G57" s="257">
        <v>845</v>
      </c>
      <c r="H57" s="117"/>
      <c r="I57" s="258">
        <v>222</v>
      </c>
      <c r="J57" s="115"/>
      <c r="K57" s="257">
        <v>222</v>
      </c>
      <c r="L57" s="117"/>
      <c r="M57" s="116">
        <v>12940</v>
      </c>
      <c r="N57" s="117">
        <v>1305940</v>
      </c>
      <c r="O57" s="115">
        <v>922</v>
      </c>
      <c r="P57" s="115">
        <v>3361</v>
      </c>
      <c r="Q57" s="115">
        <v>6644</v>
      </c>
      <c r="R57" s="115">
        <v>45</v>
      </c>
      <c r="S57" s="115">
        <v>1282</v>
      </c>
      <c r="T57" s="115">
        <v>18</v>
      </c>
      <c r="U57" s="115">
        <v>3</v>
      </c>
      <c r="V57" s="117">
        <v>1318215</v>
      </c>
      <c r="W57" s="258">
        <v>82</v>
      </c>
      <c r="X57" s="115">
        <v>68</v>
      </c>
      <c r="Y57" s="257">
        <v>150</v>
      </c>
      <c r="Z57" s="117">
        <v>1125</v>
      </c>
      <c r="AA57" s="115"/>
      <c r="AB57" s="117">
        <v>1125</v>
      </c>
      <c r="AC57" s="258">
        <v>73699</v>
      </c>
      <c r="AD57" s="115">
        <v>79</v>
      </c>
      <c r="AE57" s="115"/>
      <c r="AF57" s="257">
        <v>73778</v>
      </c>
      <c r="AG57" s="117">
        <v>818</v>
      </c>
      <c r="AH57" s="115">
        <v>18</v>
      </c>
      <c r="AI57" s="115"/>
      <c r="AJ57" s="115"/>
      <c r="AK57" s="117">
        <v>836</v>
      </c>
      <c r="AL57" s="258">
        <v>1</v>
      </c>
      <c r="AM57" s="115">
        <v>2</v>
      </c>
      <c r="AN57" s="257">
        <v>3</v>
      </c>
      <c r="AO57" s="117"/>
      <c r="AP57" s="116"/>
      <c r="AQ57" s="117">
        <v>6</v>
      </c>
      <c r="AR57" s="115">
        <v>6</v>
      </c>
      <c r="AS57" s="115"/>
      <c r="AT57" s="117">
        <v>12</v>
      </c>
      <c r="AU57" s="258">
        <v>3942</v>
      </c>
      <c r="AV57" s="115">
        <v>8</v>
      </c>
      <c r="AW57" s="115">
        <v>903</v>
      </c>
      <c r="AX57" s="115">
        <v>2</v>
      </c>
      <c r="AY57" s="115"/>
      <c r="AZ57" s="115"/>
      <c r="BA57" s="115"/>
      <c r="BB57" s="115"/>
      <c r="BC57" s="257">
        <v>4855</v>
      </c>
      <c r="BD57" s="117">
        <v>2</v>
      </c>
      <c r="BE57" s="116">
        <v>29</v>
      </c>
      <c r="BF57" s="117">
        <v>1920</v>
      </c>
      <c r="BG57" s="115">
        <v>6235</v>
      </c>
      <c r="BH57" s="115">
        <v>24243</v>
      </c>
      <c r="BI57" s="115">
        <v>1450</v>
      </c>
      <c r="BJ57" s="115">
        <v>603</v>
      </c>
      <c r="BK57" s="115"/>
      <c r="BL57" s="117">
        <v>34451</v>
      </c>
      <c r="BM57" s="116">
        <v>57</v>
      </c>
      <c r="BN57" s="116"/>
      <c r="BO57" s="116">
        <v>1</v>
      </c>
      <c r="BP57" s="116">
        <v>21</v>
      </c>
      <c r="BQ57" s="117">
        <v>2538</v>
      </c>
      <c r="BR57" s="115"/>
      <c r="BS57" s="117">
        <v>2538</v>
      </c>
      <c r="BT57" s="116"/>
      <c r="BU57" s="117">
        <v>30</v>
      </c>
      <c r="BV57" s="115">
        <v>73</v>
      </c>
      <c r="BW57" s="115">
        <v>9</v>
      </c>
      <c r="BX57" s="117">
        <v>112</v>
      </c>
      <c r="BY57" s="258">
        <v>1</v>
      </c>
      <c r="BZ57" s="115"/>
      <c r="CA57" s="115">
        <v>7</v>
      </c>
      <c r="CB57" s="115">
        <v>3</v>
      </c>
      <c r="CC57" s="115"/>
      <c r="CD57" s="115">
        <v>0</v>
      </c>
      <c r="CE57" s="115">
        <v>0</v>
      </c>
      <c r="CF57" s="115"/>
      <c r="CG57" s="115"/>
      <c r="CH57" s="115">
        <v>1</v>
      </c>
      <c r="CI57" s="115">
        <v>2</v>
      </c>
      <c r="CJ57" s="115"/>
      <c r="CK57" s="115">
        <v>1</v>
      </c>
      <c r="CL57" s="115">
        <v>0</v>
      </c>
      <c r="CM57" s="115"/>
      <c r="CN57" s="257">
        <v>15</v>
      </c>
      <c r="CO57" s="117">
        <v>5</v>
      </c>
      <c r="CP57" s="115"/>
      <c r="CQ57" s="117">
        <v>5</v>
      </c>
      <c r="CR57" s="116">
        <v>2</v>
      </c>
      <c r="CS57" s="117">
        <v>1500</v>
      </c>
      <c r="CT57" s="115">
        <v>63</v>
      </c>
      <c r="CU57" s="115">
        <v>458733</v>
      </c>
      <c r="CV57" s="115">
        <v>21453</v>
      </c>
      <c r="CW57" s="115">
        <v>218899</v>
      </c>
      <c r="CX57" s="115">
        <v>30</v>
      </c>
      <c r="CY57" s="115">
        <v>22</v>
      </c>
      <c r="CZ57" s="115">
        <v>7</v>
      </c>
      <c r="DA57" s="115">
        <v>651</v>
      </c>
      <c r="DB57" s="115">
        <v>0</v>
      </c>
      <c r="DC57" s="115">
        <v>3</v>
      </c>
      <c r="DD57" s="117">
        <v>701361</v>
      </c>
      <c r="DE57" s="258">
        <v>163830</v>
      </c>
      <c r="DF57" s="115">
        <v>24</v>
      </c>
      <c r="DG57" s="115">
        <v>2141</v>
      </c>
      <c r="DH57" s="115">
        <v>1962</v>
      </c>
      <c r="DI57" s="115">
        <v>1119</v>
      </c>
      <c r="DJ57" s="115">
        <v>3</v>
      </c>
      <c r="DK57" s="115">
        <v>1</v>
      </c>
      <c r="DL57" s="257">
        <v>169080</v>
      </c>
      <c r="DM57" s="117"/>
      <c r="DN57" s="116"/>
      <c r="DO57" s="117">
        <v>1</v>
      </c>
      <c r="DP57" s="115"/>
      <c r="DQ57" s="117">
        <v>1</v>
      </c>
      <c r="DR57" s="116">
        <v>427</v>
      </c>
      <c r="DS57" s="117"/>
      <c r="DT57" s="115"/>
      <c r="DU57" s="117"/>
      <c r="DV57" s="258">
        <v>156</v>
      </c>
      <c r="DW57" s="115"/>
      <c r="DX57" s="257">
        <v>156</v>
      </c>
      <c r="DY57" s="117">
        <v>89</v>
      </c>
      <c r="DZ57" s="116">
        <v>31</v>
      </c>
      <c r="EA57" s="117">
        <v>1428</v>
      </c>
      <c r="EB57" s="115"/>
      <c r="EC57" s="117">
        <v>1428</v>
      </c>
      <c r="ED57" s="116"/>
      <c r="EE57" s="116"/>
      <c r="EF57" s="117">
        <v>135</v>
      </c>
      <c r="EG57" s="115">
        <v>692</v>
      </c>
      <c r="EH57" s="115">
        <v>1</v>
      </c>
      <c r="EI57" s="115"/>
      <c r="EJ57" s="115"/>
      <c r="EK57" s="115">
        <v>1</v>
      </c>
      <c r="EL57" s="117">
        <v>829</v>
      </c>
      <c r="EM57" s="258">
        <v>42409</v>
      </c>
      <c r="EN57" s="115">
        <v>1118215</v>
      </c>
      <c r="EO57" s="115">
        <v>6447</v>
      </c>
      <c r="EP57" s="115">
        <v>37737</v>
      </c>
      <c r="EQ57" s="115">
        <v>232906</v>
      </c>
      <c r="ER57" s="115">
        <v>2855</v>
      </c>
      <c r="ES57" s="115">
        <v>25370</v>
      </c>
      <c r="ET57" s="115">
        <v>308</v>
      </c>
      <c r="EU57" s="115">
        <v>227</v>
      </c>
      <c r="EV57" s="115">
        <v>294</v>
      </c>
      <c r="EW57" s="115"/>
      <c r="EX57" s="115">
        <v>401</v>
      </c>
      <c r="EY57" s="115">
        <v>2</v>
      </c>
      <c r="EZ57" s="257">
        <v>1467171</v>
      </c>
      <c r="FA57" s="117"/>
      <c r="FB57" s="116">
        <v>31</v>
      </c>
      <c r="FC57" s="117">
        <v>11</v>
      </c>
      <c r="FD57" s="115"/>
      <c r="FE57" s="115">
        <v>8</v>
      </c>
      <c r="FF57" s="117">
        <v>19</v>
      </c>
      <c r="FG57" s="116"/>
      <c r="FH57" s="116"/>
      <c r="FI57" s="117">
        <v>119</v>
      </c>
      <c r="FJ57" s="115"/>
      <c r="FK57" s="115"/>
      <c r="FL57" s="115"/>
      <c r="FM57" s="117">
        <v>119</v>
      </c>
      <c r="FN57" s="258">
        <v>2</v>
      </c>
      <c r="FO57" s="115"/>
      <c r="FP57" s="257">
        <v>2</v>
      </c>
      <c r="FQ57" s="117">
        <v>2</v>
      </c>
      <c r="FR57" s="115"/>
      <c r="FS57" s="117">
        <v>2</v>
      </c>
      <c r="FT57" s="116">
        <v>1</v>
      </c>
      <c r="FU57" s="117">
        <v>8855</v>
      </c>
      <c r="FV57" s="115"/>
      <c r="FW57" s="117">
        <v>8855</v>
      </c>
      <c r="FX57" s="258">
        <v>3</v>
      </c>
      <c r="FY57" s="115">
        <v>2</v>
      </c>
      <c r="FZ57" s="115">
        <v>1</v>
      </c>
      <c r="GA57" s="115">
        <v>1</v>
      </c>
      <c r="GB57" s="257">
        <v>7</v>
      </c>
      <c r="GC57" s="117"/>
      <c r="GD57" s="258">
        <v>244</v>
      </c>
      <c r="GE57" s="115">
        <v>4</v>
      </c>
      <c r="GF57" s="257">
        <v>248</v>
      </c>
      <c r="GG57" s="117">
        <v>5</v>
      </c>
      <c r="GH57" s="258">
        <v>28</v>
      </c>
      <c r="GI57" s="115"/>
      <c r="GJ57" s="115"/>
      <c r="GK57" s="257">
        <v>28</v>
      </c>
      <c r="GL57" s="117">
        <v>20</v>
      </c>
      <c r="GM57" s="258">
        <v>792</v>
      </c>
      <c r="GN57" s="115">
        <v>6</v>
      </c>
      <c r="GO57" s="115"/>
      <c r="GP57" s="115"/>
      <c r="GQ57" s="257">
        <v>798</v>
      </c>
      <c r="GR57" s="117">
        <v>3800922</v>
      </c>
      <c r="GS57" s="324">
        <f>3800922/49209180</f>
        <v>7.7240100322744656E-2</v>
      </c>
      <c r="GT57" s="293"/>
      <c r="GU57" s="293"/>
      <c r="GV57" s="293"/>
      <c r="GW57" s="293"/>
      <c r="GX57" s="293"/>
      <c r="GY57" s="293"/>
      <c r="GZ57" s="293"/>
      <c r="HA57" s="293"/>
      <c r="HB57" s="293"/>
      <c r="HC57" s="293"/>
      <c r="HD57" s="293"/>
      <c r="HE57" s="293"/>
      <c r="HF57" s="293"/>
      <c r="HG57" s="293"/>
      <c r="HH57" s="293"/>
      <c r="HI57" s="293"/>
      <c r="HJ57" s="293"/>
      <c r="HK57" s="293"/>
      <c r="HL57" s="293"/>
      <c r="HM57" s="293"/>
      <c r="HN57" s="293"/>
      <c r="HO57" s="293"/>
      <c r="HP57" s="293"/>
      <c r="HQ57" s="293"/>
      <c r="HR57" s="293"/>
      <c r="HS57" s="293"/>
      <c r="HT57" s="293"/>
      <c r="HU57" s="293"/>
      <c r="HV57" s="293"/>
      <c r="HW57" s="293"/>
      <c r="HX57" s="294"/>
    </row>
    <row r="58" spans="2:232" ht="12.75" x14ac:dyDescent="0.2">
      <c r="B58" s="259" t="s">
        <v>120</v>
      </c>
      <c r="C58" s="258">
        <v>49</v>
      </c>
      <c r="D58" s="115"/>
      <c r="E58" s="115"/>
      <c r="F58" s="115"/>
      <c r="G58" s="257">
        <v>49</v>
      </c>
      <c r="H58" s="117"/>
      <c r="I58" s="258">
        <v>133</v>
      </c>
      <c r="J58" s="115"/>
      <c r="K58" s="257">
        <v>133</v>
      </c>
      <c r="L58" s="117"/>
      <c r="M58" s="116">
        <v>358</v>
      </c>
      <c r="N58" s="117">
        <v>25872</v>
      </c>
      <c r="O58" s="115">
        <v>71</v>
      </c>
      <c r="P58" s="115">
        <v>128</v>
      </c>
      <c r="Q58" s="115">
        <v>248</v>
      </c>
      <c r="R58" s="115">
        <v>5</v>
      </c>
      <c r="S58" s="115">
        <v>37</v>
      </c>
      <c r="T58" s="115">
        <v>1</v>
      </c>
      <c r="U58" s="115">
        <v>0</v>
      </c>
      <c r="V58" s="117">
        <v>26362</v>
      </c>
      <c r="W58" s="258">
        <v>2</v>
      </c>
      <c r="X58" s="115">
        <v>6</v>
      </c>
      <c r="Y58" s="257">
        <v>8</v>
      </c>
      <c r="Z58" s="117">
        <v>66</v>
      </c>
      <c r="AA58" s="115"/>
      <c r="AB58" s="117">
        <v>66</v>
      </c>
      <c r="AC58" s="258">
        <v>8505</v>
      </c>
      <c r="AD58" s="115">
        <v>0</v>
      </c>
      <c r="AE58" s="115"/>
      <c r="AF58" s="257">
        <v>8505</v>
      </c>
      <c r="AG58" s="117">
        <v>47</v>
      </c>
      <c r="AH58" s="115"/>
      <c r="AI58" s="115">
        <v>2</v>
      </c>
      <c r="AJ58" s="115"/>
      <c r="AK58" s="117">
        <v>49</v>
      </c>
      <c r="AL58" s="258"/>
      <c r="AM58" s="115"/>
      <c r="AN58" s="257"/>
      <c r="AO58" s="117"/>
      <c r="AP58" s="116"/>
      <c r="AQ58" s="117"/>
      <c r="AR58" s="115">
        <v>3</v>
      </c>
      <c r="AS58" s="115"/>
      <c r="AT58" s="117">
        <v>3</v>
      </c>
      <c r="AU58" s="258">
        <v>102</v>
      </c>
      <c r="AV58" s="115"/>
      <c r="AW58" s="115">
        <v>2</v>
      </c>
      <c r="AX58" s="115"/>
      <c r="AY58" s="115"/>
      <c r="AZ58" s="115"/>
      <c r="BA58" s="115"/>
      <c r="BB58" s="115"/>
      <c r="BC58" s="257">
        <v>104</v>
      </c>
      <c r="BD58" s="117"/>
      <c r="BE58" s="116">
        <v>1</v>
      </c>
      <c r="BF58" s="117">
        <v>138</v>
      </c>
      <c r="BG58" s="115">
        <v>169</v>
      </c>
      <c r="BH58" s="115">
        <v>445</v>
      </c>
      <c r="BI58" s="115">
        <v>158</v>
      </c>
      <c r="BJ58" s="115">
        <v>15</v>
      </c>
      <c r="BK58" s="115"/>
      <c r="BL58" s="117">
        <v>925</v>
      </c>
      <c r="BM58" s="116"/>
      <c r="BN58" s="116"/>
      <c r="BO58" s="116"/>
      <c r="BP58" s="116">
        <v>1</v>
      </c>
      <c r="BQ58" s="117">
        <v>12</v>
      </c>
      <c r="BR58" s="115"/>
      <c r="BS58" s="117">
        <v>12</v>
      </c>
      <c r="BT58" s="116"/>
      <c r="BU58" s="117">
        <v>0</v>
      </c>
      <c r="BV58" s="115">
        <v>5</v>
      </c>
      <c r="BW58" s="115"/>
      <c r="BX58" s="117">
        <v>5</v>
      </c>
      <c r="BY58" s="258"/>
      <c r="BZ58" s="115"/>
      <c r="CA58" s="115"/>
      <c r="CB58" s="115"/>
      <c r="CC58" s="115"/>
      <c r="CD58" s="115"/>
      <c r="CE58" s="115"/>
      <c r="CF58" s="115"/>
      <c r="CG58" s="115"/>
      <c r="CH58" s="115"/>
      <c r="CI58" s="115"/>
      <c r="CJ58" s="115"/>
      <c r="CK58" s="115"/>
      <c r="CL58" s="115"/>
      <c r="CM58" s="115"/>
      <c r="CN58" s="257"/>
      <c r="CO58" s="117">
        <v>5</v>
      </c>
      <c r="CP58" s="115"/>
      <c r="CQ58" s="117">
        <v>5</v>
      </c>
      <c r="CR58" s="116"/>
      <c r="CS58" s="117">
        <v>84</v>
      </c>
      <c r="CT58" s="115">
        <v>3</v>
      </c>
      <c r="CU58" s="115">
        <v>39772</v>
      </c>
      <c r="CV58" s="115">
        <v>3302</v>
      </c>
      <c r="CW58" s="115">
        <v>5544</v>
      </c>
      <c r="CX58" s="115">
        <v>0</v>
      </c>
      <c r="CY58" s="115">
        <v>6</v>
      </c>
      <c r="CZ58" s="115">
        <v>2</v>
      </c>
      <c r="DA58" s="115">
        <v>31</v>
      </c>
      <c r="DB58" s="115"/>
      <c r="DC58" s="115"/>
      <c r="DD58" s="117">
        <v>48744</v>
      </c>
      <c r="DE58" s="258">
        <v>31806</v>
      </c>
      <c r="DF58" s="115">
        <v>2</v>
      </c>
      <c r="DG58" s="115">
        <v>209</v>
      </c>
      <c r="DH58" s="115">
        <v>126</v>
      </c>
      <c r="DI58" s="115">
        <v>28</v>
      </c>
      <c r="DJ58" s="115"/>
      <c r="DK58" s="115"/>
      <c r="DL58" s="257">
        <v>32171</v>
      </c>
      <c r="DM58" s="117">
        <v>1</v>
      </c>
      <c r="DN58" s="116"/>
      <c r="DO58" s="117"/>
      <c r="DP58" s="115"/>
      <c r="DQ58" s="117"/>
      <c r="DR58" s="116">
        <v>36</v>
      </c>
      <c r="DS58" s="117"/>
      <c r="DT58" s="115"/>
      <c r="DU58" s="117"/>
      <c r="DV58" s="258">
        <v>5</v>
      </c>
      <c r="DW58" s="115"/>
      <c r="DX58" s="257">
        <v>5</v>
      </c>
      <c r="DY58" s="117">
        <v>6</v>
      </c>
      <c r="DZ58" s="116">
        <v>1</v>
      </c>
      <c r="EA58" s="117">
        <v>216</v>
      </c>
      <c r="EB58" s="115"/>
      <c r="EC58" s="117">
        <v>216</v>
      </c>
      <c r="ED58" s="116"/>
      <c r="EE58" s="116"/>
      <c r="EF58" s="117">
        <v>5</v>
      </c>
      <c r="EG58" s="115">
        <v>15</v>
      </c>
      <c r="EH58" s="115">
        <v>0</v>
      </c>
      <c r="EI58" s="115"/>
      <c r="EJ58" s="115"/>
      <c r="EK58" s="115"/>
      <c r="EL58" s="117">
        <v>20</v>
      </c>
      <c r="EM58" s="258">
        <v>5503</v>
      </c>
      <c r="EN58" s="115">
        <v>21556</v>
      </c>
      <c r="EO58" s="115">
        <v>213</v>
      </c>
      <c r="EP58" s="115">
        <v>2298</v>
      </c>
      <c r="EQ58" s="115">
        <v>13247</v>
      </c>
      <c r="ER58" s="115">
        <v>132</v>
      </c>
      <c r="ES58" s="115">
        <v>2255</v>
      </c>
      <c r="ET58" s="115">
        <v>16</v>
      </c>
      <c r="EU58" s="115">
        <v>14</v>
      </c>
      <c r="EV58" s="115">
        <v>14</v>
      </c>
      <c r="EW58" s="115"/>
      <c r="EX58" s="115">
        <v>24</v>
      </c>
      <c r="EY58" s="115"/>
      <c r="EZ58" s="257">
        <v>45272</v>
      </c>
      <c r="FA58" s="117"/>
      <c r="FB58" s="116">
        <v>3</v>
      </c>
      <c r="FC58" s="117">
        <v>1</v>
      </c>
      <c r="FD58" s="115"/>
      <c r="FE58" s="115"/>
      <c r="FF58" s="117">
        <v>1</v>
      </c>
      <c r="FG58" s="116"/>
      <c r="FH58" s="116"/>
      <c r="FI58" s="117">
        <v>8</v>
      </c>
      <c r="FJ58" s="115"/>
      <c r="FK58" s="115"/>
      <c r="FL58" s="115"/>
      <c r="FM58" s="117">
        <v>8</v>
      </c>
      <c r="FN58" s="258"/>
      <c r="FO58" s="115"/>
      <c r="FP58" s="257"/>
      <c r="FQ58" s="117"/>
      <c r="FR58" s="115"/>
      <c r="FS58" s="117"/>
      <c r="FT58" s="116"/>
      <c r="FU58" s="117">
        <v>63</v>
      </c>
      <c r="FV58" s="115"/>
      <c r="FW58" s="117">
        <v>63</v>
      </c>
      <c r="FX58" s="258">
        <v>1</v>
      </c>
      <c r="FY58" s="115"/>
      <c r="FZ58" s="115"/>
      <c r="GA58" s="115"/>
      <c r="GB58" s="257">
        <v>1</v>
      </c>
      <c r="GC58" s="117"/>
      <c r="GD58" s="258">
        <v>19</v>
      </c>
      <c r="GE58" s="115"/>
      <c r="GF58" s="257">
        <v>19</v>
      </c>
      <c r="GG58" s="117">
        <v>1</v>
      </c>
      <c r="GH58" s="258">
        <v>4</v>
      </c>
      <c r="GI58" s="115"/>
      <c r="GJ58" s="115"/>
      <c r="GK58" s="257">
        <v>4</v>
      </c>
      <c r="GL58" s="117">
        <v>2</v>
      </c>
      <c r="GM58" s="258">
        <v>5</v>
      </c>
      <c r="GN58" s="115"/>
      <c r="GO58" s="115"/>
      <c r="GP58" s="115"/>
      <c r="GQ58" s="257">
        <v>5</v>
      </c>
      <c r="GR58" s="117">
        <v>163165</v>
      </c>
      <c r="GS58" s="324">
        <f>163165/49209180</f>
        <v>3.3157431194748622E-3</v>
      </c>
      <c r="GT58" s="293"/>
      <c r="GU58" s="293"/>
      <c r="GV58" s="293"/>
      <c r="GW58" s="293"/>
      <c r="GX58" s="293"/>
      <c r="GY58" s="293"/>
      <c r="GZ58" s="293"/>
      <c r="HA58" s="293"/>
      <c r="HB58" s="293"/>
      <c r="HC58" s="293"/>
      <c r="HD58" s="293"/>
      <c r="HE58" s="293"/>
      <c r="HF58" s="293"/>
      <c r="HG58" s="293"/>
      <c r="HH58" s="293"/>
      <c r="HI58" s="293"/>
      <c r="HJ58" s="293"/>
      <c r="HK58" s="293"/>
      <c r="HL58" s="293"/>
      <c r="HM58" s="293"/>
      <c r="HN58" s="293"/>
      <c r="HO58" s="293"/>
      <c r="HP58" s="293"/>
      <c r="HQ58" s="293"/>
      <c r="HR58" s="293"/>
      <c r="HS58" s="293"/>
      <c r="HT58" s="293"/>
      <c r="HU58" s="293"/>
      <c r="HV58" s="293"/>
      <c r="HW58" s="293"/>
      <c r="HX58" s="294"/>
    </row>
    <row r="59" spans="2:232" ht="12.75" x14ac:dyDescent="0.2">
      <c r="B59" s="259" t="s">
        <v>121</v>
      </c>
      <c r="C59" s="258">
        <v>343</v>
      </c>
      <c r="D59" s="115"/>
      <c r="E59" s="115">
        <v>1</v>
      </c>
      <c r="F59" s="115"/>
      <c r="G59" s="257">
        <v>344</v>
      </c>
      <c r="H59" s="117"/>
      <c r="I59" s="258">
        <v>17</v>
      </c>
      <c r="J59" s="115"/>
      <c r="K59" s="257">
        <v>17</v>
      </c>
      <c r="L59" s="117"/>
      <c r="M59" s="116">
        <v>1401</v>
      </c>
      <c r="N59" s="117">
        <v>13204</v>
      </c>
      <c r="O59" s="115">
        <v>42</v>
      </c>
      <c r="P59" s="115">
        <v>249</v>
      </c>
      <c r="Q59" s="115">
        <v>320</v>
      </c>
      <c r="R59" s="115">
        <v>0</v>
      </c>
      <c r="S59" s="115">
        <v>66</v>
      </c>
      <c r="T59" s="115">
        <v>2</v>
      </c>
      <c r="U59" s="115">
        <v>0</v>
      </c>
      <c r="V59" s="117">
        <v>13883</v>
      </c>
      <c r="W59" s="258">
        <v>34</v>
      </c>
      <c r="X59" s="115">
        <v>40</v>
      </c>
      <c r="Y59" s="257">
        <v>74</v>
      </c>
      <c r="Z59" s="117">
        <v>224</v>
      </c>
      <c r="AA59" s="115"/>
      <c r="AB59" s="117">
        <v>224</v>
      </c>
      <c r="AC59" s="258">
        <v>35055</v>
      </c>
      <c r="AD59" s="115">
        <v>26</v>
      </c>
      <c r="AE59" s="115"/>
      <c r="AF59" s="257">
        <v>35081</v>
      </c>
      <c r="AG59" s="117">
        <v>224</v>
      </c>
      <c r="AH59" s="115">
        <v>5</v>
      </c>
      <c r="AI59" s="115">
        <v>1</v>
      </c>
      <c r="AJ59" s="115"/>
      <c r="AK59" s="117">
        <v>230</v>
      </c>
      <c r="AL59" s="258"/>
      <c r="AM59" s="115"/>
      <c r="AN59" s="257"/>
      <c r="AO59" s="117"/>
      <c r="AP59" s="116"/>
      <c r="AQ59" s="117">
        <v>6</v>
      </c>
      <c r="AR59" s="115">
        <v>31</v>
      </c>
      <c r="AS59" s="115"/>
      <c r="AT59" s="117">
        <v>37</v>
      </c>
      <c r="AU59" s="258">
        <v>115</v>
      </c>
      <c r="AV59" s="115">
        <v>14</v>
      </c>
      <c r="AW59" s="115">
        <v>19</v>
      </c>
      <c r="AX59" s="115">
        <v>0</v>
      </c>
      <c r="AY59" s="115"/>
      <c r="AZ59" s="115"/>
      <c r="BA59" s="115"/>
      <c r="BB59" s="115"/>
      <c r="BC59" s="257">
        <v>148</v>
      </c>
      <c r="BD59" s="117">
        <v>0</v>
      </c>
      <c r="BE59" s="116">
        <v>4</v>
      </c>
      <c r="BF59" s="117">
        <v>278</v>
      </c>
      <c r="BG59" s="115">
        <v>1454</v>
      </c>
      <c r="BH59" s="115">
        <v>3401</v>
      </c>
      <c r="BI59" s="115">
        <v>635</v>
      </c>
      <c r="BJ59" s="115">
        <v>164</v>
      </c>
      <c r="BK59" s="115"/>
      <c r="BL59" s="117">
        <v>5932</v>
      </c>
      <c r="BM59" s="116">
        <v>8</v>
      </c>
      <c r="BN59" s="116"/>
      <c r="BO59" s="116">
        <v>1</v>
      </c>
      <c r="BP59" s="116">
        <v>15</v>
      </c>
      <c r="BQ59" s="117">
        <v>16</v>
      </c>
      <c r="BR59" s="115"/>
      <c r="BS59" s="117">
        <v>16</v>
      </c>
      <c r="BT59" s="116"/>
      <c r="BU59" s="117">
        <v>5</v>
      </c>
      <c r="BV59" s="115">
        <v>1</v>
      </c>
      <c r="BW59" s="115"/>
      <c r="BX59" s="117">
        <v>6</v>
      </c>
      <c r="BY59" s="258"/>
      <c r="BZ59" s="115"/>
      <c r="CA59" s="115">
        <v>0</v>
      </c>
      <c r="CB59" s="115"/>
      <c r="CC59" s="115"/>
      <c r="CD59" s="115"/>
      <c r="CE59" s="115"/>
      <c r="CF59" s="115"/>
      <c r="CG59" s="115"/>
      <c r="CH59" s="115"/>
      <c r="CI59" s="115">
        <v>0</v>
      </c>
      <c r="CJ59" s="115"/>
      <c r="CK59" s="115"/>
      <c r="CL59" s="115"/>
      <c r="CM59" s="115"/>
      <c r="CN59" s="257">
        <v>0</v>
      </c>
      <c r="CO59" s="117">
        <v>8</v>
      </c>
      <c r="CP59" s="115">
        <v>0</v>
      </c>
      <c r="CQ59" s="117">
        <v>8</v>
      </c>
      <c r="CR59" s="116"/>
      <c r="CS59" s="117">
        <v>384</v>
      </c>
      <c r="CT59" s="115">
        <v>66</v>
      </c>
      <c r="CU59" s="115">
        <v>170835</v>
      </c>
      <c r="CV59" s="115">
        <v>10812</v>
      </c>
      <c r="CW59" s="115">
        <v>69738</v>
      </c>
      <c r="CX59" s="115">
        <v>10</v>
      </c>
      <c r="CY59" s="115">
        <v>7</v>
      </c>
      <c r="CZ59" s="115"/>
      <c r="DA59" s="115">
        <v>138</v>
      </c>
      <c r="DB59" s="115">
        <v>0</v>
      </c>
      <c r="DC59" s="115">
        <v>1</v>
      </c>
      <c r="DD59" s="117">
        <v>251991</v>
      </c>
      <c r="DE59" s="258">
        <v>3432</v>
      </c>
      <c r="DF59" s="115">
        <v>2</v>
      </c>
      <c r="DG59" s="115">
        <v>723</v>
      </c>
      <c r="DH59" s="115">
        <v>1790</v>
      </c>
      <c r="DI59" s="115">
        <v>36</v>
      </c>
      <c r="DJ59" s="115">
        <v>0</v>
      </c>
      <c r="DK59" s="115"/>
      <c r="DL59" s="257">
        <v>5983</v>
      </c>
      <c r="DM59" s="117"/>
      <c r="DN59" s="116">
        <v>1</v>
      </c>
      <c r="DO59" s="117"/>
      <c r="DP59" s="115"/>
      <c r="DQ59" s="117"/>
      <c r="DR59" s="116">
        <v>101</v>
      </c>
      <c r="DS59" s="117"/>
      <c r="DT59" s="115"/>
      <c r="DU59" s="117"/>
      <c r="DV59" s="258">
        <v>101</v>
      </c>
      <c r="DW59" s="115"/>
      <c r="DX59" s="257">
        <v>101</v>
      </c>
      <c r="DY59" s="117">
        <v>48</v>
      </c>
      <c r="DZ59" s="116">
        <v>4</v>
      </c>
      <c r="EA59" s="117">
        <v>629</v>
      </c>
      <c r="EB59" s="115"/>
      <c r="EC59" s="117">
        <v>629</v>
      </c>
      <c r="ED59" s="116"/>
      <c r="EE59" s="116"/>
      <c r="EF59" s="117">
        <v>6</v>
      </c>
      <c r="EG59" s="115">
        <v>47</v>
      </c>
      <c r="EH59" s="115"/>
      <c r="EI59" s="115"/>
      <c r="EJ59" s="115"/>
      <c r="EK59" s="115"/>
      <c r="EL59" s="117">
        <v>53</v>
      </c>
      <c r="EM59" s="258">
        <v>765</v>
      </c>
      <c r="EN59" s="115">
        <v>1473</v>
      </c>
      <c r="EO59" s="115">
        <v>175</v>
      </c>
      <c r="EP59" s="115">
        <v>1086</v>
      </c>
      <c r="EQ59" s="115">
        <v>1187</v>
      </c>
      <c r="ER59" s="115">
        <v>190</v>
      </c>
      <c r="ES59" s="115">
        <v>1652</v>
      </c>
      <c r="ET59" s="115">
        <v>139</v>
      </c>
      <c r="EU59" s="115">
        <v>54</v>
      </c>
      <c r="EV59" s="115">
        <v>51</v>
      </c>
      <c r="EW59" s="115"/>
      <c r="EX59" s="115">
        <v>135</v>
      </c>
      <c r="EY59" s="115">
        <v>1</v>
      </c>
      <c r="EZ59" s="257">
        <v>6908</v>
      </c>
      <c r="FA59" s="117"/>
      <c r="FB59" s="116">
        <v>1272</v>
      </c>
      <c r="FC59" s="117">
        <v>3</v>
      </c>
      <c r="FD59" s="115"/>
      <c r="FE59" s="115"/>
      <c r="FF59" s="117">
        <v>3</v>
      </c>
      <c r="FG59" s="116"/>
      <c r="FH59" s="116"/>
      <c r="FI59" s="117">
        <v>16</v>
      </c>
      <c r="FJ59" s="115"/>
      <c r="FK59" s="115"/>
      <c r="FL59" s="115"/>
      <c r="FM59" s="117">
        <v>16</v>
      </c>
      <c r="FN59" s="258">
        <v>0</v>
      </c>
      <c r="FO59" s="115"/>
      <c r="FP59" s="257">
        <v>0</v>
      </c>
      <c r="FQ59" s="117"/>
      <c r="FR59" s="115"/>
      <c r="FS59" s="117"/>
      <c r="FT59" s="116">
        <v>1</v>
      </c>
      <c r="FU59" s="117">
        <v>35</v>
      </c>
      <c r="FV59" s="115"/>
      <c r="FW59" s="117">
        <v>35</v>
      </c>
      <c r="FX59" s="258">
        <v>10</v>
      </c>
      <c r="FY59" s="115"/>
      <c r="FZ59" s="115"/>
      <c r="GA59" s="115"/>
      <c r="GB59" s="257">
        <v>10</v>
      </c>
      <c r="GC59" s="117"/>
      <c r="GD59" s="258">
        <v>39</v>
      </c>
      <c r="GE59" s="115"/>
      <c r="GF59" s="257">
        <v>39</v>
      </c>
      <c r="GG59" s="117"/>
      <c r="GH59" s="258">
        <v>5</v>
      </c>
      <c r="GI59" s="115"/>
      <c r="GJ59" s="115"/>
      <c r="GK59" s="257">
        <v>5</v>
      </c>
      <c r="GL59" s="117">
        <v>46</v>
      </c>
      <c r="GM59" s="258">
        <v>8</v>
      </c>
      <c r="GN59" s="115">
        <v>7</v>
      </c>
      <c r="GO59" s="115"/>
      <c r="GP59" s="115"/>
      <c r="GQ59" s="257">
        <v>15</v>
      </c>
      <c r="GR59" s="117">
        <v>324690</v>
      </c>
      <c r="GS59" s="324">
        <f>324690/49209180</f>
        <v>6.5981591239683331E-3</v>
      </c>
      <c r="GT59" s="293"/>
      <c r="GU59" s="293"/>
      <c r="GV59" s="293"/>
      <c r="GW59" s="293"/>
      <c r="GX59" s="293"/>
      <c r="GY59" s="293"/>
      <c r="GZ59" s="293"/>
      <c r="HA59" s="293"/>
      <c r="HB59" s="293"/>
      <c r="HC59" s="293"/>
      <c r="HD59" s="293"/>
      <c r="HE59" s="293"/>
      <c r="HF59" s="293"/>
      <c r="HG59" s="293"/>
      <c r="HH59" s="293"/>
      <c r="HI59" s="293"/>
      <c r="HJ59" s="293"/>
      <c r="HK59" s="293"/>
      <c r="HL59" s="293"/>
      <c r="HM59" s="293"/>
      <c r="HN59" s="293"/>
      <c r="HO59" s="293"/>
      <c r="HP59" s="293"/>
      <c r="HQ59" s="293"/>
      <c r="HR59" s="293"/>
      <c r="HS59" s="293"/>
      <c r="HT59" s="293"/>
      <c r="HU59" s="293"/>
      <c r="HV59" s="293"/>
      <c r="HW59" s="293"/>
      <c r="HX59" s="294"/>
    </row>
    <row r="60" spans="2:232" ht="12.75" x14ac:dyDescent="0.2">
      <c r="B60" s="259" t="s">
        <v>123</v>
      </c>
      <c r="C60" s="258">
        <v>528</v>
      </c>
      <c r="D60" s="115"/>
      <c r="E60" s="115"/>
      <c r="F60" s="115">
        <v>1</v>
      </c>
      <c r="G60" s="257">
        <v>529</v>
      </c>
      <c r="H60" s="117"/>
      <c r="I60" s="258">
        <v>81</v>
      </c>
      <c r="J60" s="115"/>
      <c r="K60" s="257">
        <v>81</v>
      </c>
      <c r="L60" s="117"/>
      <c r="M60" s="116">
        <v>10797</v>
      </c>
      <c r="N60" s="117">
        <v>143966</v>
      </c>
      <c r="O60" s="115">
        <v>11394</v>
      </c>
      <c r="P60" s="115">
        <v>33</v>
      </c>
      <c r="Q60" s="115">
        <v>155</v>
      </c>
      <c r="R60" s="115"/>
      <c r="S60" s="115">
        <v>20</v>
      </c>
      <c r="T60" s="115">
        <v>6</v>
      </c>
      <c r="U60" s="115">
        <v>1</v>
      </c>
      <c r="V60" s="117">
        <v>155575</v>
      </c>
      <c r="W60" s="258">
        <v>14</v>
      </c>
      <c r="X60" s="115">
        <v>13</v>
      </c>
      <c r="Y60" s="257">
        <v>27</v>
      </c>
      <c r="Z60" s="117">
        <v>279</v>
      </c>
      <c r="AA60" s="115"/>
      <c r="AB60" s="117">
        <v>279</v>
      </c>
      <c r="AC60" s="258">
        <v>1804</v>
      </c>
      <c r="AD60" s="115">
        <v>20</v>
      </c>
      <c r="AE60" s="115"/>
      <c r="AF60" s="257">
        <v>1824</v>
      </c>
      <c r="AG60" s="117">
        <v>160</v>
      </c>
      <c r="AH60" s="115"/>
      <c r="AI60" s="115"/>
      <c r="AJ60" s="115"/>
      <c r="AK60" s="117">
        <v>160</v>
      </c>
      <c r="AL60" s="258"/>
      <c r="AM60" s="115"/>
      <c r="AN60" s="257"/>
      <c r="AO60" s="117"/>
      <c r="AP60" s="116"/>
      <c r="AQ60" s="117">
        <v>1</v>
      </c>
      <c r="AR60" s="115">
        <v>1</v>
      </c>
      <c r="AS60" s="115"/>
      <c r="AT60" s="117">
        <v>2</v>
      </c>
      <c r="AU60" s="258">
        <v>43</v>
      </c>
      <c r="AV60" s="115"/>
      <c r="AW60" s="115"/>
      <c r="AX60" s="115"/>
      <c r="AY60" s="115"/>
      <c r="AZ60" s="115"/>
      <c r="BA60" s="115"/>
      <c r="BB60" s="115"/>
      <c r="BC60" s="257">
        <v>43</v>
      </c>
      <c r="BD60" s="117">
        <v>8</v>
      </c>
      <c r="BE60" s="116">
        <v>86</v>
      </c>
      <c r="BF60" s="117">
        <v>499</v>
      </c>
      <c r="BG60" s="115">
        <v>1693</v>
      </c>
      <c r="BH60" s="115">
        <v>15514</v>
      </c>
      <c r="BI60" s="115">
        <v>87</v>
      </c>
      <c r="BJ60" s="115">
        <v>154</v>
      </c>
      <c r="BK60" s="115"/>
      <c r="BL60" s="117">
        <v>17947</v>
      </c>
      <c r="BM60" s="116">
        <v>2</v>
      </c>
      <c r="BN60" s="116"/>
      <c r="BO60" s="116"/>
      <c r="BP60" s="116">
        <v>4</v>
      </c>
      <c r="BQ60" s="117">
        <v>82</v>
      </c>
      <c r="BR60" s="115"/>
      <c r="BS60" s="117">
        <v>82</v>
      </c>
      <c r="BT60" s="116"/>
      <c r="BU60" s="117">
        <v>28</v>
      </c>
      <c r="BV60" s="115">
        <v>79</v>
      </c>
      <c r="BW60" s="115">
        <v>4</v>
      </c>
      <c r="BX60" s="117">
        <v>111</v>
      </c>
      <c r="BY60" s="258"/>
      <c r="BZ60" s="115"/>
      <c r="CA60" s="115">
        <v>1</v>
      </c>
      <c r="CB60" s="115">
        <v>0</v>
      </c>
      <c r="CC60" s="115"/>
      <c r="CD60" s="115"/>
      <c r="CE60" s="115"/>
      <c r="CF60" s="115"/>
      <c r="CG60" s="115"/>
      <c r="CH60" s="115"/>
      <c r="CI60" s="115"/>
      <c r="CJ60" s="115"/>
      <c r="CK60" s="115"/>
      <c r="CL60" s="115"/>
      <c r="CM60" s="115"/>
      <c r="CN60" s="257">
        <v>1</v>
      </c>
      <c r="CO60" s="117"/>
      <c r="CP60" s="115"/>
      <c r="CQ60" s="117"/>
      <c r="CR60" s="116"/>
      <c r="CS60" s="117">
        <v>108</v>
      </c>
      <c r="CT60" s="115"/>
      <c r="CU60" s="115">
        <v>67725</v>
      </c>
      <c r="CV60" s="115">
        <v>588</v>
      </c>
      <c r="CW60" s="115">
        <v>79316</v>
      </c>
      <c r="CX60" s="115">
        <v>1</v>
      </c>
      <c r="CY60" s="115">
        <v>6</v>
      </c>
      <c r="CZ60" s="115">
        <v>0</v>
      </c>
      <c r="DA60" s="115">
        <v>5</v>
      </c>
      <c r="DB60" s="115">
        <v>0</v>
      </c>
      <c r="DC60" s="115"/>
      <c r="DD60" s="117">
        <v>147749</v>
      </c>
      <c r="DE60" s="258">
        <v>7870</v>
      </c>
      <c r="DF60" s="115">
        <v>4</v>
      </c>
      <c r="DG60" s="115">
        <v>234</v>
      </c>
      <c r="DH60" s="115">
        <v>105</v>
      </c>
      <c r="DI60" s="115">
        <v>22</v>
      </c>
      <c r="DJ60" s="115"/>
      <c r="DK60" s="115"/>
      <c r="DL60" s="257">
        <v>8235</v>
      </c>
      <c r="DM60" s="117">
        <v>0</v>
      </c>
      <c r="DN60" s="116"/>
      <c r="DO60" s="117">
        <v>1</v>
      </c>
      <c r="DP60" s="115"/>
      <c r="DQ60" s="117">
        <v>1</v>
      </c>
      <c r="DR60" s="116">
        <v>62</v>
      </c>
      <c r="DS60" s="117">
        <v>0</v>
      </c>
      <c r="DT60" s="115"/>
      <c r="DU60" s="117">
        <v>0</v>
      </c>
      <c r="DV60" s="258">
        <v>10</v>
      </c>
      <c r="DW60" s="115"/>
      <c r="DX60" s="257">
        <v>10</v>
      </c>
      <c r="DY60" s="117">
        <v>5783</v>
      </c>
      <c r="DZ60" s="116">
        <v>1</v>
      </c>
      <c r="EA60" s="117">
        <v>384</v>
      </c>
      <c r="EB60" s="115"/>
      <c r="EC60" s="117">
        <v>384</v>
      </c>
      <c r="ED60" s="116"/>
      <c r="EE60" s="116">
        <v>2</v>
      </c>
      <c r="EF60" s="117">
        <v>11</v>
      </c>
      <c r="EG60" s="115">
        <v>46</v>
      </c>
      <c r="EH60" s="115">
        <v>1</v>
      </c>
      <c r="EI60" s="115"/>
      <c r="EJ60" s="115"/>
      <c r="EK60" s="115"/>
      <c r="EL60" s="117">
        <v>58</v>
      </c>
      <c r="EM60" s="258">
        <v>1608</v>
      </c>
      <c r="EN60" s="115">
        <v>2630</v>
      </c>
      <c r="EO60" s="115">
        <v>113</v>
      </c>
      <c r="EP60" s="115">
        <v>1869</v>
      </c>
      <c r="EQ60" s="115">
        <v>2722</v>
      </c>
      <c r="ER60" s="115">
        <v>158</v>
      </c>
      <c r="ES60" s="115">
        <v>678</v>
      </c>
      <c r="ET60" s="115">
        <v>15</v>
      </c>
      <c r="EU60" s="115">
        <v>22</v>
      </c>
      <c r="EV60" s="115">
        <v>12</v>
      </c>
      <c r="EW60" s="115"/>
      <c r="EX60" s="115">
        <v>24</v>
      </c>
      <c r="EY60" s="115">
        <v>1</v>
      </c>
      <c r="EZ60" s="257">
        <v>9852</v>
      </c>
      <c r="FA60" s="117"/>
      <c r="FB60" s="116">
        <v>4</v>
      </c>
      <c r="FC60" s="117"/>
      <c r="FD60" s="115"/>
      <c r="FE60" s="115">
        <v>1</v>
      </c>
      <c r="FF60" s="117">
        <v>1</v>
      </c>
      <c r="FG60" s="116"/>
      <c r="FH60" s="116"/>
      <c r="FI60" s="117">
        <v>28</v>
      </c>
      <c r="FJ60" s="115"/>
      <c r="FK60" s="115"/>
      <c r="FL60" s="115"/>
      <c r="FM60" s="117">
        <v>28</v>
      </c>
      <c r="FN60" s="258">
        <v>1</v>
      </c>
      <c r="FO60" s="115"/>
      <c r="FP60" s="257">
        <v>1</v>
      </c>
      <c r="FQ60" s="117"/>
      <c r="FR60" s="115"/>
      <c r="FS60" s="117"/>
      <c r="FT60" s="116"/>
      <c r="FU60" s="117">
        <v>5144</v>
      </c>
      <c r="FV60" s="115"/>
      <c r="FW60" s="117">
        <v>5144</v>
      </c>
      <c r="FX60" s="258">
        <v>13</v>
      </c>
      <c r="FY60" s="115"/>
      <c r="FZ60" s="115"/>
      <c r="GA60" s="115"/>
      <c r="GB60" s="257">
        <v>13</v>
      </c>
      <c r="GC60" s="117"/>
      <c r="GD60" s="258">
        <v>46</v>
      </c>
      <c r="GE60" s="115">
        <v>1</v>
      </c>
      <c r="GF60" s="257">
        <v>47</v>
      </c>
      <c r="GG60" s="117">
        <v>0</v>
      </c>
      <c r="GH60" s="258">
        <v>32</v>
      </c>
      <c r="GI60" s="115">
        <v>1</v>
      </c>
      <c r="GJ60" s="115"/>
      <c r="GK60" s="257">
        <v>33</v>
      </c>
      <c r="GL60" s="117">
        <v>1</v>
      </c>
      <c r="GM60" s="258">
        <v>14</v>
      </c>
      <c r="GN60" s="115">
        <v>3</v>
      </c>
      <c r="GO60" s="115"/>
      <c r="GP60" s="115"/>
      <c r="GQ60" s="257">
        <v>17</v>
      </c>
      <c r="GR60" s="117">
        <v>364984</v>
      </c>
      <c r="GS60" s="324">
        <f>364984/49209180</f>
        <v>7.4169900819318676E-3</v>
      </c>
      <c r="GT60" s="293"/>
      <c r="GU60" s="293"/>
      <c r="GV60" s="293"/>
      <c r="GW60" s="293"/>
      <c r="GX60" s="293"/>
      <c r="GY60" s="293"/>
      <c r="GZ60" s="293"/>
      <c r="HA60" s="293"/>
      <c r="HB60" s="293"/>
      <c r="HC60" s="293"/>
      <c r="HD60" s="293"/>
      <c r="HE60" s="293"/>
      <c r="HF60" s="293"/>
      <c r="HG60" s="293"/>
      <c r="HH60" s="293"/>
      <c r="HI60" s="293"/>
      <c r="HJ60" s="293"/>
      <c r="HK60" s="293"/>
      <c r="HL60" s="293"/>
      <c r="HM60" s="293"/>
      <c r="HN60" s="293"/>
      <c r="HO60" s="293"/>
      <c r="HP60" s="293"/>
      <c r="HQ60" s="293"/>
      <c r="HR60" s="293"/>
      <c r="HS60" s="293"/>
      <c r="HT60" s="293"/>
      <c r="HU60" s="293"/>
      <c r="HV60" s="293"/>
      <c r="HW60" s="293"/>
      <c r="HX60" s="294"/>
    </row>
    <row r="61" spans="2:232" ht="12.75" x14ac:dyDescent="0.2">
      <c r="B61" s="259" t="s">
        <v>124</v>
      </c>
      <c r="C61" s="258">
        <v>212</v>
      </c>
      <c r="D61" s="115"/>
      <c r="E61" s="115"/>
      <c r="F61" s="115"/>
      <c r="G61" s="257">
        <v>212</v>
      </c>
      <c r="H61" s="117"/>
      <c r="I61" s="258">
        <v>19</v>
      </c>
      <c r="J61" s="115"/>
      <c r="K61" s="257">
        <v>19</v>
      </c>
      <c r="L61" s="117"/>
      <c r="M61" s="116">
        <v>2595</v>
      </c>
      <c r="N61" s="117">
        <v>168954</v>
      </c>
      <c r="O61" s="115">
        <v>17</v>
      </c>
      <c r="P61" s="115">
        <v>244</v>
      </c>
      <c r="Q61" s="115">
        <v>325</v>
      </c>
      <c r="R61" s="115">
        <v>4</v>
      </c>
      <c r="S61" s="115">
        <v>59</v>
      </c>
      <c r="T61" s="115">
        <v>5</v>
      </c>
      <c r="U61" s="115"/>
      <c r="V61" s="117">
        <v>169608</v>
      </c>
      <c r="W61" s="258">
        <v>77</v>
      </c>
      <c r="X61" s="115">
        <v>75</v>
      </c>
      <c r="Y61" s="257">
        <v>152</v>
      </c>
      <c r="Z61" s="117">
        <v>456</v>
      </c>
      <c r="AA61" s="115"/>
      <c r="AB61" s="117">
        <v>456</v>
      </c>
      <c r="AC61" s="258">
        <v>2966</v>
      </c>
      <c r="AD61" s="115">
        <v>60</v>
      </c>
      <c r="AE61" s="115"/>
      <c r="AF61" s="257">
        <v>3026</v>
      </c>
      <c r="AG61" s="117">
        <v>331</v>
      </c>
      <c r="AH61" s="115">
        <v>9</v>
      </c>
      <c r="AI61" s="115"/>
      <c r="AJ61" s="115"/>
      <c r="AK61" s="117">
        <v>340</v>
      </c>
      <c r="AL61" s="258"/>
      <c r="AM61" s="115"/>
      <c r="AN61" s="257"/>
      <c r="AO61" s="117"/>
      <c r="AP61" s="116"/>
      <c r="AQ61" s="117">
        <v>11</v>
      </c>
      <c r="AR61" s="115"/>
      <c r="AS61" s="115"/>
      <c r="AT61" s="117">
        <v>11</v>
      </c>
      <c r="AU61" s="258">
        <v>63</v>
      </c>
      <c r="AV61" s="115">
        <v>0</v>
      </c>
      <c r="AW61" s="115">
        <v>78</v>
      </c>
      <c r="AX61" s="115">
        <v>2</v>
      </c>
      <c r="AY61" s="115"/>
      <c r="AZ61" s="115"/>
      <c r="BA61" s="115"/>
      <c r="BB61" s="115"/>
      <c r="BC61" s="257">
        <v>143</v>
      </c>
      <c r="BD61" s="117">
        <v>0</v>
      </c>
      <c r="BE61" s="116">
        <v>41</v>
      </c>
      <c r="BF61" s="117">
        <v>213</v>
      </c>
      <c r="BG61" s="115">
        <v>3889</v>
      </c>
      <c r="BH61" s="115">
        <v>5865</v>
      </c>
      <c r="BI61" s="115">
        <v>285</v>
      </c>
      <c r="BJ61" s="115">
        <v>290</v>
      </c>
      <c r="BK61" s="115"/>
      <c r="BL61" s="117">
        <v>10542</v>
      </c>
      <c r="BM61" s="116">
        <v>28</v>
      </c>
      <c r="BN61" s="116"/>
      <c r="BO61" s="116">
        <v>0</v>
      </c>
      <c r="BP61" s="116">
        <v>5</v>
      </c>
      <c r="BQ61" s="117">
        <v>2239</v>
      </c>
      <c r="BR61" s="115"/>
      <c r="BS61" s="117">
        <v>2239</v>
      </c>
      <c r="BT61" s="116"/>
      <c r="BU61" s="117">
        <v>16</v>
      </c>
      <c r="BV61" s="115">
        <v>5</v>
      </c>
      <c r="BW61" s="115"/>
      <c r="BX61" s="117">
        <v>21</v>
      </c>
      <c r="BY61" s="258"/>
      <c r="BZ61" s="115"/>
      <c r="CA61" s="115">
        <v>1</v>
      </c>
      <c r="CB61" s="115"/>
      <c r="CC61" s="115"/>
      <c r="CD61" s="115"/>
      <c r="CE61" s="115"/>
      <c r="CF61" s="115"/>
      <c r="CG61" s="115"/>
      <c r="CH61" s="115"/>
      <c r="CI61" s="115"/>
      <c r="CJ61" s="115"/>
      <c r="CK61" s="115"/>
      <c r="CL61" s="115"/>
      <c r="CM61" s="115"/>
      <c r="CN61" s="257">
        <v>1</v>
      </c>
      <c r="CO61" s="117"/>
      <c r="CP61" s="115"/>
      <c r="CQ61" s="117"/>
      <c r="CR61" s="116"/>
      <c r="CS61" s="117">
        <v>147</v>
      </c>
      <c r="CT61" s="115"/>
      <c r="CU61" s="115">
        <v>69083</v>
      </c>
      <c r="CV61" s="115">
        <v>5656</v>
      </c>
      <c r="CW61" s="115">
        <v>78055</v>
      </c>
      <c r="CX61" s="115"/>
      <c r="CY61" s="115">
        <v>1</v>
      </c>
      <c r="CZ61" s="115"/>
      <c r="DA61" s="115">
        <v>16</v>
      </c>
      <c r="DB61" s="115">
        <v>1</v>
      </c>
      <c r="DC61" s="115"/>
      <c r="DD61" s="117">
        <v>152959</v>
      </c>
      <c r="DE61" s="258">
        <v>29659</v>
      </c>
      <c r="DF61" s="115">
        <v>1</v>
      </c>
      <c r="DG61" s="115">
        <v>578</v>
      </c>
      <c r="DH61" s="115">
        <v>423</v>
      </c>
      <c r="DI61" s="115">
        <v>82</v>
      </c>
      <c r="DJ61" s="115">
        <v>0</v>
      </c>
      <c r="DK61" s="115"/>
      <c r="DL61" s="257">
        <v>30743</v>
      </c>
      <c r="DM61" s="117">
        <v>2</v>
      </c>
      <c r="DN61" s="116"/>
      <c r="DO61" s="117"/>
      <c r="DP61" s="115"/>
      <c r="DQ61" s="117"/>
      <c r="DR61" s="116">
        <v>522</v>
      </c>
      <c r="DS61" s="117"/>
      <c r="DT61" s="115"/>
      <c r="DU61" s="117"/>
      <c r="DV61" s="258"/>
      <c r="DW61" s="115"/>
      <c r="DX61" s="257"/>
      <c r="DY61" s="117">
        <v>11</v>
      </c>
      <c r="DZ61" s="116">
        <v>1</v>
      </c>
      <c r="EA61" s="117">
        <v>252</v>
      </c>
      <c r="EB61" s="115"/>
      <c r="EC61" s="117">
        <v>252</v>
      </c>
      <c r="ED61" s="116">
        <v>4</v>
      </c>
      <c r="EE61" s="116"/>
      <c r="EF61" s="117">
        <v>2</v>
      </c>
      <c r="EG61" s="115">
        <v>64</v>
      </c>
      <c r="EH61" s="115"/>
      <c r="EI61" s="115"/>
      <c r="EJ61" s="115"/>
      <c r="EK61" s="115"/>
      <c r="EL61" s="117">
        <v>66</v>
      </c>
      <c r="EM61" s="258">
        <v>3357</v>
      </c>
      <c r="EN61" s="115">
        <v>4144</v>
      </c>
      <c r="EO61" s="115">
        <v>143</v>
      </c>
      <c r="EP61" s="115">
        <v>810</v>
      </c>
      <c r="EQ61" s="115">
        <v>4673</v>
      </c>
      <c r="ER61" s="115">
        <v>280</v>
      </c>
      <c r="ES61" s="115">
        <v>1827</v>
      </c>
      <c r="ET61" s="115">
        <v>92</v>
      </c>
      <c r="EU61" s="115">
        <v>38</v>
      </c>
      <c r="EV61" s="115">
        <v>3</v>
      </c>
      <c r="EW61" s="115"/>
      <c r="EX61" s="115">
        <v>38</v>
      </c>
      <c r="EY61" s="115"/>
      <c r="EZ61" s="257">
        <v>15405</v>
      </c>
      <c r="FA61" s="117"/>
      <c r="FB61" s="116">
        <v>6</v>
      </c>
      <c r="FC61" s="117">
        <v>0</v>
      </c>
      <c r="FD61" s="115"/>
      <c r="FE61" s="115"/>
      <c r="FF61" s="117">
        <v>0</v>
      </c>
      <c r="FG61" s="116"/>
      <c r="FH61" s="116"/>
      <c r="FI61" s="117">
        <v>42</v>
      </c>
      <c r="FJ61" s="115"/>
      <c r="FK61" s="115"/>
      <c r="FL61" s="115"/>
      <c r="FM61" s="117">
        <v>42</v>
      </c>
      <c r="FN61" s="258"/>
      <c r="FO61" s="115"/>
      <c r="FP61" s="257"/>
      <c r="FQ61" s="117"/>
      <c r="FR61" s="115"/>
      <c r="FS61" s="117"/>
      <c r="FT61" s="116">
        <v>1</v>
      </c>
      <c r="FU61" s="117">
        <v>317</v>
      </c>
      <c r="FV61" s="115"/>
      <c r="FW61" s="117">
        <v>317</v>
      </c>
      <c r="FX61" s="258">
        <v>19</v>
      </c>
      <c r="FY61" s="115"/>
      <c r="FZ61" s="115"/>
      <c r="GA61" s="115"/>
      <c r="GB61" s="257">
        <v>19</v>
      </c>
      <c r="GC61" s="117"/>
      <c r="GD61" s="258">
        <v>251</v>
      </c>
      <c r="GE61" s="115">
        <v>1</v>
      </c>
      <c r="GF61" s="257">
        <v>252</v>
      </c>
      <c r="GG61" s="117">
        <v>1</v>
      </c>
      <c r="GH61" s="258">
        <v>2</v>
      </c>
      <c r="GI61" s="115"/>
      <c r="GJ61" s="115"/>
      <c r="GK61" s="257">
        <v>2</v>
      </c>
      <c r="GL61" s="117"/>
      <c r="GM61" s="258"/>
      <c r="GN61" s="115"/>
      <c r="GO61" s="115"/>
      <c r="GP61" s="115"/>
      <c r="GQ61" s="257"/>
      <c r="GR61" s="117">
        <v>390044</v>
      </c>
      <c r="GS61" s="324">
        <f>390044/49209180</f>
        <v>7.9262446559767909E-3</v>
      </c>
      <c r="GT61" s="293"/>
      <c r="GU61" s="293"/>
      <c r="GV61" s="293"/>
      <c r="GW61" s="293"/>
      <c r="GX61" s="293"/>
      <c r="GY61" s="293"/>
      <c r="GZ61" s="293"/>
      <c r="HA61" s="293"/>
      <c r="HB61" s="293"/>
      <c r="HC61" s="293"/>
      <c r="HD61" s="293"/>
      <c r="HE61" s="293"/>
      <c r="HF61" s="293"/>
      <c r="HG61" s="293"/>
      <c r="HH61" s="293"/>
      <c r="HI61" s="293"/>
      <c r="HJ61" s="293"/>
      <c r="HK61" s="293"/>
      <c r="HL61" s="293"/>
      <c r="HM61" s="293"/>
      <c r="HN61" s="293"/>
      <c r="HO61" s="293"/>
      <c r="HP61" s="293"/>
      <c r="HQ61" s="293"/>
      <c r="HR61" s="293"/>
      <c r="HS61" s="293"/>
      <c r="HT61" s="293"/>
      <c r="HU61" s="293"/>
      <c r="HV61" s="293"/>
      <c r="HW61" s="293"/>
      <c r="HX61" s="294"/>
    </row>
    <row r="62" spans="2:232" ht="12.75" x14ac:dyDescent="0.2">
      <c r="B62" s="259" t="s">
        <v>125</v>
      </c>
      <c r="C62" s="258">
        <v>279</v>
      </c>
      <c r="D62" s="115">
        <v>6</v>
      </c>
      <c r="E62" s="115">
        <v>4</v>
      </c>
      <c r="F62" s="115"/>
      <c r="G62" s="257">
        <v>289</v>
      </c>
      <c r="H62" s="117"/>
      <c r="I62" s="258">
        <v>73</v>
      </c>
      <c r="J62" s="115"/>
      <c r="K62" s="257">
        <v>73</v>
      </c>
      <c r="L62" s="117">
        <v>1</v>
      </c>
      <c r="M62" s="116">
        <v>2018</v>
      </c>
      <c r="N62" s="117">
        <v>34119</v>
      </c>
      <c r="O62" s="115">
        <v>57</v>
      </c>
      <c r="P62" s="115">
        <v>439</v>
      </c>
      <c r="Q62" s="115">
        <v>1367</v>
      </c>
      <c r="R62" s="115">
        <v>72</v>
      </c>
      <c r="S62" s="115">
        <v>20</v>
      </c>
      <c r="T62" s="115">
        <v>6</v>
      </c>
      <c r="U62" s="115">
        <v>0</v>
      </c>
      <c r="V62" s="117">
        <v>36080</v>
      </c>
      <c r="W62" s="258">
        <v>178</v>
      </c>
      <c r="X62" s="115">
        <v>152</v>
      </c>
      <c r="Y62" s="257">
        <v>330</v>
      </c>
      <c r="Z62" s="117">
        <v>425</v>
      </c>
      <c r="AA62" s="115"/>
      <c r="AB62" s="117">
        <v>425</v>
      </c>
      <c r="AC62" s="258">
        <v>45796</v>
      </c>
      <c r="AD62" s="115">
        <v>43</v>
      </c>
      <c r="AE62" s="115"/>
      <c r="AF62" s="257">
        <v>45839</v>
      </c>
      <c r="AG62" s="117">
        <v>346</v>
      </c>
      <c r="AH62" s="115">
        <v>16</v>
      </c>
      <c r="AI62" s="115"/>
      <c r="AJ62" s="115"/>
      <c r="AK62" s="117">
        <v>362</v>
      </c>
      <c r="AL62" s="258"/>
      <c r="AM62" s="115">
        <v>2</v>
      </c>
      <c r="AN62" s="257">
        <v>2</v>
      </c>
      <c r="AO62" s="117">
        <v>0</v>
      </c>
      <c r="AP62" s="116"/>
      <c r="AQ62" s="117">
        <v>21</v>
      </c>
      <c r="AR62" s="115">
        <v>29</v>
      </c>
      <c r="AS62" s="115"/>
      <c r="AT62" s="117">
        <v>50</v>
      </c>
      <c r="AU62" s="258">
        <v>163</v>
      </c>
      <c r="AV62" s="115">
        <v>7</v>
      </c>
      <c r="AW62" s="115">
        <v>73</v>
      </c>
      <c r="AX62" s="115">
        <v>3</v>
      </c>
      <c r="AY62" s="115">
        <v>0</v>
      </c>
      <c r="AZ62" s="115"/>
      <c r="BA62" s="115"/>
      <c r="BB62" s="115"/>
      <c r="BC62" s="257">
        <v>246</v>
      </c>
      <c r="BD62" s="117">
        <v>1</v>
      </c>
      <c r="BE62" s="116">
        <v>40</v>
      </c>
      <c r="BF62" s="117">
        <v>632</v>
      </c>
      <c r="BG62" s="115">
        <v>5981</v>
      </c>
      <c r="BH62" s="115">
        <v>7111</v>
      </c>
      <c r="BI62" s="115">
        <v>682</v>
      </c>
      <c r="BJ62" s="115">
        <v>312</v>
      </c>
      <c r="BK62" s="115"/>
      <c r="BL62" s="117">
        <v>14718</v>
      </c>
      <c r="BM62" s="116">
        <v>31</v>
      </c>
      <c r="BN62" s="116"/>
      <c r="BO62" s="116">
        <v>2</v>
      </c>
      <c r="BP62" s="116">
        <v>19</v>
      </c>
      <c r="BQ62" s="117">
        <v>123</v>
      </c>
      <c r="BR62" s="115"/>
      <c r="BS62" s="117">
        <v>123</v>
      </c>
      <c r="BT62" s="116">
        <v>3</v>
      </c>
      <c r="BU62" s="117">
        <v>3</v>
      </c>
      <c r="BV62" s="115">
        <v>0</v>
      </c>
      <c r="BW62" s="115"/>
      <c r="BX62" s="117">
        <v>3</v>
      </c>
      <c r="BY62" s="258"/>
      <c r="BZ62" s="115"/>
      <c r="CA62" s="115">
        <v>69</v>
      </c>
      <c r="CB62" s="115">
        <v>24</v>
      </c>
      <c r="CC62" s="115">
        <v>1</v>
      </c>
      <c r="CD62" s="115"/>
      <c r="CE62" s="115">
        <v>1</v>
      </c>
      <c r="CF62" s="115"/>
      <c r="CG62" s="115"/>
      <c r="CH62" s="115">
        <v>0</v>
      </c>
      <c r="CI62" s="115">
        <v>3</v>
      </c>
      <c r="CJ62" s="115"/>
      <c r="CK62" s="115">
        <v>1</v>
      </c>
      <c r="CL62" s="115">
        <v>2</v>
      </c>
      <c r="CM62" s="115"/>
      <c r="CN62" s="257">
        <v>101</v>
      </c>
      <c r="CO62" s="117"/>
      <c r="CP62" s="115"/>
      <c r="CQ62" s="117"/>
      <c r="CR62" s="116">
        <v>1</v>
      </c>
      <c r="CS62" s="117">
        <v>380</v>
      </c>
      <c r="CT62" s="115">
        <v>378</v>
      </c>
      <c r="CU62" s="115">
        <v>234735</v>
      </c>
      <c r="CV62" s="115">
        <v>46947</v>
      </c>
      <c r="CW62" s="115">
        <v>148666</v>
      </c>
      <c r="CX62" s="115">
        <v>389</v>
      </c>
      <c r="CY62" s="115">
        <v>32</v>
      </c>
      <c r="CZ62" s="115">
        <v>40</v>
      </c>
      <c r="DA62" s="115">
        <v>25</v>
      </c>
      <c r="DB62" s="115">
        <v>1</v>
      </c>
      <c r="DC62" s="115">
        <v>5</v>
      </c>
      <c r="DD62" s="117">
        <v>431598</v>
      </c>
      <c r="DE62" s="258">
        <v>10210</v>
      </c>
      <c r="DF62" s="115">
        <v>58</v>
      </c>
      <c r="DG62" s="115">
        <v>1146</v>
      </c>
      <c r="DH62" s="115">
        <v>7963</v>
      </c>
      <c r="DI62" s="115">
        <v>35</v>
      </c>
      <c r="DJ62" s="115">
        <v>1</v>
      </c>
      <c r="DK62" s="115">
        <v>5</v>
      </c>
      <c r="DL62" s="257">
        <v>19418</v>
      </c>
      <c r="DM62" s="117">
        <v>4</v>
      </c>
      <c r="DN62" s="116">
        <v>17</v>
      </c>
      <c r="DO62" s="117"/>
      <c r="DP62" s="115"/>
      <c r="DQ62" s="117"/>
      <c r="DR62" s="116">
        <v>275</v>
      </c>
      <c r="DS62" s="117"/>
      <c r="DT62" s="115"/>
      <c r="DU62" s="117"/>
      <c r="DV62" s="258">
        <v>371</v>
      </c>
      <c r="DW62" s="115">
        <v>14</v>
      </c>
      <c r="DX62" s="257">
        <v>385</v>
      </c>
      <c r="DY62" s="117">
        <v>83</v>
      </c>
      <c r="DZ62" s="116">
        <v>7</v>
      </c>
      <c r="EA62" s="117">
        <v>687</v>
      </c>
      <c r="EB62" s="115"/>
      <c r="EC62" s="117">
        <v>687</v>
      </c>
      <c r="ED62" s="116"/>
      <c r="EE62" s="116">
        <v>1</v>
      </c>
      <c r="EF62" s="117">
        <v>28</v>
      </c>
      <c r="EG62" s="115">
        <v>47</v>
      </c>
      <c r="EH62" s="115"/>
      <c r="EI62" s="115"/>
      <c r="EJ62" s="115"/>
      <c r="EK62" s="115"/>
      <c r="EL62" s="117">
        <v>75</v>
      </c>
      <c r="EM62" s="258">
        <v>18616</v>
      </c>
      <c r="EN62" s="115">
        <v>2606</v>
      </c>
      <c r="EO62" s="115">
        <v>502</v>
      </c>
      <c r="EP62" s="115">
        <v>4395</v>
      </c>
      <c r="EQ62" s="115">
        <v>8723</v>
      </c>
      <c r="ER62" s="115">
        <v>808</v>
      </c>
      <c r="ES62" s="115">
        <v>11870</v>
      </c>
      <c r="ET62" s="115">
        <v>180</v>
      </c>
      <c r="EU62" s="115">
        <v>181</v>
      </c>
      <c r="EV62" s="115">
        <v>113</v>
      </c>
      <c r="EW62" s="115"/>
      <c r="EX62" s="115">
        <v>144</v>
      </c>
      <c r="EY62" s="115">
        <v>1</v>
      </c>
      <c r="EZ62" s="257">
        <v>48139</v>
      </c>
      <c r="FA62" s="117"/>
      <c r="FB62" s="116">
        <v>122</v>
      </c>
      <c r="FC62" s="117">
        <v>6</v>
      </c>
      <c r="FD62" s="115"/>
      <c r="FE62" s="115"/>
      <c r="FF62" s="117">
        <v>6</v>
      </c>
      <c r="FG62" s="116"/>
      <c r="FH62" s="116"/>
      <c r="FI62" s="117">
        <v>51</v>
      </c>
      <c r="FJ62" s="115"/>
      <c r="FK62" s="115">
        <v>0</v>
      </c>
      <c r="FL62" s="115">
        <v>2</v>
      </c>
      <c r="FM62" s="117">
        <v>53</v>
      </c>
      <c r="FN62" s="258">
        <v>0</v>
      </c>
      <c r="FO62" s="115"/>
      <c r="FP62" s="257">
        <v>0</v>
      </c>
      <c r="FQ62" s="117">
        <v>10</v>
      </c>
      <c r="FR62" s="115"/>
      <c r="FS62" s="117">
        <v>10</v>
      </c>
      <c r="FT62" s="116">
        <v>48</v>
      </c>
      <c r="FU62" s="117">
        <v>126</v>
      </c>
      <c r="FV62" s="115"/>
      <c r="FW62" s="117">
        <v>126</v>
      </c>
      <c r="FX62" s="258">
        <v>17</v>
      </c>
      <c r="FY62" s="115">
        <v>28</v>
      </c>
      <c r="FZ62" s="115">
        <v>27</v>
      </c>
      <c r="GA62" s="115"/>
      <c r="GB62" s="257">
        <v>72</v>
      </c>
      <c r="GC62" s="117">
        <v>1</v>
      </c>
      <c r="GD62" s="258">
        <v>68</v>
      </c>
      <c r="GE62" s="115"/>
      <c r="GF62" s="257">
        <v>68</v>
      </c>
      <c r="GG62" s="117">
        <v>1</v>
      </c>
      <c r="GH62" s="258">
        <v>17</v>
      </c>
      <c r="GI62" s="115"/>
      <c r="GJ62" s="115"/>
      <c r="GK62" s="257">
        <v>17</v>
      </c>
      <c r="GL62" s="117">
        <v>136</v>
      </c>
      <c r="GM62" s="258">
        <v>48</v>
      </c>
      <c r="GN62" s="115">
        <v>15</v>
      </c>
      <c r="GO62" s="115">
        <v>7</v>
      </c>
      <c r="GP62" s="115"/>
      <c r="GQ62" s="257">
        <v>70</v>
      </c>
      <c r="GR62" s="117">
        <v>602176</v>
      </c>
      <c r="GS62" s="324">
        <f>602176/49209180</f>
        <v>1.2237066335996657E-2</v>
      </c>
      <c r="GT62" s="293"/>
      <c r="GU62" s="293"/>
      <c r="GV62" s="293"/>
      <c r="GW62" s="293"/>
      <c r="GX62" s="293"/>
      <c r="GY62" s="293"/>
      <c r="GZ62" s="293"/>
      <c r="HA62" s="293"/>
      <c r="HB62" s="293"/>
      <c r="HC62" s="293"/>
      <c r="HD62" s="293"/>
      <c r="HE62" s="293"/>
      <c r="HF62" s="293"/>
      <c r="HG62" s="293"/>
      <c r="HH62" s="293"/>
      <c r="HI62" s="293"/>
      <c r="HJ62" s="293"/>
      <c r="HK62" s="293"/>
      <c r="HL62" s="293"/>
      <c r="HM62" s="293"/>
      <c r="HN62" s="293"/>
      <c r="HO62" s="293"/>
      <c r="HP62" s="293"/>
      <c r="HQ62" s="293"/>
      <c r="HR62" s="293"/>
      <c r="HS62" s="293"/>
      <c r="HT62" s="293"/>
      <c r="HU62" s="293"/>
      <c r="HV62" s="293"/>
      <c r="HW62" s="293"/>
      <c r="HX62" s="294"/>
    </row>
    <row r="63" spans="2:232" ht="12.75" x14ac:dyDescent="0.2">
      <c r="B63" s="259" t="s">
        <v>126</v>
      </c>
      <c r="C63" s="258">
        <v>2</v>
      </c>
      <c r="D63" s="115"/>
      <c r="E63" s="115"/>
      <c r="F63" s="115"/>
      <c r="G63" s="257">
        <v>2</v>
      </c>
      <c r="H63" s="117"/>
      <c r="I63" s="258"/>
      <c r="J63" s="115"/>
      <c r="K63" s="257"/>
      <c r="L63" s="117"/>
      <c r="M63" s="116">
        <v>34</v>
      </c>
      <c r="N63" s="117">
        <v>1110</v>
      </c>
      <c r="O63" s="115">
        <v>78</v>
      </c>
      <c r="P63" s="115">
        <v>4</v>
      </c>
      <c r="Q63" s="115">
        <v>5</v>
      </c>
      <c r="R63" s="115">
        <v>0</v>
      </c>
      <c r="S63" s="115">
        <v>12</v>
      </c>
      <c r="T63" s="115"/>
      <c r="U63" s="115"/>
      <c r="V63" s="117">
        <v>1209</v>
      </c>
      <c r="W63" s="258"/>
      <c r="X63" s="115"/>
      <c r="Y63" s="257"/>
      <c r="Z63" s="117">
        <v>7</v>
      </c>
      <c r="AA63" s="115"/>
      <c r="AB63" s="117">
        <v>7</v>
      </c>
      <c r="AC63" s="258">
        <v>309</v>
      </c>
      <c r="AD63" s="115"/>
      <c r="AE63" s="115"/>
      <c r="AF63" s="257">
        <v>309</v>
      </c>
      <c r="AG63" s="117">
        <v>2</v>
      </c>
      <c r="AH63" s="115"/>
      <c r="AI63" s="115"/>
      <c r="AJ63" s="115"/>
      <c r="AK63" s="117">
        <v>2</v>
      </c>
      <c r="AL63" s="258"/>
      <c r="AM63" s="115"/>
      <c r="AN63" s="257"/>
      <c r="AO63" s="117"/>
      <c r="AP63" s="116"/>
      <c r="AQ63" s="117"/>
      <c r="AR63" s="115"/>
      <c r="AS63" s="115"/>
      <c r="AT63" s="117"/>
      <c r="AU63" s="258">
        <v>7</v>
      </c>
      <c r="AV63" s="115"/>
      <c r="AW63" s="115"/>
      <c r="AX63" s="115"/>
      <c r="AY63" s="115"/>
      <c r="AZ63" s="115"/>
      <c r="BA63" s="115"/>
      <c r="BB63" s="115"/>
      <c r="BC63" s="257">
        <v>7</v>
      </c>
      <c r="BD63" s="117"/>
      <c r="BE63" s="116">
        <v>1</v>
      </c>
      <c r="BF63" s="117">
        <v>3</v>
      </c>
      <c r="BG63" s="115">
        <v>4</v>
      </c>
      <c r="BH63" s="115">
        <v>27</v>
      </c>
      <c r="BI63" s="115">
        <v>6</v>
      </c>
      <c r="BJ63" s="115"/>
      <c r="BK63" s="115"/>
      <c r="BL63" s="117">
        <v>40</v>
      </c>
      <c r="BM63" s="116"/>
      <c r="BN63" s="116"/>
      <c r="BO63" s="116"/>
      <c r="BP63" s="116"/>
      <c r="BQ63" s="117">
        <v>13</v>
      </c>
      <c r="BR63" s="115"/>
      <c r="BS63" s="117">
        <v>13</v>
      </c>
      <c r="BT63" s="116"/>
      <c r="BU63" s="117"/>
      <c r="BV63" s="115"/>
      <c r="BW63" s="115"/>
      <c r="BX63" s="117"/>
      <c r="BY63" s="258"/>
      <c r="BZ63" s="115"/>
      <c r="CA63" s="115"/>
      <c r="CB63" s="115"/>
      <c r="CC63" s="115"/>
      <c r="CD63" s="115"/>
      <c r="CE63" s="115"/>
      <c r="CF63" s="115"/>
      <c r="CG63" s="115"/>
      <c r="CH63" s="115"/>
      <c r="CI63" s="115"/>
      <c r="CJ63" s="115"/>
      <c r="CK63" s="115"/>
      <c r="CL63" s="115"/>
      <c r="CM63" s="115"/>
      <c r="CN63" s="257"/>
      <c r="CO63" s="117"/>
      <c r="CP63" s="115"/>
      <c r="CQ63" s="117"/>
      <c r="CR63" s="116"/>
      <c r="CS63" s="117"/>
      <c r="CT63" s="115"/>
      <c r="CU63" s="115">
        <v>1156</v>
      </c>
      <c r="CV63" s="115">
        <v>133</v>
      </c>
      <c r="CW63" s="115">
        <v>542</v>
      </c>
      <c r="CX63" s="115"/>
      <c r="CY63" s="115"/>
      <c r="CZ63" s="115"/>
      <c r="DA63" s="115">
        <v>3</v>
      </c>
      <c r="DB63" s="115"/>
      <c r="DC63" s="115"/>
      <c r="DD63" s="117">
        <v>1834</v>
      </c>
      <c r="DE63" s="258">
        <v>106</v>
      </c>
      <c r="DF63" s="115"/>
      <c r="DG63" s="115">
        <v>2</v>
      </c>
      <c r="DH63" s="115">
        <v>29</v>
      </c>
      <c r="DI63" s="115"/>
      <c r="DJ63" s="115"/>
      <c r="DK63" s="115"/>
      <c r="DL63" s="257">
        <v>137</v>
      </c>
      <c r="DM63" s="117"/>
      <c r="DN63" s="116"/>
      <c r="DO63" s="117"/>
      <c r="DP63" s="115"/>
      <c r="DQ63" s="117"/>
      <c r="DR63" s="116">
        <v>0</v>
      </c>
      <c r="DS63" s="117"/>
      <c r="DT63" s="115"/>
      <c r="DU63" s="117"/>
      <c r="DV63" s="258"/>
      <c r="DW63" s="115"/>
      <c r="DX63" s="257"/>
      <c r="DY63" s="117">
        <v>1</v>
      </c>
      <c r="DZ63" s="116"/>
      <c r="EA63" s="117">
        <v>8</v>
      </c>
      <c r="EB63" s="115"/>
      <c r="EC63" s="117">
        <v>8</v>
      </c>
      <c r="ED63" s="116"/>
      <c r="EE63" s="116"/>
      <c r="EF63" s="117"/>
      <c r="EG63" s="115"/>
      <c r="EH63" s="115"/>
      <c r="EI63" s="115"/>
      <c r="EJ63" s="115"/>
      <c r="EK63" s="115"/>
      <c r="EL63" s="117"/>
      <c r="EM63" s="258">
        <v>14</v>
      </c>
      <c r="EN63" s="115">
        <v>214</v>
      </c>
      <c r="EO63" s="115">
        <v>11</v>
      </c>
      <c r="EP63" s="115">
        <v>52</v>
      </c>
      <c r="EQ63" s="115">
        <v>59</v>
      </c>
      <c r="ER63" s="115">
        <v>1</v>
      </c>
      <c r="ES63" s="115">
        <v>17</v>
      </c>
      <c r="ET63" s="115">
        <v>0</v>
      </c>
      <c r="EU63" s="115"/>
      <c r="EV63" s="115"/>
      <c r="EW63" s="115"/>
      <c r="EX63" s="115"/>
      <c r="EY63" s="115"/>
      <c r="EZ63" s="257">
        <v>368</v>
      </c>
      <c r="FA63" s="117"/>
      <c r="FB63" s="116"/>
      <c r="FC63" s="117"/>
      <c r="FD63" s="115"/>
      <c r="FE63" s="115"/>
      <c r="FF63" s="117"/>
      <c r="FG63" s="116"/>
      <c r="FH63" s="116"/>
      <c r="FI63" s="117"/>
      <c r="FJ63" s="115"/>
      <c r="FK63" s="115"/>
      <c r="FL63" s="115"/>
      <c r="FM63" s="117"/>
      <c r="FN63" s="258">
        <v>1</v>
      </c>
      <c r="FO63" s="115"/>
      <c r="FP63" s="257">
        <v>1</v>
      </c>
      <c r="FQ63" s="117"/>
      <c r="FR63" s="115"/>
      <c r="FS63" s="117"/>
      <c r="FT63" s="116"/>
      <c r="FU63" s="117"/>
      <c r="FV63" s="115"/>
      <c r="FW63" s="117"/>
      <c r="FX63" s="258">
        <v>1</v>
      </c>
      <c r="FY63" s="115"/>
      <c r="FZ63" s="115"/>
      <c r="GA63" s="115"/>
      <c r="GB63" s="257">
        <v>1</v>
      </c>
      <c r="GC63" s="117"/>
      <c r="GD63" s="258"/>
      <c r="GE63" s="115"/>
      <c r="GF63" s="257"/>
      <c r="GG63" s="117"/>
      <c r="GH63" s="258">
        <v>1</v>
      </c>
      <c r="GI63" s="115"/>
      <c r="GJ63" s="115"/>
      <c r="GK63" s="257">
        <v>1</v>
      </c>
      <c r="GL63" s="117">
        <v>0</v>
      </c>
      <c r="GM63" s="258"/>
      <c r="GN63" s="115"/>
      <c r="GO63" s="115"/>
      <c r="GP63" s="115"/>
      <c r="GQ63" s="257"/>
      <c r="GR63" s="117">
        <v>3975</v>
      </c>
      <c r="GS63" s="324">
        <f>3975/49209180</f>
        <v>8.0777611006726798E-5</v>
      </c>
      <c r="GT63" s="293"/>
      <c r="GU63" s="293"/>
      <c r="GV63" s="293"/>
      <c r="GW63" s="293"/>
      <c r="GX63" s="293"/>
      <c r="GY63" s="293"/>
      <c r="GZ63" s="293"/>
      <c r="HA63" s="293"/>
      <c r="HB63" s="293"/>
      <c r="HC63" s="293"/>
      <c r="HD63" s="293"/>
      <c r="HE63" s="293"/>
      <c r="HF63" s="293"/>
      <c r="HG63" s="293"/>
      <c r="HH63" s="293"/>
      <c r="HI63" s="293"/>
      <c r="HJ63" s="293"/>
      <c r="HK63" s="293"/>
      <c r="HL63" s="293"/>
      <c r="HM63" s="293"/>
      <c r="HN63" s="293"/>
      <c r="HO63" s="293"/>
      <c r="HP63" s="293"/>
      <c r="HQ63" s="293"/>
      <c r="HR63" s="293"/>
      <c r="HS63" s="293"/>
      <c r="HT63" s="293"/>
      <c r="HU63" s="293"/>
      <c r="HV63" s="293"/>
      <c r="HW63" s="293"/>
      <c r="HX63" s="294"/>
    </row>
    <row r="64" spans="2:232" ht="12.75" x14ac:dyDescent="0.2">
      <c r="B64" s="259" t="s">
        <v>159</v>
      </c>
      <c r="C64" s="258">
        <v>23</v>
      </c>
      <c r="D64" s="115"/>
      <c r="E64" s="115"/>
      <c r="F64" s="115"/>
      <c r="G64" s="257">
        <v>23</v>
      </c>
      <c r="H64" s="117"/>
      <c r="I64" s="258">
        <v>0</v>
      </c>
      <c r="J64" s="115"/>
      <c r="K64" s="257">
        <v>0</v>
      </c>
      <c r="L64" s="117"/>
      <c r="M64" s="116">
        <v>67</v>
      </c>
      <c r="N64" s="117">
        <v>7605</v>
      </c>
      <c r="O64" s="115">
        <v>6</v>
      </c>
      <c r="P64" s="115">
        <v>45</v>
      </c>
      <c r="Q64" s="115">
        <v>19</v>
      </c>
      <c r="R64" s="115"/>
      <c r="S64" s="115">
        <v>22</v>
      </c>
      <c r="T64" s="115"/>
      <c r="U64" s="115"/>
      <c r="V64" s="117">
        <v>7697</v>
      </c>
      <c r="W64" s="258"/>
      <c r="X64" s="115"/>
      <c r="Y64" s="257"/>
      <c r="Z64" s="117">
        <v>5</v>
      </c>
      <c r="AA64" s="115"/>
      <c r="AB64" s="117">
        <v>5</v>
      </c>
      <c r="AC64" s="258">
        <v>737</v>
      </c>
      <c r="AD64" s="115"/>
      <c r="AE64" s="115"/>
      <c r="AF64" s="257">
        <v>737</v>
      </c>
      <c r="AG64" s="117">
        <v>15</v>
      </c>
      <c r="AH64" s="115">
        <v>0</v>
      </c>
      <c r="AI64" s="115"/>
      <c r="AJ64" s="115"/>
      <c r="AK64" s="117">
        <v>15</v>
      </c>
      <c r="AL64" s="258"/>
      <c r="AM64" s="115">
        <v>1</v>
      </c>
      <c r="AN64" s="257">
        <v>1</v>
      </c>
      <c r="AO64" s="117"/>
      <c r="AP64" s="116"/>
      <c r="AQ64" s="117"/>
      <c r="AR64" s="115"/>
      <c r="AS64" s="115"/>
      <c r="AT64" s="117"/>
      <c r="AU64" s="258">
        <v>6</v>
      </c>
      <c r="AV64" s="115"/>
      <c r="AW64" s="115"/>
      <c r="AX64" s="115"/>
      <c r="AY64" s="115"/>
      <c r="AZ64" s="115"/>
      <c r="BA64" s="115"/>
      <c r="BB64" s="115"/>
      <c r="BC64" s="257">
        <v>6</v>
      </c>
      <c r="BD64" s="117"/>
      <c r="BE64" s="116">
        <v>1</v>
      </c>
      <c r="BF64" s="117">
        <v>19</v>
      </c>
      <c r="BG64" s="115">
        <v>52</v>
      </c>
      <c r="BH64" s="115">
        <v>194</v>
      </c>
      <c r="BI64" s="115">
        <v>7</v>
      </c>
      <c r="BJ64" s="115">
        <v>6</v>
      </c>
      <c r="BK64" s="115"/>
      <c r="BL64" s="117">
        <v>278</v>
      </c>
      <c r="BM64" s="116">
        <v>0</v>
      </c>
      <c r="BN64" s="116"/>
      <c r="BO64" s="116"/>
      <c r="BP64" s="116">
        <v>9</v>
      </c>
      <c r="BQ64" s="117">
        <v>0</v>
      </c>
      <c r="BR64" s="115"/>
      <c r="BS64" s="117">
        <v>0</v>
      </c>
      <c r="BT64" s="116"/>
      <c r="BU64" s="117">
        <v>0</v>
      </c>
      <c r="BV64" s="115"/>
      <c r="BW64" s="115"/>
      <c r="BX64" s="117">
        <v>0</v>
      </c>
      <c r="BY64" s="258"/>
      <c r="BZ64" s="115"/>
      <c r="CA64" s="115"/>
      <c r="CB64" s="115"/>
      <c r="CC64" s="115"/>
      <c r="CD64" s="115"/>
      <c r="CE64" s="115"/>
      <c r="CF64" s="115"/>
      <c r="CG64" s="115"/>
      <c r="CH64" s="115"/>
      <c r="CI64" s="115"/>
      <c r="CJ64" s="115"/>
      <c r="CK64" s="115"/>
      <c r="CL64" s="115"/>
      <c r="CM64" s="115"/>
      <c r="CN64" s="257"/>
      <c r="CO64" s="117"/>
      <c r="CP64" s="115"/>
      <c r="CQ64" s="117"/>
      <c r="CR64" s="116"/>
      <c r="CS64" s="117">
        <v>8</v>
      </c>
      <c r="CT64" s="115"/>
      <c r="CU64" s="115">
        <v>3960</v>
      </c>
      <c r="CV64" s="115">
        <v>179</v>
      </c>
      <c r="CW64" s="115">
        <v>1033</v>
      </c>
      <c r="CX64" s="115"/>
      <c r="CY64" s="115"/>
      <c r="CZ64" s="115"/>
      <c r="DA64" s="115">
        <v>3</v>
      </c>
      <c r="DB64" s="115"/>
      <c r="DC64" s="115"/>
      <c r="DD64" s="117">
        <v>5183</v>
      </c>
      <c r="DE64" s="258">
        <v>842</v>
      </c>
      <c r="DF64" s="115"/>
      <c r="DG64" s="115">
        <v>22</v>
      </c>
      <c r="DH64" s="115">
        <v>35</v>
      </c>
      <c r="DI64" s="115">
        <v>2</v>
      </c>
      <c r="DJ64" s="115"/>
      <c r="DK64" s="115"/>
      <c r="DL64" s="257">
        <v>901</v>
      </c>
      <c r="DM64" s="117"/>
      <c r="DN64" s="116"/>
      <c r="DO64" s="117"/>
      <c r="DP64" s="115"/>
      <c r="DQ64" s="117"/>
      <c r="DR64" s="116">
        <v>11</v>
      </c>
      <c r="DS64" s="117"/>
      <c r="DT64" s="115"/>
      <c r="DU64" s="117"/>
      <c r="DV64" s="258"/>
      <c r="DW64" s="115"/>
      <c r="DX64" s="257"/>
      <c r="DY64" s="117">
        <v>0</v>
      </c>
      <c r="DZ64" s="116"/>
      <c r="EA64" s="117">
        <v>10</v>
      </c>
      <c r="EB64" s="115"/>
      <c r="EC64" s="117">
        <v>10</v>
      </c>
      <c r="ED64" s="116"/>
      <c r="EE64" s="116"/>
      <c r="EF64" s="117"/>
      <c r="EG64" s="115">
        <v>1</v>
      </c>
      <c r="EH64" s="115"/>
      <c r="EI64" s="115"/>
      <c r="EJ64" s="115"/>
      <c r="EK64" s="115"/>
      <c r="EL64" s="117">
        <v>1</v>
      </c>
      <c r="EM64" s="258">
        <v>141</v>
      </c>
      <c r="EN64" s="115">
        <v>94</v>
      </c>
      <c r="EO64" s="115">
        <v>8</v>
      </c>
      <c r="EP64" s="115">
        <v>89</v>
      </c>
      <c r="EQ64" s="115">
        <v>155</v>
      </c>
      <c r="ER64" s="115">
        <v>8</v>
      </c>
      <c r="ES64" s="115">
        <v>110</v>
      </c>
      <c r="ET64" s="115">
        <v>9</v>
      </c>
      <c r="EU64" s="115">
        <v>5</v>
      </c>
      <c r="EV64" s="115">
        <v>1</v>
      </c>
      <c r="EW64" s="115"/>
      <c r="EX64" s="115"/>
      <c r="EY64" s="115"/>
      <c r="EZ64" s="257">
        <v>620</v>
      </c>
      <c r="FA64" s="117"/>
      <c r="FB64" s="116"/>
      <c r="FC64" s="117"/>
      <c r="FD64" s="115"/>
      <c r="FE64" s="115">
        <v>1</v>
      </c>
      <c r="FF64" s="117">
        <v>1</v>
      </c>
      <c r="FG64" s="116"/>
      <c r="FH64" s="116"/>
      <c r="FI64" s="117">
        <v>1</v>
      </c>
      <c r="FJ64" s="115"/>
      <c r="FK64" s="115"/>
      <c r="FL64" s="115"/>
      <c r="FM64" s="117">
        <v>1</v>
      </c>
      <c r="FN64" s="258">
        <v>3</v>
      </c>
      <c r="FO64" s="115"/>
      <c r="FP64" s="257">
        <v>3</v>
      </c>
      <c r="FQ64" s="117"/>
      <c r="FR64" s="115"/>
      <c r="FS64" s="117"/>
      <c r="FT64" s="116"/>
      <c r="FU64" s="117">
        <v>57</v>
      </c>
      <c r="FV64" s="115"/>
      <c r="FW64" s="117">
        <v>57</v>
      </c>
      <c r="FX64" s="258"/>
      <c r="FY64" s="115"/>
      <c r="FZ64" s="115"/>
      <c r="GA64" s="115"/>
      <c r="GB64" s="257"/>
      <c r="GC64" s="117"/>
      <c r="GD64" s="258">
        <v>3</v>
      </c>
      <c r="GE64" s="115">
        <v>1</v>
      </c>
      <c r="GF64" s="257">
        <v>4</v>
      </c>
      <c r="GG64" s="117"/>
      <c r="GH64" s="258">
        <v>1</v>
      </c>
      <c r="GI64" s="115"/>
      <c r="GJ64" s="115"/>
      <c r="GK64" s="257">
        <v>1</v>
      </c>
      <c r="GL64" s="117"/>
      <c r="GM64" s="258"/>
      <c r="GN64" s="115">
        <v>1</v>
      </c>
      <c r="GO64" s="115"/>
      <c r="GP64" s="115"/>
      <c r="GQ64" s="257">
        <v>1</v>
      </c>
      <c r="GR64" s="117">
        <v>15633</v>
      </c>
      <c r="GS64" s="324">
        <f>15633/49209180</f>
        <v>3.1768462713664404E-4</v>
      </c>
      <c r="GT64" s="293"/>
      <c r="GU64" s="293"/>
      <c r="GV64" s="293"/>
      <c r="GW64" s="293"/>
      <c r="GX64" s="293"/>
      <c r="GY64" s="293"/>
      <c r="GZ64" s="293"/>
      <c r="HA64" s="293"/>
      <c r="HB64" s="293"/>
      <c r="HC64" s="293"/>
      <c r="HD64" s="293"/>
      <c r="HE64" s="293"/>
      <c r="HF64" s="293"/>
      <c r="HG64" s="293"/>
      <c r="HH64" s="293"/>
      <c r="HI64" s="293"/>
      <c r="HJ64" s="293"/>
      <c r="HK64" s="293"/>
      <c r="HL64" s="293"/>
      <c r="HM64" s="293"/>
      <c r="HN64" s="293"/>
      <c r="HO64" s="293"/>
      <c r="HP64" s="293"/>
      <c r="HQ64" s="293"/>
      <c r="HR64" s="293"/>
      <c r="HS64" s="293"/>
      <c r="HT64" s="293"/>
      <c r="HU64" s="293"/>
      <c r="HV64" s="293"/>
      <c r="HW64" s="293"/>
      <c r="HX64" s="294"/>
    </row>
    <row r="65" spans="2:232" ht="12.75" x14ac:dyDescent="0.2">
      <c r="B65" s="259" t="s">
        <v>160</v>
      </c>
      <c r="C65" s="258">
        <v>136</v>
      </c>
      <c r="D65" s="115">
        <v>0</v>
      </c>
      <c r="E65" s="115"/>
      <c r="F65" s="115"/>
      <c r="G65" s="257">
        <v>136</v>
      </c>
      <c r="H65" s="117">
        <v>5</v>
      </c>
      <c r="I65" s="258">
        <v>8</v>
      </c>
      <c r="J65" s="115">
        <v>6</v>
      </c>
      <c r="K65" s="257">
        <v>14</v>
      </c>
      <c r="L65" s="117"/>
      <c r="M65" s="116">
        <v>636</v>
      </c>
      <c r="N65" s="117">
        <v>130862</v>
      </c>
      <c r="O65" s="115">
        <v>35</v>
      </c>
      <c r="P65" s="115">
        <v>75</v>
      </c>
      <c r="Q65" s="115">
        <v>44</v>
      </c>
      <c r="R65" s="115">
        <v>0</v>
      </c>
      <c r="S65" s="115">
        <v>13</v>
      </c>
      <c r="T65" s="115"/>
      <c r="U65" s="115"/>
      <c r="V65" s="117">
        <v>131029</v>
      </c>
      <c r="W65" s="258">
        <v>50</v>
      </c>
      <c r="X65" s="115">
        <v>51</v>
      </c>
      <c r="Y65" s="257">
        <v>101</v>
      </c>
      <c r="Z65" s="117">
        <v>244</v>
      </c>
      <c r="AA65" s="115"/>
      <c r="AB65" s="117">
        <v>244</v>
      </c>
      <c r="AC65" s="258">
        <v>2291</v>
      </c>
      <c r="AD65" s="115">
        <v>2</v>
      </c>
      <c r="AE65" s="115"/>
      <c r="AF65" s="257">
        <v>2293</v>
      </c>
      <c r="AG65" s="117">
        <v>49</v>
      </c>
      <c r="AH65" s="115">
        <v>3</v>
      </c>
      <c r="AI65" s="115"/>
      <c r="AJ65" s="115"/>
      <c r="AK65" s="117">
        <v>52</v>
      </c>
      <c r="AL65" s="258"/>
      <c r="AM65" s="115"/>
      <c r="AN65" s="257"/>
      <c r="AO65" s="117"/>
      <c r="AP65" s="116"/>
      <c r="AQ65" s="117"/>
      <c r="AR65" s="115">
        <v>1</v>
      </c>
      <c r="AS65" s="115"/>
      <c r="AT65" s="117">
        <v>1</v>
      </c>
      <c r="AU65" s="258">
        <v>2</v>
      </c>
      <c r="AV65" s="115">
        <v>0</v>
      </c>
      <c r="AW65" s="115">
        <v>5</v>
      </c>
      <c r="AX65" s="115"/>
      <c r="AY65" s="115"/>
      <c r="AZ65" s="115"/>
      <c r="BA65" s="115"/>
      <c r="BB65" s="115"/>
      <c r="BC65" s="257">
        <v>7</v>
      </c>
      <c r="BD65" s="117"/>
      <c r="BE65" s="116">
        <v>1</v>
      </c>
      <c r="BF65" s="117">
        <v>1404</v>
      </c>
      <c r="BG65" s="115">
        <v>720</v>
      </c>
      <c r="BH65" s="115">
        <v>10486</v>
      </c>
      <c r="BI65" s="115">
        <v>106</v>
      </c>
      <c r="BJ65" s="115">
        <v>143</v>
      </c>
      <c r="BK65" s="115"/>
      <c r="BL65" s="117">
        <v>12859</v>
      </c>
      <c r="BM65" s="116">
        <v>6</v>
      </c>
      <c r="BN65" s="116"/>
      <c r="BO65" s="116"/>
      <c r="BP65" s="116">
        <v>7</v>
      </c>
      <c r="BQ65" s="117">
        <v>7</v>
      </c>
      <c r="BR65" s="115"/>
      <c r="BS65" s="117">
        <v>7</v>
      </c>
      <c r="BT65" s="116"/>
      <c r="BU65" s="117">
        <v>4</v>
      </c>
      <c r="BV65" s="115"/>
      <c r="BW65" s="115"/>
      <c r="BX65" s="117">
        <v>4</v>
      </c>
      <c r="BY65" s="258"/>
      <c r="BZ65" s="115"/>
      <c r="CA65" s="115"/>
      <c r="CB65" s="115"/>
      <c r="CC65" s="115"/>
      <c r="CD65" s="115"/>
      <c r="CE65" s="115"/>
      <c r="CF65" s="115"/>
      <c r="CG65" s="115"/>
      <c r="CH65" s="115"/>
      <c r="CI65" s="115"/>
      <c r="CJ65" s="115"/>
      <c r="CK65" s="115"/>
      <c r="CL65" s="115"/>
      <c r="CM65" s="115"/>
      <c r="CN65" s="257"/>
      <c r="CO65" s="117">
        <v>0</v>
      </c>
      <c r="CP65" s="115"/>
      <c r="CQ65" s="117">
        <v>0</v>
      </c>
      <c r="CR65" s="116"/>
      <c r="CS65" s="117">
        <v>81</v>
      </c>
      <c r="CT65" s="115">
        <v>0</v>
      </c>
      <c r="CU65" s="115">
        <v>50816</v>
      </c>
      <c r="CV65" s="115">
        <v>1384</v>
      </c>
      <c r="CW65" s="115">
        <v>13385</v>
      </c>
      <c r="CX65" s="115"/>
      <c r="CY65" s="115">
        <v>3</v>
      </c>
      <c r="CZ65" s="115"/>
      <c r="DA65" s="115">
        <v>6</v>
      </c>
      <c r="DB65" s="115">
        <v>4</v>
      </c>
      <c r="DC65" s="115"/>
      <c r="DD65" s="117">
        <v>65679</v>
      </c>
      <c r="DE65" s="258">
        <v>2697</v>
      </c>
      <c r="DF65" s="115">
        <v>1</v>
      </c>
      <c r="DG65" s="115">
        <v>78</v>
      </c>
      <c r="DH65" s="115">
        <v>83</v>
      </c>
      <c r="DI65" s="115">
        <v>1</v>
      </c>
      <c r="DJ65" s="115"/>
      <c r="DK65" s="115">
        <v>2</v>
      </c>
      <c r="DL65" s="257">
        <v>2862</v>
      </c>
      <c r="DM65" s="117"/>
      <c r="DN65" s="116"/>
      <c r="DO65" s="117"/>
      <c r="DP65" s="115"/>
      <c r="DQ65" s="117"/>
      <c r="DR65" s="116">
        <v>40</v>
      </c>
      <c r="DS65" s="117"/>
      <c r="DT65" s="115"/>
      <c r="DU65" s="117"/>
      <c r="DV65" s="258"/>
      <c r="DW65" s="115"/>
      <c r="DX65" s="257"/>
      <c r="DY65" s="117">
        <v>11</v>
      </c>
      <c r="DZ65" s="116">
        <v>2</v>
      </c>
      <c r="EA65" s="117">
        <v>896</v>
      </c>
      <c r="EB65" s="115"/>
      <c r="EC65" s="117">
        <v>896</v>
      </c>
      <c r="ED65" s="116"/>
      <c r="EE65" s="116"/>
      <c r="EF65" s="117">
        <v>2</v>
      </c>
      <c r="EG65" s="115">
        <v>43</v>
      </c>
      <c r="EH65" s="115"/>
      <c r="EI65" s="115"/>
      <c r="EJ65" s="115"/>
      <c r="EK65" s="115"/>
      <c r="EL65" s="117">
        <v>45</v>
      </c>
      <c r="EM65" s="258">
        <v>567</v>
      </c>
      <c r="EN65" s="115">
        <v>1572</v>
      </c>
      <c r="EO65" s="115">
        <v>92</v>
      </c>
      <c r="EP65" s="115">
        <v>2108</v>
      </c>
      <c r="EQ65" s="115">
        <v>539</v>
      </c>
      <c r="ER65" s="115">
        <v>39</v>
      </c>
      <c r="ES65" s="115">
        <v>367</v>
      </c>
      <c r="ET65" s="115">
        <v>7</v>
      </c>
      <c r="EU65" s="115">
        <v>1</v>
      </c>
      <c r="EV65" s="115">
        <v>1</v>
      </c>
      <c r="EW65" s="115"/>
      <c r="EX65" s="115">
        <v>23</v>
      </c>
      <c r="EY65" s="115"/>
      <c r="EZ65" s="257">
        <v>5316</v>
      </c>
      <c r="FA65" s="117"/>
      <c r="FB65" s="116">
        <v>5</v>
      </c>
      <c r="FC65" s="117"/>
      <c r="FD65" s="115"/>
      <c r="FE65" s="115"/>
      <c r="FF65" s="117"/>
      <c r="FG65" s="116"/>
      <c r="FH65" s="116"/>
      <c r="FI65" s="117">
        <v>17</v>
      </c>
      <c r="FJ65" s="115"/>
      <c r="FK65" s="115"/>
      <c r="FL65" s="115"/>
      <c r="FM65" s="117">
        <v>17</v>
      </c>
      <c r="FN65" s="258"/>
      <c r="FO65" s="115"/>
      <c r="FP65" s="257"/>
      <c r="FQ65" s="117"/>
      <c r="FR65" s="115"/>
      <c r="FS65" s="117"/>
      <c r="FT65" s="116">
        <v>1</v>
      </c>
      <c r="FU65" s="117">
        <v>22</v>
      </c>
      <c r="FV65" s="115"/>
      <c r="FW65" s="117">
        <v>22</v>
      </c>
      <c r="FX65" s="258">
        <v>4</v>
      </c>
      <c r="FY65" s="115"/>
      <c r="FZ65" s="115">
        <v>0</v>
      </c>
      <c r="GA65" s="115"/>
      <c r="GB65" s="257">
        <v>4</v>
      </c>
      <c r="GC65" s="117"/>
      <c r="GD65" s="258">
        <v>13</v>
      </c>
      <c r="GE65" s="115"/>
      <c r="GF65" s="257">
        <v>13</v>
      </c>
      <c r="GG65" s="117"/>
      <c r="GH65" s="258">
        <v>3</v>
      </c>
      <c r="GI65" s="115"/>
      <c r="GJ65" s="115"/>
      <c r="GK65" s="257">
        <v>3</v>
      </c>
      <c r="GL65" s="117">
        <v>7</v>
      </c>
      <c r="GM65" s="258"/>
      <c r="GN65" s="115">
        <v>2</v>
      </c>
      <c r="GO65" s="115"/>
      <c r="GP65" s="115"/>
      <c r="GQ65" s="257">
        <v>2</v>
      </c>
      <c r="GR65" s="117">
        <v>222327</v>
      </c>
      <c r="GS65" s="324">
        <f>222327/49209180</f>
        <v>4.5179984710169933E-3</v>
      </c>
      <c r="GT65" s="293"/>
      <c r="GU65" s="293"/>
      <c r="GV65" s="293"/>
      <c r="GW65" s="293"/>
      <c r="GX65" s="293"/>
      <c r="GY65" s="293"/>
      <c r="GZ65" s="293"/>
      <c r="HA65" s="293"/>
      <c r="HB65" s="293"/>
      <c r="HC65" s="293"/>
      <c r="HD65" s="293"/>
      <c r="HE65" s="293"/>
      <c r="HF65" s="293"/>
      <c r="HG65" s="293"/>
      <c r="HH65" s="293"/>
      <c r="HI65" s="293"/>
      <c r="HJ65" s="293"/>
      <c r="HK65" s="293"/>
      <c r="HL65" s="293"/>
      <c r="HM65" s="293"/>
      <c r="HN65" s="293"/>
      <c r="HO65" s="293"/>
      <c r="HP65" s="293"/>
      <c r="HQ65" s="293"/>
      <c r="HR65" s="293"/>
      <c r="HS65" s="293"/>
      <c r="HT65" s="293"/>
      <c r="HU65" s="293"/>
      <c r="HV65" s="293"/>
      <c r="HW65" s="293"/>
      <c r="HX65" s="294"/>
    </row>
    <row r="66" spans="2:232" ht="12.75" x14ac:dyDescent="0.2">
      <c r="B66" s="259" t="s">
        <v>191</v>
      </c>
      <c r="C66" s="258">
        <v>111</v>
      </c>
      <c r="D66" s="115">
        <v>2</v>
      </c>
      <c r="E66" s="115"/>
      <c r="F66" s="115"/>
      <c r="G66" s="257">
        <v>113</v>
      </c>
      <c r="H66" s="117">
        <v>0</v>
      </c>
      <c r="I66" s="258">
        <v>12</v>
      </c>
      <c r="J66" s="115"/>
      <c r="K66" s="257">
        <v>12</v>
      </c>
      <c r="L66" s="117"/>
      <c r="M66" s="116">
        <v>1004</v>
      </c>
      <c r="N66" s="117">
        <v>92450</v>
      </c>
      <c r="O66" s="115">
        <v>28924</v>
      </c>
      <c r="P66" s="115">
        <v>34</v>
      </c>
      <c r="Q66" s="115">
        <v>178</v>
      </c>
      <c r="R66" s="115">
        <v>2</v>
      </c>
      <c r="S66" s="115">
        <v>13</v>
      </c>
      <c r="T66" s="115"/>
      <c r="U66" s="115"/>
      <c r="V66" s="117">
        <v>121601</v>
      </c>
      <c r="W66" s="258">
        <v>12</v>
      </c>
      <c r="X66" s="115">
        <v>25</v>
      </c>
      <c r="Y66" s="257">
        <v>37</v>
      </c>
      <c r="Z66" s="117">
        <v>122</v>
      </c>
      <c r="AA66" s="115"/>
      <c r="AB66" s="117">
        <v>122</v>
      </c>
      <c r="AC66" s="258">
        <v>2802</v>
      </c>
      <c r="AD66" s="115">
        <v>0</v>
      </c>
      <c r="AE66" s="115"/>
      <c r="AF66" s="257">
        <v>2802</v>
      </c>
      <c r="AG66" s="117">
        <v>39</v>
      </c>
      <c r="AH66" s="115">
        <v>2</v>
      </c>
      <c r="AI66" s="115"/>
      <c r="AJ66" s="115"/>
      <c r="AK66" s="117">
        <v>41</v>
      </c>
      <c r="AL66" s="258"/>
      <c r="AM66" s="115"/>
      <c r="AN66" s="257"/>
      <c r="AO66" s="117"/>
      <c r="AP66" s="116"/>
      <c r="AQ66" s="117"/>
      <c r="AR66" s="115"/>
      <c r="AS66" s="115"/>
      <c r="AT66" s="117"/>
      <c r="AU66" s="258">
        <v>86</v>
      </c>
      <c r="AV66" s="115"/>
      <c r="AW66" s="115">
        <v>36</v>
      </c>
      <c r="AX66" s="115"/>
      <c r="AY66" s="115"/>
      <c r="AZ66" s="115"/>
      <c r="BA66" s="115"/>
      <c r="BB66" s="115"/>
      <c r="BC66" s="257">
        <v>122</v>
      </c>
      <c r="BD66" s="117">
        <v>2</v>
      </c>
      <c r="BE66" s="116">
        <v>33</v>
      </c>
      <c r="BF66" s="117">
        <v>131</v>
      </c>
      <c r="BG66" s="115">
        <v>488</v>
      </c>
      <c r="BH66" s="115">
        <v>4003</v>
      </c>
      <c r="BI66" s="115">
        <v>95</v>
      </c>
      <c r="BJ66" s="115">
        <v>81</v>
      </c>
      <c r="BK66" s="115">
        <v>0</v>
      </c>
      <c r="BL66" s="117">
        <v>4798</v>
      </c>
      <c r="BM66" s="116">
        <v>3</v>
      </c>
      <c r="BN66" s="116"/>
      <c r="BO66" s="116"/>
      <c r="BP66" s="116">
        <v>3</v>
      </c>
      <c r="BQ66" s="117">
        <v>26</v>
      </c>
      <c r="BR66" s="115">
        <v>1</v>
      </c>
      <c r="BS66" s="117">
        <v>27</v>
      </c>
      <c r="BT66" s="116"/>
      <c r="BU66" s="117">
        <v>6</v>
      </c>
      <c r="BV66" s="115">
        <v>20</v>
      </c>
      <c r="BW66" s="115">
        <v>5</v>
      </c>
      <c r="BX66" s="117">
        <v>31</v>
      </c>
      <c r="BY66" s="258"/>
      <c r="BZ66" s="115"/>
      <c r="CA66" s="115">
        <v>1</v>
      </c>
      <c r="CB66" s="115"/>
      <c r="CC66" s="115"/>
      <c r="CD66" s="115"/>
      <c r="CE66" s="115"/>
      <c r="CF66" s="115"/>
      <c r="CG66" s="115"/>
      <c r="CH66" s="115"/>
      <c r="CI66" s="115"/>
      <c r="CJ66" s="115"/>
      <c r="CK66" s="115">
        <v>2</v>
      </c>
      <c r="CL66" s="115"/>
      <c r="CM66" s="115"/>
      <c r="CN66" s="257">
        <v>3</v>
      </c>
      <c r="CO66" s="117"/>
      <c r="CP66" s="115"/>
      <c r="CQ66" s="117"/>
      <c r="CR66" s="116"/>
      <c r="CS66" s="117">
        <v>86</v>
      </c>
      <c r="CT66" s="115">
        <v>39</v>
      </c>
      <c r="CU66" s="115">
        <v>38601</v>
      </c>
      <c r="CV66" s="115">
        <v>673</v>
      </c>
      <c r="CW66" s="115">
        <v>21999</v>
      </c>
      <c r="CX66" s="115"/>
      <c r="CY66" s="115">
        <v>8</v>
      </c>
      <c r="CZ66" s="115">
        <v>4</v>
      </c>
      <c r="DA66" s="115">
        <v>3</v>
      </c>
      <c r="DB66" s="115"/>
      <c r="DC66" s="115">
        <v>0</v>
      </c>
      <c r="DD66" s="117">
        <v>61413</v>
      </c>
      <c r="DE66" s="258">
        <v>4391</v>
      </c>
      <c r="DF66" s="115">
        <v>5</v>
      </c>
      <c r="DG66" s="115">
        <v>133</v>
      </c>
      <c r="DH66" s="115">
        <v>121</v>
      </c>
      <c r="DI66" s="115">
        <v>8</v>
      </c>
      <c r="DJ66" s="115"/>
      <c r="DK66" s="115">
        <v>0</v>
      </c>
      <c r="DL66" s="257">
        <v>4658</v>
      </c>
      <c r="DM66" s="117"/>
      <c r="DN66" s="116"/>
      <c r="DO66" s="117"/>
      <c r="DP66" s="115"/>
      <c r="DQ66" s="117"/>
      <c r="DR66" s="116">
        <v>9</v>
      </c>
      <c r="DS66" s="117"/>
      <c r="DT66" s="115"/>
      <c r="DU66" s="117"/>
      <c r="DV66" s="258">
        <v>8</v>
      </c>
      <c r="DW66" s="115"/>
      <c r="DX66" s="257">
        <v>8</v>
      </c>
      <c r="DY66" s="117">
        <v>459</v>
      </c>
      <c r="DZ66" s="116">
        <v>0</v>
      </c>
      <c r="EA66" s="117">
        <v>180</v>
      </c>
      <c r="EB66" s="115"/>
      <c r="EC66" s="117">
        <v>180</v>
      </c>
      <c r="ED66" s="116"/>
      <c r="EE66" s="116"/>
      <c r="EF66" s="117">
        <v>4</v>
      </c>
      <c r="EG66" s="115">
        <v>32</v>
      </c>
      <c r="EH66" s="115"/>
      <c r="EI66" s="115"/>
      <c r="EJ66" s="115"/>
      <c r="EK66" s="115"/>
      <c r="EL66" s="117">
        <v>36</v>
      </c>
      <c r="EM66" s="258">
        <v>735</v>
      </c>
      <c r="EN66" s="115">
        <v>1409</v>
      </c>
      <c r="EO66" s="115">
        <v>104</v>
      </c>
      <c r="EP66" s="115">
        <v>930</v>
      </c>
      <c r="EQ66" s="115">
        <v>276</v>
      </c>
      <c r="ER66" s="115">
        <v>23</v>
      </c>
      <c r="ES66" s="115">
        <v>330</v>
      </c>
      <c r="ET66" s="115">
        <v>29</v>
      </c>
      <c r="EU66" s="115">
        <v>13</v>
      </c>
      <c r="EV66" s="115">
        <v>2</v>
      </c>
      <c r="EW66" s="115"/>
      <c r="EX66" s="115">
        <v>1</v>
      </c>
      <c r="EY66" s="115"/>
      <c r="EZ66" s="257">
        <v>3852</v>
      </c>
      <c r="FA66" s="117"/>
      <c r="FB66" s="116">
        <v>1</v>
      </c>
      <c r="FC66" s="117"/>
      <c r="FD66" s="115"/>
      <c r="FE66" s="115"/>
      <c r="FF66" s="117"/>
      <c r="FG66" s="116"/>
      <c r="FH66" s="116"/>
      <c r="FI66" s="117">
        <v>80</v>
      </c>
      <c r="FJ66" s="115"/>
      <c r="FK66" s="115"/>
      <c r="FL66" s="115"/>
      <c r="FM66" s="117">
        <v>80</v>
      </c>
      <c r="FN66" s="258">
        <v>2</v>
      </c>
      <c r="FO66" s="115"/>
      <c r="FP66" s="257">
        <v>2</v>
      </c>
      <c r="FQ66" s="117"/>
      <c r="FR66" s="115"/>
      <c r="FS66" s="117"/>
      <c r="FT66" s="116">
        <v>2</v>
      </c>
      <c r="FU66" s="117">
        <v>1639</v>
      </c>
      <c r="FV66" s="115"/>
      <c r="FW66" s="117">
        <v>1639</v>
      </c>
      <c r="FX66" s="258"/>
      <c r="FY66" s="115">
        <v>0</v>
      </c>
      <c r="FZ66" s="115"/>
      <c r="GA66" s="115"/>
      <c r="GB66" s="257">
        <v>0</v>
      </c>
      <c r="GC66" s="117"/>
      <c r="GD66" s="258">
        <v>12</v>
      </c>
      <c r="GE66" s="115"/>
      <c r="GF66" s="257">
        <v>12</v>
      </c>
      <c r="GG66" s="117"/>
      <c r="GH66" s="258">
        <v>21</v>
      </c>
      <c r="GI66" s="115"/>
      <c r="GJ66" s="115"/>
      <c r="GK66" s="257">
        <v>21</v>
      </c>
      <c r="GL66" s="117">
        <v>7</v>
      </c>
      <c r="GM66" s="258">
        <v>191</v>
      </c>
      <c r="GN66" s="115">
        <v>1</v>
      </c>
      <c r="GO66" s="115"/>
      <c r="GP66" s="115"/>
      <c r="GQ66" s="257">
        <v>192</v>
      </c>
      <c r="GR66" s="117">
        <v>203325</v>
      </c>
      <c r="GS66" s="324">
        <f>203325/49209180</f>
        <v>4.1318510082874781E-3</v>
      </c>
      <c r="GT66" s="293"/>
      <c r="GU66" s="293"/>
      <c r="GV66" s="293"/>
      <c r="GW66" s="293"/>
      <c r="GX66" s="293"/>
      <c r="GY66" s="293"/>
      <c r="GZ66" s="293"/>
      <c r="HA66" s="293"/>
      <c r="HB66" s="293"/>
      <c r="HC66" s="293"/>
      <c r="HD66" s="293"/>
      <c r="HE66" s="293"/>
      <c r="HF66" s="293"/>
      <c r="HG66" s="293"/>
      <c r="HH66" s="293"/>
      <c r="HI66" s="293"/>
      <c r="HJ66" s="293"/>
      <c r="HK66" s="293"/>
      <c r="HL66" s="293"/>
      <c r="HM66" s="293"/>
      <c r="HN66" s="293"/>
      <c r="HO66" s="293"/>
      <c r="HP66" s="293"/>
      <c r="HQ66" s="293"/>
      <c r="HR66" s="293"/>
      <c r="HS66" s="293"/>
      <c r="HT66" s="293"/>
      <c r="HU66" s="293"/>
      <c r="HV66" s="293"/>
      <c r="HW66" s="293"/>
      <c r="HX66" s="294"/>
    </row>
    <row r="67" spans="2:232" ht="12.75" x14ac:dyDescent="0.2">
      <c r="B67" s="259" t="s">
        <v>201</v>
      </c>
      <c r="C67" s="258">
        <v>187</v>
      </c>
      <c r="D67" s="115">
        <v>1</v>
      </c>
      <c r="E67" s="115">
        <v>3</v>
      </c>
      <c r="F67" s="115">
        <v>3</v>
      </c>
      <c r="G67" s="257">
        <v>194</v>
      </c>
      <c r="H67" s="117">
        <v>1</v>
      </c>
      <c r="I67" s="258">
        <v>49</v>
      </c>
      <c r="J67" s="115"/>
      <c r="K67" s="257">
        <v>49</v>
      </c>
      <c r="L67" s="117"/>
      <c r="M67" s="116">
        <v>3581</v>
      </c>
      <c r="N67" s="117">
        <v>1067429</v>
      </c>
      <c r="O67" s="115">
        <v>324</v>
      </c>
      <c r="P67" s="115">
        <v>108</v>
      </c>
      <c r="Q67" s="115">
        <v>189</v>
      </c>
      <c r="R67" s="115">
        <v>2</v>
      </c>
      <c r="S67" s="115">
        <v>91</v>
      </c>
      <c r="T67" s="115">
        <v>4</v>
      </c>
      <c r="U67" s="115">
        <v>0</v>
      </c>
      <c r="V67" s="117">
        <v>1068147</v>
      </c>
      <c r="W67" s="258">
        <v>134</v>
      </c>
      <c r="X67" s="115">
        <v>115</v>
      </c>
      <c r="Y67" s="257">
        <v>249</v>
      </c>
      <c r="Z67" s="117">
        <v>2384</v>
      </c>
      <c r="AA67" s="115"/>
      <c r="AB67" s="117">
        <v>2384</v>
      </c>
      <c r="AC67" s="258">
        <v>13217</v>
      </c>
      <c r="AD67" s="115">
        <v>14</v>
      </c>
      <c r="AE67" s="115"/>
      <c r="AF67" s="257">
        <v>13231</v>
      </c>
      <c r="AG67" s="117">
        <v>145</v>
      </c>
      <c r="AH67" s="115">
        <v>20</v>
      </c>
      <c r="AI67" s="115">
        <v>24</v>
      </c>
      <c r="AJ67" s="115"/>
      <c r="AK67" s="117">
        <v>189</v>
      </c>
      <c r="AL67" s="258">
        <v>2</v>
      </c>
      <c r="AM67" s="115"/>
      <c r="AN67" s="257">
        <v>2</v>
      </c>
      <c r="AO67" s="117">
        <v>4</v>
      </c>
      <c r="AP67" s="116"/>
      <c r="AQ67" s="117">
        <v>12</v>
      </c>
      <c r="AR67" s="115">
        <v>35</v>
      </c>
      <c r="AS67" s="115"/>
      <c r="AT67" s="117">
        <v>47</v>
      </c>
      <c r="AU67" s="258">
        <v>31</v>
      </c>
      <c r="AV67" s="115">
        <v>4</v>
      </c>
      <c r="AW67" s="115">
        <v>2</v>
      </c>
      <c r="AX67" s="115"/>
      <c r="AY67" s="115">
        <v>1</v>
      </c>
      <c r="AZ67" s="115"/>
      <c r="BA67" s="115"/>
      <c r="BB67" s="115"/>
      <c r="BC67" s="257">
        <v>38</v>
      </c>
      <c r="BD67" s="117">
        <v>1</v>
      </c>
      <c r="BE67" s="116">
        <v>23</v>
      </c>
      <c r="BF67" s="117">
        <v>3539</v>
      </c>
      <c r="BG67" s="115">
        <v>1725</v>
      </c>
      <c r="BH67" s="115">
        <v>12833</v>
      </c>
      <c r="BI67" s="115">
        <v>179</v>
      </c>
      <c r="BJ67" s="115">
        <v>315</v>
      </c>
      <c r="BK67" s="115"/>
      <c r="BL67" s="117">
        <v>18591</v>
      </c>
      <c r="BM67" s="116">
        <v>15</v>
      </c>
      <c r="BN67" s="116"/>
      <c r="BO67" s="116"/>
      <c r="BP67" s="116">
        <v>13</v>
      </c>
      <c r="BQ67" s="117">
        <v>195</v>
      </c>
      <c r="BR67" s="115"/>
      <c r="BS67" s="117">
        <v>195</v>
      </c>
      <c r="BT67" s="116">
        <v>30</v>
      </c>
      <c r="BU67" s="117">
        <v>19</v>
      </c>
      <c r="BV67" s="115">
        <v>2</v>
      </c>
      <c r="BW67" s="115"/>
      <c r="BX67" s="117">
        <v>21</v>
      </c>
      <c r="BY67" s="258">
        <v>4</v>
      </c>
      <c r="BZ67" s="115"/>
      <c r="CA67" s="115"/>
      <c r="CB67" s="115">
        <v>6</v>
      </c>
      <c r="CC67" s="115">
        <v>11</v>
      </c>
      <c r="CD67" s="115">
        <v>5</v>
      </c>
      <c r="CE67" s="115"/>
      <c r="CF67" s="115"/>
      <c r="CG67" s="115">
        <v>1</v>
      </c>
      <c r="CH67" s="115">
        <v>0</v>
      </c>
      <c r="CI67" s="115">
        <v>5</v>
      </c>
      <c r="CJ67" s="115"/>
      <c r="CK67" s="115">
        <v>3</v>
      </c>
      <c r="CL67" s="115">
        <v>3</v>
      </c>
      <c r="CM67" s="115"/>
      <c r="CN67" s="257">
        <v>38</v>
      </c>
      <c r="CO67" s="117">
        <v>2</v>
      </c>
      <c r="CP67" s="115"/>
      <c r="CQ67" s="117">
        <v>2</v>
      </c>
      <c r="CR67" s="116"/>
      <c r="CS67" s="117">
        <v>345</v>
      </c>
      <c r="CT67" s="115">
        <v>20</v>
      </c>
      <c r="CU67" s="115">
        <v>76879</v>
      </c>
      <c r="CV67" s="115">
        <v>1181</v>
      </c>
      <c r="CW67" s="115">
        <v>15647</v>
      </c>
      <c r="CX67" s="115">
        <v>322</v>
      </c>
      <c r="CY67" s="115">
        <v>41</v>
      </c>
      <c r="CZ67" s="115">
        <v>71</v>
      </c>
      <c r="DA67" s="115">
        <v>16</v>
      </c>
      <c r="DB67" s="115"/>
      <c r="DC67" s="115">
        <v>176</v>
      </c>
      <c r="DD67" s="117">
        <v>94698</v>
      </c>
      <c r="DE67" s="258">
        <v>80668</v>
      </c>
      <c r="DF67" s="115">
        <v>111</v>
      </c>
      <c r="DG67" s="115">
        <v>251</v>
      </c>
      <c r="DH67" s="115">
        <v>162</v>
      </c>
      <c r="DI67" s="115">
        <v>8</v>
      </c>
      <c r="DJ67" s="115"/>
      <c r="DK67" s="115"/>
      <c r="DL67" s="257">
        <v>81200</v>
      </c>
      <c r="DM67" s="117"/>
      <c r="DN67" s="116"/>
      <c r="DO67" s="117"/>
      <c r="DP67" s="115"/>
      <c r="DQ67" s="117"/>
      <c r="DR67" s="116">
        <v>2061</v>
      </c>
      <c r="DS67" s="117"/>
      <c r="DT67" s="115"/>
      <c r="DU67" s="117"/>
      <c r="DV67" s="258">
        <v>263</v>
      </c>
      <c r="DW67" s="115"/>
      <c r="DX67" s="257">
        <v>263</v>
      </c>
      <c r="DY67" s="117">
        <v>43</v>
      </c>
      <c r="DZ67" s="116">
        <v>3</v>
      </c>
      <c r="EA67" s="117">
        <v>12239</v>
      </c>
      <c r="EB67" s="115"/>
      <c r="EC67" s="117">
        <v>12239</v>
      </c>
      <c r="ED67" s="116"/>
      <c r="EE67" s="116"/>
      <c r="EF67" s="117">
        <v>199</v>
      </c>
      <c r="EG67" s="115">
        <v>89</v>
      </c>
      <c r="EH67" s="115">
        <v>42</v>
      </c>
      <c r="EI67" s="115"/>
      <c r="EJ67" s="115"/>
      <c r="EK67" s="115">
        <v>6</v>
      </c>
      <c r="EL67" s="117">
        <v>336</v>
      </c>
      <c r="EM67" s="258">
        <v>36587</v>
      </c>
      <c r="EN67" s="115">
        <v>43622</v>
      </c>
      <c r="EO67" s="115">
        <v>487</v>
      </c>
      <c r="EP67" s="115">
        <v>13967</v>
      </c>
      <c r="EQ67" s="115">
        <v>128812</v>
      </c>
      <c r="ER67" s="115">
        <v>1338</v>
      </c>
      <c r="ES67" s="115">
        <v>15672</v>
      </c>
      <c r="ET67" s="115">
        <v>18</v>
      </c>
      <c r="EU67" s="115">
        <v>6</v>
      </c>
      <c r="EV67" s="115">
        <v>20</v>
      </c>
      <c r="EW67" s="115"/>
      <c r="EX67" s="115">
        <v>14</v>
      </c>
      <c r="EY67" s="115">
        <v>0</v>
      </c>
      <c r="EZ67" s="257">
        <v>240543</v>
      </c>
      <c r="FA67" s="117"/>
      <c r="FB67" s="116">
        <v>11</v>
      </c>
      <c r="FC67" s="117">
        <v>4</v>
      </c>
      <c r="FD67" s="115">
        <v>5</v>
      </c>
      <c r="FE67" s="115">
        <v>1</v>
      </c>
      <c r="FF67" s="117">
        <v>10</v>
      </c>
      <c r="FG67" s="116">
        <v>5</v>
      </c>
      <c r="FH67" s="116"/>
      <c r="FI67" s="117">
        <v>60</v>
      </c>
      <c r="FJ67" s="115">
        <v>0</v>
      </c>
      <c r="FK67" s="115"/>
      <c r="FL67" s="115">
        <v>88</v>
      </c>
      <c r="FM67" s="117">
        <v>148</v>
      </c>
      <c r="FN67" s="258"/>
      <c r="FO67" s="115"/>
      <c r="FP67" s="257"/>
      <c r="FQ67" s="117"/>
      <c r="FR67" s="115"/>
      <c r="FS67" s="117"/>
      <c r="FT67" s="116"/>
      <c r="FU67" s="117">
        <v>105</v>
      </c>
      <c r="FV67" s="115"/>
      <c r="FW67" s="117">
        <v>105</v>
      </c>
      <c r="FX67" s="258">
        <v>88</v>
      </c>
      <c r="FY67" s="115">
        <v>15</v>
      </c>
      <c r="FZ67" s="115">
        <v>14</v>
      </c>
      <c r="GA67" s="115">
        <v>0</v>
      </c>
      <c r="GB67" s="257">
        <v>117</v>
      </c>
      <c r="GC67" s="117"/>
      <c r="GD67" s="258">
        <v>29</v>
      </c>
      <c r="GE67" s="115"/>
      <c r="GF67" s="257">
        <v>29</v>
      </c>
      <c r="GG67" s="117"/>
      <c r="GH67" s="258">
        <v>10</v>
      </c>
      <c r="GI67" s="115"/>
      <c r="GJ67" s="115"/>
      <c r="GK67" s="257">
        <v>10</v>
      </c>
      <c r="GL67" s="117">
        <v>106</v>
      </c>
      <c r="GM67" s="258">
        <v>101</v>
      </c>
      <c r="GN67" s="115">
        <v>20</v>
      </c>
      <c r="GO67" s="115">
        <v>30</v>
      </c>
      <c r="GP67" s="115"/>
      <c r="GQ67" s="257">
        <v>151</v>
      </c>
      <c r="GR67" s="117">
        <v>1539123</v>
      </c>
      <c r="GS67" s="324">
        <f>1539123/49209180</f>
        <v>3.1277151946039333E-2</v>
      </c>
      <c r="GT67" s="293"/>
      <c r="GU67" s="293"/>
      <c r="GV67" s="293"/>
      <c r="GW67" s="293"/>
      <c r="GX67" s="293"/>
      <c r="GY67" s="293"/>
      <c r="GZ67" s="293"/>
      <c r="HA67" s="293"/>
      <c r="HB67" s="293"/>
      <c r="HC67" s="293"/>
      <c r="HD67" s="293"/>
      <c r="HE67" s="293"/>
      <c r="HF67" s="293"/>
      <c r="HG67" s="293"/>
      <c r="HH67" s="293"/>
      <c r="HI67" s="293"/>
      <c r="HJ67" s="293"/>
      <c r="HK67" s="293"/>
      <c r="HL67" s="293"/>
      <c r="HM67" s="293"/>
      <c r="HN67" s="293"/>
      <c r="HO67" s="293"/>
      <c r="HP67" s="293"/>
      <c r="HQ67" s="293"/>
      <c r="HR67" s="293"/>
      <c r="HS67" s="293"/>
      <c r="HT67" s="293"/>
      <c r="HU67" s="293"/>
      <c r="HV67" s="293"/>
      <c r="HW67" s="293"/>
      <c r="HX67" s="294"/>
    </row>
    <row r="68" spans="2:232" ht="12.75" x14ac:dyDescent="0.2">
      <c r="B68" s="259" t="s">
        <v>202</v>
      </c>
      <c r="C68" s="258">
        <v>93</v>
      </c>
      <c r="D68" s="115"/>
      <c r="E68" s="115">
        <v>1</v>
      </c>
      <c r="F68" s="115"/>
      <c r="G68" s="257">
        <v>94</v>
      </c>
      <c r="H68" s="117"/>
      <c r="I68" s="258">
        <v>1</v>
      </c>
      <c r="J68" s="115"/>
      <c r="K68" s="257">
        <v>1</v>
      </c>
      <c r="L68" s="117"/>
      <c r="M68" s="116">
        <v>558</v>
      </c>
      <c r="N68" s="117">
        <v>11725</v>
      </c>
      <c r="O68" s="115">
        <v>22</v>
      </c>
      <c r="P68" s="115">
        <v>87</v>
      </c>
      <c r="Q68" s="115">
        <v>102</v>
      </c>
      <c r="R68" s="115">
        <v>9</v>
      </c>
      <c r="S68" s="115">
        <v>19</v>
      </c>
      <c r="T68" s="115">
        <v>0</v>
      </c>
      <c r="U68" s="115"/>
      <c r="V68" s="117">
        <v>11964</v>
      </c>
      <c r="W68" s="258">
        <v>7</v>
      </c>
      <c r="X68" s="115">
        <v>4</v>
      </c>
      <c r="Y68" s="257">
        <v>11</v>
      </c>
      <c r="Z68" s="117">
        <v>99</v>
      </c>
      <c r="AA68" s="115"/>
      <c r="AB68" s="117">
        <v>99</v>
      </c>
      <c r="AC68" s="258">
        <v>6905</v>
      </c>
      <c r="AD68" s="115">
        <v>10</v>
      </c>
      <c r="AE68" s="115"/>
      <c r="AF68" s="257">
        <v>6915</v>
      </c>
      <c r="AG68" s="117">
        <v>175</v>
      </c>
      <c r="AH68" s="115">
        <v>6</v>
      </c>
      <c r="AI68" s="115"/>
      <c r="AJ68" s="115"/>
      <c r="AK68" s="117">
        <v>181</v>
      </c>
      <c r="AL68" s="258"/>
      <c r="AM68" s="115"/>
      <c r="AN68" s="257"/>
      <c r="AO68" s="117"/>
      <c r="AP68" s="116"/>
      <c r="AQ68" s="117">
        <v>4</v>
      </c>
      <c r="AR68" s="115"/>
      <c r="AS68" s="115"/>
      <c r="AT68" s="117">
        <v>4</v>
      </c>
      <c r="AU68" s="258">
        <v>25</v>
      </c>
      <c r="AV68" s="115">
        <v>2</v>
      </c>
      <c r="AW68" s="115">
        <v>16</v>
      </c>
      <c r="AX68" s="115"/>
      <c r="AY68" s="115"/>
      <c r="AZ68" s="115"/>
      <c r="BA68" s="115"/>
      <c r="BB68" s="115"/>
      <c r="BC68" s="257">
        <v>43</v>
      </c>
      <c r="BD68" s="117">
        <v>0</v>
      </c>
      <c r="BE68" s="116">
        <v>2</v>
      </c>
      <c r="BF68" s="117">
        <v>79</v>
      </c>
      <c r="BG68" s="115">
        <v>1270</v>
      </c>
      <c r="BH68" s="115">
        <v>848</v>
      </c>
      <c r="BI68" s="115">
        <v>228</v>
      </c>
      <c r="BJ68" s="115">
        <v>150</v>
      </c>
      <c r="BK68" s="115"/>
      <c r="BL68" s="117">
        <v>2575</v>
      </c>
      <c r="BM68" s="116">
        <v>1</v>
      </c>
      <c r="BN68" s="116"/>
      <c r="BO68" s="116"/>
      <c r="BP68" s="116">
        <v>4</v>
      </c>
      <c r="BQ68" s="117">
        <v>10</v>
      </c>
      <c r="BR68" s="115"/>
      <c r="BS68" s="117">
        <v>10</v>
      </c>
      <c r="BT68" s="116"/>
      <c r="BU68" s="117">
        <v>0</v>
      </c>
      <c r="BV68" s="115">
        <v>2</v>
      </c>
      <c r="BW68" s="115"/>
      <c r="BX68" s="117">
        <v>2</v>
      </c>
      <c r="BY68" s="258"/>
      <c r="BZ68" s="115"/>
      <c r="CA68" s="115"/>
      <c r="CB68" s="115"/>
      <c r="CC68" s="115"/>
      <c r="CD68" s="115"/>
      <c r="CE68" s="115">
        <v>2</v>
      </c>
      <c r="CF68" s="115"/>
      <c r="CG68" s="115"/>
      <c r="CH68" s="115"/>
      <c r="CI68" s="115">
        <v>2</v>
      </c>
      <c r="CJ68" s="115"/>
      <c r="CK68" s="115"/>
      <c r="CL68" s="115"/>
      <c r="CM68" s="115"/>
      <c r="CN68" s="257">
        <v>4</v>
      </c>
      <c r="CO68" s="117">
        <v>1</v>
      </c>
      <c r="CP68" s="115"/>
      <c r="CQ68" s="117">
        <v>1</v>
      </c>
      <c r="CR68" s="116">
        <v>6</v>
      </c>
      <c r="CS68" s="117">
        <v>148</v>
      </c>
      <c r="CT68" s="115">
        <v>2</v>
      </c>
      <c r="CU68" s="115">
        <v>47226</v>
      </c>
      <c r="CV68" s="115">
        <v>1528</v>
      </c>
      <c r="CW68" s="115">
        <v>12143</v>
      </c>
      <c r="CX68" s="115">
        <v>1</v>
      </c>
      <c r="CY68" s="115">
        <v>23</v>
      </c>
      <c r="CZ68" s="115"/>
      <c r="DA68" s="115">
        <v>15</v>
      </c>
      <c r="DB68" s="115"/>
      <c r="DC68" s="115">
        <v>1</v>
      </c>
      <c r="DD68" s="117">
        <v>61087</v>
      </c>
      <c r="DE68" s="258">
        <v>3377</v>
      </c>
      <c r="DF68" s="115">
        <v>2</v>
      </c>
      <c r="DG68" s="115">
        <v>505</v>
      </c>
      <c r="DH68" s="115">
        <v>180</v>
      </c>
      <c r="DI68" s="115">
        <v>76</v>
      </c>
      <c r="DJ68" s="115"/>
      <c r="DK68" s="115"/>
      <c r="DL68" s="257">
        <v>4140</v>
      </c>
      <c r="DM68" s="117"/>
      <c r="DN68" s="116"/>
      <c r="DO68" s="117"/>
      <c r="DP68" s="115"/>
      <c r="DQ68" s="117"/>
      <c r="DR68" s="116">
        <v>37</v>
      </c>
      <c r="DS68" s="117"/>
      <c r="DT68" s="115"/>
      <c r="DU68" s="117"/>
      <c r="DV68" s="258">
        <v>11</v>
      </c>
      <c r="DW68" s="115"/>
      <c r="DX68" s="257">
        <v>11</v>
      </c>
      <c r="DY68" s="117">
        <v>21</v>
      </c>
      <c r="DZ68" s="116">
        <v>1</v>
      </c>
      <c r="EA68" s="117">
        <v>138</v>
      </c>
      <c r="EB68" s="115"/>
      <c r="EC68" s="117">
        <v>138</v>
      </c>
      <c r="ED68" s="116"/>
      <c r="EE68" s="116">
        <v>0</v>
      </c>
      <c r="EF68" s="117">
        <v>3</v>
      </c>
      <c r="EG68" s="115">
        <v>5</v>
      </c>
      <c r="EH68" s="115"/>
      <c r="EI68" s="115"/>
      <c r="EJ68" s="115"/>
      <c r="EK68" s="115"/>
      <c r="EL68" s="117">
        <v>8</v>
      </c>
      <c r="EM68" s="258">
        <v>757</v>
      </c>
      <c r="EN68" s="115">
        <v>1438</v>
      </c>
      <c r="EO68" s="115">
        <v>57</v>
      </c>
      <c r="EP68" s="115">
        <v>1046</v>
      </c>
      <c r="EQ68" s="115">
        <v>807</v>
      </c>
      <c r="ER68" s="115">
        <v>143</v>
      </c>
      <c r="ES68" s="115">
        <v>544</v>
      </c>
      <c r="ET68" s="115">
        <v>55</v>
      </c>
      <c r="EU68" s="115">
        <v>19</v>
      </c>
      <c r="EV68" s="115">
        <v>20</v>
      </c>
      <c r="EW68" s="115"/>
      <c r="EX68" s="115">
        <v>25</v>
      </c>
      <c r="EY68" s="115"/>
      <c r="EZ68" s="257">
        <v>4911</v>
      </c>
      <c r="FA68" s="117"/>
      <c r="FB68" s="116">
        <v>6</v>
      </c>
      <c r="FC68" s="117"/>
      <c r="FD68" s="115"/>
      <c r="FE68" s="115"/>
      <c r="FF68" s="117"/>
      <c r="FG68" s="116"/>
      <c r="FH68" s="116"/>
      <c r="FI68" s="117">
        <v>10</v>
      </c>
      <c r="FJ68" s="115"/>
      <c r="FK68" s="115"/>
      <c r="FL68" s="115"/>
      <c r="FM68" s="117">
        <v>10</v>
      </c>
      <c r="FN68" s="258"/>
      <c r="FO68" s="115"/>
      <c r="FP68" s="257"/>
      <c r="FQ68" s="117"/>
      <c r="FR68" s="115"/>
      <c r="FS68" s="117"/>
      <c r="FT68" s="116"/>
      <c r="FU68" s="117">
        <v>18</v>
      </c>
      <c r="FV68" s="115"/>
      <c r="FW68" s="117">
        <v>18</v>
      </c>
      <c r="FX68" s="258">
        <v>1</v>
      </c>
      <c r="FY68" s="115">
        <v>2</v>
      </c>
      <c r="FZ68" s="115"/>
      <c r="GA68" s="115">
        <v>1</v>
      </c>
      <c r="GB68" s="257">
        <v>4</v>
      </c>
      <c r="GC68" s="117"/>
      <c r="GD68" s="258">
        <v>15</v>
      </c>
      <c r="GE68" s="115"/>
      <c r="GF68" s="257">
        <v>15</v>
      </c>
      <c r="GG68" s="117"/>
      <c r="GH68" s="258">
        <v>1</v>
      </c>
      <c r="GI68" s="115"/>
      <c r="GJ68" s="115"/>
      <c r="GK68" s="257">
        <v>1</v>
      </c>
      <c r="GL68" s="117">
        <v>3</v>
      </c>
      <c r="GM68" s="258">
        <v>10</v>
      </c>
      <c r="GN68" s="115">
        <v>5</v>
      </c>
      <c r="GO68" s="115"/>
      <c r="GP68" s="115"/>
      <c r="GQ68" s="257">
        <v>15</v>
      </c>
      <c r="GR68" s="117">
        <v>92901</v>
      </c>
      <c r="GS68" s="324">
        <f>92901/49209180</f>
        <v>1.8878794566379688E-3</v>
      </c>
      <c r="GT68" s="293"/>
      <c r="GU68" s="293"/>
      <c r="GV68" s="293"/>
      <c r="GW68" s="293"/>
      <c r="GX68" s="293"/>
      <c r="GY68" s="293"/>
      <c r="GZ68" s="293"/>
      <c r="HA68" s="293"/>
      <c r="HB68" s="293"/>
      <c r="HC68" s="293"/>
      <c r="HD68" s="293"/>
      <c r="HE68" s="293"/>
      <c r="HF68" s="293"/>
      <c r="HG68" s="293"/>
      <c r="HH68" s="293"/>
      <c r="HI68" s="293"/>
      <c r="HJ68" s="293"/>
      <c r="HK68" s="293"/>
      <c r="HL68" s="293"/>
      <c r="HM68" s="293"/>
      <c r="HN68" s="293"/>
      <c r="HO68" s="293"/>
      <c r="HP68" s="293"/>
      <c r="HQ68" s="293"/>
      <c r="HR68" s="293"/>
      <c r="HS68" s="293"/>
      <c r="HT68" s="293"/>
      <c r="HU68" s="293"/>
      <c r="HV68" s="293"/>
      <c r="HW68" s="293"/>
      <c r="HX68" s="294"/>
    </row>
    <row r="69" spans="2:232" ht="12.75" x14ac:dyDescent="0.2">
      <c r="B69" s="259" t="s">
        <v>221</v>
      </c>
      <c r="C69" s="258">
        <v>40</v>
      </c>
      <c r="D69" s="115"/>
      <c r="E69" s="115"/>
      <c r="F69" s="115"/>
      <c r="G69" s="257">
        <v>40</v>
      </c>
      <c r="H69" s="117"/>
      <c r="I69" s="258">
        <v>2</v>
      </c>
      <c r="J69" s="115"/>
      <c r="K69" s="257">
        <v>2</v>
      </c>
      <c r="L69" s="117"/>
      <c r="M69" s="116">
        <v>590</v>
      </c>
      <c r="N69" s="117">
        <v>191793</v>
      </c>
      <c r="O69" s="115">
        <v>25</v>
      </c>
      <c r="P69" s="115">
        <v>20</v>
      </c>
      <c r="Q69" s="115">
        <v>9</v>
      </c>
      <c r="R69" s="115"/>
      <c r="S69" s="115">
        <v>1</v>
      </c>
      <c r="T69" s="115"/>
      <c r="U69" s="115"/>
      <c r="V69" s="117">
        <v>191848</v>
      </c>
      <c r="W69" s="258">
        <v>28</v>
      </c>
      <c r="X69" s="115">
        <v>39</v>
      </c>
      <c r="Y69" s="257">
        <v>67</v>
      </c>
      <c r="Z69" s="117">
        <v>134</v>
      </c>
      <c r="AA69" s="115"/>
      <c r="AB69" s="117">
        <v>134</v>
      </c>
      <c r="AC69" s="258">
        <v>882</v>
      </c>
      <c r="AD69" s="115"/>
      <c r="AE69" s="115"/>
      <c r="AF69" s="257">
        <v>882</v>
      </c>
      <c r="AG69" s="117">
        <v>20</v>
      </c>
      <c r="AH69" s="115"/>
      <c r="AI69" s="115"/>
      <c r="AJ69" s="115"/>
      <c r="AK69" s="117">
        <v>20</v>
      </c>
      <c r="AL69" s="258"/>
      <c r="AM69" s="115"/>
      <c r="AN69" s="257"/>
      <c r="AO69" s="117"/>
      <c r="AP69" s="116"/>
      <c r="AQ69" s="117">
        <v>1</v>
      </c>
      <c r="AR69" s="115">
        <v>0</v>
      </c>
      <c r="AS69" s="115"/>
      <c r="AT69" s="117">
        <v>1</v>
      </c>
      <c r="AU69" s="258">
        <v>4</v>
      </c>
      <c r="AV69" s="115"/>
      <c r="AW69" s="115"/>
      <c r="AX69" s="115">
        <v>18</v>
      </c>
      <c r="AY69" s="115"/>
      <c r="AZ69" s="115"/>
      <c r="BA69" s="115"/>
      <c r="BB69" s="115"/>
      <c r="BC69" s="257">
        <v>22</v>
      </c>
      <c r="BD69" s="117">
        <v>1</v>
      </c>
      <c r="BE69" s="116"/>
      <c r="BF69" s="117">
        <v>277</v>
      </c>
      <c r="BG69" s="115">
        <v>307</v>
      </c>
      <c r="BH69" s="115">
        <v>1934</v>
      </c>
      <c r="BI69" s="115">
        <v>30</v>
      </c>
      <c r="BJ69" s="115">
        <v>37</v>
      </c>
      <c r="BK69" s="115"/>
      <c r="BL69" s="117">
        <v>2585</v>
      </c>
      <c r="BM69" s="116">
        <v>1</v>
      </c>
      <c r="BN69" s="116"/>
      <c r="BO69" s="116"/>
      <c r="BP69" s="116">
        <v>2</v>
      </c>
      <c r="BQ69" s="117">
        <v>5</v>
      </c>
      <c r="BR69" s="115"/>
      <c r="BS69" s="117">
        <v>5</v>
      </c>
      <c r="BT69" s="116"/>
      <c r="BU69" s="117">
        <v>3</v>
      </c>
      <c r="BV69" s="115"/>
      <c r="BW69" s="115"/>
      <c r="BX69" s="117">
        <v>3</v>
      </c>
      <c r="BY69" s="258"/>
      <c r="BZ69" s="115"/>
      <c r="CA69" s="115"/>
      <c r="CB69" s="115"/>
      <c r="CC69" s="115"/>
      <c r="CD69" s="115"/>
      <c r="CE69" s="115">
        <v>1</v>
      </c>
      <c r="CF69" s="115"/>
      <c r="CG69" s="115"/>
      <c r="CH69" s="115"/>
      <c r="CI69" s="115">
        <v>0</v>
      </c>
      <c r="CJ69" s="115"/>
      <c r="CK69" s="115"/>
      <c r="CL69" s="115"/>
      <c r="CM69" s="115"/>
      <c r="CN69" s="257">
        <v>1</v>
      </c>
      <c r="CO69" s="117"/>
      <c r="CP69" s="115"/>
      <c r="CQ69" s="117"/>
      <c r="CR69" s="116"/>
      <c r="CS69" s="117">
        <v>44</v>
      </c>
      <c r="CT69" s="115"/>
      <c r="CU69" s="115">
        <v>13725</v>
      </c>
      <c r="CV69" s="115">
        <v>433</v>
      </c>
      <c r="CW69" s="115">
        <v>9495</v>
      </c>
      <c r="CX69" s="115"/>
      <c r="CY69" s="115"/>
      <c r="CZ69" s="115">
        <v>0</v>
      </c>
      <c r="DA69" s="115"/>
      <c r="DB69" s="115">
        <v>0</v>
      </c>
      <c r="DC69" s="115"/>
      <c r="DD69" s="117">
        <v>23697</v>
      </c>
      <c r="DE69" s="258">
        <v>7979</v>
      </c>
      <c r="DF69" s="115">
        <v>0</v>
      </c>
      <c r="DG69" s="115">
        <v>38</v>
      </c>
      <c r="DH69" s="115">
        <v>7</v>
      </c>
      <c r="DI69" s="115"/>
      <c r="DJ69" s="115"/>
      <c r="DK69" s="115"/>
      <c r="DL69" s="257">
        <v>8024</v>
      </c>
      <c r="DM69" s="117"/>
      <c r="DN69" s="116"/>
      <c r="DO69" s="117">
        <v>3</v>
      </c>
      <c r="DP69" s="115"/>
      <c r="DQ69" s="117">
        <v>3</v>
      </c>
      <c r="DR69" s="116">
        <v>48</v>
      </c>
      <c r="DS69" s="117"/>
      <c r="DT69" s="115"/>
      <c r="DU69" s="117"/>
      <c r="DV69" s="258">
        <v>2</v>
      </c>
      <c r="DW69" s="115"/>
      <c r="DX69" s="257">
        <v>2</v>
      </c>
      <c r="DY69" s="117">
        <v>1</v>
      </c>
      <c r="DZ69" s="116">
        <v>2</v>
      </c>
      <c r="EA69" s="117">
        <v>631</v>
      </c>
      <c r="EB69" s="115"/>
      <c r="EC69" s="117">
        <v>631</v>
      </c>
      <c r="ED69" s="116"/>
      <c r="EE69" s="116"/>
      <c r="EF69" s="117">
        <v>57</v>
      </c>
      <c r="EG69" s="115">
        <v>17</v>
      </c>
      <c r="EH69" s="115">
        <v>1</v>
      </c>
      <c r="EI69" s="115"/>
      <c r="EJ69" s="115"/>
      <c r="EK69" s="115"/>
      <c r="EL69" s="117">
        <v>75</v>
      </c>
      <c r="EM69" s="258">
        <v>800</v>
      </c>
      <c r="EN69" s="115">
        <v>4457</v>
      </c>
      <c r="EO69" s="115">
        <v>60</v>
      </c>
      <c r="EP69" s="115">
        <v>291</v>
      </c>
      <c r="EQ69" s="115">
        <v>617</v>
      </c>
      <c r="ER69" s="115">
        <v>23</v>
      </c>
      <c r="ES69" s="115">
        <v>295</v>
      </c>
      <c r="ET69" s="115">
        <v>12</v>
      </c>
      <c r="EU69" s="115">
        <v>2</v>
      </c>
      <c r="EV69" s="115">
        <v>0</v>
      </c>
      <c r="EW69" s="115"/>
      <c r="EX69" s="115"/>
      <c r="EY69" s="115"/>
      <c r="EZ69" s="257">
        <v>6557</v>
      </c>
      <c r="FA69" s="117"/>
      <c r="FB69" s="116">
        <v>2</v>
      </c>
      <c r="FC69" s="117">
        <v>1</v>
      </c>
      <c r="FD69" s="115"/>
      <c r="FE69" s="115"/>
      <c r="FF69" s="117">
        <v>1</v>
      </c>
      <c r="FG69" s="116"/>
      <c r="FH69" s="116"/>
      <c r="FI69" s="117">
        <v>13</v>
      </c>
      <c r="FJ69" s="115"/>
      <c r="FK69" s="115"/>
      <c r="FL69" s="115"/>
      <c r="FM69" s="117">
        <v>13</v>
      </c>
      <c r="FN69" s="258"/>
      <c r="FO69" s="115"/>
      <c r="FP69" s="257"/>
      <c r="FQ69" s="117"/>
      <c r="FR69" s="115"/>
      <c r="FS69" s="117"/>
      <c r="FT69" s="116"/>
      <c r="FU69" s="117">
        <v>24</v>
      </c>
      <c r="FV69" s="115"/>
      <c r="FW69" s="117">
        <v>24</v>
      </c>
      <c r="FX69" s="258">
        <v>8</v>
      </c>
      <c r="FY69" s="115"/>
      <c r="FZ69" s="115"/>
      <c r="GA69" s="115"/>
      <c r="GB69" s="257">
        <v>8</v>
      </c>
      <c r="GC69" s="117"/>
      <c r="GD69" s="258">
        <v>8</v>
      </c>
      <c r="GE69" s="115">
        <v>1</v>
      </c>
      <c r="GF69" s="257">
        <v>9</v>
      </c>
      <c r="GG69" s="117"/>
      <c r="GH69" s="258">
        <v>1</v>
      </c>
      <c r="GI69" s="115"/>
      <c r="GJ69" s="115"/>
      <c r="GK69" s="257">
        <v>1</v>
      </c>
      <c r="GL69" s="117">
        <v>1</v>
      </c>
      <c r="GM69" s="258"/>
      <c r="GN69" s="115"/>
      <c r="GO69" s="115"/>
      <c r="GP69" s="115"/>
      <c r="GQ69" s="257"/>
      <c r="GR69" s="117">
        <v>235303</v>
      </c>
      <c r="GS69" s="324">
        <f>235303/49209180</f>
        <v>4.7816891076014681E-3</v>
      </c>
      <c r="GT69" s="293"/>
      <c r="GU69" s="293"/>
      <c r="GV69" s="293"/>
      <c r="GW69" s="293"/>
      <c r="GX69" s="293"/>
      <c r="GY69" s="293"/>
      <c r="GZ69" s="293"/>
      <c r="HA69" s="293"/>
      <c r="HB69" s="293"/>
      <c r="HC69" s="293"/>
      <c r="HD69" s="293"/>
      <c r="HE69" s="293"/>
      <c r="HF69" s="293"/>
      <c r="HG69" s="293"/>
      <c r="HH69" s="293"/>
      <c r="HI69" s="293"/>
      <c r="HJ69" s="293"/>
      <c r="HK69" s="293"/>
      <c r="HL69" s="293"/>
      <c r="HM69" s="293"/>
      <c r="HN69" s="293"/>
      <c r="HO69" s="293"/>
      <c r="HP69" s="293"/>
      <c r="HQ69" s="293"/>
      <c r="HR69" s="293"/>
      <c r="HS69" s="293"/>
      <c r="HT69" s="293"/>
      <c r="HU69" s="293"/>
      <c r="HV69" s="293"/>
      <c r="HW69" s="293"/>
      <c r="HX69" s="294"/>
    </row>
    <row r="70" spans="2:232" ht="12.75" x14ac:dyDescent="0.2">
      <c r="B70" s="259" t="s">
        <v>261</v>
      </c>
      <c r="C70" s="258">
        <v>119</v>
      </c>
      <c r="D70" s="115">
        <v>8</v>
      </c>
      <c r="E70" s="115">
        <v>47</v>
      </c>
      <c r="F70" s="115">
        <v>14</v>
      </c>
      <c r="G70" s="257">
        <v>188</v>
      </c>
      <c r="H70" s="117"/>
      <c r="I70" s="258">
        <v>5</v>
      </c>
      <c r="J70" s="115"/>
      <c r="K70" s="257">
        <v>5</v>
      </c>
      <c r="L70" s="117">
        <v>0</v>
      </c>
      <c r="M70" s="116">
        <v>457</v>
      </c>
      <c r="N70" s="117">
        <v>5454</v>
      </c>
      <c r="O70" s="115">
        <v>10</v>
      </c>
      <c r="P70" s="115">
        <v>155</v>
      </c>
      <c r="Q70" s="115">
        <v>1397</v>
      </c>
      <c r="R70" s="115">
        <v>10</v>
      </c>
      <c r="S70" s="115">
        <v>5</v>
      </c>
      <c r="T70" s="115">
        <v>9</v>
      </c>
      <c r="U70" s="115">
        <v>17</v>
      </c>
      <c r="V70" s="117">
        <v>7057</v>
      </c>
      <c r="W70" s="258">
        <v>716</v>
      </c>
      <c r="X70" s="115">
        <v>108</v>
      </c>
      <c r="Y70" s="257">
        <v>824</v>
      </c>
      <c r="Z70" s="117">
        <v>4468</v>
      </c>
      <c r="AA70" s="115"/>
      <c r="AB70" s="117">
        <v>4468</v>
      </c>
      <c r="AC70" s="258">
        <v>17736</v>
      </c>
      <c r="AD70" s="115">
        <v>17</v>
      </c>
      <c r="AE70" s="115"/>
      <c r="AF70" s="257">
        <v>17753</v>
      </c>
      <c r="AG70" s="117">
        <v>13216</v>
      </c>
      <c r="AH70" s="115">
        <v>10</v>
      </c>
      <c r="AI70" s="115">
        <v>1</v>
      </c>
      <c r="AJ70" s="115">
        <v>2</v>
      </c>
      <c r="AK70" s="117">
        <v>13229</v>
      </c>
      <c r="AL70" s="258"/>
      <c r="AM70" s="115">
        <v>2</v>
      </c>
      <c r="AN70" s="257">
        <v>2</v>
      </c>
      <c r="AO70" s="117"/>
      <c r="AP70" s="116"/>
      <c r="AQ70" s="117">
        <v>4</v>
      </c>
      <c r="AR70" s="115">
        <v>56</v>
      </c>
      <c r="AS70" s="115"/>
      <c r="AT70" s="117">
        <v>60</v>
      </c>
      <c r="AU70" s="258">
        <v>87</v>
      </c>
      <c r="AV70" s="115">
        <v>9</v>
      </c>
      <c r="AW70" s="115">
        <v>27</v>
      </c>
      <c r="AX70" s="115"/>
      <c r="AY70" s="115">
        <v>7</v>
      </c>
      <c r="AZ70" s="115"/>
      <c r="BA70" s="115">
        <v>5</v>
      </c>
      <c r="BB70" s="115">
        <v>1</v>
      </c>
      <c r="BC70" s="257">
        <v>136</v>
      </c>
      <c r="BD70" s="117"/>
      <c r="BE70" s="116">
        <v>8</v>
      </c>
      <c r="BF70" s="117">
        <v>354</v>
      </c>
      <c r="BG70" s="115">
        <v>309559</v>
      </c>
      <c r="BH70" s="115">
        <v>3323</v>
      </c>
      <c r="BI70" s="115">
        <v>22</v>
      </c>
      <c r="BJ70" s="115">
        <v>159552</v>
      </c>
      <c r="BK70" s="115"/>
      <c r="BL70" s="117">
        <v>472810</v>
      </c>
      <c r="BM70" s="116">
        <v>10</v>
      </c>
      <c r="BN70" s="116"/>
      <c r="BO70" s="116"/>
      <c r="BP70" s="116">
        <v>5</v>
      </c>
      <c r="BQ70" s="117">
        <v>17</v>
      </c>
      <c r="BR70" s="115"/>
      <c r="BS70" s="117">
        <v>17</v>
      </c>
      <c r="BT70" s="116">
        <v>1</v>
      </c>
      <c r="BU70" s="117">
        <v>2</v>
      </c>
      <c r="BV70" s="115"/>
      <c r="BW70" s="115"/>
      <c r="BX70" s="117">
        <v>2</v>
      </c>
      <c r="BY70" s="258">
        <v>5</v>
      </c>
      <c r="BZ70" s="115"/>
      <c r="CA70" s="115">
        <v>11</v>
      </c>
      <c r="CB70" s="115">
        <v>25</v>
      </c>
      <c r="CC70" s="115">
        <v>25</v>
      </c>
      <c r="CD70" s="115">
        <v>9</v>
      </c>
      <c r="CE70" s="115">
        <v>5</v>
      </c>
      <c r="CF70" s="115">
        <v>3</v>
      </c>
      <c r="CG70" s="115">
        <v>16</v>
      </c>
      <c r="CH70" s="115"/>
      <c r="CI70" s="115">
        <v>8</v>
      </c>
      <c r="CJ70" s="115"/>
      <c r="CK70" s="115">
        <v>11</v>
      </c>
      <c r="CL70" s="115">
        <v>3</v>
      </c>
      <c r="CM70" s="115"/>
      <c r="CN70" s="257">
        <v>121</v>
      </c>
      <c r="CO70" s="117">
        <v>1</v>
      </c>
      <c r="CP70" s="115"/>
      <c r="CQ70" s="117">
        <v>1</v>
      </c>
      <c r="CR70" s="116"/>
      <c r="CS70" s="117">
        <v>231</v>
      </c>
      <c r="CT70" s="115">
        <v>26</v>
      </c>
      <c r="CU70" s="115">
        <v>77745</v>
      </c>
      <c r="CV70" s="115">
        <v>854</v>
      </c>
      <c r="CW70" s="115">
        <v>22462</v>
      </c>
      <c r="CX70" s="115">
        <v>206</v>
      </c>
      <c r="CY70" s="115">
        <v>429</v>
      </c>
      <c r="CZ70" s="115">
        <v>42</v>
      </c>
      <c r="DA70" s="115">
        <v>17</v>
      </c>
      <c r="DB70" s="115">
        <v>3</v>
      </c>
      <c r="DC70" s="115">
        <v>1</v>
      </c>
      <c r="DD70" s="117">
        <v>102016</v>
      </c>
      <c r="DE70" s="258">
        <v>6300</v>
      </c>
      <c r="DF70" s="115">
        <v>314</v>
      </c>
      <c r="DG70" s="115">
        <v>19800</v>
      </c>
      <c r="DH70" s="115">
        <v>97</v>
      </c>
      <c r="DI70" s="115">
        <v>91</v>
      </c>
      <c r="DJ70" s="115"/>
      <c r="DK70" s="115"/>
      <c r="DL70" s="257">
        <v>26602</v>
      </c>
      <c r="DM70" s="117"/>
      <c r="DN70" s="116"/>
      <c r="DO70" s="117"/>
      <c r="DP70" s="115">
        <v>2</v>
      </c>
      <c r="DQ70" s="117">
        <v>2</v>
      </c>
      <c r="DR70" s="116">
        <v>94</v>
      </c>
      <c r="DS70" s="117"/>
      <c r="DT70" s="115"/>
      <c r="DU70" s="117"/>
      <c r="DV70" s="258">
        <v>422</v>
      </c>
      <c r="DW70" s="115">
        <v>2</v>
      </c>
      <c r="DX70" s="257">
        <v>424</v>
      </c>
      <c r="DY70" s="117">
        <v>22</v>
      </c>
      <c r="DZ70" s="116">
        <v>2</v>
      </c>
      <c r="EA70" s="117">
        <v>234</v>
      </c>
      <c r="EB70" s="115"/>
      <c r="EC70" s="117">
        <v>234</v>
      </c>
      <c r="ED70" s="116"/>
      <c r="EE70" s="116"/>
      <c r="EF70" s="117">
        <v>198</v>
      </c>
      <c r="EG70" s="115">
        <v>352</v>
      </c>
      <c r="EH70" s="115">
        <v>6</v>
      </c>
      <c r="EI70" s="115"/>
      <c r="EJ70" s="115"/>
      <c r="EK70" s="115"/>
      <c r="EL70" s="117">
        <v>556</v>
      </c>
      <c r="EM70" s="258">
        <v>17767</v>
      </c>
      <c r="EN70" s="115">
        <v>391</v>
      </c>
      <c r="EO70" s="115">
        <v>1330</v>
      </c>
      <c r="EP70" s="115">
        <v>12942</v>
      </c>
      <c r="EQ70" s="115">
        <v>489</v>
      </c>
      <c r="ER70" s="115">
        <v>550</v>
      </c>
      <c r="ES70" s="115">
        <v>4391</v>
      </c>
      <c r="ET70" s="115">
        <v>62</v>
      </c>
      <c r="EU70" s="115">
        <v>287</v>
      </c>
      <c r="EV70" s="115">
        <v>91</v>
      </c>
      <c r="EW70" s="115">
        <v>4</v>
      </c>
      <c r="EX70" s="115">
        <v>412</v>
      </c>
      <c r="EY70" s="115"/>
      <c r="EZ70" s="257">
        <v>38716</v>
      </c>
      <c r="FA70" s="117"/>
      <c r="FB70" s="116">
        <v>11</v>
      </c>
      <c r="FC70" s="117">
        <v>1</v>
      </c>
      <c r="FD70" s="115"/>
      <c r="FE70" s="115">
        <v>3</v>
      </c>
      <c r="FF70" s="117">
        <v>4</v>
      </c>
      <c r="FG70" s="116"/>
      <c r="FH70" s="116">
        <v>3</v>
      </c>
      <c r="FI70" s="117">
        <v>31</v>
      </c>
      <c r="FJ70" s="115">
        <v>13</v>
      </c>
      <c r="FK70" s="115">
        <v>1</v>
      </c>
      <c r="FL70" s="115">
        <v>40</v>
      </c>
      <c r="FM70" s="117">
        <v>85</v>
      </c>
      <c r="FN70" s="258">
        <v>1</v>
      </c>
      <c r="FO70" s="115"/>
      <c r="FP70" s="257">
        <v>1</v>
      </c>
      <c r="FQ70" s="117">
        <v>16</v>
      </c>
      <c r="FR70" s="115">
        <v>1</v>
      </c>
      <c r="FS70" s="117">
        <v>17</v>
      </c>
      <c r="FT70" s="116">
        <v>2</v>
      </c>
      <c r="FU70" s="117">
        <v>74</v>
      </c>
      <c r="FV70" s="115"/>
      <c r="FW70" s="117">
        <v>74</v>
      </c>
      <c r="FX70" s="258"/>
      <c r="FY70" s="115">
        <v>100</v>
      </c>
      <c r="FZ70" s="115">
        <v>5</v>
      </c>
      <c r="GA70" s="115">
        <v>4</v>
      </c>
      <c r="GB70" s="257">
        <v>109</v>
      </c>
      <c r="GC70" s="117"/>
      <c r="GD70" s="258">
        <v>84</v>
      </c>
      <c r="GE70" s="115">
        <v>2</v>
      </c>
      <c r="GF70" s="257">
        <v>86</v>
      </c>
      <c r="GG70" s="117"/>
      <c r="GH70" s="258">
        <v>2</v>
      </c>
      <c r="GI70" s="115"/>
      <c r="GJ70" s="115"/>
      <c r="GK70" s="257">
        <v>2</v>
      </c>
      <c r="GL70" s="117">
        <v>157</v>
      </c>
      <c r="GM70" s="258">
        <v>63</v>
      </c>
      <c r="GN70" s="115">
        <v>7</v>
      </c>
      <c r="GO70" s="115">
        <v>37</v>
      </c>
      <c r="GP70" s="115"/>
      <c r="GQ70" s="257">
        <v>107</v>
      </c>
      <c r="GR70" s="117">
        <v>686480</v>
      </c>
      <c r="GS70" s="324">
        <f>686480/49209180</f>
        <v>1.3950242617332782E-2</v>
      </c>
      <c r="GT70" s="293"/>
      <c r="GU70" s="293"/>
      <c r="GV70" s="293"/>
      <c r="GW70" s="293"/>
      <c r="GX70" s="293"/>
      <c r="GY70" s="293"/>
      <c r="GZ70" s="293"/>
      <c r="HA70" s="293"/>
      <c r="HB70" s="293"/>
      <c r="HC70" s="293"/>
      <c r="HD70" s="293"/>
      <c r="HE70" s="293"/>
      <c r="HF70" s="293"/>
      <c r="HG70" s="293"/>
      <c r="HH70" s="293"/>
      <c r="HI70" s="293"/>
      <c r="HJ70" s="293"/>
      <c r="HK70" s="293"/>
      <c r="HL70" s="293"/>
      <c r="HM70" s="293"/>
      <c r="HN70" s="293"/>
      <c r="HO70" s="293"/>
      <c r="HP70" s="293"/>
      <c r="HQ70" s="293"/>
      <c r="HR70" s="293"/>
      <c r="HS70" s="293"/>
      <c r="HT70" s="293"/>
      <c r="HU70" s="293"/>
      <c r="HV70" s="293"/>
      <c r="HW70" s="293"/>
      <c r="HX70" s="294"/>
    </row>
    <row r="71" spans="2:232" ht="13.5" thickBot="1" x14ac:dyDescent="0.25">
      <c r="B71" s="325" t="s">
        <v>554</v>
      </c>
      <c r="C71" s="326"/>
      <c r="D71" s="327"/>
      <c r="E71" s="327"/>
      <c r="F71" s="327"/>
      <c r="G71" s="328"/>
      <c r="H71" s="329"/>
      <c r="I71" s="326"/>
      <c r="J71" s="327"/>
      <c r="K71" s="328"/>
      <c r="L71" s="329"/>
      <c r="M71" s="330"/>
      <c r="N71" s="329"/>
      <c r="O71" s="327"/>
      <c r="P71" s="327"/>
      <c r="Q71" s="327"/>
      <c r="R71" s="327"/>
      <c r="S71" s="327"/>
      <c r="T71" s="327"/>
      <c r="U71" s="327"/>
      <c r="V71" s="329"/>
      <c r="W71" s="326"/>
      <c r="X71" s="327"/>
      <c r="Y71" s="328"/>
      <c r="Z71" s="329"/>
      <c r="AA71" s="327"/>
      <c r="AB71" s="329"/>
      <c r="AC71" s="326"/>
      <c r="AD71" s="327"/>
      <c r="AE71" s="327"/>
      <c r="AF71" s="328"/>
      <c r="AG71" s="329"/>
      <c r="AH71" s="327"/>
      <c r="AI71" s="327"/>
      <c r="AJ71" s="327"/>
      <c r="AK71" s="329"/>
      <c r="AL71" s="326"/>
      <c r="AM71" s="327"/>
      <c r="AN71" s="328"/>
      <c r="AO71" s="329"/>
      <c r="AP71" s="330"/>
      <c r="AQ71" s="329"/>
      <c r="AR71" s="327"/>
      <c r="AS71" s="327"/>
      <c r="AT71" s="329"/>
      <c r="AU71" s="326"/>
      <c r="AV71" s="327"/>
      <c r="AW71" s="327"/>
      <c r="AX71" s="327"/>
      <c r="AY71" s="327"/>
      <c r="AZ71" s="327"/>
      <c r="BA71" s="327"/>
      <c r="BB71" s="327"/>
      <c r="BC71" s="328"/>
      <c r="BD71" s="329"/>
      <c r="BE71" s="330"/>
      <c r="BF71" s="329"/>
      <c r="BG71" s="327"/>
      <c r="BH71" s="327"/>
      <c r="BI71" s="327"/>
      <c r="BJ71" s="327"/>
      <c r="BK71" s="327"/>
      <c r="BL71" s="329"/>
      <c r="BM71" s="330"/>
      <c r="BN71" s="330"/>
      <c r="BO71" s="330"/>
      <c r="BP71" s="330"/>
      <c r="BQ71" s="329"/>
      <c r="BR71" s="327"/>
      <c r="BS71" s="329"/>
      <c r="BT71" s="330"/>
      <c r="BU71" s="329"/>
      <c r="BV71" s="327"/>
      <c r="BW71" s="327"/>
      <c r="BX71" s="329"/>
      <c r="BY71" s="326"/>
      <c r="BZ71" s="327"/>
      <c r="CA71" s="327"/>
      <c r="CB71" s="327"/>
      <c r="CC71" s="327"/>
      <c r="CD71" s="327"/>
      <c r="CE71" s="327"/>
      <c r="CF71" s="327"/>
      <c r="CG71" s="327"/>
      <c r="CH71" s="327"/>
      <c r="CI71" s="327"/>
      <c r="CJ71" s="327"/>
      <c r="CK71" s="327"/>
      <c r="CL71" s="327"/>
      <c r="CM71" s="327"/>
      <c r="CN71" s="328"/>
      <c r="CO71" s="329"/>
      <c r="CP71" s="327"/>
      <c r="CQ71" s="329"/>
      <c r="CR71" s="330"/>
      <c r="CS71" s="329"/>
      <c r="CT71" s="327"/>
      <c r="CU71" s="327"/>
      <c r="CV71" s="327"/>
      <c r="CW71" s="327"/>
      <c r="CX71" s="327"/>
      <c r="CY71" s="327"/>
      <c r="CZ71" s="327"/>
      <c r="DA71" s="327"/>
      <c r="DB71" s="327"/>
      <c r="DC71" s="327"/>
      <c r="DD71" s="329"/>
      <c r="DE71" s="326"/>
      <c r="DF71" s="327"/>
      <c r="DG71" s="327"/>
      <c r="DH71" s="327"/>
      <c r="DI71" s="327"/>
      <c r="DJ71" s="327"/>
      <c r="DK71" s="327"/>
      <c r="DL71" s="328"/>
      <c r="DM71" s="329"/>
      <c r="DN71" s="330"/>
      <c r="DO71" s="329"/>
      <c r="DP71" s="327"/>
      <c r="DQ71" s="329"/>
      <c r="DR71" s="330"/>
      <c r="DS71" s="329"/>
      <c r="DT71" s="327"/>
      <c r="DU71" s="329"/>
      <c r="DV71" s="326"/>
      <c r="DW71" s="327"/>
      <c r="DX71" s="328"/>
      <c r="DY71" s="329"/>
      <c r="DZ71" s="330"/>
      <c r="EA71" s="329"/>
      <c r="EB71" s="327"/>
      <c r="EC71" s="329"/>
      <c r="ED71" s="330"/>
      <c r="EE71" s="330"/>
      <c r="EF71" s="329"/>
      <c r="EG71" s="327"/>
      <c r="EH71" s="327"/>
      <c r="EI71" s="327"/>
      <c r="EJ71" s="327"/>
      <c r="EK71" s="327"/>
      <c r="EL71" s="329"/>
      <c r="EM71" s="326"/>
      <c r="EN71" s="327"/>
      <c r="EO71" s="327"/>
      <c r="EP71" s="327"/>
      <c r="EQ71" s="327"/>
      <c r="ER71" s="327"/>
      <c r="ES71" s="327"/>
      <c r="ET71" s="327"/>
      <c r="EU71" s="327"/>
      <c r="EV71" s="327"/>
      <c r="EW71" s="327"/>
      <c r="EX71" s="327"/>
      <c r="EY71" s="327"/>
      <c r="EZ71" s="328"/>
      <c r="FA71" s="329"/>
      <c r="FB71" s="330"/>
      <c r="FC71" s="329"/>
      <c r="FD71" s="327"/>
      <c r="FE71" s="327"/>
      <c r="FF71" s="329"/>
      <c r="FG71" s="330"/>
      <c r="FH71" s="330"/>
      <c r="FI71" s="329"/>
      <c r="FJ71" s="327"/>
      <c r="FK71" s="327"/>
      <c r="FL71" s="327"/>
      <c r="FM71" s="329"/>
      <c r="FN71" s="326"/>
      <c r="FO71" s="327"/>
      <c r="FP71" s="328"/>
      <c r="FQ71" s="329"/>
      <c r="FR71" s="327"/>
      <c r="FS71" s="329"/>
      <c r="FT71" s="330"/>
      <c r="FU71" s="329"/>
      <c r="FV71" s="327"/>
      <c r="FW71" s="329"/>
      <c r="FX71" s="326"/>
      <c r="FY71" s="327"/>
      <c r="FZ71" s="327"/>
      <c r="GA71" s="327"/>
      <c r="GB71" s="328"/>
      <c r="GC71" s="329"/>
      <c r="GD71" s="326"/>
      <c r="GE71" s="327"/>
      <c r="GF71" s="328"/>
      <c r="GG71" s="329"/>
      <c r="GH71" s="326"/>
      <c r="GI71" s="327"/>
      <c r="GJ71" s="327"/>
      <c r="GK71" s="328"/>
      <c r="GL71" s="329"/>
      <c r="GM71" s="326"/>
      <c r="GN71" s="327"/>
      <c r="GO71" s="327"/>
      <c r="GP71" s="327"/>
      <c r="GQ71" s="328"/>
      <c r="GR71" s="329"/>
      <c r="GS71" s="331"/>
      <c r="GT71" s="305"/>
      <c r="GU71" s="305"/>
      <c r="GV71" s="305"/>
      <c r="GW71" s="305"/>
      <c r="GX71" s="305"/>
      <c r="GY71" s="305"/>
      <c r="GZ71" s="305"/>
      <c r="HA71" s="305"/>
      <c r="HB71" s="305"/>
      <c r="HC71" s="305"/>
      <c r="HD71" s="305"/>
      <c r="HE71" s="305"/>
      <c r="HF71" s="305"/>
      <c r="HG71" s="305"/>
      <c r="HH71" s="305"/>
      <c r="HI71" s="305"/>
      <c r="HJ71" s="305"/>
      <c r="HK71" s="305"/>
      <c r="HL71" s="305"/>
      <c r="HM71" s="305"/>
      <c r="HN71" s="305"/>
      <c r="HO71" s="305"/>
      <c r="HP71" s="305"/>
      <c r="HQ71" s="305"/>
      <c r="HR71" s="305"/>
      <c r="HS71" s="305"/>
      <c r="HT71" s="305"/>
      <c r="HU71" s="305"/>
      <c r="HV71" s="305"/>
      <c r="HW71" s="305"/>
      <c r="HX71" s="294"/>
    </row>
    <row r="72" spans="2:232" ht="13.5" thickBot="1" x14ac:dyDescent="0.25">
      <c r="B72" s="332" t="s">
        <v>547</v>
      </c>
      <c r="C72" s="333">
        <v>69745</v>
      </c>
      <c r="D72" s="334">
        <v>18</v>
      </c>
      <c r="E72" s="334">
        <v>57</v>
      </c>
      <c r="F72" s="334">
        <v>22</v>
      </c>
      <c r="G72" s="335">
        <v>69842</v>
      </c>
      <c r="H72" s="336">
        <v>8</v>
      </c>
      <c r="I72" s="333">
        <v>1023</v>
      </c>
      <c r="J72" s="334">
        <v>6</v>
      </c>
      <c r="K72" s="335">
        <v>1029</v>
      </c>
      <c r="L72" s="336">
        <v>11</v>
      </c>
      <c r="M72" s="337">
        <v>234733</v>
      </c>
      <c r="N72" s="336">
        <v>8032069</v>
      </c>
      <c r="O72" s="334">
        <v>106467</v>
      </c>
      <c r="P72" s="334">
        <v>19305</v>
      </c>
      <c r="Q72" s="334">
        <v>16001</v>
      </c>
      <c r="R72" s="334">
        <v>219</v>
      </c>
      <c r="S72" s="334">
        <v>2669</v>
      </c>
      <c r="T72" s="334">
        <v>123</v>
      </c>
      <c r="U72" s="334">
        <v>31</v>
      </c>
      <c r="V72" s="336">
        <v>8176884</v>
      </c>
      <c r="W72" s="333">
        <v>2312</v>
      </c>
      <c r="X72" s="334">
        <v>1720</v>
      </c>
      <c r="Y72" s="335">
        <v>4032</v>
      </c>
      <c r="Z72" s="336">
        <v>24660</v>
      </c>
      <c r="AA72" s="334"/>
      <c r="AB72" s="336">
        <v>24660</v>
      </c>
      <c r="AC72" s="333">
        <v>294465</v>
      </c>
      <c r="AD72" s="334">
        <v>458</v>
      </c>
      <c r="AE72" s="334">
        <v>20</v>
      </c>
      <c r="AF72" s="335">
        <v>294943</v>
      </c>
      <c r="AG72" s="336">
        <v>20458</v>
      </c>
      <c r="AH72" s="334">
        <v>8264</v>
      </c>
      <c r="AI72" s="334">
        <v>42</v>
      </c>
      <c r="AJ72" s="334">
        <v>2</v>
      </c>
      <c r="AK72" s="336">
        <v>28766</v>
      </c>
      <c r="AL72" s="333">
        <v>4</v>
      </c>
      <c r="AM72" s="334">
        <v>8</v>
      </c>
      <c r="AN72" s="335">
        <v>12</v>
      </c>
      <c r="AO72" s="336">
        <v>4</v>
      </c>
      <c r="AP72" s="337">
        <v>0</v>
      </c>
      <c r="AQ72" s="336">
        <v>172</v>
      </c>
      <c r="AR72" s="334">
        <v>223</v>
      </c>
      <c r="AS72" s="334"/>
      <c r="AT72" s="336">
        <v>395</v>
      </c>
      <c r="AU72" s="333">
        <v>6750</v>
      </c>
      <c r="AV72" s="334">
        <v>77</v>
      </c>
      <c r="AW72" s="334">
        <v>2759</v>
      </c>
      <c r="AX72" s="334">
        <v>55</v>
      </c>
      <c r="AY72" s="334">
        <v>9</v>
      </c>
      <c r="AZ72" s="334"/>
      <c r="BA72" s="334">
        <v>5</v>
      </c>
      <c r="BB72" s="334">
        <v>1</v>
      </c>
      <c r="BC72" s="335">
        <v>9656</v>
      </c>
      <c r="BD72" s="336">
        <v>61</v>
      </c>
      <c r="BE72" s="337">
        <v>23994</v>
      </c>
      <c r="BF72" s="336">
        <v>30377</v>
      </c>
      <c r="BG72" s="334">
        <v>420279</v>
      </c>
      <c r="BH72" s="334">
        <v>685218</v>
      </c>
      <c r="BI72" s="334">
        <v>9697</v>
      </c>
      <c r="BJ72" s="334">
        <v>174156</v>
      </c>
      <c r="BK72" s="334">
        <v>0</v>
      </c>
      <c r="BL72" s="336">
        <v>1319727</v>
      </c>
      <c r="BM72" s="337">
        <v>17115</v>
      </c>
      <c r="BN72" s="337">
        <v>13</v>
      </c>
      <c r="BO72" s="337">
        <v>19</v>
      </c>
      <c r="BP72" s="337">
        <v>30221</v>
      </c>
      <c r="BQ72" s="336">
        <v>41128</v>
      </c>
      <c r="BR72" s="334">
        <v>1</v>
      </c>
      <c r="BS72" s="336">
        <v>41129</v>
      </c>
      <c r="BT72" s="337">
        <v>34</v>
      </c>
      <c r="BU72" s="336">
        <v>240</v>
      </c>
      <c r="BV72" s="334">
        <v>387</v>
      </c>
      <c r="BW72" s="334">
        <v>31</v>
      </c>
      <c r="BX72" s="336">
        <v>658</v>
      </c>
      <c r="BY72" s="333">
        <v>10</v>
      </c>
      <c r="BZ72" s="334"/>
      <c r="CA72" s="334">
        <v>106</v>
      </c>
      <c r="CB72" s="334">
        <v>73</v>
      </c>
      <c r="CC72" s="334">
        <v>44</v>
      </c>
      <c r="CD72" s="334">
        <v>15</v>
      </c>
      <c r="CE72" s="334">
        <v>9</v>
      </c>
      <c r="CF72" s="334">
        <v>3</v>
      </c>
      <c r="CG72" s="334">
        <v>19</v>
      </c>
      <c r="CH72" s="334">
        <v>3</v>
      </c>
      <c r="CI72" s="334">
        <v>22</v>
      </c>
      <c r="CJ72" s="334"/>
      <c r="CK72" s="334">
        <v>21</v>
      </c>
      <c r="CL72" s="334">
        <v>10</v>
      </c>
      <c r="CM72" s="334"/>
      <c r="CN72" s="335">
        <v>335</v>
      </c>
      <c r="CO72" s="336">
        <v>162</v>
      </c>
      <c r="CP72" s="334">
        <v>0</v>
      </c>
      <c r="CQ72" s="336">
        <v>162</v>
      </c>
      <c r="CR72" s="337">
        <v>23</v>
      </c>
      <c r="CS72" s="336">
        <v>5898</v>
      </c>
      <c r="CT72" s="334">
        <v>641</v>
      </c>
      <c r="CU72" s="334">
        <v>2642336</v>
      </c>
      <c r="CV72" s="334">
        <v>135496</v>
      </c>
      <c r="CW72" s="334">
        <v>2051288</v>
      </c>
      <c r="CX72" s="334">
        <v>1018</v>
      </c>
      <c r="CY72" s="334">
        <v>637</v>
      </c>
      <c r="CZ72" s="334">
        <v>232</v>
      </c>
      <c r="DA72" s="334">
        <v>1175</v>
      </c>
      <c r="DB72" s="334">
        <v>22</v>
      </c>
      <c r="DC72" s="334">
        <v>212</v>
      </c>
      <c r="DD72" s="336">
        <v>4838955</v>
      </c>
      <c r="DE72" s="333">
        <v>1084847</v>
      </c>
      <c r="DF72" s="334">
        <v>609</v>
      </c>
      <c r="DG72" s="334">
        <v>34629</v>
      </c>
      <c r="DH72" s="334">
        <v>21822</v>
      </c>
      <c r="DI72" s="334">
        <v>2711</v>
      </c>
      <c r="DJ72" s="334">
        <v>14</v>
      </c>
      <c r="DK72" s="334">
        <v>21</v>
      </c>
      <c r="DL72" s="335">
        <v>1144653</v>
      </c>
      <c r="DM72" s="336">
        <v>20</v>
      </c>
      <c r="DN72" s="337">
        <v>22</v>
      </c>
      <c r="DO72" s="336">
        <v>7</v>
      </c>
      <c r="DP72" s="334">
        <v>2</v>
      </c>
      <c r="DQ72" s="336">
        <v>9</v>
      </c>
      <c r="DR72" s="337">
        <v>118672</v>
      </c>
      <c r="DS72" s="336">
        <v>0</v>
      </c>
      <c r="DT72" s="334"/>
      <c r="DU72" s="336">
        <v>0</v>
      </c>
      <c r="DV72" s="333">
        <v>1582</v>
      </c>
      <c r="DW72" s="334">
        <v>45</v>
      </c>
      <c r="DX72" s="335">
        <v>1627</v>
      </c>
      <c r="DY72" s="336">
        <v>36223</v>
      </c>
      <c r="DZ72" s="337">
        <v>10606</v>
      </c>
      <c r="EA72" s="336">
        <v>27788</v>
      </c>
      <c r="EB72" s="334"/>
      <c r="EC72" s="336">
        <v>27788</v>
      </c>
      <c r="ED72" s="337">
        <v>5</v>
      </c>
      <c r="EE72" s="337">
        <v>6</v>
      </c>
      <c r="EF72" s="336">
        <v>1140</v>
      </c>
      <c r="EG72" s="334">
        <v>2808</v>
      </c>
      <c r="EH72" s="334">
        <v>53</v>
      </c>
      <c r="EI72" s="334"/>
      <c r="EJ72" s="334"/>
      <c r="EK72" s="334">
        <v>10</v>
      </c>
      <c r="EL72" s="336">
        <v>4011</v>
      </c>
      <c r="EM72" s="333">
        <v>226649</v>
      </c>
      <c r="EN72" s="334">
        <v>1379772</v>
      </c>
      <c r="EO72" s="334">
        <v>14382</v>
      </c>
      <c r="EP72" s="334">
        <v>129344</v>
      </c>
      <c r="EQ72" s="334">
        <v>556563</v>
      </c>
      <c r="ER72" s="334">
        <v>11919</v>
      </c>
      <c r="ES72" s="334">
        <v>104982</v>
      </c>
      <c r="ET72" s="334">
        <v>1533</v>
      </c>
      <c r="EU72" s="334">
        <v>1482</v>
      </c>
      <c r="EV72" s="334">
        <v>827</v>
      </c>
      <c r="EW72" s="334">
        <v>8</v>
      </c>
      <c r="EX72" s="334">
        <v>1534</v>
      </c>
      <c r="EY72" s="334">
        <v>13</v>
      </c>
      <c r="EZ72" s="335">
        <v>2429008</v>
      </c>
      <c r="FA72" s="336">
        <v>1</v>
      </c>
      <c r="FB72" s="337">
        <v>1884</v>
      </c>
      <c r="FC72" s="336">
        <v>4955</v>
      </c>
      <c r="FD72" s="334">
        <v>5</v>
      </c>
      <c r="FE72" s="334">
        <v>23</v>
      </c>
      <c r="FF72" s="336">
        <v>4983</v>
      </c>
      <c r="FG72" s="337">
        <v>8</v>
      </c>
      <c r="FH72" s="337">
        <v>5</v>
      </c>
      <c r="FI72" s="336">
        <v>35274</v>
      </c>
      <c r="FJ72" s="334">
        <v>14</v>
      </c>
      <c r="FK72" s="334">
        <v>1</v>
      </c>
      <c r="FL72" s="334">
        <v>138</v>
      </c>
      <c r="FM72" s="336">
        <v>35427</v>
      </c>
      <c r="FN72" s="333">
        <v>170</v>
      </c>
      <c r="FO72" s="334"/>
      <c r="FP72" s="335">
        <v>170</v>
      </c>
      <c r="FQ72" s="336">
        <v>32</v>
      </c>
      <c r="FR72" s="334">
        <v>1</v>
      </c>
      <c r="FS72" s="336">
        <v>33</v>
      </c>
      <c r="FT72" s="337">
        <v>86</v>
      </c>
      <c r="FU72" s="336">
        <v>32547</v>
      </c>
      <c r="FV72" s="334"/>
      <c r="FW72" s="336">
        <v>32547</v>
      </c>
      <c r="FX72" s="333">
        <v>262</v>
      </c>
      <c r="FY72" s="334">
        <v>165</v>
      </c>
      <c r="FZ72" s="334">
        <v>49</v>
      </c>
      <c r="GA72" s="334">
        <v>13</v>
      </c>
      <c r="GB72" s="335">
        <v>489</v>
      </c>
      <c r="GC72" s="336">
        <v>1</v>
      </c>
      <c r="GD72" s="333">
        <v>26746</v>
      </c>
      <c r="GE72" s="334">
        <v>12</v>
      </c>
      <c r="GF72" s="335">
        <v>26758</v>
      </c>
      <c r="GG72" s="336">
        <v>8</v>
      </c>
      <c r="GH72" s="333">
        <v>258</v>
      </c>
      <c r="GI72" s="334">
        <v>1</v>
      </c>
      <c r="GJ72" s="334"/>
      <c r="GK72" s="335">
        <v>259</v>
      </c>
      <c r="GL72" s="336">
        <v>566</v>
      </c>
      <c r="GM72" s="333">
        <v>1305</v>
      </c>
      <c r="GN72" s="334">
        <v>21602</v>
      </c>
      <c r="GO72" s="334">
        <v>95</v>
      </c>
      <c r="GP72" s="334">
        <v>6</v>
      </c>
      <c r="GQ72" s="335">
        <v>23008</v>
      </c>
      <c r="GR72" s="336">
        <v>19016304</v>
      </c>
      <c r="GS72" s="338">
        <f>19016304/49209180</f>
        <v>0.38643814020066986</v>
      </c>
      <c r="GT72" s="293"/>
      <c r="GU72" s="293"/>
      <c r="GV72" s="293"/>
      <c r="GW72" s="293"/>
      <c r="GX72" s="293"/>
      <c r="GY72" s="293"/>
      <c r="GZ72" s="293"/>
      <c r="HA72" s="293"/>
      <c r="HB72" s="293"/>
      <c r="HC72" s="293"/>
      <c r="HD72" s="293"/>
      <c r="HE72" s="293"/>
      <c r="HF72" s="293"/>
      <c r="HG72" s="293"/>
      <c r="HH72" s="293"/>
      <c r="HI72" s="293"/>
      <c r="HJ72" s="293"/>
      <c r="HK72" s="293"/>
      <c r="HL72" s="293"/>
      <c r="HM72" s="293"/>
      <c r="HN72" s="293"/>
      <c r="HO72" s="293"/>
      <c r="HP72" s="293"/>
      <c r="HQ72" s="293"/>
      <c r="HR72" s="293"/>
      <c r="HS72" s="293"/>
      <c r="HT72" s="293"/>
      <c r="HU72" s="293"/>
      <c r="HV72" s="293"/>
      <c r="HW72" s="293"/>
      <c r="HX72" s="294"/>
    </row>
    <row r="73" spans="2:232" ht="12.75" x14ac:dyDescent="0.2">
      <c r="B73" s="339" t="s">
        <v>30</v>
      </c>
      <c r="C73" s="340">
        <v>4</v>
      </c>
      <c r="D73" s="341">
        <v>2</v>
      </c>
      <c r="E73" s="341"/>
      <c r="F73" s="341">
        <v>1</v>
      </c>
      <c r="G73" s="342">
        <v>7</v>
      </c>
      <c r="H73" s="343"/>
      <c r="I73" s="340">
        <v>1</v>
      </c>
      <c r="J73" s="341"/>
      <c r="K73" s="342">
        <v>1</v>
      </c>
      <c r="L73" s="343"/>
      <c r="M73" s="344">
        <v>148</v>
      </c>
      <c r="N73" s="343">
        <v>38754</v>
      </c>
      <c r="O73" s="341">
        <v>15</v>
      </c>
      <c r="P73" s="341">
        <v>247</v>
      </c>
      <c r="Q73" s="341">
        <v>44</v>
      </c>
      <c r="R73" s="341">
        <v>1</v>
      </c>
      <c r="S73" s="341">
        <v>2</v>
      </c>
      <c r="T73" s="341"/>
      <c r="U73" s="341"/>
      <c r="V73" s="343">
        <v>39063</v>
      </c>
      <c r="W73" s="340">
        <v>12</v>
      </c>
      <c r="X73" s="341">
        <v>1</v>
      </c>
      <c r="Y73" s="342">
        <v>13</v>
      </c>
      <c r="Z73" s="343">
        <v>50</v>
      </c>
      <c r="AA73" s="341"/>
      <c r="AB73" s="343">
        <v>50</v>
      </c>
      <c r="AC73" s="340">
        <v>1029</v>
      </c>
      <c r="AD73" s="341"/>
      <c r="AE73" s="341"/>
      <c r="AF73" s="342">
        <v>1029</v>
      </c>
      <c r="AG73" s="343">
        <v>289</v>
      </c>
      <c r="AH73" s="341">
        <v>1</v>
      </c>
      <c r="AI73" s="341">
        <v>5</v>
      </c>
      <c r="AJ73" s="341"/>
      <c r="AK73" s="343">
        <v>295</v>
      </c>
      <c r="AL73" s="340">
        <v>7</v>
      </c>
      <c r="AM73" s="341"/>
      <c r="AN73" s="342">
        <v>7</v>
      </c>
      <c r="AO73" s="343"/>
      <c r="AP73" s="344"/>
      <c r="AQ73" s="343"/>
      <c r="AR73" s="341">
        <v>3</v>
      </c>
      <c r="AS73" s="341"/>
      <c r="AT73" s="343">
        <v>3</v>
      </c>
      <c r="AU73" s="340">
        <v>2</v>
      </c>
      <c r="AV73" s="341"/>
      <c r="AW73" s="341">
        <v>17</v>
      </c>
      <c r="AX73" s="341"/>
      <c r="AY73" s="341"/>
      <c r="AZ73" s="341"/>
      <c r="BA73" s="341"/>
      <c r="BB73" s="341"/>
      <c r="BC73" s="342">
        <v>19</v>
      </c>
      <c r="BD73" s="343"/>
      <c r="BE73" s="344"/>
      <c r="BF73" s="343">
        <v>106</v>
      </c>
      <c r="BG73" s="341">
        <v>31668</v>
      </c>
      <c r="BH73" s="341">
        <v>2254</v>
      </c>
      <c r="BI73" s="341">
        <v>9</v>
      </c>
      <c r="BJ73" s="341">
        <v>492</v>
      </c>
      <c r="BK73" s="341"/>
      <c r="BL73" s="343">
        <v>34529</v>
      </c>
      <c r="BM73" s="344">
        <v>1</v>
      </c>
      <c r="BN73" s="344"/>
      <c r="BO73" s="344"/>
      <c r="BP73" s="344">
        <v>4</v>
      </c>
      <c r="BQ73" s="343">
        <v>4</v>
      </c>
      <c r="BR73" s="341"/>
      <c r="BS73" s="343">
        <v>4</v>
      </c>
      <c r="BT73" s="344"/>
      <c r="BU73" s="343"/>
      <c r="BV73" s="341"/>
      <c r="BW73" s="341"/>
      <c r="BX73" s="343"/>
      <c r="BY73" s="340"/>
      <c r="BZ73" s="341"/>
      <c r="CA73" s="341"/>
      <c r="CB73" s="341">
        <v>5</v>
      </c>
      <c r="CC73" s="341"/>
      <c r="CD73" s="341">
        <v>4</v>
      </c>
      <c r="CE73" s="341">
        <v>2</v>
      </c>
      <c r="CF73" s="341"/>
      <c r="CG73" s="341"/>
      <c r="CH73" s="341"/>
      <c r="CI73" s="341"/>
      <c r="CJ73" s="341"/>
      <c r="CK73" s="341"/>
      <c r="CL73" s="341"/>
      <c r="CM73" s="341"/>
      <c r="CN73" s="342">
        <v>11</v>
      </c>
      <c r="CO73" s="343"/>
      <c r="CP73" s="341"/>
      <c r="CQ73" s="343"/>
      <c r="CR73" s="344"/>
      <c r="CS73" s="343">
        <v>49</v>
      </c>
      <c r="CT73" s="341"/>
      <c r="CU73" s="341">
        <v>32764</v>
      </c>
      <c r="CV73" s="341">
        <v>115</v>
      </c>
      <c r="CW73" s="341">
        <v>22780</v>
      </c>
      <c r="CX73" s="341">
        <v>22</v>
      </c>
      <c r="CY73" s="341">
        <v>55</v>
      </c>
      <c r="CZ73" s="341">
        <v>2</v>
      </c>
      <c r="DA73" s="341"/>
      <c r="DB73" s="341"/>
      <c r="DC73" s="341"/>
      <c r="DD73" s="343">
        <v>55787</v>
      </c>
      <c r="DE73" s="340">
        <v>461</v>
      </c>
      <c r="DF73" s="341">
        <v>9</v>
      </c>
      <c r="DG73" s="341">
        <v>460</v>
      </c>
      <c r="DH73" s="341">
        <v>193</v>
      </c>
      <c r="DI73" s="341">
        <v>24</v>
      </c>
      <c r="DJ73" s="341"/>
      <c r="DK73" s="341"/>
      <c r="DL73" s="342">
        <v>1147</v>
      </c>
      <c r="DM73" s="343"/>
      <c r="DN73" s="344"/>
      <c r="DO73" s="343"/>
      <c r="DP73" s="341"/>
      <c r="DQ73" s="343"/>
      <c r="DR73" s="344">
        <v>9</v>
      </c>
      <c r="DS73" s="343"/>
      <c r="DT73" s="341"/>
      <c r="DU73" s="343"/>
      <c r="DV73" s="340">
        <v>130</v>
      </c>
      <c r="DW73" s="341"/>
      <c r="DX73" s="342">
        <v>130</v>
      </c>
      <c r="DY73" s="343">
        <v>1</v>
      </c>
      <c r="DZ73" s="344">
        <v>2</v>
      </c>
      <c r="EA73" s="343">
        <v>39</v>
      </c>
      <c r="EB73" s="341"/>
      <c r="EC73" s="343">
        <v>39</v>
      </c>
      <c r="ED73" s="344"/>
      <c r="EE73" s="344"/>
      <c r="EF73" s="343">
        <v>24</v>
      </c>
      <c r="EG73" s="341">
        <v>3</v>
      </c>
      <c r="EH73" s="341"/>
      <c r="EI73" s="341"/>
      <c r="EJ73" s="341"/>
      <c r="EK73" s="341"/>
      <c r="EL73" s="343">
        <v>27</v>
      </c>
      <c r="EM73" s="340">
        <v>1607</v>
      </c>
      <c r="EN73" s="341">
        <v>184</v>
      </c>
      <c r="EO73" s="341">
        <v>54</v>
      </c>
      <c r="EP73" s="341">
        <v>764</v>
      </c>
      <c r="EQ73" s="341">
        <v>6801</v>
      </c>
      <c r="ER73" s="341">
        <v>150</v>
      </c>
      <c r="ES73" s="341">
        <v>463</v>
      </c>
      <c r="ET73" s="341">
        <v>2</v>
      </c>
      <c r="EU73" s="341">
        <v>6</v>
      </c>
      <c r="EV73" s="341">
        <v>1</v>
      </c>
      <c r="EW73" s="341">
        <v>1</v>
      </c>
      <c r="EX73" s="341">
        <v>3</v>
      </c>
      <c r="EY73" s="341"/>
      <c r="EZ73" s="342">
        <v>10036</v>
      </c>
      <c r="FA73" s="343"/>
      <c r="FB73" s="344"/>
      <c r="FC73" s="343"/>
      <c r="FD73" s="341"/>
      <c r="FE73" s="341"/>
      <c r="FF73" s="343"/>
      <c r="FG73" s="344"/>
      <c r="FH73" s="344">
        <v>5</v>
      </c>
      <c r="FI73" s="343">
        <v>3</v>
      </c>
      <c r="FJ73" s="341">
        <v>14</v>
      </c>
      <c r="FK73" s="341"/>
      <c r="FL73" s="341"/>
      <c r="FM73" s="343">
        <v>17</v>
      </c>
      <c r="FN73" s="340"/>
      <c r="FO73" s="341"/>
      <c r="FP73" s="342"/>
      <c r="FQ73" s="343"/>
      <c r="FR73" s="341"/>
      <c r="FS73" s="343"/>
      <c r="FT73" s="344"/>
      <c r="FU73" s="343">
        <v>14</v>
      </c>
      <c r="FV73" s="341"/>
      <c r="FW73" s="343">
        <v>14</v>
      </c>
      <c r="FX73" s="340">
        <v>1</v>
      </c>
      <c r="FY73" s="341">
        <v>0</v>
      </c>
      <c r="FZ73" s="341"/>
      <c r="GA73" s="341"/>
      <c r="GB73" s="342">
        <v>1</v>
      </c>
      <c r="GC73" s="343"/>
      <c r="GD73" s="340">
        <v>2</v>
      </c>
      <c r="GE73" s="341"/>
      <c r="GF73" s="342">
        <v>2</v>
      </c>
      <c r="GG73" s="343"/>
      <c r="GH73" s="340"/>
      <c r="GI73" s="341"/>
      <c r="GJ73" s="341"/>
      <c r="GK73" s="342"/>
      <c r="GL73" s="343">
        <v>15</v>
      </c>
      <c r="GM73" s="340"/>
      <c r="GN73" s="341">
        <v>1</v>
      </c>
      <c r="GO73" s="341">
        <v>58</v>
      </c>
      <c r="GP73" s="341">
        <v>7</v>
      </c>
      <c r="GQ73" s="342">
        <v>66</v>
      </c>
      <c r="GR73" s="343">
        <v>142482</v>
      </c>
      <c r="GS73" s="345">
        <f>142482/49209180</f>
        <v>2.8954353638894208E-3</v>
      </c>
      <c r="GT73" s="293"/>
      <c r="GU73" s="293"/>
      <c r="GV73" s="293"/>
      <c r="GW73" s="293"/>
      <c r="GX73" s="293"/>
      <c r="GY73" s="293"/>
      <c r="GZ73" s="293"/>
      <c r="HA73" s="293"/>
      <c r="HB73" s="293"/>
      <c r="HC73" s="293"/>
      <c r="HD73" s="293"/>
      <c r="HE73" s="293"/>
      <c r="HF73" s="293"/>
      <c r="HG73" s="293"/>
      <c r="HH73" s="293"/>
      <c r="HI73" s="293"/>
      <c r="HJ73" s="293"/>
      <c r="HK73" s="293"/>
      <c r="HL73" s="293"/>
      <c r="HM73" s="293"/>
      <c r="HN73" s="293"/>
      <c r="HO73" s="293"/>
      <c r="HP73" s="293"/>
      <c r="HQ73" s="293"/>
      <c r="HR73" s="293"/>
      <c r="HS73" s="293"/>
      <c r="HT73" s="293"/>
      <c r="HU73" s="293"/>
      <c r="HV73" s="293"/>
      <c r="HW73" s="293"/>
      <c r="HX73" s="294"/>
    </row>
    <row r="74" spans="2:232" ht="12.75" x14ac:dyDescent="0.2">
      <c r="B74" s="259" t="s">
        <v>53</v>
      </c>
      <c r="C74" s="258">
        <v>35</v>
      </c>
      <c r="D74" s="115">
        <v>1</v>
      </c>
      <c r="E74" s="115"/>
      <c r="F74" s="115"/>
      <c r="G74" s="257">
        <v>36</v>
      </c>
      <c r="H74" s="117"/>
      <c r="I74" s="258">
        <v>7</v>
      </c>
      <c r="J74" s="115"/>
      <c r="K74" s="257">
        <v>7</v>
      </c>
      <c r="L74" s="117"/>
      <c r="M74" s="116">
        <v>403</v>
      </c>
      <c r="N74" s="117">
        <v>55359</v>
      </c>
      <c r="O74" s="115">
        <v>86</v>
      </c>
      <c r="P74" s="115">
        <v>41</v>
      </c>
      <c r="Q74" s="115">
        <v>17</v>
      </c>
      <c r="R74" s="115"/>
      <c r="S74" s="115">
        <v>1</v>
      </c>
      <c r="T74" s="115"/>
      <c r="U74" s="115"/>
      <c r="V74" s="117">
        <v>55504</v>
      </c>
      <c r="W74" s="258">
        <v>4</v>
      </c>
      <c r="X74" s="115">
        <v>4</v>
      </c>
      <c r="Y74" s="257">
        <v>8</v>
      </c>
      <c r="Z74" s="117">
        <v>73</v>
      </c>
      <c r="AA74" s="115"/>
      <c r="AB74" s="117">
        <v>73</v>
      </c>
      <c r="AC74" s="258">
        <v>151</v>
      </c>
      <c r="AD74" s="115"/>
      <c r="AE74" s="115"/>
      <c r="AF74" s="257">
        <v>151</v>
      </c>
      <c r="AG74" s="117">
        <v>119</v>
      </c>
      <c r="AH74" s="115">
        <v>3</v>
      </c>
      <c r="AI74" s="115">
        <v>1</v>
      </c>
      <c r="AJ74" s="115"/>
      <c r="AK74" s="117">
        <v>123</v>
      </c>
      <c r="AL74" s="258"/>
      <c r="AM74" s="115"/>
      <c r="AN74" s="257"/>
      <c r="AO74" s="117"/>
      <c r="AP74" s="116"/>
      <c r="AQ74" s="117"/>
      <c r="AR74" s="115"/>
      <c r="AS74" s="115"/>
      <c r="AT74" s="117"/>
      <c r="AU74" s="258">
        <v>2</v>
      </c>
      <c r="AV74" s="115"/>
      <c r="AW74" s="115">
        <v>13</v>
      </c>
      <c r="AX74" s="115"/>
      <c r="AY74" s="115"/>
      <c r="AZ74" s="115"/>
      <c r="BA74" s="115"/>
      <c r="BB74" s="115"/>
      <c r="BC74" s="257">
        <v>15</v>
      </c>
      <c r="BD74" s="117"/>
      <c r="BE74" s="116">
        <v>1</v>
      </c>
      <c r="BF74" s="117">
        <v>866</v>
      </c>
      <c r="BG74" s="115">
        <v>1438</v>
      </c>
      <c r="BH74" s="115">
        <v>52159</v>
      </c>
      <c r="BI74" s="115">
        <v>16</v>
      </c>
      <c r="BJ74" s="115">
        <v>81</v>
      </c>
      <c r="BK74" s="115"/>
      <c r="BL74" s="117">
        <v>54560</v>
      </c>
      <c r="BM74" s="116">
        <v>5</v>
      </c>
      <c r="BN74" s="116"/>
      <c r="BO74" s="116"/>
      <c r="BP74" s="116">
        <v>5</v>
      </c>
      <c r="BQ74" s="117">
        <v>5</v>
      </c>
      <c r="BR74" s="115"/>
      <c r="BS74" s="117">
        <v>5</v>
      </c>
      <c r="BT74" s="116"/>
      <c r="BU74" s="117">
        <v>2</v>
      </c>
      <c r="BV74" s="115"/>
      <c r="BW74" s="115"/>
      <c r="BX74" s="117">
        <v>2</v>
      </c>
      <c r="BY74" s="258"/>
      <c r="BZ74" s="115"/>
      <c r="CA74" s="115"/>
      <c r="CB74" s="115"/>
      <c r="CC74" s="115">
        <v>2</v>
      </c>
      <c r="CD74" s="115">
        <v>0</v>
      </c>
      <c r="CE74" s="115"/>
      <c r="CF74" s="115"/>
      <c r="CG74" s="115"/>
      <c r="CH74" s="115"/>
      <c r="CI74" s="115"/>
      <c r="CJ74" s="115"/>
      <c r="CK74" s="115"/>
      <c r="CL74" s="115"/>
      <c r="CM74" s="115"/>
      <c r="CN74" s="257">
        <v>2</v>
      </c>
      <c r="CO74" s="117"/>
      <c r="CP74" s="115"/>
      <c r="CQ74" s="117"/>
      <c r="CR74" s="116"/>
      <c r="CS74" s="117">
        <v>80</v>
      </c>
      <c r="CT74" s="115"/>
      <c r="CU74" s="115">
        <v>32137</v>
      </c>
      <c r="CV74" s="115">
        <v>83</v>
      </c>
      <c r="CW74" s="115">
        <v>30049</v>
      </c>
      <c r="CX74" s="115">
        <v>1</v>
      </c>
      <c r="CY74" s="115">
        <v>8</v>
      </c>
      <c r="CZ74" s="115">
        <v>12</v>
      </c>
      <c r="DA74" s="115"/>
      <c r="DB74" s="115"/>
      <c r="DC74" s="115">
        <v>1</v>
      </c>
      <c r="DD74" s="117">
        <v>62371</v>
      </c>
      <c r="DE74" s="258">
        <v>1472</v>
      </c>
      <c r="DF74" s="115"/>
      <c r="DG74" s="115">
        <v>36</v>
      </c>
      <c r="DH74" s="115">
        <v>3</v>
      </c>
      <c r="DI74" s="115">
        <v>1</v>
      </c>
      <c r="DJ74" s="115"/>
      <c r="DK74" s="115"/>
      <c r="DL74" s="257">
        <v>1512</v>
      </c>
      <c r="DM74" s="117"/>
      <c r="DN74" s="116"/>
      <c r="DO74" s="117"/>
      <c r="DP74" s="115"/>
      <c r="DQ74" s="117"/>
      <c r="DR74" s="116">
        <v>29</v>
      </c>
      <c r="DS74" s="117"/>
      <c r="DT74" s="115"/>
      <c r="DU74" s="117"/>
      <c r="DV74" s="258">
        <v>9</v>
      </c>
      <c r="DW74" s="115"/>
      <c r="DX74" s="257">
        <v>9</v>
      </c>
      <c r="DY74" s="117">
        <v>8</v>
      </c>
      <c r="DZ74" s="116">
        <v>3</v>
      </c>
      <c r="EA74" s="117">
        <v>76</v>
      </c>
      <c r="EB74" s="115"/>
      <c r="EC74" s="117">
        <v>76</v>
      </c>
      <c r="ED74" s="116"/>
      <c r="EE74" s="116"/>
      <c r="EF74" s="117">
        <v>2</v>
      </c>
      <c r="EG74" s="115">
        <v>7</v>
      </c>
      <c r="EH74" s="115">
        <v>1</v>
      </c>
      <c r="EI74" s="115"/>
      <c r="EJ74" s="115"/>
      <c r="EK74" s="115"/>
      <c r="EL74" s="117">
        <v>10</v>
      </c>
      <c r="EM74" s="258">
        <v>395</v>
      </c>
      <c r="EN74" s="115">
        <v>220</v>
      </c>
      <c r="EO74" s="115">
        <v>11</v>
      </c>
      <c r="EP74" s="115">
        <v>117</v>
      </c>
      <c r="EQ74" s="115">
        <v>1999</v>
      </c>
      <c r="ER74" s="115">
        <v>55</v>
      </c>
      <c r="ES74" s="115">
        <v>124</v>
      </c>
      <c r="ET74" s="115"/>
      <c r="EU74" s="115"/>
      <c r="EV74" s="115">
        <v>1</v>
      </c>
      <c r="EW74" s="115">
        <v>0</v>
      </c>
      <c r="EX74" s="115">
        <v>1</v>
      </c>
      <c r="EY74" s="115"/>
      <c r="EZ74" s="257">
        <v>2923</v>
      </c>
      <c r="FA74" s="117"/>
      <c r="FB74" s="116"/>
      <c r="FC74" s="117">
        <v>0</v>
      </c>
      <c r="FD74" s="115"/>
      <c r="FE74" s="115"/>
      <c r="FF74" s="117">
        <v>0</v>
      </c>
      <c r="FG74" s="116"/>
      <c r="FH74" s="116"/>
      <c r="FI74" s="117">
        <v>8</v>
      </c>
      <c r="FJ74" s="115"/>
      <c r="FK74" s="115"/>
      <c r="FL74" s="115"/>
      <c r="FM74" s="117">
        <v>8</v>
      </c>
      <c r="FN74" s="258"/>
      <c r="FO74" s="115"/>
      <c r="FP74" s="257"/>
      <c r="FQ74" s="117"/>
      <c r="FR74" s="115"/>
      <c r="FS74" s="117"/>
      <c r="FT74" s="116"/>
      <c r="FU74" s="117">
        <v>18</v>
      </c>
      <c r="FV74" s="115"/>
      <c r="FW74" s="117">
        <v>18</v>
      </c>
      <c r="FX74" s="258"/>
      <c r="FY74" s="115">
        <v>7</v>
      </c>
      <c r="FZ74" s="115">
        <v>8</v>
      </c>
      <c r="GA74" s="115"/>
      <c r="GB74" s="257">
        <v>15</v>
      </c>
      <c r="GC74" s="117"/>
      <c r="GD74" s="258">
        <v>2</v>
      </c>
      <c r="GE74" s="115"/>
      <c r="GF74" s="257">
        <v>2</v>
      </c>
      <c r="GG74" s="117"/>
      <c r="GH74" s="258">
        <v>2</v>
      </c>
      <c r="GI74" s="115"/>
      <c r="GJ74" s="115"/>
      <c r="GK74" s="257">
        <v>2</v>
      </c>
      <c r="GL74" s="117">
        <v>1</v>
      </c>
      <c r="GM74" s="258"/>
      <c r="GN74" s="115">
        <v>6</v>
      </c>
      <c r="GO74" s="115"/>
      <c r="GP74" s="115"/>
      <c r="GQ74" s="257">
        <v>6</v>
      </c>
      <c r="GR74" s="117">
        <v>177893</v>
      </c>
      <c r="GS74" s="324">
        <f>177893/49209180</f>
        <v>3.6150368691370187E-3</v>
      </c>
      <c r="GT74" s="293"/>
      <c r="GU74" s="293"/>
      <c r="GV74" s="293"/>
      <c r="GW74" s="293"/>
      <c r="GX74" s="293"/>
      <c r="GY74" s="293"/>
      <c r="GZ74" s="293"/>
      <c r="HA74" s="293"/>
      <c r="HB74" s="293"/>
      <c r="HC74" s="293"/>
      <c r="HD74" s="293"/>
      <c r="HE74" s="293"/>
      <c r="HF74" s="293"/>
      <c r="HG74" s="293"/>
      <c r="HH74" s="293"/>
      <c r="HI74" s="293"/>
      <c r="HJ74" s="293"/>
      <c r="HK74" s="293"/>
      <c r="HL74" s="293"/>
      <c r="HM74" s="293"/>
      <c r="HN74" s="293"/>
      <c r="HO74" s="293"/>
      <c r="HP74" s="293"/>
      <c r="HQ74" s="293"/>
      <c r="HR74" s="293"/>
      <c r="HS74" s="293"/>
      <c r="HT74" s="293"/>
      <c r="HU74" s="293"/>
      <c r="HV74" s="293"/>
      <c r="HW74" s="293"/>
      <c r="HX74" s="294"/>
    </row>
    <row r="75" spans="2:232" ht="12.75" x14ac:dyDescent="0.2">
      <c r="B75" s="259" t="s">
        <v>58</v>
      </c>
      <c r="C75" s="258">
        <v>256</v>
      </c>
      <c r="D75" s="115">
        <v>0</v>
      </c>
      <c r="E75" s="115">
        <v>11</v>
      </c>
      <c r="F75" s="115">
        <v>1</v>
      </c>
      <c r="G75" s="257">
        <v>268</v>
      </c>
      <c r="H75" s="117">
        <v>14</v>
      </c>
      <c r="I75" s="258">
        <v>33</v>
      </c>
      <c r="J75" s="115"/>
      <c r="K75" s="257">
        <v>33</v>
      </c>
      <c r="L75" s="117"/>
      <c r="M75" s="116">
        <v>1751</v>
      </c>
      <c r="N75" s="117">
        <v>74683</v>
      </c>
      <c r="O75" s="115">
        <v>73</v>
      </c>
      <c r="P75" s="115">
        <v>106</v>
      </c>
      <c r="Q75" s="115">
        <v>350</v>
      </c>
      <c r="R75" s="115">
        <v>0</v>
      </c>
      <c r="S75" s="115">
        <v>16</v>
      </c>
      <c r="T75" s="115"/>
      <c r="U75" s="115"/>
      <c r="V75" s="117">
        <v>75228</v>
      </c>
      <c r="W75" s="258">
        <v>1622</v>
      </c>
      <c r="X75" s="115">
        <v>298</v>
      </c>
      <c r="Y75" s="257">
        <v>1920</v>
      </c>
      <c r="Z75" s="117">
        <v>2102</v>
      </c>
      <c r="AA75" s="115"/>
      <c r="AB75" s="117">
        <v>2102</v>
      </c>
      <c r="AC75" s="258">
        <v>9718</v>
      </c>
      <c r="AD75" s="115">
        <v>3</v>
      </c>
      <c r="AE75" s="115"/>
      <c r="AF75" s="257">
        <v>9721</v>
      </c>
      <c r="AG75" s="117">
        <v>2010</v>
      </c>
      <c r="AH75" s="115">
        <v>19</v>
      </c>
      <c r="AI75" s="115">
        <v>3</v>
      </c>
      <c r="AJ75" s="115"/>
      <c r="AK75" s="117">
        <v>2032</v>
      </c>
      <c r="AL75" s="258"/>
      <c r="AM75" s="115">
        <v>1</v>
      </c>
      <c r="AN75" s="257">
        <v>1</v>
      </c>
      <c r="AO75" s="117"/>
      <c r="AP75" s="116"/>
      <c r="AQ75" s="117">
        <v>20</v>
      </c>
      <c r="AR75" s="115">
        <v>43</v>
      </c>
      <c r="AS75" s="115"/>
      <c r="AT75" s="117">
        <v>63</v>
      </c>
      <c r="AU75" s="258">
        <v>31</v>
      </c>
      <c r="AV75" s="115">
        <v>21</v>
      </c>
      <c r="AW75" s="115">
        <v>28</v>
      </c>
      <c r="AX75" s="115"/>
      <c r="AY75" s="115">
        <v>3</v>
      </c>
      <c r="AZ75" s="115"/>
      <c r="BA75" s="115"/>
      <c r="BB75" s="115"/>
      <c r="BC75" s="257">
        <v>83</v>
      </c>
      <c r="BD75" s="117"/>
      <c r="BE75" s="116">
        <v>36</v>
      </c>
      <c r="BF75" s="117">
        <v>537701</v>
      </c>
      <c r="BG75" s="115">
        <v>86918</v>
      </c>
      <c r="BH75" s="115">
        <v>1588052</v>
      </c>
      <c r="BI75" s="115">
        <v>5923</v>
      </c>
      <c r="BJ75" s="115">
        <v>38823</v>
      </c>
      <c r="BK75" s="115"/>
      <c r="BL75" s="117">
        <v>2257417</v>
      </c>
      <c r="BM75" s="116">
        <v>45</v>
      </c>
      <c r="BN75" s="116"/>
      <c r="BO75" s="116">
        <v>1</v>
      </c>
      <c r="BP75" s="116">
        <v>188</v>
      </c>
      <c r="BQ75" s="117">
        <v>117</v>
      </c>
      <c r="BR75" s="115"/>
      <c r="BS75" s="117">
        <v>117</v>
      </c>
      <c r="BT75" s="116">
        <v>2</v>
      </c>
      <c r="BU75" s="117">
        <v>5</v>
      </c>
      <c r="BV75" s="115"/>
      <c r="BW75" s="115"/>
      <c r="BX75" s="117">
        <v>5</v>
      </c>
      <c r="BY75" s="258">
        <v>2</v>
      </c>
      <c r="BZ75" s="115"/>
      <c r="CA75" s="115">
        <v>2</v>
      </c>
      <c r="CB75" s="115">
        <v>4</v>
      </c>
      <c r="CC75" s="115">
        <v>8</v>
      </c>
      <c r="CD75" s="115">
        <v>11</v>
      </c>
      <c r="CE75" s="115"/>
      <c r="CF75" s="115">
        <v>0</v>
      </c>
      <c r="CG75" s="115"/>
      <c r="CH75" s="115">
        <v>0</v>
      </c>
      <c r="CI75" s="115">
        <v>3</v>
      </c>
      <c r="CJ75" s="115"/>
      <c r="CK75" s="115">
        <v>1</v>
      </c>
      <c r="CL75" s="115">
        <v>1</v>
      </c>
      <c r="CM75" s="115"/>
      <c r="CN75" s="257">
        <v>32</v>
      </c>
      <c r="CO75" s="117">
        <v>2</v>
      </c>
      <c r="CP75" s="115"/>
      <c r="CQ75" s="117">
        <v>2</v>
      </c>
      <c r="CR75" s="116"/>
      <c r="CS75" s="117">
        <v>138</v>
      </c>
      <c r="CT75" s="115">
        <v>20</v>
      </c>
      <c r="CU75" s="115">
        <v>72655</v>
      </c>
      <c r="CV75" s="115">
        <v>410</v>
      </c>
      <c r="CW75" s="115">
        <v>64559</v>
      </c>
      <c r="CX75" s="115">
        <v>104</v>
      </c>
      <c r="CY75" s="115">
        <v>161</v>
      </c>
      <c r="CZ75" s="115">
        <v>6</v>
      </c>
      <c r="DA75" s="115">
        <v>11</v>
      </c>
      <c r="DB75" s="115">
        <v>22</v>
      </c>
      <c r="DC75" s="115">
        <v>8</v>
      </c>
      <c r="DD75" s="117">
        <v>138094</v>
      </c>
      <c r="DE75" s="258">
        <v>17657</v>
      </c>
      <c r="DF75" s="115">
        <v>57</v>
      </c>
      <c r="DG75" s="115">
        <v>2231</v>
      </c>
      <c r="DH75" s="115">
        <v>111</v>
      </c>
      <c r="DI75" s="115">
        <v>10</v>
      </c>
      <c r="DJ75" s="115">
        <v>0</v>
      </c>
      <c r="DK75" s="115">
        <v>3</v>
      </c>
      <c r="DL75" s="257">
        <v>20069</v>
      </c>
      <c r="DM75" s="117"/>
      <c r="DN75" s="116"/>
      <c r="DO75" s="117"/>
      <c r="DP75" s="115"/>
      <c r="DQ75" s="117"/>
      <c r="DR75" s="116">
        <v>187</v>
      </c>
      <c r="DS75" s="117"/>
      <c r="DT75" s="115"/>
      <c r="DU75" s="117"/>
      <c r="DV75" s="258">
        <v>369</v>
      </c>
      <c r="DW75" s="115"/>
      <c r="DX75" s="257">
        <v>369</v>
      </c>
      <c r="DY75" s="117">
        <v>68</v>
      </c>
      <c r="DZ75" s="116">
        <v>36</v>
      </c>
      <c r="EA75" s="117">
        <v>350900</v>
      </c>
      <c r="EB75" s="115"/>
      <c r="EC75" s="117">
        <v>350900</v>
      </c>
      <c r="ED75" s="116">
        <v>1</v>
      </c>
      <c r="EE75" s="116"/>
      <c r="EF75" s="117">
        <v>73</v>
      </c>
      <c r="EG75" s="115">
        <v>293</v>
      </c>
      <c r="EH75" s="115">
        <v>3</v>
      </c>
      <c r="EI75" s="115"/>
      <c r="EJ75" s="115"/>
      <c r="EK75" s="115"/>
      <c r="EL75" s="117">
        <v>369</v>
      </c>
      <c r="EM75" s="258">
        <v>2930</v>
      </c>
      <c r="EN75" s="115">
        <v>7031</v>
      </c>
      <c r="EO75" s="115">
        <v>634</v>
      </c>
      <c r="EP75" s="115">
        <v>2188</v>
      </c>
      <c r="EQ75" s="115">
        <v>11484</v>
      </c>
      <c r="ER75" s="115">
        <v>698</v>
      </c>
      <c r="ES75" s="115">
        <v>1060</v>
      </c>
      <c r="ET75" s="115">
        <v>48</v>
      </c>
      <c r="EU75" s="115">
        <v>21</v>
      </c>
      <c r="EV75" s="115">
        <v>33</v>
      </c>
      <c r="EW75" s="115">
        <v>2</v>
      </c>
      <c r="EX75" s="115">
        <v>92</v>
      </c>
      <c r="EY75" s="115"/>
      <c r="EZ75" s="257">
        <v>26221</v>
      </c>
      <c r="FA75" s="117"/>
      <c r="FB75" s="116">
        <v>5024</v>
      </c>
      <c r="FC75" s="117">
        <v>5</v>
      </c>
      <c r="FD75" s="115"/>
      <c r="FE75" s="115">
        <v>13</v>
      </c>
      <c r="FF75" s="117">
        <v>18</v>
      </c>
      <c r="FG75" s="116"/>
      <c r="FH75" s="116">
        <v>26</v>
      </c>
      <c r="FI75" s="117">
        <v>65</v>
      </c>
      <c r="FJ75" s="115">
        <v>18</v>
      </c>
      <c r="FK75" s="115"/>
      <c r="FL75" s="115">
        <v>22</v>
      </c>
      <c r="FM75" s="117">
        <v>105</v>
      </c>
      <c r="FN75" s="258">
        <v>2</v>
      </c>
      <c r="FO75" s="115"/>
      <c r="FP75" s="257">
        <v>2</v>
      </c>
      <c r="FQ75" s="117">
        <v>13</v>
      </c>
      <c r="FR75" s="115"/>
      <c r="FS75" s="117">
        <v>13</v>
      </c>
      <c r="FT75" s="116"/>
      <c r="FU75" s="117">
        <v>131</v>
      </c>
      <c r="FV75" s="115"/>
      <c r="FW75" s="117">
        <v>131</v>
      </c>
      <c r="FX75" s="258">
        <v>10</v>
      </c>
      <c r="FY75" s="115">
        <v>24</v>
      </c>
      <c r="FZ75" s="115">
        <v>11</v>
      </c>
      <c r="GA75" s="115">
        <v>4</v>
      </c>
      <c r="GB75" s="257">
        <v>49</v>
      </c>
      <c r="GC75" s="117"/>
      <c r="GD75" s="258">
        <v>39</v>
      </c>
      <c r="GE75" s="115">
        <v>3</v>
      </c>
      <c r="GF75" s="257">
        <v>42</v>
      </c>
      <c r="GG75" s="117"/>
      <c r="GH75" s="258">
        <v>6</v>
      </c>
      <c r="GI75" s="115"/>
      <c r="GJ75" s="115"/>
      <c r="GK75" s="257">
        <v>6</v>
      </c>
      <c r="GL75" s="117">
        <v>68</v>
      </c>
      <c r="GM75" s="258">
        <v>15</v>
      </c>
      <c r="GN75" s="115">
        <v>17</v>
      </c>
      <c r="GO75" s="115">
        <v>201</v>
      </c>
      <c r="GP75" s="115"/>
      <c r="GQ75" s="257">
        <v>233</v>
      </c>
      <c r="GR75" s="117">
        <v>2893092</v>
      </c>
      <c r="GS75" s="324">
        <f>2893092/49209180</f>
        <v>5.87917132535027E-2</v>
      </c>
      <c r="GT75" s="293"/>
      <c r="GU75" s="293"/>
      <c r="GV75" s="293"/>
      <c r="GW75" s="293"/>
      <c r="GX75" s="293"/>
      <c r="GY75" s="293"/>
      <c r="GZ75" s="293"/>
      <c r="HA75" s="293"/>
      <c r="HB75" s="293"/>
      <c r="HC75" s="293"/>
      <c r="HD75" s="293"/>
      <c r="HE75" s="293"/>
      <c r="HF75" s="293"/>
      <c r="HG75" s="293"/>
      <c r="HH75" s="293"/>
      <c r="HI75" s="293"/>
      <c r="HJ75" s="293"/>
      <c r="HK75" s="293"/>
      <c r="HL75" s="293"/>
      <c r="HM75" s="293"/>
      <c r="HN75" s="293"/>
      <c r="HO75" s="293"/>
      <c r="HP75" s="293"/>
      <c r="HQ75" s="293"/>
      <c r="HR75" s="293"/>
      <c r="HS75" s="293"/>
      <c r="HT75" s="293"/>
      <c r="HU75" s="293"/>
      <c r="HV75" s="293"/>
      <c r="HW75" s="293"/>
      <c r="HX75" s="294"/>
    </row>
    <row r="76" spans="2:232" ht="12.75" x14ac:dyDescent="0.2">
      <c r="B76" s="259" t="s">
        <v>81</v>
      </c>
      <c r="C76" s="258">
        <v>5</v>
      </c>
      <c r="D76" s="115"/>
      <c r="E76" s="115"/>
      <c r="F76" s="115"/>
      <c r="G76" s="257">
        <v>5</v>
      </c>
      <c r="H76" s="117"/>
      <c r="I76" s="258">
        <v>1</v>
      </c>
      <c r="J76" s="115"/>
      <c r="K76" s="257">
        <v>1</v>
      </c>
      <c r="L76" s="117"/>
      <c r="M76" s="116">
        <v>81</v>
      </c>
      <c r="N76" s="117">
        <v>75087</v>
      </c>
      <c r="O76" s="115">
        <v>738</v>
      </c>
      <c r="P76" s="115">
        <v>38</v>
      </c>
      <c r="Q76" s="115">
        <v>285</v>
      </c>
      <c r="R76" s="115"/>
      <c r="S76" s="115">
        <v>1</v>
      </c>
      <c r="T76" s="115"/>
      <c r="U76" s="115">
        <v>1</v>
      </c>
      <c r="V76" s="117">
        <v>76150</v>
      </c>
      <c r="W76" s="258">
        <v>5</v>
      </c>
      <c r="X76" s="115">
        <v>2</v>
      </c>
      <c r="Y76" s="257">
        <v>7</v>
      </c>
      <c r="Z76" s="117">
        <v>279</v>
      </c>
      <c r="AA76" s="115"/>
      <c r="AB76" s="117">
        <v>279</v>
      </c>
      <c r="AC76" s="258">
        <v>160</v>
      </c>
      <c r="AD76" s="115"/>
      <c r="AE76" s="115"/>
      <c r="AF76" s="257">
        <v>160</v>
      </c>
      <c r="AG76" s="117">
        <v>6</v>
      </c>
      <c r="AH76" s="115"/>
      <c r="AI76" s="115"/>
      <c r="AJ76" s="115"/>
      <c r="AK76" s="117">
        <v>6</v>
      </c>
      <c r="AL76" s="258"/>
      <c r="AM76" s="115">
        <v>2</v>
      </c>
      <c r="AN76" s="257">
        <v>2</v>
      </c>
      <c r="AO76" s="117"/>
      <c r="AP76" s="116"/>
      <c r="AQ76" s="117"/>
      <c r="AR76" s="115">
        <v>3</v>
      </c>
      <c r="AS76" s="115"/>
      <c r="AT76" s="117">
        <v>3</v>
      </c>
      <c r="AU76" s="258">
        <v>7</v>
      </c>
      <c r="AV76" s="115"/>
      <c r="AW76" s="115"/>
      <c r="AX76" s="115"/>
      <c r="AY76" s="115">
        <v>1</v>
      </c>
      <c r="AZ76" s="115"/>
      <c r="BA76" s="115">
        <v>0</v>
      </c>
      <c r="BB76" s="115">
        <v>1</v>
      </c>
      <c r="BC76" s="257">
        <v>9</v>
      </c>
      <c r="BD76" s="117"/>
      <c r="BE76" s="116">
        <v>1</v>
      </c>
      <c r="BF76" s="117">
        <v>72</v>
      </c>
      <c r="BG76" s="115">
        <v>69</v>
      </c>
      <c r="BH76" s="115">
        <v>236</v>
      </c>
      <c r="BI76" s="115">
        <v>8</v>
      </c>
      <c r="BJ76" s="115">
        <v>19</v>
      </c>
      <c r="BK76" s="115"/>
      <c r="BL76" s="117">
        <v>404</v>
      </c>
      <c r="BM76" s="116">
        <v>2</v>
      </c>
      <c r="BN76" s="116"/>
      <c r="BO76" s="116"/>
      <c r="BP76" s="116">
        <v>1</v>
      </c>
      <c r="BQ76" s="117">
        <v>1</v>
      </c>
      <c r="BR76" s="115"/>
      <c r="BS76" s="117">
        <v>1</v>
      </c>
      <c r="BT76" s="116"/>
      <c r="BU76" s="117"/>
      <c r="BV76" s="115"/>
      <c r="BW76" s="115"/>
      <c r="BX76" s="117"/>
      <c r="BY76" s="258">
        <v>1</v>
      </c>
      <c r="BZ76" s="115"/>
      <c r="CA76" s="115"/>
      <c r="CB76" s="115"/>
      <c r="CC76" s="115"/>
      <c r="CD76" s="115"/>
      <c r="CE76" s="115"/>
      <c r="CF76" s="115"/>
      <c r="CG76" s="115">
        <v>0</v>
      </c>
      <c r="CH76" s="115"/>
      <c r="CI76" s="115"/>
      <c r="CJ76" s="115"/>
      <c r="CK76" s="115">
        <v>3</v>
      </c>
      <c r="CL76" s="115">
        <v>3</v>
      </c>
      <c r="CM76" s="115"/>
      <c r="CN76" s="257">
        <v>7</v>
      </c>
      <c r="CO76" s="117"/>
      <c r="CP76" s="115">
        <v>0</v>
      </c>
      <c r="CQ76" s="117">
        <v>0</v>
      </c>
      <c r="CR76" s="116"/>
      <c r="CS76" s="117">
        <v>29</v>
      </c>
      <c r="CT76" s="115">
        <v>3</v>
      </c>
      <c r="CU76" s="115">
        <v>14983</v>
      </c>
      <c r="CV76" s="115">
        <v>106</v>
      </c>
      <c r="CW76" s="115">
        <v>1299</v>
      </c>
      <c r="CX76" s="115">
        <v>38</v>
      </c>
      <c r="CY76" s="115">
        <v>11</v>
      </c>
      <c r="CZ76" s="115">
        <v>8</v>
      </c>
      <c r="DA76" s="115">
        <v>6</v>
      </c>
      <c r="DB76" s="115">
        <v>0</v>
      </c>
      <c r="DC76" s="115">
        <v>4</v>
      </c>
      <c r="DD76" s="117">
        <v>16487</v>
      </c>
      <c r="DE76" s="258">
        <v>172</v>
      </c>
      <c r="DF76" s="115">
        <v>6</v>
      </c>
      <c r="DG76" s="115">
        <v>20</v>
      </c>
      <c r="DH76" s="115">
        <v>22</v>
      </c>
      <c r="DI76" s="115">
        <v>6</v>
      </c>
      <c r="DJ76" s="115"/>
      <c r="DK76" s="115"/>
      <c r="DL76" s="257">
        <v>226</v>
      </c>
      <c r="DM76" s="117"/>
      <c r="DN76" s="116">
        <v>6</v>
      </c>
      <c r="DO76" s="117"/>
      <c r="DP76" s="115"/>
      <c r="DQ76" s="117"/>
      <c r="DR76" s="116">
        <v>5</v>
      </c>
      <c r="DS76" s="117"/>
      <c r="DT76" s="115"/>
      <c r="DU76" s="117"/>
      <c r="DV76" s="258">
        <v>20</v>
      </c>
      <c r="DW76" s="115"/>
      <c r="DX76" s="257">
        <v>20</v>
      </c>
      <c r="DY76" s="117">
        <v>2</v>
      </c>
      <c r="DZ76" s="116"/>
      <c r="EA76" s="117">
        <v>168</v>
      </c>
      <c r="EB76" s="115"/>
      <c r="EC76" s="117">
        <v>168</v>
      </c>
      <c r="ED76" s="116"/>
      <c r="EE76" s="116"/>
      <c r="EF76" s="117">
        <v>8</v>
      </c>
      <c r="EG76" s="115">
        <v>17</v>
      </c>
      <c r="EH76" s="115"/>
      <c r="EI76" s="115"/>
      <c r="EJ76" s="115"/>
      <c r="EK76" s="115"/>
      <c r="EL76" s="117">
        <v>25</v>
      </c>
      <c r="EM76" s="258">
        <v>256</v>
      </c>
      <c r="EN76" s="115">
        <v>358</v>
      </c>
      <c r="EO76" s="115">
        <v>24</v>
      </c>
      <c r="EP76" s="115">
        <v>334</v>
      </c>
      <c r="EQ76" s="115">
        <v>995</v>
      </c>
      <c r="ER76" s="115">
        <v>12</v>
      </c>
      <c r="ES76" s="115">
        <v>103</v>
      </c>
      <c r="ET76" s="115">
        <v>1</v>
      </c>
      <c r="EU76" s="115">
        <v>4</v>
      </c>
      <c r="EV76" s="115">
        <v>4</v>
      </c>
      <c r="EW76" s="115">
        <v>0</v>
      </c>
      <c r="EX76" s="115">
        <v>6</v>
      </c>
      <c r="EY76" s="115"/>
      <c r="EZ76" s="257">
        <v>2097</v>
      </c>
      <c r="FA76" s="117"/>
      <c r="FB76" s="116"/>
      <c r="FC76" s="117">
        <v>0</v>
      </c>
      <c r="FD76" s="115"/>
      <c r="FE76" s="115"/>
      <c r="FF76" s="117">
        <v>0</v>
      </c>
      <c r="FG76" s="116"/>
      <c r="FH76" s="116"/>
      <c r="FI76" s="117">
        <v>1</v>
      </c>
      <c r="FJ76" s="115"/>
      <c r="FK76" s="115"/>
      <c r="FL76" s="115">
        <v>2</v>
      </c>
      <c r="FM76" s="117">
        <v>3</v>
      </c>
      <c r="FN76" s="258"/>
      <c r="FO76" s="115"/>
      <c r="FP76" s="257"/>
      <c r="FQ76" s="117">
        <v>22</v>
      </c>
      <c r="FR76" s="115"/>
      <c r="FS76" s="117">
        <v>22</v>
      </c>
      <c r="FT76" s="116"/>
      <c r="FU76" s="117">
        <v>13</v>
      </c>
      <c r="FV76" s="115"/>
      <c r="FW76" s="117">
        <v>13</v>
      </c>
      <c r="FX76" s="258"/>
      <c r="FY76" s="115">
        <v>0</v>
      </c>
      <c r="FZ76" s="115">
        <v>0</v>
      </c>
      <c r="GA76" s="115"/>
      <c r="GB76" s="257">
        <v>0</v>
      </c>
      <c r="GC76" s="117"/>
      <c r="GD76" s="258">
        <v>7</v>
      </c>
      <c r="GE76" s="115"/>
      <c r="GF76" s="257">
        <v>7</v>
      </c>
      <c r="GG76" s="117"/>
      <c r="GH76" s="258">
        <v>1</v>
      </c>
      <c r="GI76" s="115"/>
      <c r="GJ76" s="115"/>
      <c r="GK76" s="257">
        <v>1</v>
      </c>
      <c r="GL76" s="117">
        <v>22</v>
      </c>
      <c r="GM76" s="258">
        <v>4</v>
      </c>
      <c r="GN76" s="115"/>
      <c r="GO76" s="115"/>
      <c r="GP76" s="115"/>
      <c r="GQ76" s="257">
        <v>4</v>
      </c>
      <c r="GR76" s="117">
        <v>96227</v>
      </c>
      <c r="GS76" s="324">
        <f>96227/49209180</f>
        <v>1.9554684715331568E-3</v>
      </c>
      <c r="GT76" s="293"/>
      <c r="GU76" s="293"/>
      <c r="GV76" s="293"/>
      <c r="GW76" s="293"/>
      <c r="GX76" s="293"/>
      <c r="GY76" s="293"/>
      <c r="GZ76" s="293"/>
      <c r="HA76" s="293"/>
      <c r="HB76" s="293"/>
      <c r="HC76" s="293"/>
      <c r="HD76" s="293"/>
      <c r="HE76" s="293"/>
      <c r="HF76" s="293"/>
      <c r="HG76" s="293"/>
      <c r="HH76" s="293"/>
      <c r="HI76" s="293"/>
      <c r="HJ76" s="293"/>
      <c r="HK76" s="293"/>
      <c r="HL76" s="293"/>
      <c r="HM76" s="293"/>
      <c r="HN76" s="293"/>
      <c r="HO76" s="293"/>
      <c r="HP76" s="293"/>
      <c r="HQ76" s="293"/>
      <c r="HR76" s="293"/>
      <c r="HS76" s="293"/>
      <c r="HT76" s="293"/>
      <c r="HU76" s="293"/>
      <c r="HV76" s="293"/>
      <c r="HW76" s="293"/>
      <c r="HX76" s="294"/>
    </row>
    <row r="77" spans="2:232" ht="12.75" x14ac:dyDescent="0.2">
      <c r="B77" s="259" t="s">
        <v>106</v>
      </c>
      <c r="C77" s="258">
        <v>127</v>
      </c>
      <c r="D77" s="115">
        <v>0</v>
      </c>
      <c r="E77" s="115">
        <v>0</v>
      </c>
      <c r="F77" s="115"/>
      <c r="G77" s="257">
        <v>127</v>
      </c>
      <c r="H77" s="117"/>
      <c r="I77" s="258"/>
      <c r="J77" s="115"/>
      <c r="K77" s="257"/>
      <c r="L77" s="117"/>
      <c r="M77" s="116">
        <v>269</v>
      </c>
      <c r="N77" s="117">
        <v>851</v>
      </c>
      <c r="O77" s="115"/>
      <c r="P77" s="115">
        <v>55</v>
      </c>
      <c r="Q77" s="115">
        <v>47</v>
      </c>
      <c r="R77" s="115">
        <v>7</v>
      </c>
      <c r="S77" s="115">
        <v>17</v>
      </c>
      <c r="T77" s="115">
        <v>1</v>
      </c>
      <c r="U77" s="115">
        <v>0</v>
      </c>
      <c r="V77" s="117">
        <v>978</v>
      </c>
      <c r="W77" s="258">
        <v>16</v>
      </c>
      <c r="X77" s="115">
        <v>3</v>
      </c>
      <c r="Y77" s="257">
        <v>19</v>
      </c>
      <c r="Z77" s="117">
        <v>73</v>
      </c>
      <c r="AA77" s="115"/>
      <c r="AB77" s="117">
        <v>73</v>
      </c>
      <c r="AC77" s="258">
        <v>2395</v>
      </c>
      <c r="AD77" s="115">
        <v>0</v>
      </c>
      <c r="AE77" s="115"/>
      <c r="AF77" s="257">
        <v>2395</v>
      </c>
      <c r="AG77" s="117">
        <v>56</v>
      </c>
      <c r="AH77" s="115"/>
      <c r="AI77" s="115"/>
      <c r="AJ77" s="115"/>
      <c r="AK77" s="117">
        <v>56</v>
      </c>
      <c r="AL77" s="258"/>
      <c r="AM77" s="115"/>
      <c r="AN77" s="257"/>
      <c r="AO77" s="117"/>
      <c r="AP77" s="116"/>
      <c r="AQ77" s="117"/>
      <c r="AR77" s="115"/>
      <c r="AS77" s="115"/>
      <c r="AT77" s="117"/>
      <c r="AU77" s="258">
        <v>12</v>
      </c>
      <c r="AV77" s="115"/>
      <c r="AW77" s="115"/>
      <c r="AX77" s="115"/>
      <c r="AY77" s="115"/>
      <c r="AZ77" s="115"/>
      <c r="BA77" s="115"/>
      <c r="BB77" s="115"/>
      <c r="BC77" s="257">
        <v>12</v>
      </c>
      <c r="BD77" s="117"/>
      <c r="BE77" s="116">
        <v>2</v>
      </c>
      <c r="BF77" s="117">
        <v>26</v>
      </c>
      <c r="BG77" s="115">
        <v>1352</v>
      </c>
      <c r="BH77" s="115">
        <v>385</v>
      </c>
      <c r="BI77" s="115">
        <v>5</v>
      </c>
      <c r="BJ77" s="115">
        <v>48</v>
      </c>
      <c r="BK77" s="115"/>
      <c r="BL77" s="117">
        <v>1816</v>
      </c>
      <c r="BM77" s="116"/>
      <c r="BN77" s="116"/>
      <c r="BO77" s="116"/>
      <c r="BP77" s="116"/>
      <c r="BQ77" s="117">
        <v>34</v>
      </c>
      <c r="BR77" s="115"/>
      <c r="BS77" s="117">
        <v>34</v>
      </c>
      <c r="BT77" s="116"/>
      <c r="BU77" s="117"/>
      <c r="BV77" s="115"/>
      <c r="BW77" s="115"/>
      <c r="BX77" s="117"/>
      <c r="BY77" s="258"/>
      <c r="BZ77" s="115"/>
      <c r="CA77" s="115">
        <v>0</v>
      </c>
      <c r="CB77" s="115"/>
      <c r="CC77" s="115"/>
      <c r="CD77" s="115"/>
      <c r="CE77" s="115"/>
      <c r="CF77" s="115"/>
      <c r="CG77" s="115"/>
      <c r="CH77" s="115"/>
      <c r="CI77" s="115"/>
      <c r="CJ77" s="115"/>
      <c r="CK77" s="115"/>
      <c r="CL77" s="115">
        <v>0</v>
      </c>
      <c r="CM77" s="115"/>
      <c r="CN77" s="257">
        <v>0</v>
      </c>
      <c r="CO77" s="117"/>
      <c r="CP77" s="115"/>
      <c r="CQ77" s="117"/>
      <c r="CR77" s="116"/>
      <c r="CS77" s="117">
        <v>24</v>
      </c>
      <c r="CT77" s="115"/>
      <c r="CU77" s="115">
        <v>3901</v>
      </c>
      <c r="CV77" s="115">
        <v>142</v>
      </c>
      <c r="CW77" s="115">
        <v>2948</v>
      </c>
      <c r="CX77" s="115">
        <v>3</v>
      </c>
      <c r="CY77" s="115">
        <v>7</v>
      </c>
      <c r="CZ77" s="115">
        <v>1</v>
      </c>
      <c r="DA77" s="115">
        <v>2</v>
      </c>
      <c r="DB77" s="115"/>
      <c r="DC77" s="115"/>
      <c r="DD77" s="117">
        <v>7028</v>
      </c>
      <c r="DE77" s="258">
        <v>337</v>
      </c>
      <c r="DF77" s="115">
        <v>3</v>
      </c>
      <c r="DG77" s="115">
        <v>128</v>
      </c>
      <c r="DH77" s="115">
        <v>3</v>
      </c>
      <c r="DI77" s="115"/>
      <c r="DJ77" s="115"/>
      <c r="DK77" s="115"/>
      <c r="DL77" s="257">
        <v>471</v>
      </c>
      <c r="DM77" s="117"/>
      <c r="DN77" s="116"/>
      <c r="DO77" s="117"/>
      <c r="DP77" s="115"/>
      <c r="DQ77" s="117"/>
      <c r="DR77" s="116">
        <v>70</v>
      </c>
      <c r="DS77" s="117"/>
      <c r="DT77" s="115"/>
      <c r="DU77" s="117"/>
      <c r="DV77" s="258">
        <v>4</v>
      </c>
      <c r="DW77" s="115"/>
      <c r="DX77" s="257">
        <v>4</v>
      </c>
      <c r="DY77" s="117">
        <v>1</v>
      </c>
      <c r="DZ77" s="116"/>
      <c r="EA77" s="117">
        <v>43</v>
      </c>
      <c r="EB77" s="115"/>
      <c r="EC77" s="117">
        <v>43</v>
      </c>
      <c r="ED77" s="116"/>
      <c r="EE77" s="116"/>
      <c r="EF77" s="117">
        <v>2</v>
      </c>
      <c r="EG77" s="115">
        <v>134</v>
      </c>
      <c r="EH77" s="115"/>
      <c r="EI77" s="115"/>
      <c r="EJ77" s="115"/>
      <c r="EK77" s="115"/>
      <c r="EL77" s="117">
        <v>136</v>
      </c>
      <c r="EM77" s="258">
        <v>111</v>
      </c>
      <c r="EN77" s="115">
        <v>80</v>
      </c>
      <c r="EO77" s="115">
        <v>20</v>
      </c>
      <c r="EP77" s="115">
        <v>325</v>
      </c>
      <c r="EQ77" s="115">
        <v>44</v>
      </c>
      <c r="ER77" s="115">
        <v>28</v>
      </c>
      <c r="ES77" s="115">
        <v>43</v>
      </c>
      <c r="ET77" s="115">
        <v>7</v>
      </c>
      <c r="EU77" s="115"/>
      <c r="EV77" s="115">
        <v>5</v>
      </c>
      <c r="EW77" s="115"/>
      <c r="EX77" s="115">
        <v>15</v>
      </c>
      <c r="EY77" s="115"/>
      <c r="EZ77" s="257">
        <v>678</v>
      </c>
      <c r="FA77" s="117"/>
      <c r="FB77" s="116">
        <v>1</v>
      </c>
      <c r="FC77" s="117"/>
      <c r="FD77" s="115"/>
      <c r="FE77" s="115"/>
      <c r="FF77" s="117"/>
      <c r="FG77" s="116"/>
      <c r="FH77" s="116"/>
      <c r="FI77" s="117"/>
      <c r="FJ77" s="115"/>
      <c r="FK77" s="115"/>
      <c r="FL77" s="115"/>
      <c r="FM77" s="117"/>
      <c r="FN77" s="258"/>
      <c r="FO77" s="115"/>
      <c r="FP77" s="257"/>
      <c r="FQ77" s="117"/>
      <c r="FR77" s="115"/>
      <c r="FS77" s="117"/>
      <c r="FT77" s="116">
        <v>1</v>
      </c>
      <c r="FU77" s="117">
        <v>0</v>
      </c>
      <c r="FV77" s="115"/>
      <c r="FW77" s="117">
        <v>0</v>
      </c>
      <c r="FX77" s="258"/>
      <c r="FY77" s="115"/>
      <c r="FZ77" s="115">
        <v>0</v>
      </c>
      <c r="GA77" s="115"/>
      <c r="GB77" s="257">
        <v>0</v>
      </c>
      <c r="GC77" s="117"/>
      <c r="GD77" s="258">
        <v>16</v>
      </c>
      <c r="GE77" s="115"/>
      <c r="GF77" s="257">
        <v>16</v>
      </c>
      <c r="GG77" s="117"/>
      <c r="GH77" s="258"/>
      <c r="GI77" s="115"/>
      <c r="GJ77" s="115"/>
      <c r="GK77" s="257"/>
      <c r="GL77" s="117">
        <v>1</v>
      </c>
      <c r="GM77" s="258">
        <v>1</v>
      </c>
      <c r="GN77" s="115"/>
      <c r="GO77" s="115"/>
      <c r="GP77" s="115"/>
      <c r="GQ77" s="257">
        <v>1</v>
      </c>
      <c r="GR77" s="117">
        <v>14232</v>
      </c>
      <c r="GS77" s="324">
        <f>14232/49209180</f>
        <v>2.8921432952144294E-4</v>
      </c>
      <c r="GT77" s="293"/>
      <c r="GU77" s="293"/>
      <c r="GV77" s="293"/>
      <c r="GW77" s="293"/>
      <c r="GX77" s="293"/>
      <c r="GY77" s="293"/>
      <c r="GZ77" s="293"/>
      <c r="HA77" s="293"/>
      <c r="HB77" s="293"/>
      <c r="HC77" s="293"/>
      <c r="HD77" s="293"/>
      <c r="HE77" s="293"/>
      <c r="HF77" s="293"/>
      <c r="HG77" s="293"/>
      <c r="HH77" s="293"/>
      <c r="HI77" s="293"/>
      <c r="HJ77" s="293"/>
      <c r="HK77" s="293"/>
      <c r="HL77" s="293"/>
      <c r="HM77" s="293"/>
      <c r="HN77" s="293"/>
      <c r="HO77" s="293"/>
      <c r="HP77" s="293"/>
      <c r="HQ77" s="293"/>
      <c r="HR77" s="293"/>
      <c r="HS77" s="293"/>
      <c r="HT77" s="293"/>
      <c r="HU77" s="293"/>
      <c r="HV77" s="293"/>
      <c r="HW77" s="293"/>
      <c r="HX77" s="294"/>
    </row>
    <row r="78" spans="2:232" ht="12.75" x14ac:dyDescent="0.2">
      <c r="B78" s="259" t="s">
        <v>111</v>
      </c>
      <c r="C78" s="258">
        <v>110</v>
      </c>
      <c r="D78" s="115">
        <v>8</v>
      </c>
      <c r="E78" s="115">
        <v>14</v>
      </c>
      <c r="F78" s="115"/>
      <c r="G78" s="257">
        <v>132</v>
      </c>
      <c r="H78" s="117"/>
      <c r="I78" s="258">
        <v>12</v>
      </c>
      <c r="J78" s="115"/>
      <c r="K78" s="257">
        <v>12</v>
      </c>
      <c r="L78" s="117"/>
      <c r="M78" s="116">
        <v>351</v>
      </c>
      <c r="N78" s="117">
        <v>13182</v>
      </c>
      <c r="O78" s="115">
        <v>38</v>
      </c>
      <c r="P78" s="115">
        <v>128</v>
      </c>
      <c r="Q78" s="115">
        <v>10</v>
      </c>
      <c r="R78" s="115">
        <v>1</v>
      </c>
      <c r="S78" s="115">
        <v>9</v>
      </c>
      <c r="T78" s="115"/>
      <c r="U78" s="115"/>
      <c r="V78" s="117">
        <v>13368</v>
      </c>
      <c r="W78" s="258">
        <v>14</v>
      </c>
      <c r="X78" s="115">
        <v>10</v>
      </c>
      <c r="Y78" s="257">
        <v>24</v>
      </c>
      <c r="Z78" s="117">
        <v>56</v>
      </c>
      <c r="AA78" s="115"/>
      <c r="AB78" s="117">
        <v>56</v>
      </c>
      <c r="AC78" s="258">
        <v>1200</v>
      </c>
      <c r="AD78" s="115">
        <v>4</v>
      </c>
      <c r="AE78" s="115"/>
      <c r="AF78" s="257">
        <v>1204</v>
      </c>
      <c r="AG78" s="117">
        <v>13</v>
      </c>
      <c r="AH78" s="115">
        <v>6</v>
      </c>
      <c r="AI78" s="115">
        <v>9</v>
      </c>
      <c r="AJ78" s="115"/>
      <c r="AK78" s="117">
        <v>28</v>
      </c>
      <c r="AL78" s="258">
        <v>0</v>
      </c>
      <c r="AM78" s="115"/>
      <c r="AN78" s="257">
        <v>0</v>
      </c>
      <c r="AO78" s="117"/>
      <c r="AP78" s="116"/>
      <c r="AQ78" s="117">
        <v>66</v>
      </c>
      <c r="AR78" s="115">
        <v>7</v>
      </c>
      <c r="AS78" s="115"/>
      <c r="AT78" s="117">
        <v>73</v>
      </c>
      <c r="AU78" s="258">
        <v>19</v>
      </c>
      <c r="AV78" s="115">
        <v>1</v>
      </c>
      <c r="AW78" s="115">
        <v>33</v>
      </c>
      <c r="AX78" s="115"/>
      <c r="AY78" s="115">
        <v>1</v>
      </c>
      <c r="AZ78" s="115"/>
      <c r="BA78" s="115"/>
      <c r="BB78" s="115"/>
      <c r="BC78" s="257">
        <v>54</v>
      </c>
      <c r="BD78" s="117"/>
      <c r="BE78" s="116">
        <v>2</v>
      </c>
      <c r="BF78" s="117">
        <v>53</v>
      </c>
      <c r="BG78" s="115">
        <v>435</v>
      </c>
      <c r="BH78" s="115">
        <v>4227</v>
      </c>
      <c r="BI78" s="115">
        <v>16</v>
      </c>
      <c r="BJ78" s="115">
        <v>17</v>
      </c>
      <c r="BK78" s="115"/>
      <c r="BL78" s="117">
        <v>4748</v>
      </c>
      <c r="BM78" s="116">
        <v>3</v>
      </c>
      <c r="BN78" s="116"/>
      <c r="BO78" s="116"/>
      <c r="BP78" s="116">
        <v>5</v>
      </c>
      <c r="BQ78" s="117">
        <v>6</v>
      </c>
      <c r="BR78" s="115"/>
      <c r="BS78" s="117">
        <v>6</v>
      </c>
      <c r="BT78" s="116">
        <v>6</v>
      </c>
      <c r="BU78" s="117">
        <v>5</v>
      </c>
      <c r="BV78" s="115"/>
      <c r="BW78" s="115">
        <v>1</v>
      </c>
      <c r="BX78" s="117">
        <v>6</v>
      </c>
      <c r="BY78" s="258">
        <v>0</v>
      </c>
      <c r="BZ78" s="115"/>
      <c r="CA78" s="115"/>
      <c r="CB78" s="115">
        <v>7</v>
      </c>
      <c r="CC78" s="115">
        <v>29</v>
      </c>
      <c r="CD78" s="115">
        <v>1</v>
      </c>
      <c r="CE78" s="115">
        <v>0</v>
      </c>
      <c r="CF78" s="115"/>
      <c r="CG78" s="115">
        <v>3</v>
      </c>
      <c r="CH78" s="115">
        <v>2</v>
      </c>
      <c r="CI78" s="115">
        <v>19</v>
      </c>
      <c r="CJ78" s="115"/>
      <c r="CK78" s="115">
        <v>3</v>
      </c>
      <c r="CL78" s="115">
        <v>3</v>
      </c>
      <c r="CM78" s="115"/>
      <c r="CN78" s="257">
        <v>67</v>
      </c>
      <c r="CO78" s="117">
        <v>5</v>
      </c>
      <c r="CP78" s="115"/>
      <c r="CQ78" s="117">
        <v>5</v>
      </c>
      <c r="CR78" s="116"/>
      <c r="CS78" s="117">
        <v>274</v>
      </c>
      <c r="CT78" s="115">
        <v>8</v>
      </c>
      <c r="CU78" s="115">
        <v>34896</v>
      </c>
      <c r="CV78" s="115">
        <v>726</v>
      </c>
      <c r="CW78" s="115">
        <v>6148</v>
      </c>
      <c r="CX78" s="115">
        <v>89</v>
      </c>
      <c r="CY78" s="115">
        <v>61</v>
      </c>
      <c r="CZ78" s="115">
        <v>22</v>
      </c>
      <c r="DA78" s="115">
        <v>1</v>
      </c>
      <c r="DB78" s="115">
        <v>1</v>
      </c>
      <c r="DC78" s="115">
        <v>1</v>
      </c>
      <c r="DD78" s="117">
        <v>42227</v>
      </c>
      <c r="DE78" s="258">
        <v>1063</v>
      </c>
      <c r="DF78" s="115">
        <v>21</v>
      </c>
      <c r="DG78" s="115">
        <v>38</v>
      </c>
      <c r="DH78" s="115">
        <v>126</v>
      </c>
      <c r="DI78" s="115">
        <v>3</v>
      </c>
      <c r="DJ78" s="115"/>
      <c r="DK78" s="115"/>
      <c r="DL78" s="257">
        <v>1251</v>
      </c>
      <c r="DM78" s="117"/>
      <c r="DN78" s="116"/>
      <c r="DO78" s="117">
        <v>1</v>
      </c>
      <c r="DP78" s="115"/>
      <c r="DQ78" s="117">
        <v>1</v>
      </c>
      <c r="DR78" s="116">
        <v>33</v>
      </c>
      <c r="DS78" s="117"/>
      <c r="DT78" s="115"/>
      <c r="DU78" s="117"/>
      <c r="DV78" s="258">
        <v>171</v>
      </c>
      <c r="DW78" s="115"/>
      <c r="DX78" s="257">
        <v>171</v>
      </c>
      <c r="DY78" s="117">
        <v>4</v>
      </c>
      <c r="DZ78" s="116">
        <v>1</v>
      </c>
      <c r="EA78" s="117">
        <v>80</v>
      </c>
      <c r="EB78" s="115"/>
      <c r="EC78" s="117">
        <v>80</v>
      </c>
      <c r="ED78" s="116"/>
      <c r="EE78" s="116"/>
      <c r="EF78" s="117">
        <v>62</v>
      </c>
      <c r="EG78" s="115">
        <v>157</v>
      </c>
      <c r="EH78" s="115">
        <v>1</v>
      </c>
      <c r="EI78" s="115"/>
      <c r="EJ78" s="115"/>
      <c r="EK78" s="115"/>
      <c r="EL78" s="117">
        <v>220</v>
      </c>
      <c r="EM78" s="258">
        <v>840</v>
      </c>
      <c r="EN78" s="115">
        <v>261</v>
      </c>
      <c r="EO78" s="115">
        <v>27</v>
      </c>
      <c r="EP78" s="115">
        <v>311</v>
      </c>
      <c r="EQ78" s="115">
        <v>400</v>
      </c>
      <c r="ER78" s="115">
        <v>33</v>
      </c>
      <c r="ES78" s="115">
        <v>362</v>
      </c>
      <c r="ET78" s="115">
        <v>4</v>
      </c>
      <c r="EU78" s="115">
        <v>27</v>
      </c>
      <c r="EV78" s="115">
        <v>32</v>
      </c>
      <c r="EW78" s="115">
        <v>1</v>
      </c>
      <c r="EX78" s="115">
        <v>57</v>
      </c>
      <c r="EY78" s="115"/>
      <c r="EZ78" s="257">
        <v>2355</v>
      </c>
      <c r="FA78" s="117"/>
      <c r="FB78" s="116">
        <v>1</v>
      </c>
      <c r="FC78" s="117">
        <v>3</v>
      </c>
      <c r="FD78" s="115"/>
      <c r="FE78" s="115">
        <v>6</v>
      </c>
      <c r="FF78" s="117">
        <v>9</v>
      </c>
      <c r="FG78" s="116"/>
      <c r="FH78" s="116"/>
      <c r="FI78" s="117">
        <v>21</v>
      </c>
      <c r="FJ78" s="115">
        <v>7</v>
      </c>
      <c r="FK78" s="115"/>
      <c r="FL78" s="115">
        <v>119</v>
      </c>
      <c r="FM78" s="117">
        <v>147</v>
      </c>
      <c r="FN78" s="258"/>
      <c r="FO78" s="115"/>
      <c r="FP78" s="257"/>
      <c r="FQ78" s="117"/>
      <c r="FR78" s="115"/>
      <c r="FS78" s="117"/>
      <c r="FT78" s="116">
        <v>2</v>
      </c>
      <c r="FU78" s="117">
        <v>6</v>
      </c>
      <c r="FV78" s="115"/>
      <c r="FW78" s="117">
        <v>6</v>
      </c>
      <c r="FX78" s="258">
        <v>0</v>
      </c>
      <c r="FY78" s="115">
        <v>22</v>
      </c>
      <c r="FZ78" s="115">
        <v>14</v>
      </c>
      <c r="GA78" s="115"/>
      <c r="GB78" s="257">
        <v>36</v>
      </c>
      <c r="GC78" s="117"/>
      <c r="GD78" s="258">
        <v>28</v>
      </c>
      <c r="GE78" s="115"/>
      <c r="GF78" s="257">
        <v>28</v>
      </c>
      <c r="GG78" s="117"/>
      <c r="GH78" s="258">
        <v>3</v>
      </c>
      <c r="GI78" s="115"/>
      <c r="GJ78" s="115"/>
      <c r="GK78" s="257">
        <v>3</v>
      </c>
      <c r="GL78" s="117">
        <v>102</v>
      </c>
      <c r="GM78" s="258">
        <v>86</v>
      </c>
      <c r="GN78" s="115">
        <v>1</v>
      </c>
      <c r="GO78" s="115">
        <v>34</v>
      </c>
      <c r="GP78" s="115"/>
      <c r="GQ78" s="257">
        <v>121</v>
      </c>
      <c r="GR78" s="117">
        <v>66948</v>
      </c>
      <c r="GS78" s="324">
        <f>66948/49209180</f>
        <v>1.3604778620574453E-3</v>
      </c>
      <c r="GT78" s="293"/>
      <c r="GU78" s="293"/>
      <c r="GV78" s="293"/>
      <c r="GW78" s="293"/>
      <c r="GX78" s="293"/>
      <c r="GY78" s="293"/>
      <c r="GZ78" s="293"/>
      <c r="HA78" s="293"/>
      <c r="HB78" s="293"/>
      <c r="HC78" s="293"/>
      <c r="HD78" s="293"/>
      <c r="HE78" s="293"/>
      <c r="HF78" s="293"/>
      <c r="HG78" s="293"/>
      <c r="HH78" s="293"/>
      <c r="HI78" s="293"/>
      <c r="HJ78" s="293"/>
      <c r="HK78" s="293"/>
      <c r="HL78" s="293"/>
      <c r="HM78" s="293"/>
      <c r="HN78" s="293"/>
      <c r="HO78" s="293"/>
      <c r="HP78" s="293"/>
      <c r="HQ78" s="293"/>
      <c r="HR78" s="293"/>
      <c r="HS78" s="293"/>
      <c r="HT78" s="293"/>
      <c r="HU78" s="293"/>
      <c r="HV78" s="293"/>
      <c r="HW78" s="293"/>
      <c r="HX78" s="294"/>
    </row>
    <row r="79" spans="2:232" ht="12.75" x14ac:dyDescent="0.2">
      <c r="B79" s="259" t="s">
        <v>133</v>
      </c>
      <c r="C79" s="258">
        <v>11</v>
      </c>
      <c r="D79" s="115">
        <v>3</v>
      </c>
      <c r="E79" s="115">
        <v>3</v>
      </c>
      <c r="F79" s="115">
        <v>0</v>
      </c>
      <c r="G79" s="257">
        <v>17</v>
      </c>
      <c r="H79" s="117"/>
      <c r="I79" s="258"/>
      <c r="J79" s="115"/>
      <c r="K79" s="257"/>
      <c r="L79" s="117"/>
      <c r="M79" s="116">
        <v>150</v>
      </c>
      <c r="N79" s="117">
        <v>2538</v>
      </c>
      <c r="O79" s="115">
        <v>8</v>
      </c>
      <c r="P79" s="115">
        <v>31</v>
      </c>
      <c r="Q79" s="115">
        <v>3</v>
      </c>
      <c r="R79" s="115">
        <v>1</v>
      </c>
      <c r="S79" s="115">
        <v>3</v>
      </c>
      <c r="T79" s="115"/>
      <c r="U79" s="115"/>
      <c r="V79" s="117">
        <v>2584</v>
      </c>
      <c r="W79" s="258">
        <v>1</v>
      </c>
      <c r="X79" s="115">
        <v>2</v>
      </c>
      <c r="Y79" s="257">
        <v>3</v>
      </c>
      <c r="Z79" s="117">
        <v>39</v>
      </c>
      <c r="AA79" s="115"/>
      <c r="AB79" s="117">
        <v>39</v>
      </c>
      <c r="AC79" s="258">
        <v>175</v>
      </c>
      <c r="AD79" s="115">
        <v>2</v>
      </c>
      <c r="AE79" s="115"/>
      <c r="AF79" s="257">
        <v>177</v>
      </c>
      <c r="AG79" s="117">
        <v>6</v>
      </c>
      <c r="AH79" s="115"/>
      <c r="AI79" s="115">
        <v>1</v>
      </c>
      <c r="AJ79" s="115"/>
      <c r="AK79" s="117">
        <v>7</v>
      </c>
      <c r="AL79" s="258"/>
      <c r="AM79" s="115"/>
      <c r="AN79" s="257"/>
      <c r="AO79" s="117"/>
      <c r="AP79" s="116"/>
      <c r="AQ79" s="117">
        <v>1</v>
      </c>
      <c r="AR79" s="115">
        <v>3</v>
      </c>
      <c r="AS79" s="115"/>
      <c r="AT79" s="117">
        <v>4</v>
      </c>
      <c r="AU79" s="258">
        <v>8</v>
      </c>
      <c r="AV79" s="115"/>
      <c r="AW79" s="115">
        <v>3</v>
      </c>
      <c r="AX79" s="115"/>
      <c r="AY79" s="115"/>
      <c r="AZ79" s="115"/>
      <c r="BA79" s="115"/>
      <c r="BB79" s="115">
        <v>0</v>
      </c>
      <c r="BC79" s="257">
        <v>11</v>
      </c>
      <c r="BD79" s="117"/>
      <c r="BE79" s="116">
        <v>1</v>
      </c>
      <c r="BF79" s="117">
        <v>97</v>
      </c>
      <c r="BG79" s="115">
        <v>3059</v>
      </c>
      <c r="BH79" s="115">
        <v>6601</v>
      </c>
      <c r="BI79" s="115">
        <v>0</v>
      </c>
      <c r="BJ79" s="115">
        <v>16</v>
      </c>
      <c r="BK79" s="115"/>
      <c r="BL79" s="117">
        <v>9773</v>
      </c>
      <c r="BM79" s="116">
        <v>1</v>
      </c>
      <c r="BN79" s="116"/>
      <c r="BO79" s="116"/>
      <c r="BP79" s="116">
        <v>1</v>
      </c>
      <c r="BQ79" s="117"/>
      <c r="BR79" s="115"/>
      <c r="BS79" s="117"/>
      <c r="BT79" s="116">
        <v>4</v>
      </c>
      <c r="BU79" s="117"/>
      <c r="BV79" s="115"/>
      <c r="BW79" s="115"/>
      <c r="BX79" s="117"/>
      <c r="BY79" s="258"/>
      <c r="BZ79" s="115"/>
      <c r="CA79" s="115"/>
      <c r="CB79" s="115">
        <v>1</v>
      </c>
      <c r="CC79" s="115">
        <v>38</v>
      </c>
      <c r="CD79" s="115">
        <v>17</v>
      </c>
      <c r="CE79" s="115"/>
      <c r="CF79" s="115"/>
      <c r="CG79" s="115"/>
      <c r="CH79" s="115"/>
      <c r="CI79" s="115"/>
      <c r="CJ79" s="115"/>
      <c r="CK79" s="115">
        <v>0</v>
      </c>
      <c r="CL79" s="115">
        <v>4</v>
      </c>
      <c r="CM79" s="115"/>
      <c r="CN79" s="257">
        <v>60</v>
      </c>
      <c r="CO79" s="117"/>
      <c r="CP79" s="115"/>
      <c r="CQ79" s="117"/>
      <c r="CR79" s="116"/>
      <c r="CS79" s="117">
        <v>23</v>
      </c>
      <c r="CT79" s="115">
        <v>1</v>
      </c>
      <c r="CU79" s="115">
        <v>11363</v>
      </c>
      <c r="CV79" s="115">
        <v>73</v>
      </c>
      <c r="CW79" s="115">
        <v>3759</v>
      </c>
      <c r="CX79" s="115">
        <v>30</v>
      </c>
      <c r="CY79" s="115">
        <v>78</v>
      </c>
      <c r="CZ79" s="115">
        <v>252</v>
      </c>
      <c r="DA79" s="115"/>
      <c r="DB79" s="115"/>
      <c r="DC79" s="115"/>
      <c r="DD79" s="117">
        <v>15579</v>
      </c>
      <c r="DE79" s="258">
        <v>235</v>
      </c>
      <c r="DF79" s="115">
        <v>36</v>
      </c>
      <c r="DG79" s="115">
        <v>4</v>
      </c>
      <c r="DH79" s="115">
        <v>37</v>
      </c>
      <c r="DI79" s="115"/>
      <c r="DJ79" s="115"/>
      <c r="DK79" s="115"/>
      <c r="DL79" s="257">
        <v>312</v>
      </c>
      <c r="DM79" s="117"/>
      <c r="DN79" s="116"/>
      <c r="DO79" s="117"/>
      <c r="DP79" s="115">
        <v>4</v>
      </c>
      <c r="DQ79" s="117">
        <v>4</v>
      </c>
      <c r="DR79" s="116">
        <v>13</v>
      </c>
      <c r="DS79" s="117"/>
      <c r="DT79" s="115"/>
      <c r="DU79" s="117"/>
      <c r="DV79" s="258">
        <v>179</v>
      </c>
      <c r="DW79" s="115"/>
      <c r="DX79" s="257">
        <v>179</v>
      </c>
      <c r="DY79" s="117"/>
      <c r="DZ79" s="116"/>
      <c r="EA79" s="117">
        <v>12</v>
      </c>
      <c r="EB79" s="115"/>
      <c r="EC79" s="117">
        <v>12</v>
      </c>
      <c r="ED79" s="116"/>
      <c r="EE79" s="116"/>
      <c r="EF79" s="117">
        <v>207</v>
      </c>
      <c r="EG79" s="115">
        <v>1</v>
      </c>
      <c r="EH79" s="115">
        <v>3</v>
      </c>
      <c r="EI79" s="115"/>
      <c r="EJ79" s="115"/>
      <c r="EK79" s="115"/>
      <c r="EL79" s="117">
        <v>211</v>
      </c>
      <c r="EM79" s="258">
        <v>40</v>
      </c>
      <c r="EN79" s="115">
        <v>39</v>
      </c>
      <c r="EO79" s="115">
        <v>6</v>
      </c>
      <c r="EP79" s="115">
        <v>55</v>
      </c>
      <c r="EQ79" s="115">
        <v>125</v>
      </c>
      <c r="ER79" s="115">
        <v>18</v>
      </c>
      <c r="ES79" s="115">
        <v>23</v>
      </c>
      <c r="ET79" s="115"/>
      <c r="EU79" s="115">
        <v>1</v>
      </c>
      <c r="EV79" s="115">
        <v>3</v>
      </c>
      <c r="EW79" s="115"/>
      <c r="EX79" s="115">
        <v>18</v>
      </c>
      <c r="EY79" s="115"/>
      <c r="EZ79" s="257">
        <v>328</v>
      </c>
      <c r="FA79" s="117"/>
      <c r="FB79" s="116"/>
      <c r="FC79" s="117"/>
      <c r="FD79" s="115"/>
      <c r="FE79" s="115"/>
      <c r="FF79" s="117"/>
      <c r="FG79" s="116"/>
      <c r="FH79" s="116"/>
      <c r="FI79" s="117">
        <v>2</v>
      </c>
      <c r="FJ79" s="115">
        <v>7</v>
      </c>
      <c r="FK79" s="115"/>
      <c r="FL79" s="115">
        <v>2</v>
      </c>
      <c r="FM79" s="117">
        <v>11</v>
      </c>
      <c r="FN79" s="258"/>
      <c r="FO79" s="115"/>
      <c r="FP79" s="257"/>
      <c r="FQ79" s="117"/>
      <c r="FR79" s="115"/>
      <c r="FS79" s="117"/>
      <c r="FT79" s="116"/>
      <c r="FU79" s="117"/>
      <c r="FV79" s="115"/>
      <c r="FW79" s="117"/>
      <c r="FX79" s="258"/>
      <c r="FY79" s="115">
        <v>136</v>
      </c>
      <c r="FZ79" s="115">
        <v>198</v>
      </c>
      <c r="GA79" s="115"/>
      <c r="GB79" s="257">
        <v>334</v>
      </c>
      <c r="GC79" s="117"/>
      <c r="GD79" s="258">
        <v>1</v>
      </c>
      <c r="GE79" s="115">
        <v>3</v>
      </c>
      <c r="GF79" s="257">
        <v>4</v>
      </c>
      <c r="GG79" s="117"/>
      <c r="GH79" s="258"/>
      <c r="GI79" s="115"/>
      <c r="GJ79" s="115"/>
      <c r="GK79" s="257"/>
      <c r="GL79" s="117">
        <v>12</v>
      </c>
      <c r="GM79" s="258">
        <v>5</v>
      </c>
      <c r="GN79" s="115">
        <v>4</v>
      </c>
      <c r="GO79" s="115">
        <v>4</v>
      </c>
      <c r="GP79" s="115"/>
      <c r="GQ79" s="257">
        <v>13</v>
      </c>
      <c r="GR79" s="117">
        <v>29844</v>
      </c>
      <c r="GS79" s="324">
        <f>29844/49209180</f>
        <v>6.0647220701503255E-4</v>
      </c>
      <c r="GT79" s="293"/>
      <c r="GU79" s="293"/>
      <c r="GV79" s="293"/>
      <c r="GW79" s="293"/>
      <c r="GX79" s="293"/>
      <c r="GY79" s="293"/>
      <c r="GZ79" s="293"/>
      <c r="HA79" s="293"/>
      <c r="HB79" s="293"/>
      <c r="HC79" s="293"/>
      <c r="HD79" s="293"/>
      <c r="HE79" s="293"/>
      <c r="HF79" s="293"/>
      <c r="HG79" s="293"/>
      <c r="HH79" s="293"/>
      <c r="HI79" s="293"/>
      <c r="HJ79" s="293"/>
      <c r="HK79" s="293"/>
      <c r="HL79" s="293"/>
      <c r="HM79" s="293"/>
      <c r="HN79" s="293"/>
      <c r="HO79" s="293"/>
      <c r="HP79" s="293"/>
      <c r="HQ79" s="293"/>
      <c r="HR79" s="293"/>
      <c r="HS79" s="293"/>
      <c r="HT79" s="293"/>
      <c r="HU79" s="293"/>
      <c r="HV79" s="293"/>
      <c r="HW79" s="293"/>
      <c r="HX79" s="294"/>
    </row>
    <row r="80" spans="2:232" ht="12.75" x14ac:dyDescent="0.2">
      <c r="B80" s="259" t="s">
        <v>143</v>
      </c>
      <c r="C80" s="258">
        <v>20</v>
      </c>
      <c r="D80" s="115"/>
      <c r="E80" s="115"/>
      <c r="F80" s="115"/>
      <c r="G80" s="257">
        <v>20</v>
      </c>
      <c r="H80" s="117"/>
      <c r="I80" s="258"/>
      <c r="J80" s="115"/>
      <c r="K80" s="257"/>
      <c r="L80" s="117"/>
      <c r="M80" s="116">
        <v>148</v>
      </c>
      <c r="N80" s="117">
        <v>69447</v>
      </c>
      <c r="O80" s="115">
        <v>45</v>
      </c>
      <c r="P80" s="115">
        <v>0</v>
      </c>
      <c r="Q80" s="115">
        <v>3</v>
      </c>
      <c r="R80" s="115"/>
      <c r="S80" s="115"/>
      <c r="T80" s="115"/>
      <c r="U80" s="115"/>
      <c r="V80" s="117">
        <v>69495</v>
      </c>
      <c r="W80" s="258"/>
      <c r="X80" s="115"/>
      <c r="Y80" s="257"/>
      <c r="Z80" s="117">
        <v>7</v>
      </c>
      <c r="AA80" s="115"/>
      <c r="AB80" s="117">
        <v>7</v>
      </c>
      <c r="AC80" s="258">
        <v>114</v>
      </c>
      <c r="AD80" s="115"/>
      <c r="AE80" s="115"/>
      <c r="AF80" s="257">
        <v>114</v>
      </c>
      <c r="AG80" s="117">
        <v>7</v>
      </c>
      <c r="AH80" s="115">
        <v>2</v>
      </c>
      <c r="AI80" s="115"/>
      <c r="AJ80" s="115"/>
      <c r="AK80" s="117">
        <v>9</v>
      </c>
      <c r="AL80" s="258"/>
      <c r="AM80" s="115"/>
      <c r="AN80" s="257"/>
      <c r="AO80" s="117"/>
      <c r="AP80" s="116"/>
      <c r="AQ80" s="117"/>
      <c r="AR80" s="115"/>
      <c r="AS80" s="115"/>
      <c r="AT80" s="117"/>
      <c r="AU80" s="258"/>
      <c r="AV80" s="115"/>
      <c r="AW80" s="115"/>
      <c r="AX80" s="115"/>
      <c r="AY80" s="115"/>
      <c r="AZ80" s="115"/>
      <c r="BA80" s="115"/>
      <c r="BB80" s="115"/>
      <c r="BC80" s="257"/>
      <c r="BD80" s="117"/>
      <c r="BE80" s="116">
        <v>1</v>
      </c>
      <c r="BF80" s="117">
        <v>557</v>
      </c>
      <c r="BG80" s="115">
        <v>4639</v>
      </c>
      <c r="BH80" s="115">
        <v>15775</v>
      </c>
      <c r="BI80" s="115">
        <v>2</v>
      </c>
      <c r="BJ80" s="115">
        <v>109</v>
      </c>
      <c r="BK80" s="115"/>
      <c r="BL80" s="117">
        <v>21082</v>
      </c>
      <c r="BM80" s="116">
        <v>3</v>
      </c>
      <c r="BN80" s="116"/>
      <c r="BO80" s="116"/>
      <c r="BP80" s="116"/>
      <c r="BQ80" s="117">
        <v>7</v>
      </c>
      <c r="BR80" s="115"/>
      <c r="BS80" s="117">
        <v>7</v>
      </c>
      <c r="BT80" s="116"/>
      <c r="BU80" s="117"/>
      <c r="BV80" s="115"/>
      <c r="BW80" s="115"/>
      <c r="BX80" s="117"/>
      <c r="BY80" s="258"/>
      <c r="BZ80" s="115"/>
      <c r="CA80" s="115"/>
      <c r="CB80" s="115"/>
      <c r="CC80" s="115"/>
      <c r="CD80" s="115"/>
      <c r="CE80" s="115"/>
      <c r="CF80" s="115"/>
      <c r="CG80" s="115"/>
      <c r="CH80" s="115"/>
      <c r="CI80" s="115"/>
      <c r="CJ80" s="115"/>
      <c r="CK80" s="115"/>
      <c r="CL80" s="115"/>
      <c r="CM80" s="115"/>
      <c r="CN80" s="257"/>
      <c r="CO80" s="117">
        <v>1</v>
      </c>
      <c r="CP80" s="115"/>
      <c r="CQ80" s="117">
        <v>1</v>
      </c>
      <c r="CR80" s="116"/>
      <c r="CS80" s="117">
        <v>24</v>
      </c>
      <c r="CT80" s="115"/>
      <c r="CU80" s="115">
        <v>17262</v>
      </c>
      <c r="CV80" s="115">
        <v>2</v>
      </c>
      <c r="CW80" s="115">
        <v>60259</v>
      </c>
      <c r="CX80" s="115"/>
      <c r="CY80" s="115"/>
      <c r="CZ80" s="115"/>
      <c r="DA80" s="115">
        <v>8</v>
      </c>
      <c r="DB80" s="115"/>
      <c r="DC80" s="115"/>
      <c r="DD80" s="117">
        <v>77555</v>
      </c>
      <c r="DE80" s="258">
        <v>2339</v>
      </c>
      <c r="DF80" s="115"/>
      <c r="DG80" s="115">
        <v>9</v>
      </c>
      <c r="DH80" s="115"/>
      <c r="DI80" s="115"/>
      <c r="DJ80" s="115"/>
      <c r="DK80" s="115"/>
      <c r="DL80" s="257">
        <v>2348</v>
      </c>
      <c r="DM80" s="117"/>
      <c r="DN80" s="116"/>
      <c r="DO80" s="117"/>
      <c r="DP80" s="115"/>
      <c r="DQ80" s="117"/>
      <c r="DR80" s="116">
        <v>28</v>
      </c>
      <c r="DS80" s="117"/>
      <c r="DT80" s="115"/>
      <c r="DU80" s="117"/>
      <c r="DV80" s="258"/>
      <c r="DW80" s="115"/>
      <c r="DX80" s="257"/>
      <c r="DY80" s="117">
        <v>3</v>
      </c>
      <c r="DZ80" s="116">
        <v>1</v>
      </c>
      <c r="EA80" s="117">
        <v>40</v>
      </c>
      <c r="EB80" s="115"/>
      <c r="EC80" s="117">
        <v>40</v>
      </c>
      <c r="ED80" s="116"/>
      <c r="EE80" s="116"/>
      <c r="EF80" s="117"/>
      <c r="EG80" s="115">
        <v>2</v>
      </c>
      <c r="EH80" s="115"/>
      <c r="EI80" s="115"/>
      <c r="EJ80" s="115"/>
      <c r="EK80" s="115"/>
      <c r="EL80" s="117">
        <v>2</v>
      </c>
      <c r="EM80" s="258">
        <v>112</v>
      </c>
      <c r="EN80" s="115">
        <v>172</v>
      </c>
      <c r="EO80" s="115">
        <v>6</v>
      </c>
      <c r="EP80" s="115">
        <v>22</v>
      </c>
      <c r="EQ80" s="115">
        <v>3409</v>
      </c>
      <c r="ER80" s="115">
        <v>20</v>
      </c>
      <c r="ES80" s="115">
        <v>27</v>
      </c>
      <c r="ET80" s="115">
        <v>1</v>
      </c>
      <c r="EU80" s="115"/>
      <c r="EV80" s="115"/>
      <c r="EW80" s="115"/>
      <c r="EX80" s="115"/>
      <c r="EY80" s="115"/>
      <c r="EZ80" s="257">
        <v>3769</v>
      </c>
      <c r="FA80" s="117"/>
      <c r="FB80" s="116">
        <v>2</v>
      </c>
      <c r="FC80" s="117">
        <v>1</v>
      </c>
      <c r="FD80" s="115"/>
      <c r="FE80" s="115"/>
      <c r="FF80" s="117">
        <v>1</v>
      </c>
      <c r="FG80" s="116"/>
      <c r="FH80" s="116"/>
      <c r="FI80" s="117">
        <v>12</v>
      </c>
      <c r="FJ80" s="115"/>
      <c r="FK80" s="115"/>
      <c r="FL80" s="115"/>
      <c r="FM80" s="117">
        <v>12</v>
      </c>
      <c r="FN80" s="258"/>
      <c r="FO80" s="115"/>
      <c r="FP80" s="257"/>
      <c r="FQ80" s="117"/>
      <c r="FR80" s="115"/>
      <c r="FS80" s="117"/>
      <c r="FT80" s="116">
        <v>3</v>
      </c>
      <c r="FU80" s="117">
        <v>8</v>
      </c>
      <c r="FV80" s="115"/>
      <c r="FW80" s="117">
        <v>8</v>
      </c>
      <c r="FX80" s="258">
        <v>4</v>
      </c>
      <c r="FY80" s="115"/>
      <c r="FZ80" s="115"/>
      <c r="GA80" s="115"/>
      <c r="GB80" s="257">
        <v>4</v>
      </c>
      <c r="GC80" s="117"/>
      <c r="GD80" s="258">
        <v>13</v>
      </c>
      <c r="GE80" s="115"/>
      <c r="GF80" s="257">
        <v>13</v>
      </c>
      <c r="GG80" s="117"/>
      <c r="GH80" s="258"/>
      <c r="GI80" s="115"/>
      <c r="GJ80" s="115"/>
      <c r="GK80" s="257"/>
      <c r="GL80" s="117"/>
      <c r="GM80" s="258"/>
      <c r="GN80" s="115">
        <v>5</v>
      </c>
      <c r="GO80" s="115"/>
      <c r="GP80" s="115"/>
      <c r="GQ80" s="257">
        <v>5</v>
      </c>
      <c r="GR80" s="117">
        <v>174681</v>
      </c>
      <c r="GS80" s="324">
        <f>174681/49209180</f>
        <v>3.5497644951612687E-3</v>
      </c>
      <c r="GT80" s="293"/>
      <c r="GU80" s="293"/>
      <c r="GV80" s="293"/>
      <c r="GW80" s="293"/>
      <c r="GX80" s="293"/>
      <c r="GY80" s="293"/>
      <c r="GZ80" s="293"/>
      <c r="HA80" s="293"/>
      <c r="HB80" s="293"/>
      <c r="HC80" s="293"/>
      <c r="HD80" s="293"/>
      <c r="HE80" s="293"/>
      <c r="HF80" s="293"/>
      <c r="HG80" s="293"/>
      <c r="HH80" s="293"/>
      <c r="HI80" s="293"/>
      <c r="HJ80" s="293"/>
      <c r="HK80" s="293"/>
      <c r="HL80" s="293"/>
      <c r="HM80" s="293"/>
      <c r="HN80" s="293"/>
      <c r="HO80" s="293"/>
      <c r="HP80" s="293"/>
      <c r="HQ80" s="293"/>
      <c r="HR80" s="293"/>
      <c r="HS80" s="293"/>
      <c r="HT80" s="293"/>
      <c r="HU80" s="293"/>
      <c r="HV80" s="293"/>
      <c r="HW80" s="293"/>
      <c r="HX80" s="294"/>
    </row>
    <row r="81" spans="2:232" ht="12.75" x14ac:dyDescent="0.2">
      <c r="B81" s="259" t="s">
        <v>148</v>
      </c>
      <c r="C81" s="258">
        <v>32</v>
      </c>
      <c r="D81" s="115"/>
      <c r="E81" s="115"/>
      <c r="F81" s="115"/>
      <c r="G81" s="257">
        <v>32</v>
      </c>
      <c r="H81" s="117"/>
      <c r="I81" s="258">
        <v>3</v>
      </c>
      <c r="J81" s="115"/>
      <c r="K81" s="257">
        <v>3</v>
      </c>
      <c r="L81" s="117"/>
      <c r="M81" s="116">
        <v>175</v>
      </c>
      <c r="N81" s="117">
        <v>48629</v>
      </c>
      <c r="O81" s="115">
        <v>18</v>
      </c>
      <c r="P81" s="115">
        <v>22</v>
      </c>
      <c r="Q81" s="115">
        <v>7</v>
      </c>
      <c r="R81" s="115"/>
      <c r="S81" s="115">
        <v>1</v>
      </c>
      <c r="T81" s="115"/>
      <c r="U81" s="115"/>
      <c r="V81" s="117">
        <v>48677</v>
      </c>
      <c r="W81" s="258">
        <v>23</v>
      </c>
      <c r="X81" s="115">
        <v>8</v>
      </c>
      <c r="Y81" s="257">
        <v>31</v>
      </c>
      <c r="Z81" s="117">
        <v>84</v>
      </c>
      <c r="AA81" s="115"/>
      <c r="AB81" s="117">
        <v>84</v>
      </c>
      <c r="AC81" s="258">
        <v>1088</v>
      </c>
      <c r="AD81" s="115"/>
      <c r="AE81" s="115"/>
      <c r="AF81" s="257">
        <v>1088</v>
      </c>
      <c r="AG81" s="117">
        <v>30</v>
      </c>
      <c r="AH81" s="115">
        <v>1</v>
      </c>
      <c r="AI81" s="115"/>
      <c r="AJ81" s="115"/>
      <c r="AK81" s="117">
        <v>31</v>
      </c>
      <c r="AL81" s="258"/>
      <c r="AM81" s="115">
        <v>1</v>
      </c>
      <c r="AN81" s="257">
        <v>1</v>
      </c>
      <c r="AO81" s="117"/>
      <c r="AP81" s="116"/>
      <c r="AQ81" s="117">
        <v>2</v>
      </c>
      <c r="AR81" s="115"/>
      <c r="AS81" s="115"/>
      <c r="AT81" s="117">
        <v>2</v>
      </c>
      <c r="AU81" s="258"/>
      <c r="AV81" s="115"/>
      <c r="AW81" s="115"/>
      <c r="AX81" s="115"/>
      <c r="AY81" s="115"/>
      <c r="AZ81" s="115"/>
      <c r="BA81" s="115"/>
      <c r="BB81" s="115"/>
      <c r="BC81" s="257"/>
      <c r="BD81" s="117"/>
      <c r="BE81" s="116">
        <v>5</v>
      </c>
      <c r="BF81" s="117">
        <v>498</v>
      </c>
      <c r="BG81" s="115">
        <v>117642</v>
      </c>
      <c r="BH81" s="115">
        <v>41394</v>
      </c>
      <c r="BI81" s="115">
        <v>32</v>
      </c>
      <c r="BJ81" s="115">
        <v>541</v>
      </c>
      <c r="BK81" s="115"/>
      <c r="BL81" s="117">
        <v>160107</v>
      </c>
      <c r="BM81" s="116">
        <v>2</v>
      </c>
      <c r="BN81" s="116"/>
      <c r="BO81" s="116"/>
      <c r="BP81" s="116">
        <v>3</v>
      </c>
      <c r="BQ81" s="117">
        <v>9</v>
      </c>
      <c r="BR81" s="115"/>
      <c r="BS81" s="117">
        <v>9</v>
      </c>
      <c r="BT81" s="116"/>
      <c r="BU81" s="117"/>
      <c r="BV81" s="115"/>
      <c r="BW81" s="115"/>
      <c r="BX81" s="117"/>
      <c r="BY81" s="258"/>
      <c r="BZ81" s="115"/>
      <c r="CA81" s="115"/>
      <c r="CB81" s="115"/>
      <c r="CC81" s="115"/>
      <c r="CD81" s="115">
        <v>1</v>
      </c>
      <c r="CE81" s="115"/>
      <c r="CF81" s="115"/>
      <c r="CG81" s="115"/>
      <c r="CH81" s="115"/>
      <c r="CI81" s="115"/>
      <c r="CJ81" s="115"/>
      <c r="CK81" s="115"/>
      <c r="CL81" s="115"/>
      <c r="CM81" s="115"/>
      <c r="CN81" s="257">
        <v>1</v>
      </c>
      <c r="CO81" s="117"/>
      <c r="CP81" s="115"/>
      <c r="CQ81" s="117"/>
      <c r="CR81" s="116"/>
      <c r="CS81" s="117">
        <v>31</v>
      </c>
      <c r="CT81" s="115">
        <v>0</v>
      </c>
      <c r="CU81" s="115">
        <v>17050</v>
      </c>
      <c r="CV81" s="115">
        <v>77</v>
      </c>
      <c r="CW81" s="115">
        <v>16819</v>
      </c>
      <c r="CX81" s="115"/>
      <c r="CY81" s="115"/>
      <c r="CZ81" s="115"/>
      <c r="DA81" s="115">
        <v>2</v>
      </c>
      <c r="DB81" s="115"/>
      <c r="DC81" s="115"/>
      <c r="DD81" s="117">
        <v>33979</v>
      </c>
      <c r="DE81" s="258">
        <v>2049</v>
      </c>
      <c r="DF81" s="115"/>
      <c r="DG81" s="115">
        <v>53</v>
      </c>
      <c r="DH81" s="115">
        <v>4</v>
      </c>
      <c r="DI81" s="115"/>
      <c r="DJ81" s="115"/>
      <c r="DK81" s="115"/>
      <c r="DL81" s="257">
        <v>2106</v>
      </c>
      <c r="DM81" s="117"/>
      <c r="DN81" s="116"/>
      <c r="DO81" s="117"/>
      <c r="DP81" s="115"/>
      <c r="DQ81" s="117"/>
      <c r="DR81" s="116">
        <v>19</v>
      </c>
      <c r="DS81" s="117"/>
      <c r="DT81" s="115"/>
      <c r="DU81" s="117"/>
      <c r="DV81" s="258"/>
      <c r="DW81" s="115"/>
      <c r="DX81" s="257"/>
      <c r="DY81" s="117">
        <v>1</v>
      </c>
      <c r="DZ81" s="116"/>
      <c r="EA81" s="117">
        <v>141</v>
      </c>
      <c r="EB81" s="115"/>
      <c r="EC81" s="117">
        <v>141</v>
      </c>
      <c r="ED81" s="116"/>
      <c r="EE81" s="116"/>
      <c r="EF81" s="117">
        <v>0</v>
      </c>
      <c r="EG81" s="115">
        <v>12</v>
      </c>
      <c r="EH81" s="115"/>
      <c r="EI81" s="115"/>
      <c r="EJ81" s="115"/>
      <c r="EK81" s="115"/>
      <c r="EL81" s="117">
        <v>12</v>
      </c>
      <c r="EM81" s="258">
        <v>276</v>
      </c>
      <c r="EN81" s="115">
        <v>118</v>
      </c>
      <c r="EO81" s="115">
        <v>20</v>
      </c>
      <c r="EP81" s="115">
        <v>56</v>
      </c>
      <c r="EQ81" s="115">
        <v>3783</v>
      </c>
      <c r="ER81" s="115">
        <v>159</v>
      </c>
      <c r="ES81" s="115">
        <v>83</v>
      </c>
      <c r="ET81" s="115"/>
      <c r="EU81" s="115">
        <v>1</v>
      </c>
      <c r="EV81" s="115">
        <v>1</v>
      </c>
      <c r="EW81" s="115"/>
      <c r="EX81" s="115">
        <v>0</v>
      </c>
      <c r="EY81" s="115"/>
      <c r="EZ81" s="257">
        <v>4497</v>
      </c>
      <c r="FA81" s="117"/>
      <c r="FB81" s="116">
        <v>5</v>
      </c>
      <c r="FC81" s="117">
        <v>0</v>
      </c>
      <c r="FD81" s="115"/>
      <c r="FE81" s="115"/>
      <c r="FF81" s="117">
        <v>0</v>
      </c>
      <c r="FG81" s="116"/>
      <c r="FH81" s="116">
        <v>3</v>
      </c>
      <c r="FI81" s="117">
        <v>7</v>
      </c>
      <c r="FJ81" s="115"/>
      <c r="FK81" s="115"/>
      <c r="FL81" s="115"/>
      <c r="FM81" s="117">
        <v>7</v>
      </c>
      <c r="FN81" s="258"/>
      <c r="FO81" s="115"/>
      <c r="FP81" s="257"/>
      <c r="FQ81" s="117">
        <v>10</v>
      </c>
      <c r="FR81" s="115"/>
      <c r="FS81" s="117">
        <v>10</v>
      </c>
      <c r="FT81" s="116"/>
      <c r="FU81" s="117">
        <v>17</v>
      </c>
      <c r="FV81" s="115"/>
      <c r="FW81" s="117">
        <v>17</v>
      </c>
      <c r="FX81" s="258">
        <v>2</v>
      </c>
      <c r="FY81" s="115"/>
      <c r="FZ81" s="115"/>
      <c r="GA81" s="115"/>
      <c r="GB81" s="257">
        <v>2</v>
      </c>
      <c r="GC81" s="117"/>
      <c r="GD81" s="258">
        <v>8</v>
      </c>
      <c r="GE81" s="115"/>
      <c r="GF81" s="257">
        <v>8</v>
      </c>
      <c r="GG81" s="117"/>
      <c r="GH81" s="258"/>
      <c r="GI81" s="115"/>
      <c r="GJ81" s="115"/>
      <c r="GK81" s="257"/>
      <c r="GL81" s="117">
        <v>0</v>
      </c>
      <c r="GM81" s="258"/>
      <c r="GN81" s="115">
        <v>6</v>
      </c>
      <c r="GO81" s="115">
        <v>2</v>
      </c>
      <c r="GP81" s="115"/>
      <c r="GQ81" s="257">
        <v>8</v>
      </c>
      <c r="GR81" s="117">
        <v>251066</v>
      </c>
      <c r="GS81" s="324">
        <f>251066/49209180</f>
        <v>5.102015518242734E-3</v>
      </c>
      <c r="GT81" s="293"/>
      <c r="GU81" s="293"/>
      <c r="GV81" s="293"/>
      <c r="GW81" s="293"/>
      <c r="GX81" s="293"/>
      <c r="GY81" s="293"/>
      <c r="GZ81" s="293"/>
      <c r="HA81" s="293"/>
      <c r="HB81" s="293"/>
      <c r="HC81" s="293"/>
      <c r="HD81" s="293"/>
      <c r="HE81" s="293"/>
      <c r="HF81" s="293"/>
      <c r="HG81" s="293"/>
      <c r="HH81" s="293"/>
      <c r="HI81" s="293"/>
      <c r="HJ81" s="293"/>
      <c r="HK81" s="293"/>
      <c r="HL81" s="293"/>
      <c r="HM81" s="293"/>
      <c r="HN81" s="293"/>
      <c r="HO81" s="293"/>
      <c r="HP81" s="293"/>
      <c r="HQ81" s="293"/>
      <c r="HR81" s="293"/>
      <c r="HS81" s="293"/>
      <c r="HT81" s="293"/>
      <c r="HU81" s="293"/>
      <c r="HV81" s="293"/>
      <c r="HW81" s="293"/>
      <c r="HX81" s="294"/>
    </row>
    <row r="82" spans="2:232" ht="12.75" x14ac:dyDescent="0.2">
      <c r="B82" s="259" t="s">
        <v>153</v>
      </c>
      <c r="C82" s="258">
        <v>18</v>
      </c>
      <c r="D82" s="115">
        <v>4</v>
      </c>
      <c r="E82" s="115">
        <v>2</v>
      </c>
      <c r="F82" s="115"/>
      <c r="G82" s="257">
        <v>24</v>
      </c>
      <c r="H82" s="117"/>
      <c r="I82" s="258"/>
      <c r="J82" s="115"/>
      <c r="K82" s="257"/>
      <c r="L82" s="117"/>
      <c r="M82" s="116">
        <v>162</v>
      </c>
      <c r="N82" s="117">
        <v>81168</v>
      </c>
      <c r="O82" s="115">
        <v>449</v>
      </c>
      <c r="P82" s="115">
        <v>13</v>
      </c>
      <c r="Q82" s="115">
        <v>422</v>
      </c>
      <c r="R82" s="115">
        <v>1</v>
      </c>
      <c r="S82" s="115">
        <v>3</v>
      </c>
      <c r="T82" s="115"/>
      <c r="U82" s="115"/>
      <c r="V82" s="117">
        <v>82056</v>
      </c>
      <c r="W82" s="258">
        <v>21</v>
      </c>
      <c r="X82" s="115">
        <v>13</v>
      </c>
      <c r="Y82" s="257">
        <v>34</v>
      </c>
      <c r="Z82" s="117">
        <v>761</v>
      </c>
      <c r="AA82" s="115"/>
      <c r="AB82" s="117">
        <v>761</v>
      </c>
      <c r="AC82" s="258">
        <v>256</v>
      </c>
      <c r="AD82" s="115">
        <v>3</v>
      </c>
      <c r="AE82" s="115"/>
      <c r="AF82" s="257">
        <v>259</v>
      </c>
      <c r="AG82" s="117">
        <v>9</v>
      </c>
      <c r="AH82" s="115">
        <v>0</v>
      </c>
      <c r="AI82" s="115">
        <v>1</v>
      </c>
      <c r="AJ82" s="115"/>
      <c r="AK82" s="117">
        <v>10</v>
      </c>
      <c r="AL82" s="258"/>
      <c r="AM82" s="115">
        <v>5</v>
      </c>
      <c r="AN82" s="257">
        <v>5</v>
      </c>
      <c r="AO82" s="117"/>
      <c r="AP82" s="116"/>
      <c r="AQ82" s="117">
        <v>134</v>
      </c>
      <c r="AR82" s="115">
        <v>1</v>
      </c>
      <c r="AS82" s="115"/>
      <c r="AT82" s="117">
        <v>135</v>
      </c>
      <c r="AU82" s="258">
        <v>11</v>
      </c>
      <c r="AV82" s="115">
        <v>2</v>
      </c>
      <c r="AW82" s="115"/>
      <c r="AX82" s="115"/>
      <c r="AY82" s="115">
        <v>2</v>
      </c>
      <c r="AZ82" s="115"/>
      <c r="BA82" s="115">
        <v>0</v>
      </c>
      <c r="BB82" s="115">
        <v>5</v>
      </c>
      <c r="BC82" s="257">
        <v>20</v>
      </c>
      <c r="BD82" s="117"/>
      <c r="BE82" s="116">
        <v>4</v>
      </c>
      <c r="BF82" s="117">
        <v>242</v>
      </c>
      <c r="BG82" s="115">
        <v>118</v>
      </c>
      <c r="BH82" s="115">
        <v>740</v>
      </c>
      <c r="BI82" s="115">
        <v>3</v>
      </c>
      <c r="BJ82" s="115">
        <v>19</v>
      </c>
      <c r="BK82" s="115">
        <v>1</v>
      </c>
      <c r="BL82" s="117">
        <v>1123</v>
      </c>
      <c r="BM82" s="116">
        <v>0</v>
      </c>
      <c r="BN82" s="116"/>
      <c r="BO82" s="116"/>
      <c r="BP82" s="116">
        <v>3</v>
      </c>
      <c r="BQ82" s="117">
        <v>9</v>
      </c>
      <c r="BR82" s="115"/>
      <c r="BS82" s="117">
        <v>9</v>
      </c>
      <c r="BT82" s="116"/>
      <c r="BU82" s="117">
        <v>0</v>
      </c>
      <c r="BV82" s="115"/>
      <c r="BW82" s="115"/>
      <c r="BX82" s="117">
        <v>0</v>
      </c>
      <c r="BY82" s="258">
        <v>1</v>
      </c>
      <c r="BZ82" s="115"/>
      <c r="CA82" s="115"/>
      <c r="CB82" s="115">
        <v>15</v>
      </c>
      <c r="CC82" s="115">
        <v>1</v>
      </c>
      <c r="CD82" s="115">
        <v>2</v>
      </c>
      <c r="CE82" s="115">
        <v>1</v>
      </c>
      <c r="CF82" s="115"/>
      <c r="CG82" s="115"/>
      <c r="CH82" s="115"/>
      <c r="CI82" s="115">
        <v>2</v>
      </c>
      <c r="CJ82" s="115"/>
      <c r="CK82" s="115">
        <v>28</v>
      </c>
      <c r="CL82" s="115">
        <v>1</v>
      </c>
      <c r="CM82" s="115"/>
      <c r="CN82" s="257">
        <v>51</v>
      </c>
      <c r="CO82" s="117"/>
      <c r="CP82" s="115">
        <v>0</v>
      </c>
      <c r="CQ82" s="117">
        <v>0</v>
      </c>
      <c r="CR82" s="116"/>
      <c r="CS82" s="117">
        <v>58</v>
      </c>
      <c r="CT82" s="115">
        <v>57</v>
      </c>
      <c r="CU82" s="115">
        <v>23880</v>
      </c>
      <c r="CV82" s="115">
        <v>178</v>
      </c>
      <c r="CW82" s="115">
        <v>2484</v>
      </c>
      <c r="CX82" s="115">
        <v>125</v>
      </c>
      <c r="CY82" s="115">
        <v>61</v>
      </c>
      <c r="CZ82" s="115">
        <v>5</v>
      </c>
      <c r="DA82" s="115"/>
      <c r="DB82" s="115"/>
      <c r="DC82" s="115"/>
      <c r="DD82" s="117">
        <v>26848</v>
      </c>
      <c r="DE82" s="258">
        <v>1041</v>
      </c>
      <c r="DF82" s="115">
        <v>48</v>
      </c>
      <c r="DG82" s="115">
        <v>12</v>
      </c>
      <c r="DH82" s="115">
        <v>15</v>
      </c>
      <c r="DI82" s="115"/>
      <c r="DJ82" s="115"/>
      <c r="DK82" s="115"/>
      <c r="DL82" s="257">
        <v>1116</v>
      </c>
      <c r="DM82" s="117"/>
      <c r="DN82" s="116">
        <v>3</v>
      </c>
      <c r="DO82" s="117"/>
      <c r="DP82" s="115"/>
      <c r="DQ82" s="117"/>
      <c r="DR82" s="116">
        <v>38</v>
      </c>
      <c r="DS82" s="117"/>
      <c r="DT82" s="115"/>
      <c r="DU82" s="117"/>
      <c r="DV82" s="258">
        <v>197</v>
      </c>
      <c r="DW82" s="115"/>
      <c r="DX82" s="257">
        <v>197</v>
      </c>
      <c r="DY82" s="117">
        <v>102</v>
      </c>
      <c r="DZ82" s="116">
        <v>3</v>
      </c>
      <c r="EA82" s="117">
        <v>374</v>
      </c>
      <c r="EB82" s="115"/>
      <c r="EC82" s="117">
        <v>374</v>
      </c>
      <c r="ED82" s="116"/>
      <c r="EE82" s="116"/>
      <c r="EF82" s="117">
        <v>36</v>
      </c>
      <c r="EG82" s="115">
        <v>19</v>
      </c>
      <c r="EH82" s="115"/>
      <c r="EI82" s="115"/>
      <c r="EJ82" s="115"/>
      <c r="EK82" s="115"/>
      <c r="EL82" s="117">
        <v>55</v>
      </c>
      <c r="EM82" s="258">
        <v>307</v>
      </c>
      <c r="EN82" s="115">
        <v>1709</v>
      </c>
      <c r="EO82" s="115">
        <v>62</v>
      </c>
      <c r="EP82" s="115">
        <v>400</v>
      </c>
      <c r="EQ82" s="115">
        <v>1739</v>
      </c>
      <c r="ER82" s="115">
        <v>22</v>
      </c>
      <c r="ES82" s="115">
        <v>157</v>
      </c>
      <c r="ET82" s="115">
        <v>5</v>
      </c>
      <c r="EU82" s="115">
        <v>2</v>
      </c>
      <c r="EV82" s="115">
        <v>2</v>
      </c>
      <c r="EW82" s="115">
        <v>0</v>
      </c>
      <c r="EX82" s="115">
        <v>7</v>
      </c>
      <c r="EY82" s="115"/>
      <c r="EZ82" s="257">
        <v>4412</v>
      </c>
      <c r="FA82" s="117"/>
      <c r="FB82" s="116">
        <v>2</v>
      </c>
      <c r="FC82" s="117"/>
      <c r="FD82" s="115"/>
      <c r="FE82" s="115">
        <v>2</v>
      </c>
      <c r="FF82" s="117">
        <v>2</v>
      </c>
      <c r="FG82" s="116"/>
      <c r="FH82" s="116"/>
      <c r="FI82" s="117">
        <v>5</v>
      </c>
      <c r="FJ82" s="115">
        <v>2</v>
      </c>
      <c r="FK82" s="115">
        <v>9</v>
      </c>
      <c r="FL82" s="115"/>
      <c r="FM82" s="117">
        <v>16</v>
      </c>
      <c r="FN82" s="258"/>
      <c r="FO82" s="115"/>
      <c r="FP82" s="257"/>
      <c r="FQ82" s="117"/>
      <c r="FR82" s="115"/>
      <c r="FS82" s="117"/>
      <c r="FT82" s="116"/>
      <c r="FU82" s="117">
        <v>25</v>
      </c>
      <c r="FV82" s="115"/>
      <c r="FW82" s="117">
        <v>25</v>
      </c>
      <c r="FX82" s="258"/>
      <c r="FY82" s="115">
        <v>34</v>
      </c>
      <c r="FZ82" s="115">
        <v>8</v>
      </c>
      <c r="GA82" s="115">
        <v>0</v>
      </c>
      <c r="GB82" s="257">
        <v>42</v>
      </c>
      <c r="GC82" s="117"/>
      <c r="GD82" s="258">
        <v>6</v>
      </c>
      <c r="GE82" s="115">
        <v>4</v>
      </c>
      <c r="GF82" s="257">
        <v>10</v>
      </c>
      <c r="GG82" s="117"/>
      <c r="GH82" s="258">
        <v>1</v>
      </c>
      <c r="GI82" s="115"/>
      <c r="GJ82" s="115"/>
      <c r="GK82" s="257">
        <v>1</v>
      </c>
      <c r="GL82" s="117">
        <v>23</v>
      </c>
      <c r="GM82" s="258">
        <v>8</v>
      </c>
      <c r="GN82" s="115">
        <v>1</v>
      </c>
      <c r="GO82" s="115">
        <v>2</v>
      </c>
      <c r="GP82" s="115"/>
      <c r="GQ82" s="257">
        <v>11</v>
      </c>
      <c r="GR82" s="117">
        <v>117936</v>
      </c>
      <c r="GS82" s="324">
        <f>117936/49209180</f>
        <v>2.3966259953935422E-3</v>
      </c>
      <c r="GT82" s="293"/>
      <c r="GU82" s="293"/>
      <c r="GV82" s="293"/>
      <c r="GW82" s="293"/>
      <c r="GX82" s="293"/>
      <c r="GY82" s="293"/>
      <c r="GZ82" s="293"/>
      <c r="HA82" s="293"/>
      <c r="HB82" s="293"/>
      <c r="HC82" s="293"/>
      <c r="HD82" s="293"/>
      <c r="HE82" s="293"/>
      <c r="HF82" s="293"/>
      <c r="HG82" s="293"/>
      <c r="HH82" s="293"/>
      <c r="HI82" s="293"/>
      <c r="HJ82" s="293"/>
      <c r="HK82" s="293"/>
      <c r="HL82" s="293"/>
      <c r="HM82" s="293"/>
      <c r="HN82" s="293"/>
      <c r="HO82" s="293"/>
      <c r="HP82" s="293"/>
      <c r="HQ82" s="293"/>
      <c r="HR82" s="293"/>
      <c r="HS82" s="293"/>
      <c r="HT82" s="293"/>
      <c r="HU82" s="293"/>
      <c r="HV82" s="293"/>
      <c r="HW82" s="293"/>
      <c r="HX82" s="294"/>
    </row>
    <row r="83" spans="2:232" ht="12.75" x14ac:dyDescent="0.2">
      <c r="B83" s="259" t="s">
        <v>157</v>
      </c>
      <c r="C83" s="258">
        <v>39</v>
      </c>
      <c r="D83" s="115">
        <v>2</v>
      </c>
      <c r="E83" s="115"/>
      <c r="F83" s="115">
        <v>2</v>
      </c>
      <c r="G83" s="257">
        <v>43</v>
      </c>
      <c r="H83" s="117"/>
      <c r="I83" s="258">
        <v>3</v>
      </c>
      <c r="J83" s="115"/>
      <c r="K83" s="257">
        <v>3</v>
      </c>
      <c r="L83" s="117"/>
      <c r="M83" s="116">
        <v>246</v>
      </c>
      <c r="N83" s="117">
        <v>204551</v>
      </c>
      <c r="O83" s="115">
        <v>19813</v>
      </c>
      <c r="P83" s="115">
        <v>14</v>
      </c>
      <c r="Q83" s="115">
        <v>354</v>
      </c>
      <c r="R83" s="115">
        <v>3</v>
      </c>
      <c r="S83" s="115">
        <v>2</v>
      </c>
      <c r="T83" s="115"/>
      <c r="U83" s="115"/>
      <c r="V83" s="117">
        <v>224737</v>
      </c>
      <c r="W83" s="258">
        <v>7</v>
      </c>
      <c r="X83" s="115">
        <v>6</v>
      </c>
      <c r="Y83" s="257">
        <v>13</v>
      </c>
      <c r="Z83" s="117">
        <v>625</v>
      </c>
      <c r="AA83" s="115"/>
      <c r="AB83" s="117">
        <v>625</v>
      </c>
      <c r="AC83" s="258">
        <v>513</v>
      </c>
      <c r="AD83" s="115"/>
      <c r="AE83" s="115"/>
      <c r="AF83" s="257">
        <v>513</v>
      </c>
      <c r="AG83" s="117">
        <v>15</v>
      </c>
      <c r="AH83" s="115"/>
      <c r="AI83" s="115">
        <v>1</v>
      </c>
      <c r="AJ83" s="115"/>
      <c r="AK83" s="117">
        <v>16</v>
      </c>
      <c r="AL83" s="258"/>
      <c r="AM83" s="115"/>
      <c r="AN83" s="257"/>
      <c r="AO83" s="117"/>
      <c r="AP83" s="116"/>
      <c r="AQ83" s="117"/>
      <c r="AR83" s="115">
        <v>8</v>
      </c>
      <c r="AS83" s="115"/>
      <c r="AT83" s="117">
        <v>8</v>
      </c>
      <c r="AU83" s="258">
        <v>15</v>
      </c>
      <c r="AV83" s="115">
        <v>1</v>
      </c>
      <c r="AW83" s="115"/>
      <c r="AX83" s="115"/>
      <c r="AY83" s="115">
        <v>1</v>
      </c>
      <c r="AZ83" s="115"/>
      <c r="BA83" s="115"/>
      <c r="BB83" s="115">
        <v>1</v>
      </c>
      <c r="BC83" s="257">
        <v>18</v>
      </c>
      <c r="BD83" s="117"/>
      <c r="BE83" s="116">
        <v>7</v>
      </c>
      <c r="BF83" s="117">
        <v>219</v>
      </c>
      <c r="BG83" s="115">
        <v>259</v>
      </c>
      <c r="BH83" s="115">
        <v>714</v>
      </c>
      <c r="BI83" s="115">
        <v>16</v>
      </c>
      <c r="BJ83" s="115">
        <v>17</v>
      </c>
      <c r="BK83" s="115"/>
      <c r="BL83" s="117">
        <v>1225</v>
      </c>
      <c r="BM83" s="116">
        <v>2</v>
      </c>
      <c r="BN83" s="116"/>
      <c r="BO83" s="116"/>
      <c r="BP83" s="116">
        <v>3</v>
      </c>
      <c r="BQ83" s="117">
        <v>13</v>
      </c>
      <c r="BR83" s="115"/>
      <c r="BS83" s="117">
        <v>13</v>
      </c>
      <c r="BT83" s="116">
        <v>1</v>
      </c>
      <c r="BU83" s="117"/>
      <c r="BV83" s="115">
        <v>0</v>
      </c>
      <c r="BW83" s="115"/>
      <c r="BX83" s="117">
        <v>0</v>
      </c>
      <c r="BY83" s="258">
        <v>1</v>
      </c>
      <c r="BZ83" s="115"/>
      <c r="CA83" s="115"/>
      <c r="CB83" s="115">
        <v>2</v>
      </c>
      <c r="CC83" s="115">
        <v>1</v>
      </c>
      <c r="CD83" s="115">
        <v>1</v>
      </c>
      <c r="CE83" s="115"/>
      <c r="CF83" s="115"/>
      <c r="CG83" s="115">
        <v>4</v>
      </c>
      <c r="CH83" s="115"/>
      <c r="CI83" s="115">
        <v>0</v>
      </c>
      <c r="CJ83" s="115"/>
      <c r="CK83" s="115">
        <v>1</v>
      </c>
      <c r="CL83" s="115"/>
      <c r="CM83" s="115"/>
      <c r="CN83" s="257">
        <v>10</v>
      </c>
      <c r="CO83" s="117"/>
      <c r="CP83" s="115"/>
      <c r="CQ83" s="117"/>
      <c r="CR83" s="116"/>
      <c r="CS83" s="117">
        <v>154</v>
      </c>
      <c r="CT83" s="115">
        <v>20</v>
      </c>
      <c r="CU83" s="115">
        <v>29021</v>
      </c>
      <c r="CV83" s="115">
        <v>195</v>
      </c>
      <c r="CW83" s="115">
        <v>3013</v>
      </c>
      <c r="CX83" s="115">
        <v>113</v>
      </c>
      <c r="CY83" s="115">
        <v>7</v>
      </c>
      <c r="CZ83" s="115">
        <v>6</v>
      </c>
      <c r="DA83" s="115">
        <v>10</v>
      </c>
      <c r="DB83" s="115"/>
      <c r="DC83" s="115">
        <v>4</v>
      </c>
      <c r="DD83" s="117">
        <v>32543</v>
      </c>
      <c r="DE83" s="258">
        <v>1787</v>
      </c>
      <c r="DF83" s="115">
        <v>15</v>
      </c>
      <c r="DG83" s="115">
        <v>29</v>
      </c>
      <c r="DH83" s="115">
        <v>21</v>
      </c>
      <c r="DI83" s="115">
        <v>4</v>
      </c>
      <c r="DJ83" s="115"/>
      <c r="DK83" s="115"/>
      <c r="DL83" s="257">
        <v>1856</v>
      </c>
      <c r="DM83" s="117"/>
      <c r="DN83" s="116"/>
      <c r="DO83" s="117"/>
      <c r="DP83" s="115"/>
      <c r="DQ83" s="117"/>
      <c r="DR83" s="116">
        <v>67</v>
      </c>
      <c r="DS83" s="117"/>
      <c r="DT83" s="115">
        <v>1</v>
      </c>
      <c r="DU83" s="117">
        <v>1</v>
      </c>
      <c r="DV83" s="258">
        <v>31</v>
      </c>
      <c r="DW83" s="115"/>
      <c r="DX83" s="257">
        <v>31</v>
      </c>
      <c r="DY83" s="117">
        <v>5</v>
      </c>
      <c r="DZ83" s="116">
        <v>1</v>
      </c>
      <c r="EA83" s="117">
        <v>673</v>
      </c>
      <c r="EB83" s="115"/>
      <c r="EC83" s="117">
        <v>673</v>
      </c>
      <c r="ED83" s="116">
        <v>0</v>
      </c>
      <c r="EE83" s="116"/>
      <c r="EF83" s="117">
        <v>39</v>
      </c>
      <c r="EG83" s="115">
        <v>30</v>
      </c>
      <c r="EH83" s="115"/>
      <c r="EI83" s="115"/>
      <c r="EJ83" s="115"/>
      <c r="EK83" s="115"/>
      <c r="EL83" s="117">
        <v>69</v>
      </c>
      <c r="EM83" s="258">
        <v>1154</v>
      </c>
      <c r="EN83" s="115">
        <v>3997</v>
      </c>
      <c r="EO83" s="115">
        <v>105</v>
      </c>
      <c r="EP83" s="115">
        <v>614</v>
      </c>
      <c r="EQ83" s="115">
        <v>8383</v>
      </c>
      <c r="ER83" s="115">
        <v>124</v>
      </c>
      <c r="ES83" s="115">
        <v>578</v>
      </c>
      <c r="ET83" s="115">
        <v>3</v>
      </c>
      <c r="EU83" s="115">
        <v>7</v>
      </c>
      <c r="EV83" s="115">
        <v>3</v>
      </c>
      <c r="EW83" s="115">
        <v>1</v>
      </c>
      <c r="EX83" s="115">
        <v>4</v>
      </c>
      <c r="EY83" s="115"/>
      <c r="EZ83" s="257">
        <v>14973</v>
      </c>
      <c r="FA83" s="117"/>
      <c r="FB83" s="116">
        <v>4</v>
      </c>
      <c r="FC83" s="117">
        <v>1</v>
      </c>
      <c r="FD83" s="115"/>
      <c r="FE83" s="115"/>
      <c r="FF83" s="117">
        <v>1</v>
      </c>
      <c r="FG83" s="116"/>
      <c r="FH83" s="116"/>
      <c r="FI83" s="117">
        <v>4</v>
      </c>
      <c r="FJ83" s="115"/>
      <c r="FK83" s="115"/>
      <c r="FL83" s="115">
        <v>6</v>
      </c>
      <c r="FM83" s="117">
        <v>10</v>
      </c>
      <c r="FN83" s="258"/>
      <c r="FO83" s="115"/>
      <c r="FP83" s="257"/>
      <c r="FQ83" s="117">
        <v>21</v>
      </c>
      <c r="FR83" s="115"/>
      <c r="FS83" s="117">
        <v>21</v>
      </c>
      <c r="FT83" s="116"/>
      <c r="FU83" s="117">
        <v>15</v>
      </c>
      <c r="FV83" s="115"/>
      <c r="FW83" s="117">
        <v>15</v>
      </c>
      <c r="FX83" s="258">
        <v>5</v>
      </c>
      <c r="FY83" s="115">
        <v>0</v>
      </c>
      <c r="FZ83" s="115">
        <v>3</v>
      </c>
      <c r="GA83" s="115">
        <v>1</v>
      </c>
      <c r="GB83" s="257">
        <v>9</v>
      </c>
      <c r="GC83" s="117"/>
      <c r="GD83" s="258">
        <v>8</v>
      </c>
      <c r="GE83" s="115">
        <v>4</v>
      </c>
      <c r="GF83" s="257">
        <v>12</v>
      </c>
      <c r="GG83" s="117"/>
      <c r="GH83" s="258"/>
      <c r="GI83" s="115"/>
      <c r="GJ83" s="115"/>
      <c r="GK83" s="257"/>
      <c r="GL83" s="117">
        <v>18</v>
      </c>
      <c r="GM83" s="258">
        <v>11</v>
      </c>
      <c r="GN83" s="115">
        <v>3</v>
      </c>
      <c r="GO83" s="115">
        <v>3</v>
      </c>
      <c r="GP83" s="115">
        <v>1</v>
      </c>
      <c r="GQ83" s="257">
        <v>18</v>
      </c>
      <c r="GR83" s="117">
        <v>277810</v>
      </c>
      <c r="GS83" s="324">
        <f>277810/49209180</f>
        <v>5.6454913493783074E-3</v>
      </c>
      <c r="GT83" s="293"/>
      <c r="GU83" s="293"/>
      <c r="GV83" s="293"/>
      <c r="GW83" s="293"/>
      <c r="GX83" s="293"/>
      <c r="GY83" s="293"/>
      <c r="GZ83" s="293"/>
      <c r="HA83" s="293"/>
      <c r="HB83" s="293"/>
      <c r="HC83" s="293"/>
      <c r="HD83" s="293"/>
      <c r="HE83" s="293"/>
      <c r="HF83" s="293"/>
      <c r="HG83" s="293"/>
      <c r="HH83" s="293"/>
      <c r="HI83" s="293"/>
      <c r="HJ83" s="293"/>
      <c r="HK83" s="293"/>
      <c r="HL83" s="293"/>
      <c r="HM83" s="293"/>
      <c r="HN83" s="293"/>
      <c r="HO83" s="293"/>
      <c r="HP83" s="293"/>
      <c r="HQ83" s="293"/>
      <c r="HR83" s="293"/>
      <c r="HS83" s="293"/>
      <c r="HT83" s="293"/>
      <c r="HU83" s="293"/>
      <c r="HV83" s="293"/>
      <c r="HW83" s="293"/>
      <c r="HX83" s="294"/>
    </row>
    <row r="84" spans="2:232" ht="12.75" x14ac:dyDescent="0.2">
      <c r="B84" s="259" t="s">
        <v>167</v>
      </c>
      <c r="C84" s="258">
        <v>1</v>
      </c>
      <c r="D84" s="115"/>
      <c r="E84" s="115"/>
      <c r="F84" s="115"/>
      <c r="G84" s="257">
        <v>1</v>
      </c>
      <c r="H84" s="117"/>
      <c r="I84" s="258">
        <v>0</v>
      </c>
      <c r="J84" s="115"/>
      <c r="K84" s="257">
        <v>0</v>
      </c>
      <c r="L84" s="117"/>
      <c r="M84" s="116">
        <v>29</v>
      </c>
      <c r="N84" s="117">
        <v>355</v>
      </c>
      <c r="O84" s="115"/>
      <c r="P84" s="115">
        <v>2</v>
      </c>
      <c r="Q84" s="115">
        <v>12</v>
      </c>
      <c r="R84" s="115"/>
      <c r="S84" s="115">
        <v>2</v>
      </c>
      <c r="T84" s="115"/>
      <c r="U84" s="115"/>
      <c r="V84" s="117">
        <v>371</v>
      </c>
      <c r="W84" s="258"/>
      <c r="X84" s="115">
        <v>4</v>
      </c>
      <c r="Y84" s="257">
        <v>4</v>
      </c>
      <c r="Z84" s="117">
        <v>8</v>
      </c>
      <c r="AA84" s="115"/>
      <c r="AB84" s="117">
        <v>8</v>
      </c>
      <c r="AC84" s="258">
        <v>1007</v>
      </c>
      <c r="AD84" s="115"/>
      <c r="AE84" s="115"/>
      <c r="AF84" s="257">
        <v>1007</v>
      </c>
      <c r="AG84" s="117">
        <v>3</v>
      </c>
      <c r="AH84" s="115">
        <v>1</v>
      </c>
      <c r="AI84" s="115"/>
      <c r="AJ84" s="115"/>
      <c r="AK84" s="117">
        <v>4</v>
      </c>
      <c r="AL84" s="258"/>
      <c r="AM84" s="115"/>
      <c r="AN84" s="257"/>
      <c r="AO84" s="117"/>
      <c r="AP84" s="116"/>
      <c r="AQ84" s="117"/>
      <c r="AR84" s="115"/>
      <c r="AS84" s="115"/>
      <c r="AT84" s="117"/>
      <c r="AU84" s="258">
        <v>9</v>
      </c>
      <c r="AV84" s="115"/>
      <c r="AW84" s="115"/>
      <c r="AX84" s="115"/>
      <c r="AY84" s="115"/>
      <c r="AZ84" s="115"/>
      <c r="BA84" s="115"/>
      <c r="BB84" s="115"/>
      <c r="BC84" s="257">
        <v>9</v>
      </c>
      <c r="BD84" s="117"/>
      <c r="BE84" s="116"/>
      <c r="BF84" s="117">
        <v>13</v>
      </c>
      <c r="BG84" s="115">
        <v>28</v>
      </c>
      <c r="BH84" s="115">
        <v>55</v>
      </c>
      <c r="BI84" s="115">
        <v>10</v>
      </c>
      <c r="BJ84" s="115">
        <v>4</v>
      </c>
      <c r="BK84" s="115"/>
      <c r="BL84" s="117">
        <v>110</v>
      </c>
      <c r="BM84" s="116"/>
      <c r="BN84" s="116"/>
      <c r="BO84" s="116"/>
      <c r="BP84" s="116"/>
      <c r="BQ84" s="117"/>
      <c r="BR84" s="115"/>
      <c r="BS84" s="117"/>
      <c r="BT84" s="116"/>
      <c r="BU84" s="117"/>
      <c r="BV84" s="115"/>
      <c r="BW84" s="115"/>
      <c r="BX84" s="117"/>
      <c r="BY84" s="258"/>
      <c r="BZ84" s="115"/>
      <c r="CA84" s="115"/>
      <c r="CB84" s="115"/>
      <c r="CC84" s="115"/>
      <c r="CD84" s="115"/>
      <c r="CE84" s="115"/>
      <c r="CF84" s="115"/>
      <c r="CG84" s="115"/>
      <c r="CH84" s="115"/>
      <c r="CI84" s="115"/>
      <c r="CJ84" s="115"/>
      <c r="CK84" s="115"/>
      <c r="CL84" s="115"/>
      <c r="CM84" s="115"/>
      <c r="CN84" s="257"/>
      <c r="CO84" s="117"/>
      <c r="CP84" s="115"/>
      <c r="CQ84" s="117"/>
      <c r="CR84" s="116"/>
      <c r="CS84" s="117">
        <v>85</v>
      </c>
      <c r="CT84" s="115"/>
      <c r="CU84" s="115">
        <v>10388</v>
      </c>
      <c r="CV84" s="115">
        <v>202</v>
      </c>
      <c r="CW84" s="115">
        <v>326</v>
      </c>
      <c r="CX84" s="115"/>
      <c r="CY84" s="115">
        <v>1</v>
      </c>
      <c r="CZ84" s="115"/>
      <c r="DA84" s="115">
        <v>0</v>
      </c>
      <c r="DB84" s="115"/>
      <c r="DC84" s="115"/>
      <c r="DD84" s="117">
        <v>11002</v>
      </c>
      <c r="DE84" s="258">
        <v>51</v>
      </c>
      <c r="DF84" s="115"/>
      <c r="DG84" s="115">
        <v>29</v>
      </c>
      <c r="DH84" s="115">
        <v>15</v>
      </c>
      <c r="DI84" s="115"/>
      <c r="DJ84" s="115"/>
      <c r="DK84" s="115"/>
      <c r="DL84" s="257">
        <v>95</v>
      </c>
      <c r="DM84" s="117"/>
      <c r="DN84" s="116"/>
      <c r="DO84" s="117"/>
      <c r="DP84" s="115"/>
      <c r="DQ84" s="117"/>
      <c r="DR84" s="116">
        <v>1</v>
      </c>
      <c r="DS84" s="117"/>
      <c r="DT84" s="115"/>
      <c r="DU84" s="117"/>
      <c r="DV84" s="258"/>
      <c r="DW84" s="115"/>
      <c r="DX84" s="257"/>
      <c r="DY84" s="117">
        <v>1</v>
      </c>
      <c r="DZ84" s="116"/>
      <c r="EA84" s="117">
        <v>7</v>
      </c>
      <c r="EB84" s="115"/>
      <c r="EC84" s="117">
        <v>7</v>
      </c>
      <c r="ED84" s="116">
        <v>0</v>
      </c>
      <c r="EE84" s="116"/>
      <c r="EF84" s="117"/>
      <c r="EG84" s="115">
        <v>5</v>
      </c>
      <c r="EH84" s="115"/>
      <c r="EI84" s="115"/>
      <c r="EJ84" s="115"/>
      <c r="EK84" s="115"/>
      <c r="EL84" s="117">
        <v>5</v>
      </c>
      <c r="EM84" s="258">
        <v>16</v>
      </c>
      <c r="EN84" s="115">
        <v>108</v>
      </c>
      <c r="EO84" s="115">
        <v>6</v>
      </c>
      <c r="EP84" s="115">
        <v>152</v>
      </c>
      <c r="EQ84" s="115">
        <v>155</v>
      </c>
      <c r="ER84" s="115">
        <v>9</v>
      </c>
      <c r="ES84" s="115">
        <v>1183</v>
      </c>
      <c r="ET84" s="115">
        <v>30</v>
      </c>
      <c r="EU84" s="115">
        <v>2</v>
      </c>
      <c r="EV84" s="115">
        <v>11</v>
      </c>
      <c r="EW84" s="115"/>
      <c r="EX84" s="115">
        <v>17</v>
      </c>
      <c r="EY84" s="115"/>
      <c r="EZ84" s="257">
        <v>1689</v>
      </c>
      <c r="FA84" s="117"/>
      <c r="FB84" s="116">
        <v>1</v>
      </c>
      <c r="FC84" s="117"/>
      <c r="FD84" s="115"/>
      <c r="FE84" s="115"/>
      <c r="FF84" s="117"/>
      <c r="FG84" s="116"/>
      <c r="FH84" s="116"/>
      <c r="FI84" s="117"/>
      <c r="FJ84" s="115"/>
      <c r="FK84" s="115"/>
      <c r="FL84" s="115"/>
      <c r="FM84" s="117"/>
      <c r="FN84" s="258"/>
      <c r="FO84" s="115"/>
      <c r="FP84" s="257"/>
      <c r="FQ84" s="117"/>
      <c r="FR84" s="115"/>
      <c r="FS84" s="117"/>
      <c r="FT84" s="116"/>
      <c r="FU84" s="117">
        <v>1</v>
      </c>
      <c r="FV84" s="115"/>
      <c r="FW84" s="117">
        <v>1</v>
      </c>
      <c r="FX84" s="258">
        <v>0</v>
      </c>
      <c r="FY84" s="115"/>
      <c r="FZ84" s="115"/>
      <c r="GA84" s="115"/>
      <c r="GB84" s="257">
        <v>0</v>
      </c>
      <c r="GC84" s="117"/>
      <c r="GD84" s="258">
        <v>8</v>
      </c>
      <c r="GE84" s="115"/>
      <c r="GF84" s="257">
        <v>8</v>
      </c>
      <c r="GG84" s="117"/>
      <c r="GH84" s="258"/>
      <c r="GI84" s="115"/>
      <c r="GJ84" s="115"/>
      <c r="GK84" s="257"/>
      <c r="GL84" s="117">
        <v>1</v>
      </c>
      <c r="GM84" s="258">
        <v>2</v>
      </c>
      <c r="GN84" s="115"/>
      <c r="GO84" s="115"/>
      <c r="GP84" s="115"/>
      <c r="GQ84" s="257">
        <v>2</v>
      </c>
      <c r="GR84" s="117">
        <v>14356</v>
      </c>
      <c r="GS84" s="324">
        <f>14356/49209180</f>
        <v>2.9173418455662132E-4</v>
      </c>
      <c r="GT84" s="293"/>
      <c r="GU84" s="293"/>
      <c r="GV84" s="293"/>
      <c r="GW84" s="293"/>
      <c r="GX84" s="293"/>
      <c r="GY84" s="293"/>
      <c r="GZ84" s="293"/>
      <c r="HA84" s="293"/>
      <c r="HB84" s="293"/>
      <c r="HC84" s="293"/>
      <c r="HD84" s="293"/>
      <c r="HE84" s="293"/>
      <c r="HF84" s="293"/>
      <c r="HG84" s="293"/>
      <c r="HH84" s="293"/>
      <c r="HI84" s="293"/>
      <c r="HJ84" s="293"/>
      <c r="HK84" s="293"/>
      <c r="HL84" s="293"/>
      <c r="HM84" s="293"/>
      <c r="HN84" s="293"/>
      <c r="HO84" s="293"/>
      <c r="HP84" s="293"/>
      <c r="HQ84" s="293"/>
      <c r="HR84" s="293"/>
      <c r="HS84" s="293"/>
      <c r="HT84" s="293"/>
      <c r="HU84" s="293"/>
      <c r="HV84" s="293"/>
      <c r="HW84" s="293"/>
      <c r="HX84" s="294"/>
    </row>
    <row r="85" spans="2:232" ht="12.75" x14ac:dyDescent="0.2">
      <c r="B85" s="259" t="s">
        <v>205</v>
      </c>
      <c r="C85" s="258">
        <v>337</v>
      </c>
      <c r="D85" s="115">
        <v>4</v>
      </c>
      <c r="E85" s="115">
        <v>13</v>
      </c>
      <c r="F85" s="115">
        <v>9</v>
      </c>
      <c r="G85" s="257">
        <v>363</v>
      </c>
      <c r="H85" s="117"/>
      <c r="I85" s="258">
        <v>26</v>
      </c>
      <c r="J85" s="115"/>
      <c r="K85" s="257">
        <v>26</v>
      </c>
      <c r="L85" s="117"/>
      <c r="M85" s="116">
        <v>1520</v>
      </c>
      <c r="N85" s="117">
        <v>353735</v>
      </c>
      <c r="O85" s="115">
        <v>77</v>
      </c>
      <c r="P85" s="115">
        <v>229</v>
      </c>
      <c r="Q85" s="115">
        <v>119</v>
      </c>
      <c r="R85" s="115">
        <v>4</v>
      </c>
      <c r="S85" s="115">
        <v>56</v>
      </c>
      <c r="T85" s="115">
        <v>0</v>
      </c>
      <c r="U85" s="115"/>
      <c r="V85" s="117">
        <v>354220</v>
      </c>
      <c r="W85" s="258">
        <v>180</v>
      </c>
      <c r="X85" s="115">
        <v>68</v>
      </c>
      <c r="Y85" s="257">
        <v>248</v>
      </c>
      <c r="Z85" s="117">
        <v>652</v>
      </c>
      <c r="AA85" s="115"/>
      <c r="AB85" s="117">
        <v>652</v>
      </c>
      <c r="AC85" s="258">
        <v>4210</v>
      </c>
      <c r="AD85" s="115">
        <v>0</v>
      </c>
      <c r="AE85" s="115"/>
      <c r="AF85" s="257">
        <v>4210</v>
      </c>
      <c r="AG85" s="117">
        <v>805</v>
      </c>
      <c r="AH85" s="115">
        <v>6</v>
      </c>
      <c r="AI85" s="115">
        <v>7</v>
      </c>
      <c r="AJ85" s="115"/>
      <c r="AK85" s="117">
        <v>818</v>
      </c>
      <c r="AL85" s="258"/>
      <c r="AM85" s="115">
        <v>1</v>
      </c>
      <c r="AN85" s="257">
        <v>1</v>
      </c>
      <c r="AO85" s="117"/>
      <c r="AP85" s="116"/>
      <c r="AQ85" s="117">
        <v>2</v>
      </c>
      <c r="AR85" s="115">
        <v>62</v>
      </c>
      <c r="AS85" s="115"/>
      <c r="AT85" s="117">
        <v>64</v>
      </c>
      <c r="AU85" s="258">
        <v>210</v>
      </c>
      <c r="AV85" s="115">
        <v>4</v>
      </c>
      <c r="AW85" s="115">
        <v>109</v>
      </c>
      <c r="AX85" s="115"/>
      <c r="AY85" s="115">
        <v>1</v>
      </c>
      <c r="AZ85" s="115"/>
      <c r="BA85" s="115">
        <v>0</v>
      </c>
      <c r="BB85" s="115">
        <v>0</v>
      </c>
      <c r="BC85" s="257">
        <v>324</v>
      </c>
      <c r="BD85" s="117"/>
      <c r="BE85" s="116">
        <v>4</v>
      </c>
      <c r="BF85" s="117">
        <v>183783</v>
      </c>
      <c r="BG85" s="115">
        <v>5123</v>
      </c>
      <c r="BH85" s="115">
        <v>123739</v>
      </c>
      <c r="BI85" s="115">
        <v>450</v>
      </c>
      <c r="BJ85" s="115">
        <v>1708</v>
      </c>
      <c r="BK85" s="115">
        <v>1</v>
      </c>
      <c r="BL85" s="117">
        <v>314804</v>
      </c>
      <c r="BM85" s="116">
        <v>21</v>
      </c>
      <c r="BN85" s="116"/>
      <c r="BO85" s="116"/>
      <c r="BP85" s="116">
        <v>20</v>
      </c>
      <c r="BQ85" s="117">
        <v>46</v>
      </c>
      <c r="BR85" s="115"/>
      <c r="BS85" s="117">
        <v>46</v>
      </c>
      <c r="BT85" s="116">
        <v>1</v>
      </c>
      <c r="BU85" s="117">
        <v>5</v>
      </c>
      <c r="BV85" s="115"/>
      <c r="BW85" s="115"/>
      <c r="BX85" s="117">
        <v>5</v>
      </c>
      <c r="BY85" s="258">
        <v>4</v>
      </c>
      <c r="BZ85" s="115"/>
      <c r="CA85" s="115">
        <v>3</v>
      </c>
      <c r="CB85" s="115">
        <v>26</v>
      </c>
      <c r="CC85" s="115">
        <v>6</v>
      </c>
      <c r="CD85" s="115">
        <v>1</v>
      </c>
      <c r="CE85" s="115">
        <v>2</v>
      </c>
      <c r="CF85" s="115"/>
      <c r="CG85" s="115">
        <v>10</v>
      </c>
      <c r="CH85" s="115">
        <v>1</v>
      </c>
      <c r="CI85" s="115">
        <v>6</v>
      </c>
      <c r="CJ85" s="115"/>
      <c r="CK85" s="115">
        <v>8</v>
      </c>
      <c r="CL85" s="115">
        <v>6</v>
      </c>
      <c r="CM85" s="115"/>
      <c r="CN85" s="257">
        <v>73</v>
      </c>
      <c r="CO85" s="117"/>
      <c r="CP85" s="115"/>
      <c r="CQ85" s="117"/>
      <c r="CR85" s="116"/>
      <c r="CS85" s="117">
        <v>530</v>
      </c>
      <c r="CT85" s="115">
        <v>64</v>
      </c>
      <c r="CU85" s="115">
        <v>147529</v>
      </c>
      <c r="CV85" s="115">
        <v>1374</v>
      </c>
      <c r="CW85" s="115">
        <v>41729</v>
      </c>
      <c r="CX85" s="115">
        <v>267</v>
      </c>
      <c r="CY85" s="115">
        <v>248</v>
      </c>
      <c r="CZ85" s="115">
        <v>104</v>
      </c>
      <c r="DA85" s="115">
        <v>7</v>
      </c>
      <c r="DB85" s="115">
        <v>21</v>
      </c>
      <c r="DC85" s="115">
        <v>2</v>
      </c>
      <c r="DD85" s="117">
        <v>191875</v>
      </c>
      <c r="DE85" s="258">
        <v>5617</v>
      </c>
      <c r="DF85" s="115">
        <v>245</v>
      </c>
      <c r="DG85" s="115">
        <v>435</v>
      </c>
      <c r="DH85" s="115">
        <v>224</v>
      </c>
      <c r="DI85" s="115">
        <v>24</v>
      </c>
      <c r="DJ85" s="115">
        <v>0</v>
      </c>
      <c r="DK85" s="115"/>
      <c r="DL85" s="257">
        <v>6545</v>
      </c>
      <c r="DM85" s="117">
        <v>2</v>
      </c>
      <c r="DN85" s="116"/>
      <c r="DO85" s="117"/>
      <c r="DP85" s="115">
        <v>1</v>
      </c>
      <c r="DQ85" s="117">
        <v>1</v>
      </c>
      <c r="DR85" s="116">
        <v>107</v>
      </c>
      <c r="DS85" s="117"/>
      <c r="DT85" s="115"/>
      <c r="DU85" s="117"/>
      <c r="DV85" s="258">
        <v>381</v>
      </c>
      <c r="DW85" s="115"/>
      <c r="DX85" s="257">
        <v>381</v>
      </c>
      <c r="DY85" s="117">
        <v>23</v>
      </c>
      <c r="DZ85" s="116">
        <v>4</v>
      </c>
      <c r="EA85" s="117">
        <v>84827</v>
      </c>
      <c r="EB85" s="115"/>
      <c r="EC85" s="117">
        <v>84827</v>
      </c>
      <c r="ED85" s="116">
        <v>0</v>
      </c>
      <c r="EE85" s="116"/>
      <c r="EF85" s="117">
        <v>234</v>
      </c>
      <c r="EG85" s="115">
        <v>317</v>
      </c>
      <c r="EH85" s="115">
        <v>3</v>
      </c>
      <c r="EI85" s="115"/>
      <c r="EJ85" s="115"/>
      <c r="EK85" s="115"/>
      <c r="EL85" s="117">
        <v>554</v>
      </c>
      <c r="EM85" s="258">
        <v>3134</v>
      </c>
      <c r="EN85" s="115">
        <v>5729</v>
      </c>
      <c r="EO85" s="115">
        <v>187</v>
      </c>
      <c r="EP85" s="115">
        <v>4568</v>
      </c>
      <c r="EQ85" s="115">
        <v>11436</v>
      </c>
      <c r="ER85" s="115">
        <v>334</v>
      </c>
      <c r="ES85" s="115">
        <v>1480</v>
      </c>
      <c r="ET85" s="115">
        <v>15</v>
      </c>
      <c r="EU85" s="115">
        <v>7</v>
      </c>
      <c r="EV85" s="115">
        <v>19</v>
      </c>
      <c r="EW85" s="115">
        <v>0</v>
      </c>
      <c r="EX85" s="115">
        <v>30</v>
      </c>
      <c r="EY85" s="115"/>
      <c r="EZ85" s="257">
        <v>26939</v>
      </c>
      <c r="FA85" s="117"/>
      <c r="FB85" s="116">
        <v>21</v>
      </c>
      <c r="FC85" s="117">
        <v>3</v>
      </c>
      <c r="FD85" s="115"/>
      <c r="FE85" s="115">
        <v>3</v>
      </c>
      <c r="FF85" s="117">
        <v>6</v>
      </c>
      <c r="FG85" s="116">
        <v>1</v>
      </c>
      <c r="FH85" s="116">
        <v>0</v>
      </c>
      <c r="FI85" s="117">
        <v>35</v>
      </c>
      <c r="FJ85" s="115">
        <v>6</v>
      </c>
      <c r="FK85" s="115">
        <v>2</v>
      </c>
      <c r="FL85" s="115"/>
      <c r="FM85" s="117">
        <v>43</v>
      </c>
      <c r="FN85" s="258"/>
      <c r="FO85" s="115"/>
      <c r="FP85" s="257"/>
      <c r="FQ85" s="117">
        <v>1</v>
      </c>
      <c r="FR85" s="115"/>
      <c r="FS85" s="117">
        <v>1</v>
      </c>
      <c r="FT85" s="116"/>
      <c r="FU85" s="117">
        <v>198</v>
      </c>
      <c r="FV85" s="115"/>
      <c r="FW85" s="117">
        <v>198</v>
      </c>
      <c r="FX85" s="258">
        <v>10</v>
      </c>
      <c r="FY85" s="115">
        <v>56</v>
      </c>
      <c r="FZ85" s="115">
        <v>32</v>
      </c>
      <c r="GA85" s="115">
        <v>8</v>
      </c>
      <c r="GB85" s="257">
        <v>106</v>
      </c>
      <c r="GC85" s="117"/>
      <c r="GD85" s="258">
        <v>50</v>
      </c>
      <c r="GE85" s="115">
        <v>1</v>
      </c>
      <c r="GF85" s="257">
        <v>51</v>
      </c>
      <c r="GG85" s="117"/>
      <c r="GH85" s="258">
        <v>2</v>
      </c>
      <c r="GI85" s="115"/>
      <c r="GJ85" s="115"/>
      <c r="GK85" s="257">
        <v>2</v>
      </c>
      <c r="GL85" s="117">
        <v>123</v>
      </c>
      <c r="GM85" s="258">
        <v>61</v>
      </c>
      <c r="GN85" s="115">
        <v>10</v>
      </c>
      <c r="GO85" s="115">
        <v>704</v>
      </c>
      <c r="GP85" s="115"/>
      <c r="GQ85" s="257">
        <v>775</v>
      </c>
      <c r="GR85" s="117">
        <v>990005</v>
      </c>
      <c r="GS85" s="324">
        <f>990005/49209180</f>
        <v>2.0118299065336995E-2</v>
      </c>
      <c r="GT85" s="293"/>
      <c r="GU85" s="293"/>
      <c r="GV85" s="293"/>
      <c r="GW85" s="293"/>
      <c r="GX85" s="293"/>
      <c r="GY85" s="293"/>
      <c r="GZ85" s="293"/>
      <c r="HA85" s="293"/>
      <c r="HB85" s="293"/>
      <c r="HC85" s="293"/>
      <c r="HD85" s="293"/>
      <c r="HE85" s="293"/>
      <c r="HF85" s="293"/>
      <c r="HG85" s="293"/>
      <c r="HH85" s="293"/>
      <c r="HI85" s="293"/>
      <c r="HJ85" s="293"/>
      <c r="HK85" s="293"/>
      <c r="HL85" s="293"/>
      <c r="HM85" s="293"/>
      <c r="HN85" s="293"/>
      <c r="HO85" s="293"/>
      <c r="HP85" s="293"/>
      <c r="HQ85" s="293"/>
      <c r="HR85" s="293"/>
      <c r="HS85" s="293"/>
      <c r="HT85" s="293"/>
      <c r="HU85" s="293"/>
      <c r="HV85" s="293"/>
      <c r="HW85" s="293"/>
      <c r="HX85" s="294"/>
    </row>
    <row r="86" spans="2:232" ht="12.75" x14ac:dyDescent="0.2">
      <c r="B86" s="259" t="s">
        <v>218</v>
      </c>
      <c r="C86" s="258">
        <v>46</v>
      </c>
      <c r="D86" s="115">
        <v>0</v>
      </c>
      <c r="E86" s="115"/>
      <c r="F86" s="115"/>
      <c r="G86" s="257">
        <v>46</v>
      </c>
      <c r="H86" s="117"/>
      <c r="I86" s="258">
        <v>4</v>
      </c>
      <c r="J86" s="115"/>
      <c r="K86" s="257">
        <v>4</v>
      </c>
      <c r="L86" s="117"/>
      <c r="M86" s="116">
        <v>2590</v>
      </c>
      <c r="N86" s="117">
        <v>79686</v>
      </c>
      <c r="O86" s="115">
        <v>1864</v>
      </c>
      <c r="P86" s="115">
        <v>152</v>
      </c>
      <c r="Q86" s="115">
        <v>58</v>
      </c>
      <c r="R86" s="115">
        <v>1</v>
      </c>
      <c r="S86" s="115">
        <v>4</v>
      </c>
      <c r="T86" s="115">
        <v>0</v>
      </c>
      <c r="U86" s="115"/>
      <c r="V86" s="117">
        <v>81765</v>
      </c>
      <c r="W86" s="258">
        <v>216</v>
      </c>
      <c r="X86" s="115">
        <v>79</v>
      </c>
      <c r="Y86" s="257">
        <v>295</v>
      </c>
      <c r="Z86" s="117">
        <v>357</v>
      </c>
      <c r="AA86" s="115"/>
      <c r="AB86" s="117">
        <v>357</v>
      </c>
      <c r="AC86" s="258">
        <v>1372</v>
      </c>
      <c r="AD86" s="115">
        <v>2</v>
      </c>
      <c r="AE86" s="115"/>
      <c r="AF86" s="257">
        <v>1374</v>
      </c>
      <c r="AG86" s="117">
        <v>356</v>
      </c>
      <c r="AH86" s="115">
        <v>7</v>
      </c>
      <c r="AI86" s="115">
        <v>1</v>
      </c>
      <c r="AJ86" s="115"/>
      <c r="AK86" s="117">
        <v>364</v>
      </c>
      <c r="AL86" s="258"/>
      <c r="AM86" s="115"/>
      <c r="AN86" s="257"/>
      <c r="AO86" s="117"/>
      <c r="AP86" s="116"/>
      <c r="AQ86" s="117"/>
      <c r="AR86" s="115"/>
      <c r="AS86" s="115"/>
      <c r="AT86" s="117"/>
      <c r="AU86" s="258">
        <v>3</v>
      </c>
      <c r="AV86" s="115">
        <v>6</v>
      </c>
      <c r="AW86" s="115">
        <v>68</v>
      </c>
      <c r="AX86" s="115"/>
      <c r="AY86" s="115"/>
      <c r="AZ86" s="115"/>
      <c r="BA86" s="115"/>
      <c r="BB86" s="115"/>
      <c r="BC86" s="257">
        <v>77</v>
      </c>
      <c r="BD86" s="117"/>
      <c r="BE86" s="116">
        <v>3</v>
      </c>
      <c r="BF86" s="117">
        <v>2307</v>
      </c>
      <c r="BG86" s="115">
        <v>4955</v>
      </c>
      <c r="BH86" s="115">
        <v>135957</v>
      </c>
      <c r="BI86" s="115">
        <v>345</v>
      </c>
      <c r="BJ86" s="115">
        <v>302</v>
      </c>
      <c r="BK86" s="115"/>
      <c r="BL86" s="117">
        <v>143866</v>
      </c>
      <c r="BM86" s="116">
        <v>11</v>
      </c>
      <c r="BN86" s="116"/>
      <c r="BO86" s="116">
        <v>2</v>
      </c>
      <c r="BP86" s="116">
        <v>10</v>
      </c>
      <c r="BQ86" s="117">
        <v>23</v>
      </c>
      <c r="BR86" s="115"/>
      <c r="BS86" s="117">
        <v>23</v>
      </c>
      <c r="BT86" s="116"/>
      <c r="BU86" s="117">
        <v>2</v>
      </c>
      <c r="BV86" s="115"/>
      <c r="BW86" s="115"/>
      <c r="BX86" s="117">
        <v>2</v>
      </c>
      <c r="BY86" s="258"/>
      <c r="BZ86" s="115"/>
      <c r="CA86" s="115"/>
      <c r="CB86" s="115"/>
      <c r="CC86" s="115">
        <v>1</v>
      </c>
      <c r="CD86" s="115"/>
      <c r="CE86" s="115"/>
      <c r="CF86" s="115"/>
      <c r="CG86" s="115"/>
      <c r="CH86" s="115"/>
      <c r="CI86" s="115">
        <v>0</v>
      </c>
      <c r="CJ86" s="115">
        <v>1</v>
      </c>
      <c r="CK86" s="115"/>
      <c r="CL86" s="115"/>
      <c r="CM86" s="115"/>
      <c r="CN86" s="257">
        <v>2</v>
      </c>
      <c r="CO86" s="117">
        <v>2</v>
      </c>
      <c r="CP86" s="115"/>
      <c r="CQ86" s="117">
        <v>2</v>
      </c>
      <c r="CR86" s="116"/>
      <c r="CS86" s="117">
        <v>303</v>
      </c>
      <c r="CT86" s="115">
        <v>1</v>
      </c>
      <c r="CU86" s="115">
        <v>45062</v>
      </c>
      <c r="CV86" s="115">
        <v>228</v>
      </c>
      <c r="CW86" s="115">
        <v>12531</v>
      </c>
      <c r="CX86" s="115">
        <v>6</v>
      </c>
      <c r="CY86" s="115">
        <v>4</v>
      </c>
      <c r="CZ86" s="115">
        <v>21</v>
      </c>
      <c r="DA86" s="115">
        <v>1</v>
      </c>
      <c r="DB86" s="115">
        <v>8</v>
      </c>
      <c r="DC86" s="115"/>
      <c r="DD86" s="117">
        <v>58165</v>
      </c>
      <c r="DE86" s="258">
        <v>3493</v>
      </c>
      <c r="DF86" s="115">
        <v>3</v>
      </c>
      <c r="DG86" s="115">
        <v>92</v>
      </c>
      <c r="DH86" s="115">
        <v>37</v>
      </c>
      <c r="DI86" s="115">
        <v>2</v>
      </c>
      <c r="DJ86" s="115"/>
      <c r="DK86" s="115"/>
      <c r="DL86" s="257">
        <v>3627</v>
      </c>
      <c r="DM86" s="117"/>
      <c r="DN86" s="116"/>
      <c r="DO86" s="117"/>
      <c r="DP86" s="115"/>
      <c r="DQ86" s="117"/>
      <c r="DR86" s="116">
        <v>43</v>
      </c>
      <c r="DS86" s="117"/>
      <c r="DT86" s="115"/>
      <c r="DU86" s="117"/>
      <c r="DV86" s="258">
        <v>9</v>
      </c>
      <c r="DW86" s="115"/>
      <c r="DX86" s="257">
        <v>9</v>
      </c>
      <c r="DY86" s="117">
        <v>8</v>
      </c>
      <c r="DZ86" s="116">
        <v>2</v>
      </c>
      <c r="EA86" s="117">
        <v>604</v>
      </c>
      <c r="EB86" s="115"/>
      <c r="EC86" s="117">
        <v>604</v>
      </c>
      <c r="ED86" s="116"/>
      <c r="EE86" s="116"/>
      <c r="EF86" s="117">
        <v>19</v>
      </c>
      <c r="EG86" s="115">
        <v>10</v>
      </c>
      <c r="EH86" s="115"/>
      <c r="EI86" s="115"/>
      <c r="EJ86" s="115"/>
      <c r="EK86" s="115"/>
      <c r="EL86" s="117">
        <v>29</v>
      </c>
      <c r="EM86" s="258">
        <v>1361</v>
      </c>
      <c r="EN86" s="115">
        <v>2049</v>
      </c>
      <c r="EO86" s="115">
        <v>76</v>
      </c>
      <c r="EP86" s="115">
        <v>935</v>
      </c>
      <c r="EQ86" s="115">
        <v>12935</v>
      </c>
      <c r="ER86" s="115">
        <v>289</v>
      </c>
      <c r="ES86" s="115">
        <v>627</v>
      </c>
      <c r="ET86" s="115">
        <v>7</v>
      </c>
      <c r="EU86" s="115">
        <v>1</v>
      </c>
      <c r="EV86" s="115">
        <v>7</v>
      </c>
      <c r="EW86" s="115"/>
      <c r="EX86" s="115">
        <v>10</v>
      </c>
      <c r="EY86" s="115"/>
      <c r="EZ86" s="257">
        <v>18297</v>
      </c>
      <c r="FA86" s="117"/>
      <c r="FB86" s="116">
        <v>10</v>
      </c>
      <c r="FC86" s="117">
        <v>2</v>
      </c>
      <c r="FD86" s="115"/>
      <c r="FE86" s="115"/>
      <c r="FF86" s="117">
        <v>2</v>
      </c>
      <c r="FG86" s="116"/>
      <c r="FH86" s="116">
        <v>3</v>
      </c>
      <c r="FI86" s="117">
        <v>21</v>
      </c>
      <c r="FJ86" s="115">
        <v>1</v>
      </c>
      <c r="FK86" s="115"/>
      <c r="FL86" s="115">
        <v>2</v>
      </c>
      <c r="FM86" s="117">
        <v>24</v>
      </c>
      <c r="FN86" s="258"/>
      <c r="FO86" s="115"/>
      <c r="FP86" s="257"/>
      <c r="FQ86" s="117"/>
      <c r="FR86" s="115"/>
      <c r="FS86" s="117"/>
      <c r="FT86" s="116">
        <v>2</v>
      </c>
      <c r="FU86" s="117">
        <v>31</v>
      </c>
      <c r="FV86" s="115"/>
      <c r="FW86" s="117">
        <v>31</v>
      </c>
      <c r="FX86" s="258"/>
      <c r="FY86" s="115">
        <v>22</v>
      </c>
      <c r="FZ86" s="115">
        <v>24</v>
      </c>
      <c r="GA86" s="115"/>
      <c r="GB86" s="257">
        <v>46</v>
      </c>
      <c r="GC86" s="117"/>
      <c r="GD86" s="258">
        <v>27</v>
      </c>
      <c r="GE86" s="115">
        <v>1</v>
      </c>
      <c r="GF86" s="257">
        <v>28</v>
      </c>
      <c r="GG86" s="117"/>
      <c r="GH86" s="258">
        <v>0</v>
      </c>
      <c r="GI86" s="115">
        <v>3</v>
      </c>
      <c r="GJ86" s="115"/>
      <c r="GK86" s="257">
        <v>3</v>
      </c>
      <c r="GL86" s="117">
        <v>1</v>
      </c>
      <c r="GM86" s="258">
        <v>3</v>
      </c>
      <c r="GN86" s="115">
        <v>8</v>
      </c>
      <c r="GO86" s="115"/>
      <c r="GP86" s="115"/>
      <c r="GQ86" s="257">
        <v>11</v>
      </c>
      <c r="GR86" s="117">
        <v>311738</v>
      </c>
      <c r="GS86" s="324">
        <f>311738/49209180</f>
        <v>6.3349562012616342E-3</v>
      </c>
      <c r="GT86" s="293"/>
      <c r="GU86" s="293"/>
      <c r="GV86" s="293"/>
      <c r="GW86" s="293"/>
      <c r="GX86" s="293"/>
      <c r="GY86" s="293"/>
      <c r="GZ86" s="293"/>
      <c r="HA86" s="293"/>
      <c r="HB86" s="293"/>
      <c r="HC86" s="293"/>
      <c r="HD86" s="293"/>
      <c r="HE86" s="293"/>
      <c r="HF86" s="293"/>
      <c r="HG86" s="293"/>
      <c r="HH86" s="293"/>
      <c r="HI86" s="293"/>
      <c r="HJ86" s="293"/>
      <c r="HK86" s="293"/>
      <c r="HL86" s="293"/>
      <c r="HM86" s="293"/>
      <c r="HN86" s="293"/>
      <c r="HO86" s="293"/>
      <c r="HP86" s="293"/>
      <c r="HQ86" s="293"/>
      <c r="HR86" s="293"/>
      <c r="HS86" s="293"/>
      <c r="HT86" s="293"/>
      <c r="HU86" s="293"/>
      <c r="HV86" s="293"/>
      <c r="HW86" s="293"/>
      <c r="HX86" s="294"/>
    </row>
    <row r="87" spans="2:232" ht="12.75" x14ac:dyDescent="0.2">
      <c r="B87" s="259" t="s">
        <v>222</v>
      </c>
      <c r="C87" s="258">
        <v>5</v>
      </c>
      <c r="D87" s="115"/>
      <c r="E87" s="115"/>
      <c r="F87" s="115"/>
      <c r="G87" s="257">
        <v>5</v>
      </c>
      <c r="H87" s="117"/>
      <c r="I87" s="258">
        <v>13</v>
      </c>
      <c r="J87" s="115"/>
      <c r="K87" s="257">
        <v>13</v>
      </c>
      <c r="L87" s="117"/>
      <c r="M87" s="116">
        <v>144</v>
      </c>
      <c r="N87" s="117">
        <v>16343</v>
      </c>
      <c r="O87" s="115">
        <v>6</v>
      </c>
      <c r="P87" s="115">
        <v>5</v>
      </c>
      <c r="Q87" s="115">
        <v>25</v>
      </c>
      <c r="R87" s="115">
        <v>1</v>
      </c>
      <c r="S87" s="115">
        <v>1</v>
      </c>
      <c r="T87" s="115"/>
      <c r="U87" s="115"/>
      <c r="V87" s="117">
        <v>16381</v>
      </c>
      <c r="W87" s="258">
        <v>27</v>
      </c>
      <c r="X87" s="115">
        <v>38</v>
      </c>
      <c r="Y87" s="257">
        <v>65</v>
      </c>
      <c r="Z87" s="117">
        <v>69</v>
      </c>
      <c r="AA87" s="115"/>
      <c r="AB87" s="117">
        <v>69</v>
      </c>
      <c r="AC87" s="258">
        <v>1246</v>
      </c>
      <c r="AD87" s="115">
        <v>2</v>
      </c>
      <c r="AE87" s="115"/>
      <c r="AF87" s="257">
        <v>1248</v>
      </c>
      <c r="AG87" s="117">
        <v>12</v>
      </c>
      <c r="AH87" s="115">
        <v>0</v>
      </c>
      <c r="AI87" s="115"/>
      <c r="AJ87" s="115"/>
      <c r="AK87" s="117">
        <v>12</v>
      </c>
      <c r="AL87" s="258"/>
      <c r="AM87" s="115"/>
      <c r="AN87" s="257"/>
      <c r="AO87" s="117"/>
      <c r="AP87" s="116"/>
      <c r="AQ87" s="117"/>
      <c r="AR87" s="115">
        <v>4</v>
      </c>
      <c r="AS87" s="115"/>
      <c r="AT87" s="117">
        <v>4</v>
      </c>
      <c r="AU87" s="258"/>
      <c r="AV87" s="115">
        <v>1</v>
      </c>
      <c r="AW87" s="115"/>
      <c r="AX87" s="115"/>
      <c r="AY87" s="115"/>
      <c r="AZ87" s="115"/>
      <c r="BA87" s="115"/>
      <c r="BB87" s="115"/>
      <c r="BC87" s="257">
        <v>1</v>
      </c>
      <c r="BD87" s="117"/>
      <c r="BE87" s="116">
        <v>1</v>
      </c>
      <c r="BF87" s="117">
        <v>55</v>
      </c>
      <c r="BG87" s="115">
        <v>314</v>
      </c>
      <c r="BH87" s="115">
        <v>1378</v>
      </c>
      <c r="BI87" s="115">
        <v>19</v>
      </c>
      <c r="BJ87" s="115">
        <v>24</v>
      </c>
      <c r="BK87" s="115"/>
      <c r="BL87" s="117">
        <v>1790</v>
      </c>
      <c r="BM87" s="116">
        <v>2</v>
      </c>
      <c r="BN87" s="116"/>
      <c r="BO87" s="116"/>
      <c r="BP87" s="116">
        <v>2</v>
      </c>
      <c r="BQ87" s="117">
        <v>2</v>
      </c>
      <c r="BR87" s="115"/>
      <c r="BS87" s="117">
        <v>2</v>
      </c>
      <c r="BT87" s="116"/>
      <c r="BU87" s="117">
        <v>2</v>
      </c>
      <c r="BV87" s="115"/>
      <c r="BW87" s="115"/>
      <c r="BX87" s="117">
        <v>2</v>
      </c>
      <c r="BY87" s="258"/>
      <c r="BZ87" s="115"/>
      <c r="CA87" s="115"/>
      <c r="CB87" s="115"/>
      <c r="CC87" s="115">
        <v>1</v>
      </c>
      <c r="CD87" s="115"/>
      <c r="CE87" s="115"/>
      <c r="CF87" s="115"/>
      <c r="CG87" s="115"/>
      <c r="CH87" s="115"/>
      <c r="CI87" s="115"/>
      <c r="CJ87" s="115"/>
      <c r="CK87" s="115"/>
      <c r="CL87" s="115"/>
      <c r="CM87" s="115"/>
      <c r="CN87" s="257">
        <v>1</v>
      </c>
      <c r="CO87" s="117"/>
      <c r="CP87" s="115"/>
      <c r="CQ87" s="117"/>
      <c r="CR87" s="116"/>
      <c r="CS87" s="117">
        <v>64</v>
      </c>
      <c r="CT87" s="115">
        <v>2</v>
      </c>
      <c r="CU87" s="115">
        <v>27616</v>
      </c>
      <c r="CV87" s="115">
        <v>1199</v>
      </c>
      <c r="CW87" s="115">
        <v>1829</v>
      </c>
      <c r="CX87" s="115">
        <v>8</v>
      </c>
      <c r="CY87" s="115"/>
      <c r="CZ87" s="115"/>
      <c r="DA87" s="115"/>
      <c r="DB87" s="115"/>
      <c r="DC87" s="115"/>
      <c r="DD87" s="117">
        <v>30718</v>
      </c>
      <c r="DE87" s="258">
        <v>459</v>
      </c>
      <c r="DF87" s="115"/>
      <c r="DG87" s="115">
        <v>30</v>
      </c>
      <c r="DH87" s="115">
        <v>55</v>
      </c>
      <c r="DI87" s="115">
        <v>2</v>
      </c>
      <c r="DJ87" s="115"/>
      <c r="DK87" s="115"/>
      <c r="DL87" s="257">
        <v>546</v>
      </c>
      <c r="DM87" s="117"/>
      <c r="DN87" s="116"/>
      <c r="DO87" s="117"/>
      <c r="DP87" s="115"/>
      <c r="DQ87" s="117"/>
      <c r="DR87" s="116">
        <v>12</v>
      </c>
      <c r="DS87" s="117"/>
      <c r="DT87" s="115"/>
      <c r="DU87" s="117"/>
      <c r="DV87" s="258">
        <v>12</v>
      </c>
      <c r="DW87" s="115"/>
      <c r="DX87" s="257">
        <v>12</v>
      </c>
      <c r="DY87" s="117">
        <v>1</v>
      </c>
      <c r="DZ87" s="116"/>
      <c r="EA87" s="117">
        <v>133</v>
      </c>
      <c r="EB87" s="115"/>
      <c r="EC87" s="117">
        <v>133</v>
      </c>
      <c r="ED87" s="116"/>
      <c r="EE87" s="116"/>
      <c r="EF87" s="117"/>
      <c r="EG87" s="115">
        <v>7</v>
      </c>
      <c r="EH87" s="115"/>
      <c r="EI87" s="115"/>
      <c r="EJ87" s="115"/>
      <c r="EK87" s="115">
        <v>2</v>
      </c>
      <c r="EL87" s="117">
        <v>9</v>
      </c>
      <c r="EM87" s="258">
        <v>1356</v>
      </c>
      <c r="EN87" s="115">
        <v>113</v>
      </c>
      <c r="EO87" s="115">
        <v>24</v>
      </c>
      <c r="EP87" s="115">
        <v>532</v>
      </c>
      <c r="EQ87" s="115">
        <v>97</v>
      </c>
      <c r="ER87" s="115">
        <v>10</v>
      </c>
      <c r="ES87" s="115">
        <v>269</v>
      </c>
      <c r="ET87" s="115">
        <v>1</v>
      </c>
      <c r="EU87" s="115">
        <v>3</v>
      </c>
      <c r="EV87" s="115">
        <v>5</v>
      </c>
      <c r="EW87" s="115"/>
      <c r="EX87" s="115">
        <v>2</v>
      </c>
      <c r="EY87" s="115"/>
      <c r="EZ87" s="257">
        <v>2412</v>
      </c>
      <c r="FA87" s="117"/>
      <c r="FB87" s="116"/>
      <c r="FC87" s="117">
        <v>0</v>
      </c>
      <c r="FD87" s="115"/>
      <c r="FE87" s="115"/>
      <c r="FF87" s="117">
        <v>0</v>
      </c>
      <c r="FG87" s="116"/>
      <c r="FH87" s="116"/>
      <c r="FI87" s="117">
        <v>1</v>
      </c>
      <c r="FJ87" s="115"/>
      <c r="FK87" s="115"/>
      <c r="FL87" s="115"/>
      <c r="FM87" s="117">
        <v>1</v>
      </c>
      <c r="FN87" s="258"/>
      <c r="FO87" s="115"/>
      <c r="FP87" s="257"/>
      <c r="FQ87" s="117"/>
      <c r="FR87" s="115"/>
      <c r="FS87" s="117"/>
      <c r="FT87" s="116"/>
      <c r="FU87" s="117">
        <v>9</v>
      </c>
      <c r="FV87" s="115"/>
      <c r="FW87" s="117">
        <v>9</v>
      </c>
      <c r="FX87" s="258">
        <v>1</v>
      </c>
      <c r="FY87" s="115"/>
      <c r="FZ87" s="115"/>
      <c r="GA87" s="115"/>
      <c r="GB87" s="257">
        <v>1</v>
      </c>
      <c r="GC87" s="117"/>
      <c r="GD87" s="258">
        <v>4</v>
      </c>
      <c r="GE87" s="115"/>
      <c r="GF87" s="257">
        <v>4</v>
      </c>
      <c r="GG87" s="117"/>
      <c r="GH87" s="258">
        <v>0</v>
      </c>
      <c r="GI87" s="115"/>
      <c r="GJ87" s="115"/>
      <c r="GK87" s="257">
        <v>0</v>
      </c>
      <c r="GL87" s="117">
        <v>0</v>
      </c>
      <c r="GM87" s="258"/>
      <c r="GN87" s="115"/>
      <c r="GO87" s="115"/>
      <c r="GP87" s="115"/>
      <c r="GQ87" s="257"/>
      <c r="GR87" s="117">
        <v>53600</v>
      </c>
      <c r="GS87" s="324">
        <f>53600/49209180</f>
        <v>1.0892276603674356E-3</v>
      </c>
      <c r="GT87" s="293"/>
      <c r="GU87" s="293"/>
      <c r="GV87" s="293"/>
      <c r="GW87" s="293"/>
      <c r="GX87" s="293"/>
      <c r="GY87" s="293"/>
      <c r="GZ87" s="293"/>
      <c r="HA87" s="293"/>
      <c r="HB87" s="293"/>
      <c r="HC87" s="293"/>
      <c r="HD87" s="293"/>
      <c r="HE87" s="293"/>
      <c r="HF87" s="293"/>
      <c r="HG87" s="293"/>
      <c r="HH87" s="293"/>
      <c r="HI87" s="293"/>
      <c r="HJ87" s="293"/>
      <c r="HK87" s="293"/>
      <c r="HL87" s="293"/>
      <c r="HM87" s="293"/>
      <c r="HN87" s="293"/>
      <c r="HO87" s="293"/>
      <c r="HP87" s="293"/>
      <c r="HQ87" s="293"/>
      <c r="HR87" s="293"/>
      <c r="HS87" s="293"/>
      <c r="HT87" s="293"/>
      <c r="HU87" s="293"/>
      <c r="HV87" s="293"/>
      <c r="HW87" s="293"/>
      <c r="HX87" s="294"/>
    </row>
    <row r="88" spans="2:232" ht="13.5" thickBot="1" x14ac:dyDescent="0.25">
      <c r="B88" s="325" t="s">
        <v>554</v>
      </c>
      <c r="C88" s="326">
        <v>2</v>
      </c>
      <c r="D88" s="327"/>
      <c r="E88" s="327"/>
      <c r="F88" s="327"/>
      <c r="G88" s="328">
        <v>2</v>
      </c>
      <c r="H88" s="329"/>
      <c r="I88" s="326"/>
      <c r="J88" s="327"/>
      <c r="K88" s="328"/>
      <c r="L88" s="329"/>
      <c r="M88" s="330">
        <v>91</v>
      </c>
      <c r="N88" s="329">
        <v>815</v>
      </c>
      <c r="O88" s="327"/>
      <c r="P88" s="327">
        <v>4</v>
      </c>
      <c r="Q88" s="327">
        <v>1</v>
      </c>
      <c r="R88" s="327"/>
      <c r="S88" s="327">
        <v>2</v>
      </c>
      <c r="T88" s="327"/>
      <c r="U88" s="327"/>
      <c r="V88" s="329">
        <v>822</v>
      </c>
      <c r="W88" s="326"/>
      <c r="X88" s="327">
        <v>2</v>
      </c>
      <c r="Y88" s="328">
        <v>2</v>
      </c>
      <c r="Z88" s="329">
        <v>5</v>
      </c>
      <c r="AA88" s="327"/>
      <c r="AB88" s="329">
        <v>5</v>
      </c>
      <c r="AC88" s="326">
        <v>59</v>
      </c>
      <c r="AD88" s="327"/>
      <c r="AE88" s="327"/>
      <c r="AF88" s="328">
        <v>59</v>
      </c>
      <c r="AG88" s="329">
        <v>3</v>
      </c>
      <c r="AH88" s="327"/>
      <c r="AI88" s="327"/>
      <c r="AJ88" s="327"/>
      <c r="AK88" s="329">
        <v>3</v>
      </c>
      <c r="AL88" s="326"/>
      <c r="AM88" s="327"/>
      <c r="AN88" s="328"/>
      <c r="AO88" s="329"/>
      <c r="AP88" s="330"/>
      <c r="AQ88" s="329"/>
      <c r="AR88" s="327"/>
      <c r="AS88" s="327"/>
      <c r="AT88" s="329"/>
      <c r="AU88" s="326"/>
      <c r="AV88" s="327"/>
      <c r="AW88" s="327"/>
      <c r="AX88" s="327">
        <v>0</v>
      </c>
      <c r="AY88" s="327"/>
      <c r="AZ88" s="327"/>
      <c r="BA88" s="327"/>
      <c r="BB88" s="327"/>
      <c r="BC88" s="328">
        <v>0</v>
      </c>
      <c r="BD88" s="329"/>
      <c r="BE88" s="330"/>
      <c r="BF88" s="329">
        <v>13</v>
      </c>
      <c r="BG88" s="327">
        <v>26</v>
      </c>
      <c r="BH88" s="327">
        <v>81</v>
      </c>
      <c r="BI88" s="327">
        <v>5</v>
      </c>
      <c r="BJ88" s="327">
        <v>4</v>
      </c>
      <c r="BK88" s="327"/>
      <c r="BL88" s="329">
        <v>129</v>
      </c>
      <c r="BM88" s="330"/>
      <c r="BN88" s="330"/>
      <c r="BO88" s="330"/>
      <c r="BP88" s="330"/>
      <c r="BQ88" s="329">
        <v>1</v>
      </c>
      <c r="BR88" s="327"/>
      <c r="BS88" s="329">
        <v>1</v>
      </c>
      <c r="BT88" s="330"/>
      <c r="BU88" s="329"/>
      <c r="BV88" s="327"/>
      <c r="BW88" s="327"/>
      <c r="BX88" s="329"/>
      <c r="BY88" s="326"/>
      <c r="BZ88" s="327"/>
      <c r="CA88" s="327"/>
      <c r="CB88" s="327"/>
      <c r="CC88" s="327"/>
      <c r="CD88" s="327"/>
      <c r="CE88" s="327"/>
      <c r="CF88" s="327"/>
      <c r="CG88" s="327"/>
      <c r="CH88" s="327"/>
      <c r="CI88" s="327"/>
      <c r="CJ88" s="327"/>
      <c r="CK88" s="327"/>
      <c r="CL88" s="327"/>
      <c r="CM88" s="327"/>
      <c r="CN88" s="328"/>
      <c r="CO88" s="329"/>
      <c r="CP88" s="327"/>
      <c r="CQ88" s="329"/>
      <c r="CR88" s="330"/>
      <c r="CS88" s="329">
        <v>3</v>
      </c>
      <c r="CT88" s="327"/>
      <c r="CU88" s="327">
        <v>1025</v>
      </c>
      <c r="CV88" s="327">
        <v>34</v>
      </c>
      <c r="CW88" s="327">
        <v>726</v>
      </c>
      <c r="CX88" s="327"/>
      <c r="CY88" s="327"/>
      <c r="CZ88" s="327"/>
      <c r="DA88" s="327"/>
      <c r="DB88" s="327"/>
      <c r="DC88" s="327"/>
      <c r="DD88" s="329">
        <v>1788</v>
      </c>
      <c r="DE88" s="326">
        <v>195</v>
      </c>
      <c r="DF88" s="327"/>
      <c r="DG88" s="327">
        <v>2</v>
      </c>
      <c r="DH88" s="327">
        <v>9</v>
      </c>
      <c r="DI88" s="327">
        <v>3</v>
      </c>
      <c r="DJ88" s="327"/>
      <c r="DK88" s="327"/>
      <c r="DL88" s="328">
        <v>209</v>
      </c>
      <c r="DM88" s="329"/>
      <c r="DN88" s="330"/>
      <c r="DO88" s="329"/>
      <c r="DP88" s="327"/>
      <c r="DQ88" s="329"/>
      <c r="DR88" s="330">
        <v>37</v>
      </c>
      <c r="DS88" s="329">
        <v>1</v>
      </c>
      <c r="DT88" s="327"/>
      <c r="DU88" s="329">
        <v>1</v>
      </c>
      <c r="DV88" s="326"/>
      <c r="DW88" s="327"/>
      <c r="DX88" s="328"/>
      <c r="DY88" s="329">
        <v>4</v>
      </c>
      <c r="DZ88" s="330"/>
      <c r="EA88" s="329">
        <v>2</v>
      </c>
      <c r="EB88" s="327"/>
      <c r="EC88" s="329">
        <v>2</v>
      </c>
      <c r="ED88" s="330"/>
      <c r="EE88" s="330"/>
      <c r="EF88" s="329">
        <v>0</v>
      </c>
      <c r="EG88" s="327"/>
      <c r="EH88" s="327"/>
      <c r="EI88" s="327"/>
      <c r="EJ88" s="327"/>
      <c r="EK88" s="327"/>
      <c r="EL88" s="329">
        <v>0</v>
      </c>
      <c r="EM88" s="326">
        <v>41</v>
      </c>
      <c r="EN88" s="327">
        <v>24</v>
      </c>
      <c r="EO88" s="327">
        <v>1</v>
      </c>
      <c r="EP88" s="327">
        <v>26</v>
      </c>
      <c r="EQ88" s="327">
        <v>32</v>
      </c>
      <c r="ER88" s="327"/>
      <c r="ES88" s="327">
        <v>7</v>
      </c>
      <c r="ET88" s="327">
        <v>1</v>
      </c>
      <c r="EU88" s="327">
        <v>1</v>
      </c>
      <c r="EV88" s="327">
        <v>1</v>
      </c>
      <c r="EW88" s="327"/>
      <c r="EX88" s="327">
        <v>1</v>
      </c>
      <c r="EY88" s="327"/>
      <c r="EZ88" s="328">
        <v>135</v>
      </c>
      <c r="FA88" s="329"/>
      <c r="FB88" s="330"/>
      <c r="FC88" s="329"/>
      <c r="FD88" s="327"/>
      <c r="FE88" s="327"/>
      <c r="FF88" s="329"/>
      <c r="FG88" s="330"/>
      <c r="FH88" s="330"/>
      <c r="FI88" s="329">
        <v>5</v>
      </c>
      <c r="FJ88" s="327"/>
      <c r="FK88" s="327"/>
      <c r="FL88" s="327"/>
      <c r="FM88" s="329">
        <v>5</v>
      </c>
      <c r="FN88" s="326"/>
      <c r="FO88" s="327"/>
      <c r="FP88" s="328"/>
      <c r="FQ88" s="329"/>
      <c r="FR88" s="327"/>
      <c r="FS88" s="329"/>
      <c r="FT88" s="330"/>
      <c r="FU88" s="329">
        <v>2</v>
      </c>
      <c r="FV88" s="327"/>
      <c r="FW88" s="329">
        <v>2</v>
      </c>
      <c r="FX88" s="326"/>
      <c r="FY88" s="327"/>
      <c r="FZ88" s="327"/>
      <c r="GA88" s="327"/>
      <c r="GB88" s="328"/>
      <c r="GC88" s="329"/>
      <c r="GD88" s="326">
        <v>0</v>
      </c>
      <c r="GE88" s="327"/>
      <c r="GF88" s="328">
        <v>0</v>
      </c>
      <c r="GG88" s="329"/>
      <c r="GH88" s="326">
        <v>2</v>
      </c>
      <c r="GI88" s="327"/>
      <c r="GJ88" s="327"/>
      <c r="GK88" s="328">
        <v>2</v>
      </c>
      <c r="GL88" s="329"/>
      <c r="GM88" s="326"/>
      <c r="GN88" s="327"/>
      <c r="GO88" s="327"/>
      <c r="GP88" s="327"/>
      <c r="GQ88" s="328"/>
      <c r="GR88" s="329">
        <v>3299</v>
      </c>
      <c r="GS88" s="331">
        <f>3299/49209180</f>
        <v>6.704033678268973E-5</v>
      </c>
      <c r="GT88" s="293"/>
      <c r="GU88" s="293"/>
      <c r="GV88" s="293"/>
      <c r="GW88" s="293"/>
      <c r="GX88" s="293"/>
      <c r="GY88" s="293"/>
      <c r="GZ88" s="293"/>
      <c r="HA88" s="293"/>
      <c r="HB88" s="293"/>
      <c r="HC88" s="293"/>
      <c r="HD88" s="293"/>
      <c r="HE88" s="293"/>
      <c r="HF88" s="293"/>
      <c r="HG88" s="293"/>
      <c r="HH88" s="293"/>
      <c r="HI88" s="293"/>
      <c r="HJ88" s="293"/>
      <c r="HK88" s="293"/>
      <c r="HL88" s="293"/>
      <c r="HM88" s="293"/>
      <c r="HN88" s="293"/>
      <c r="HO88" s="293"/>
      <c r="HP88" s="293"/>
      <c r="HQ88" s="293"/>
      <c r="HR88" s="293"/>
      <c r="HS88" s="293"/>
      <c r="HT88" s="293"/>
      <c r="HU88" s="293"/>
      <c r="HV88" s="293"/>
      <c r="HW88" s="293"/>
      <c r="HX88" s="294"/>
    </row>
    <row r="89" spans="2:232" ht="13.5" thickBot="1" x14ac:dyDescent="0.25">
      <c r="B89" s="332" t="s">
        <v>548</v>
      </c>
      <c r="C89" s="333">
        <v>1048</v>
      </c>
      <c r="D89" s="334">
        <v>24</v>
      </c>
      <c r="E89" s="334">
        <v>43</v>
      </c>
      <c r="F89" s="334">
        <v>13</v>
      </c>
      <c r="G89" s="335">
        <v>1128</v>
      </c>
      <c r="H89" s="336">
        <v>14</v>
      </c>
      <c r="I89" s="333">
        <v>103</v>
      </c>
      <c r="J89" s="334"/>
      <c r="K89" s="335">
        <v>103</v>
      </c>
      <c r="L89" s="336"/>
      <c r="M89" s="337">
        <v>8258</v>
      </c>
      <c r="N89" s="336">
        <v>1115183</v>
      </c>
      <c r="O89" s="334">
        <v>23230</v>
      </c>
      <c r="P89" s="334">
        <v>1087</v>
      </c>
      <c r="Q89" s="334">
        <v>1757</v>
      </c>
      <c r="R89" s="334">
        <v>20</v>
      </c>
      <c r="S89" s="334">
        <v>120</v>
      </c>
      <c r="T89" s="334">
        <v>1</v>
      </c>
      <c r="U89" s="334">
        <v>1</v>
      </c>
      <c r="V89" s="336">
        <v>1141399</v>
      </c>
      <c r="W89" s="333">
        <v>2148</v>
      </c>
      <c r="X89" s="334">
        <v>538</v>
      </c>
      <c r="Y89" s="335">
        <v>2686</v>
      </c>
      <c r="Z89" s="336">
        <v>5240</v>
      </c>
      <c r="AA89" s="334"/>
      <c r="AB89" s="336">
        <v>5240</v>
      </c>
      <c r="AC89" s="333">
        <v>24693</v>
      </c>
      <c r="AD89" s="334">
        <v>16</v>
      </c>
      <c r="AE89" s="334"/>
      <c r="AF89" s="335">
        <v>24709</v>
      </c>
      <c r="AG89" s="336">
        <v>3739</v>
      </c>
      <c r="AH89" s="334">
        <v>46</v>
      </c>
      <c r="AI89" s="334">
        <v>29</v>
      </c>
      <c r="AJ89" s="334"/>
      <c r="AK89" s="336">
        <v>3814</v>
      </c>
      <c r="AL89" s="333">
        <v>7</v>
      </c>
      <c r="AM89" s="334">
        <v>10</v>
      </c>
      <c r="AN89" s="335">
        <v>17</v>
      </c>
      <c r="AO89" s="336"/>
      <c r="AP89" s="337"/>
      <c r="AQ89" s="336">
        <v>225</v>
      </c>
      <c r="AR89" s="334">
        <v>134</v>
      </c>
      <c r="AS89" s="334"/>
      <c r="AT89" s="336">
        <v>359</v>
      </c>
      <c r="AU89" s="333">
        <v>329</v>
      </c>
      <c r="AV89" s="334">
        <v>36</v>
      </c>
      <c r="AW89" s="334">
        <v>271</v>
      </c>
      <c r="AX89" s="334">
        <v>0</v>
      </c>
      <c r="AY89" s="334">
        <v>9</v>
      </c>
      <c r="AZ89" s="334"/>
      <c r="BA89" s="334">
        <v>0</v>
      </c>
      <c r="BB89" s="334">
        <v>7</v>
      </c>
      <c r="BC89" s="335">
        <v>652</v>
      </c>
      <c r="BD89" s="336"/>
      <c r="BE89" s="337">
        <v>68</v>
      </c>
      <c r="BF89" s="336">
        <v>726608</v>
      </c>
      <c r="BG89" s="334">
        <v>258043</v>
      </c>
      <c r="BH89" s="334">
        <v>1973747</v>
      </c>
      <c r="BI89" s="334">
        <v>6859</v>
      </c>
      <c r="BJ89" s="334">
        <v>42224</v>
      </c>
      <c r="BK89" s="334">
        <v>2</v>
      </c>
      <c r="BL89" s="336">
        <v>3007483</v>
      </c>
      <c r="BM89" s="337">
        <v>98</v>
      </c>
      <c r="BN89" s="337"/>
      <c r="BO89" s="337">
        <v>3</v>
      </c>
      <c r="BP89" s="337">
        <v>245</v>
      </c>
      <c r="BQ89" s="336">
        <v>277</v>
      </c>
      <c r="BR89" s="334"/>
      <c r="BS89" s="336">
        <v>277</v>
      </c>
      <c r="BT89" s="337">
        <v>14</v>
      </c>
      <c r="BU89" s="336">
        <v>21</v>
      </c>
      <c r="BV89" s="334">
        <v>0</v>
      </c>
      <c r="BW89" s="334">
        <v>1</v>
      </c>
      <c r="BX89" s="336">
        <v>22</v>
      </c>
      <c r="BY89" s="333">
        <v>9</v>
      </c>
      <c r="BZ89" s="334"/>
      <c r="CA89" s="334">
        <v>5</v>
      </c>
      <c r="CB89" s="334">
        <v>60</v>
      </c>
      <c r="CC89" s="334">
        <v>87</v>
      </c>
      <c r="CD89" s="334">
        <v>38</v>
      </c>
      <c r="CE89" s="334">
        <v>5</v>
      </c>
      <c r="CF89" s="334">
        <v>0</v>
      </c>
      <c r="CG89" s="334">
        <v>17</v>
      </c>
      <c r="CH89" s="334">
        <v>3</v>
      </c>
      <c r="CI89" s="334">
        <v>30</v>
      </c>
      <c r="CJ89" s="334">
        <v>1</v>
      </c>
      <c r="CK89" s="334">
        <v>44</v>
      </c>
      <c r="CL89" s="334">
        <v>18</v>
      </c>
      <c r="CM89" s="334"/>
      <c r="CN89" s="335">
        <v>317</v>
      </c>
      <c r="CO89" s="336">
        <v>10</v>
      </c>
      <c r="CP89" s="334">
        <v>0</v>
      </c>
      <c r="CQ89" s="336">
        <v>10</v>
      </c>
      <c r="CR89" s="337"/>
      <c r="CS89" s="336">
        <v>1869</v>
      </c>
      <c r="CT89" s="334">
        <v>176</v>
      </c>
      <c r="CU89" s="334">
        <v>521532</v>
      </c>
      <c r="CV89" s="334">
        <v>5144</v>
      </c>
      <c r="CW89" s="334">
        <v>271258</v>
      </c>
      <c r="CX89" s="334">
        <v>806</v>
      </c>
      <c r="CY89" s="334">
        <v>702</v>
      </c>
      <c r="CZ89" s="334">
        <v>439</v>
      </c>
      <c r="DA89" s="334">
        <v>48</v>
      </c>
      <c r="DB89" s="334">
        <v>52</v>
      </c>
      <c r="DC89" s="334">
        <v>20</v>
      </c>
      <c r="DD89" s="336">
        <v>802046</v>
      </c>
      <c r="DE89" s="333">
        <v>38428</v>
      </c>
      <c r="DF89" s="334">
        <v>443</v>
      </c>
      <c r="DG89" s="334">
        <v>3608</v>
      </c>
      <c r="DH89" s="334">
        <v>875</v>
      </c>
      <c r="DI89" s="334">
        <v>79</v>
      </c>
      <c r="DJ89" s="334">
        <v>0</v>
      </c>
      <c r="DK89" s="334">
        <v>3</v>
      </c>
      <c r="DL89" s="335">
        <v>43436</v>
      </c>
      <c r="DM89" s="336">
        <v>2</v>
      </c>
      <c r="DN89" s="337">
        <v>9</v>
      </c>
      <c r="DO89" s="336">
        <v>1</v>
      </c>
      <c r="DP89" s="334">
        <v>5</v>
      </c>
      <c r="DQ89" s="336">
        <v>6</v>
      </c>
      <c r="DR89" s="337">
        <v>698</v>
      </c>
      <c r="DS89" s="336">
        <v>1</v>
      </c>
      <c r="DT89" s="334">
        <v>1</v>
      </c>
      <c r="DU89" s="336">
        <v>2</v>
      </c>
      <c r="DV89" s="333">
        <v>1512</v>
      </c>
      <c r="DW89" s="334"/>
      <c r="DX89" s="335">
        <v>1512</v>
      </c>
      <c r="DY89" s="336">
        <v>232</v>
      </c>
      <c r="DZ89" s="337">
        <v>53</v>
      </c>
      <c r="EA89" s="336">
        <v>438119</v>
      </c>
      <c r="EB89" s="334"/>
      <c r="EC89" s="336">
        <v>438119</v>
      </c>
      <c r="ED89" s="337">
        <v>1</v>
      </c>
      <c r="EE89" s="337"/>
      <c r="EF89" s="336">
        <v>706</v>
      </c>
      <c r="EG89" s="334">
        <v>1014</v>
      </c>
      <c r="EH89" s="334">
        <v>11</v>
      </c>
      <c r="EI89" s="334"/>
      <c r="EJ89" s="334"/>
      <c r="EK89" s="334">
        <v>2</v>
      </c>
      <c r="EL89" s="336">
        <v>1733</v>
      </c>
      <c r="EM89" s="333">
        <v>13936</v>
      </c>
      <c r="EN89" s="334">
        <v>22192</v>
      </c>
      <c r="EO89" s="334">
        <v>1263</v>
      </c>
      <c r="EP89" s="334">
        <v>11399</v>
      </c>
      <c r="EQ89" s="334">
        <v>63817</v>
      </c>
      <c r="ER89" s="334">
        <v>1961</v>
      </c>
      <c r="ES89" s="334">
        <v>6589</v>
      </c>
      <c r="ET89" s="334">
        <v>125</v>
      </c>
      <c r="EU89" s="334">
        <v>83</v>
      </c>
      <c r="EV89" s="334">
        <v>128</v>
      </c>
      <c r="EW89" s="334">
        <v>5</v>
      </c>
      <c r="EX89" s="334">
        <v>263</v>
      </c>
      <c r="EY89" s="334"/>
      <c r="EZ89" s="335">
        <v>121761</v>
      </c>
      <c r="FA89" s="336"/>
      <c r="FB89" s="337">
        <v>5071</v>
      </c>
      <c r="FC89" s="336">
        <v>15</v>
      </c>
      <c r="FD89" s="334"/>
      <c r="FE89" s="334">
        <v>24</v>
      </c>
      <c r="FF89" s="336">
        <v>39</v>
      </c>
      <c r="FG89" s="337">
        <v>1</v>
      </c>
      <c r="FH89" s="337">
        <v>37</v>
      </c>
      <c r="FI89" s="336">
        <v>190</v>
      </c>
      <c r="FJ89" s="334">
        <v>55</v>
      </c>
      <c r="FK89" s="334">
        <v>11</v>
      </c>
      <c r="FL89" s="334">
        <v>153</v>
      </c>
      <c r="FM89" s="336">
        <v>409</v>
      </c>
      <c r="FN89" s="333">
        <v>2</v>
      </c>
      <c r="FO89" s="334"/>
      <c r="FP89" s="335">
        <v>2</v>
      </c>
      <c r="FQ89" s="336">
        <v>67</v>
      </c>
      <c r="FR89" s="334"/>
      <c r="FS89" s="336">
        <v>67</v>
      </c>
      <c r="FT89" s="337">
        <v>8</v>
      </c>
      <c r="FU89" s="336">
        <v>488</v>
      </c>
      <c r="FV89" s="334"/>
      <c r="FW89" s="336">
        <v>488</v>
      </c>
      <c r="FX89" s="333">
        <v>33</v>
      </c>
      <c r="FY89" s="334">
        <v>301</v>
      </c>
      <c r="FZ89" s="334">
        <v>298</v>
      </c>
      <c r="GA89" s="334">
        <v>13</v>
      </c>
      <c r="GB89" s="335">
        <v>645</v>
      </c>
      <c r="GC89" s="336"/>
      <c r="GD89" s="333">
        <v>219</v>
      </c>
      <c r="GE89" s="334">
        <v>16</v>
      </c>
      <c r="GF89" s="335">
        <v>235</v>
      </c>
      <c r="GG89" s="336"/>
      <c r="GH89" s="333">
        <v>17</v>
      </c>
      <c r="GI89" s="334">
        <v>3</v>
      </c>
      <c r="GJ89" s="334"/>
      <c r="GK89" s="335">
        <v>20</v>
      </c>
      <c r="GL89" s="336">
        <v>387</v>
      </c>
      <c r="GM89" s="333">
        <v>196</v>
      </c>
      <c r="GN89" s="334">
        <v>62</v>
      </c>
      <c r="GO89" s="334">
        <v>1008</v>
      </c>
      <c r="GP89" s="334">
        <v>8</v>
      </c>
      <c r="GQ89" s="335">
        <v>1274</v>
      </c>
      <c r="GR89" s="336">
        <v>5615209</v>
      </c>
      <c r="GS89" s="338">
        <f>5615209/49209180</f>
        <v>0.11410897316313745</v>
      </c>
      <c r="GT89" s="293"/>
      <c r="GU89" s="293"/>
      <c r="GV89" s="293"/>
      <c r="GW89" s="293"/>
      <c r="GX89" s="293"/>
      <c r="GY89" s="293"/>
      <c r="GZ89" s="293"/>
      <c r="HA89" s="293"/>
      <c r="HB89" s="293"/>
      <c r="HC89" s="293"/>
      <c r="HD89" s="293"/>
      <c r="HE89" s="293"/>
      <c r="HF89" s="293"/>
      <c r="HG89" s="293"/>
      <c r="HH89" s="293"/>
      <c r="HI89" s="293"/>
      <c r="HJ89" s="293"/>
      <c r="HK89" s="293"/>
      <c r="HL89" s="293"/>
      <c r="HM89" s="293"/>
      <c r="HN89" s="293"/>
      <c r="HO89" s="293"/>
      <c r="HP89" s="293"/>
      <c r="HQ89" s="293"/>
      <c r="HR89" s="293"/>
      <c r="HS89" s="293"/>
      <c r="HT89" s="293"/>
      <c r="HU89" s="293"/>
      <c r="HV89" s="293"/>
      <c r="HW89" s="293"/>
      <c r="HX89" s="294"/>
    </row>
    <row r="90" spans="2:232" ht="13.5" thickBot="1" x14ac:dyDescent="0.25">
      <c r="B90" s="332" t="s">
        <v>549</v>
      </c>
      <c r="C90" s="333">
        <v>70793</v>
      </c>
      <c r="D90" s="334">
        <v>42</v>
      </c>
      <c r="E90" s="334">
        <v>100</v>
      </c>
      <c r="F90" s="334">
        <v>35</v>
      </c>
      <c r="G90" s="335">
        <v>70970</v>
      </c>
      <c r="H90" s="336">
        <v>22</v>
      </c>
      <c r="I90" s="333">
        <v>1126</v>
      </c>
      <c r="J90" s="334">
        <v>6</v>
      </c>
      <c r="K90" s="335">
        <v>1132</v>
      </c>
      <c r="L90" s="336">
        <v>11</v>
      </c>
      <c r="M90" s="337">
        <v>242991</v>
      </c>
      <c r="N90" s="336">
        <v>9147252</v>
      </c>
      <c r="O90" s="334">
        <v>129697</v>
      </c>
      <c r="P90" s="334">
        <v>20392</v>
      </c>
      <c r="Q90" s="334">
        <v>17758</v>
      </c>
      <c r="R90" s="334">
        <v>239</v>
      </c>
      <c r="S90" s="334">
        <v>2789</v>
      </c>
      <c r="T90" s="334">
        <v>124</v>
      </c>
      <c r="U90" s="334">
        <v>32</v>
      </c>
      <c r="V90" s="336">
        <v>9318283</v>
      </c>
      <c r="W90" s="333">
        <v>4460</v>
      </c>
      <c r="X90" s="334">
        <v>2258</v>
      </c>
      <c r="Y90" s="335">
        <v>6718</v>
      </c>
      <c r="Z90" s="336">
        <v>29900</v>
      </c>
      <c r="AA90" s="334"/>
      <c r="AB90" s="336">
        <v>29900</v>
      </c>
      <c r="AC90" s="333">
        <v>319158</v>
      </c>
      <c r="AD90" s="334">
        <v>474</v>
      </c>
      <c r="AE90" s="334">
        <v>20</v>
      </c>
      <c r="AF90" s="335">
        <v>319652</v>
      </c>
      <c r="AG90" s="336">
        <v>24197</v>
      </c>
      <c r="AH90" s="334">
        <v>8310</v>
      </c>
      <c r="AI90" s="334">
        <v>71</v>
      </c>
      <c r="AJ90" s="334">
        <v>2</v>
      </c>
      <c r="AK90" s="336">
        <v>32580</v>
      </c>
      <c r="AL90" s="333">
        <v>11</v>
      </c>
      <c r="AM90" s="334">
        <v>18</v>
      </c>
      <c r="AN90" s="335">
        <v>29</v>
      </c>
      <c r="AO90" s="336">
        <v>4</v>
      </c>
      <c r="AP90" s="337">
        <v>0</v>
      </c>
      <c r="AQ90" s="336">
        <v>397</v>
      </c>
      <c r="AR90" s="334">
        <v>357</v>
      </c>
      <c r="AS90" s="334"/>
      <c r="AT90" s="336">
        <v>754</v>
      </c>
      <c r="AU90" s="333">
        <v>7079</v>
      </c>
      <c r="AV90" s="334">
        <v>113</v>
      </c>
      <c r="AW90" s="334">
        <v>3030</v>
      </c>
      <c r="AX90" s="334">
        <v>55</v>
      </c>
      <c r="AY90" s="334">
        <v>18</v>
      </c>
      <c r="AZ90" s="334"/>
      <c r="BA90" s="334">
        <v>5</v>
      </c>
      <c r="BB90" s="334">
        <v>8</v>
      </c>
      <c r="BC90" s="335">
        <v>10308</v>
      </c>
      <c r="BD90" s="336">
        <v>61</v>
      </c>
      <c r="BE90" s="337">
        <v>24062</v>
      </c>
      <c r="BF90" s="336">
        <v>756985</v>
      </c>
      <c r="BG90" s="334">
        <v>678322</v>
      </c>
      <c r="BH90" s="334">
        <v>2658965</v>
      </c>
      <c r="BI90" s="334">
        <v>16556</v>
      </c>
      <c r="BJ90" s="334">
        <v>216380</v>
      </c>
      <c r="BK90" s="334">
        <v>2</v>
      </c>
      <c r="BL90" s="336">
        <v>4327210</v>
      </c>
      <c r="BM90" s="337">
        <v>17213</v>
      </c>
      <c r="BN90" s="337">
        <v>13</v>
      </c>
      <c r="BO90" s="337">
        <v>22</v>
      </c>
      <c r="BP90" s="337">
        <v>30466</v>
      </c>
      <c r="BQ90" s="336">
        <v>41405</v>
      </c>
      <c r="BR90" s="334">
        <v>1</v>
      </c>
      <c r="BS90" s="336">
        <v>41406</v>
      </c>
      <c r="BT90" s="337">
        <v>48</v>
      </c>
      <c r="BU90" s="336">
        <v>261</v>
      </c>
      <c r="BV90" s="334">
        <v>387</v>
      </c>
      <c r="BW90" s="334">
        <v>32</v>
      </c>
      <c r="BX90" s="336">
        <v>680</v>
      </c>
      <c r="BY90" s="333">
        <v>19</v>
      </c>
      <c r="BZ90" s="334"/>
      <c r="CA90" s="334">
        <v>111</v>
      </c>
      <c r="CB90" s="334">
        <v>133</v>
      </c>
      <c r="CC90" s="334">
        <v>131</v>
      </c>
      <c r="CD90" s="334">
        <v>53</v>
      </c>
      <c r="CE90" s="334">
        <v>14</v>
      </c>
      <c r="CF90" s="334">
        <v>3</v>
      </c>
      <c r="CG90" s="334">
        <v>36</v>
      </c>
      <c r="CH90" s="334">
        <v>6</v>
      </c>
      <c r="CI90" s="334">
        <v>52</v>
      </c>
      <c r="CJ90" s="334">
        <v>1</v>
      </c>
      <c r="CK90" s="334">
        <v>65</v>
      </c>
      <c r="CL90" s="334">
        <v>28</v>
      </c>
      <c r="CM90" s="334"/>
      <c r="CN90" s="335">
        <v>652</v>
      </c>
      <c r="CO90" s="336">
        <v>172</v>
      </c>
      <c r="CP90" s="334">
        <v>0</v>
      </c>
      <c r="CQ90" s="336">
        <v>172</v>
      </c>
      <c r="CR90" s="337">
        <v>23</v>
      </c>
      <c r="CS90" s="336">
        <v>7767</v>
      </c>
      <c r="CT90" s="334">
        <v>817</v>
      </c>
      <c r="CU90" s="334">
        <v>3163868</v>
      </c>
      <c r="CV90" s="334">
        <v>140640</v>
      </c>
      <c r="CW90" s="334">
        <v>2322546</v>
      </c>
      <c r="CX90" s="334">
        <v>1824</v>
      </c>
      <c r="CY90" s="334">
        <v>1339</v>
      </c>
      <c r="CZ90" s="334">
        <v>671</v>
      </c>
      <c r="DA90" s="334">
        <v>1223</v>
      </c>
      <c r="DB90" s="334">
        <v>74</v>
      </c>
      <c r="DC90" s="334">
        <v>232</v>
      </c>
      <c r="DD90" s="336">
        <v>5641001</v>
      </c>
      <c r="DE90" s="333">
        <v>1123275</v>
      </c>
      <c r="DF90" s="334">
        <v>1052</v>
      </c>
      <c r="DG90" s="334">
        <v>38237</v>
      </c>
      <c r="DH90" s="334">
        <v>22697</v>
      </c>
      <c r="DI90" s="334">
        <v>2790</v>
      </c>
      <c r="DJ90" s="334">
        <v>14</v>
      </c>
      <c r="DK90" s="334">
        <v>24</v>
      </c>
      <c r="DL90" s="335">
        <v>1188089</v>
      </c>
      <c r="DM90" s="336">
        <v>22</v>
      </c>
      <c r="DN90" s="337">
        <v>31</v>
      </c>
      <c r="DO90" s="336">
        <v>8</v>
      </c>
      <c r="DP90" s="334">
        <v>7</v>
      </c>
      <c r="DQ90" s="336">
        <v>15</v>
      </c>
      <c r="DR90" s="337">
        <v>119370</v>
      </c>
      <c r="DS90" s="336">
        <v>1</v>
      </c>
      <c r="DT90" s="334">
        <v>1</v>
      </c>
      <c r="DU90" s="336">
        <v>2</v>
      </c>
      <c r="DV90" s="333">
        <v>3094</v>
      </c>
      <c r="DW90" s="334">
        <v>45</v>
      </c>
      <c r="DX90" s="335">
        <v>3139</v>
      </c>
      <c r="DY90" s="336">
        <v>36455</v>
      </c>
      <c r="DZ90" s="337">
        <v>10659</v>
      </c>
      <c r="EA90" s="336">
        <v>465907</v>
      </c>
      <c r="EB90" s="334"/>
      <c r="EC90" s="336">
        <v>465907</v>
      </c>
      <c r="ED90" s="337">
        <v>6</v>
      </c>
      <c r="EE90" s="337">
        <v>6</v>
      </c>
      <c r="EF90" s="336">
        <v>1846</v>
      </c>
      <c r="EG90" s="334">
        <v>3822</v>
      </c>
      <c r="EH90" s="334">
        <v>64</v>
      </c>
      <c r="EI90" s="334"/>
      <c r="EJ90" s="334"/>
      <c r="EK90" s="334">
        <v>12</v>
      </c>
      <c r="EL90" s="336">
        <v>5744</v>
      </c>
      <c r="EM90" s="333">
        <v>240585</v>
      </c>
      <c r="EN90" s="334">
        <v>1401964</v>
      </c>
      <c r="EO90" s="334">
        <v>15645</v>
      </c>
      <c r="EP90" s="334">
        <v>140743</v>
      </c>
      <c r="EQ90" s="334">
        <v>620380</v>
      </c>
      <c r="ER90" s="334">
        <v>13880</v>
      </c>
      <c r="ES90" s="334">
        <v>111571</v>
      </c>
      <c r="ET90" s="334">
        <v>1658</v>
      </c>
      <c r="EU90" s="334">
        <v>1565</v>
      </c>
      <c r="EV90" s="334">
        <v>955</v>
      </c>
      <c r="EW90" s="334">
        <v>13</v>
      </c>
      <c r="EX90" s="334">
        <v>1797</v>
      </c>
      <c r="EY90" s="334">
        <v>13</v>
      </c>
      <c r="EZ90" s="335">
        <v>2550769</v>
      </c>
      <c r="FA90" s="336">
        <v>1</v>
      </c>
      <c r="FB90" s="337">
        <v>6955</v>
      </c>
      <c r="FC90" s="336">
        <v>4970</v>
      </c>
      <c r="FD90" s="334">
        <v>5</v>
      </c>
      <c r="FE90" s="334">
        <v>47</v>
      </c>
      <c r="FF90" s="336">
        <v>5022</v>
      </c>
      <c r="FG90" s="337">
        <v>9</v>
      </c>
      <c r="FH90" s="337">
        <v>42</v>
      </c>
      <c r="FI90" s="336">
        <v>35464</v>
      </c>
      <c r="FJ90" s="334">
        <v>69</v>
      </c>
      <c r="FK90" s="334">
        <v>12</v>
      </c>
      <c r="FL90" s="334">
        <v>291</v>
      </c>
      <c r="FM90" s="336">
        <v>35836</v>
      </c>
      <c r="FN90" s="333">
        <v>172</v>
      </c>
      <c r="FO90" s="334"/>
      <c r="FP90" s="335">
        <v>172</v>
      </c>
      <c r="FQ90" s="336">
        <v>99</v>
      </c>
      <c r="FR90" s="334">
        <v>1</v>
      </c>
      <c r="FS90" s="336">
        <v>100</v>
      </c>
      <c r="FT90" s="337">
        <v>94</v>
      </c>
      <c r="FU90" s="336">
        <v>33035</v>
      </c>
      <c r="FV90" s="334"/>
      <c r="FW90" s="336">
        <v>33035</v>
      </c>
      <c r="FX90" s="333">
        <v>295</v>
      </c>
      <c r="FY90" s="334">
        <v>466</v>
      </c>
      <c r="FZ90" s="334">
        <v>347</v>
      </c>
      <c r="GA90" s="334">
        <v>26</v>
      </c>
      <c r="GB90" s="335">
        <v>1134</v>
      </c>
      <c r="GC90" s="336">
        <v>1</v>
      </c>
      <c r="GD90" s="333">
        <v>26965</v>
      </c>
      <c r="GE90" s="334">
        <v>28</v>
      </c>
      <c r="GF90" s="335">
        <v>26993</v>
      </c>
      <c r="GG90" s="336">
        <v>8</v>
      </c>
      <c r="GH90" s="333">
        <v>275</v>
      </c>
      <c r="GI90" s="334">
        <v>4</v>
      </c>
      <c r="GJ90" s="334"/>
      <c r="GK90" s="335">
        <v>279</v>
      </c>
      <c r="GL90" s="336">
        <v>953</v>
      </c>
      <c r="GM90" s="333">
        <v>1501</v>
      </c>
      <c r="GN90" s="334">
        <v>21664</v>
      </c>
      <c r="GO90" s="334">
        <v>1103</v>
      </c>
      <c r="GP90" s="334">
        <v>14</v>
      </c>
      <c r="GQ90" s="335">
        <v>24282</v>
      </c>
      <c r="GR90" s="336">
        <v>24631513</v>
      </c>
      <c r="GS90" s="338">
        <f>24631513/49209180</f>
        <v>0.50054711336380731</v>
      </c>
      <c r="GT90" s="293"/>
      <c r="GU90" s="293"/>
      <c r="GV90" s="293"/>
      <c r="GW90" s="293"/>
      <c r="GX90" s="293"/>
      <c r="GY90" s="293"/>
      <c r="GZ90" s="293"/>
      <c r="HA90" s="293"/>
      <c r="HB90" s="293"/>
      <c r="HC90" s="293"/>
      <c r="HD90" s="293"/>
      <c r="HE90" s="293"/>
      <c r="HF90" s="293"/>
      <c r="HG90" s="293"/>
      <c r="HH90" s="293"/>
      <c r="HI90" s="293"/>
      <c r="HJ90" s="293"/>
      <c r="HK90" s="293"/>
      <c r="HL90" s="293"/>
      <c r="HM90" s="293"/>
      <c r="HN90" s="293"/>
      <c r="HO90" s="293"/>
      <c r="HP90" s="293"/>
      <c r="HQ90" s="293"/>
      <c r="HR90" s="293"/>
      <c r="HS90" s="293"/>
      <c r="HT90" s="293"/>
      <c r="HU90" s="293"/>
      <c r="HV90" s="293"/>
      <c r="HW90" s="293"/>
      <c r="HX90" s="294"/>
    </row>
    <row r="91" spans="2:232" ht="12.75" x14ac:dyDescent="0.2">
      <c r="B91" s="339" t="s">
        <v>35</v>
      </c>
      <c r="C91" s="340">
        <v>921</v>
      </c>
      <c r="D91" s="341">
        <v>10</v>
      </c>
      <c r="E91" s="341"/>
      <c r="F91" s="341">
        <v>21</v>
      </c>
      <c r="G91" s="342">
        <v>952</v>
      </c>
      <c r="H91" s="343"/>
      <c r="I91" s="340">
        <v>7564</v>
      </c>
      <c r="J91" s="341"/>
      <c r="K91" s="342">
        <v>7564</v>
      </c>
      <c r="L91" s="343">
        <v>0</v>
      </c>
      <c r="M91" s="344">
        <v>46607</v>
      </c>
      <c r="N91" s="343">
        <v>61893</v>
      </c>
      <c r="O91" s="341">
        <v>99</v>
      </c>
      <c r="P91" s="341">
        <v>60</v>
      </c>
      <c r="Q91" s="341">
        <v>35</v>
      </c>
      <c r="R91" s="341"/>
      <c r="S91" s="341"/>
      <c r="T91" s="341"/>
      <c r="U91" s="341"/>
      <c r="V91" s="343">
        <v>62087</v>
      </c>
      <c r="W91" s="340">
        <v>10196</v>
      </c>
      <c r="X91" s="341">
        <v>2750</v>
      </c>
      <c r="Y91" s="342">
        <v>12946</v>
      </c>
      <c r="Z91" s="343">
        <v>44067</v>
      </c>
      <c r="AA91" s="341">
        <v>118</v>
      </c>
      <c r="AB91" s="343">
        <v>44185</v>
      </c>
      <c r="AC91" s="340">
        <v>281</v>
      </c>
      <c r="AD91" s="341"/>
      <c r="AE91" s="341"/>
      <c r="AF91" s="342">
        <v>281</v>
      </c>
      <c r="AG91" s="343">
        <v>22</v>
      </c>
      <c r="AH91" s="341">
        <v>6</v>
      </c>
      <c r="AI91" s="341">
        <v>512</v>
      </c>
      <c r="AJ91" s="341">
        <v>11</v>
      </c>
      <c r="AK91" s="343">
        <v>551</v>
      </c>
      <c r="AL91" s="340">
        <v>226</v>
      </c>
      <c r="AM91" s="341">
        <v>34</v>
      </c>
      <c r="AN91" s="342">
        <v>260</v>
      </c>
      <c r="AO91" s="343"/>
      <c r="AP91" s="344"/>
      <c r="AQ91" s="343">
        <v>5</v>
      </c>
      <c r="AR91" s="341">
        <v>826</v>
      </c>
      <c r="AS91" s="341"/>
      <c r="AT91" s="343">
        <v>831</v>
      </c>
      <c r="AU91" s="340">
        <v>25</v>
      </c>
      <c r="AV91" s="341"/>
      <c r="AW91" s="341"/>
      <c r="AX91" s="341">
        <v>1</v>
      </c>
      <c r="AY91" s="341">
        <v>23</v>
      </c>
      <c r="AZ91" s="341">
        <v>19</v>
      </c>
      <c r="BA91" s="341">
        <v>1</v>
      </c>
      <c r="BB91" s="341"/>
      <c r="BC91" s="342">
        <v>69</v>
      </c>
      <c r="BD91" s="343"/>
      <c r="BE91" s="344">
        <v>12</v>
      </c>
      <c r="BF91" s="343">
        <v>515</v>
      </c>
      <c r="BG91" s="341">
        <v>688</v>
      </c>
      <c r="BH91" s="341">
        <v>4690</v>
      </c>
      <c r="BI91" s="341">
        <v>13</v>
      </c>
      <c r="BJ91" s="341">
        <v>91</v>
      </c>
      <c r="BK91" s="341"/>
      <c r="BL91" s="343">
        <v>5997</v>
      </c>
      <c r="BM91" s="344">
        <v>6</v>
      </c>
      <c r="BN91" s="344"/>
      <c r="BO91" s="344">
        <v>94</v>
      </c>
      <c r="BP91" s="344">
        <v>2</v>
      </c>
      <c r="BQ91" s="343">
        <v>40</v>
      </c>
      <c r="BR91" s="341">
        <v>63</v>
      </c>
      <c r="BS91" s="343">
        <v>103</v>
      </c>
      <c r="BT91" s="344">
        <v>711</v>
      </c>
      <c r="BU91" s="343">
        <v>454</v>
      </c>
      <c r="BV91" s="341">
        <v>1</v>
      </c>
      <c r="BW91" s="341"/>
      <c r="BX91" s="343">
        <v>455</v>
      </c>
      <c r="BY91" s="340"/>
      <c r="BZ91" s="341"/>
      <c r="CA91" s="341">
        <v>3</v>
      </c>
      <c r="CB91" s="341">
        <v>25</v>
      </c>
      <c r="CC91" s="341">
        <v>127</v>
      </c>
      <c r="CD91" s="341">
        <v>106</v>
      </c>
      <c r="CE91" s="341">
        <v>44</v>
      </c>
      <c r="CF91" s="341">
        <v>4</v>
      </c>
      <c r="CG91" s="341">
        <v>34</v>
      </c>
      <c r="CH91" s="341">
        <v>98</v>
      </c>
      <c r="CI91" s="341">
        <v>60</v>
      </c>
      <c r="CJ91" s="341"/>
      <c r="CK91" s="341">
        <v>13</v>
      </c>
      <c r="CL91" s="341">
        <v>0</v>
      </c>
      <c r="CM91" s="341"/>
      <c r="CN91" s="342">
        <v>514</v>
      </c>
      <c r="CO91" s="343">
        <v>285801</v>
      </c>
      <c r="CP91" s="341"/>
      <c r="CQ91" s="343">
        <v>285801</v>
      </c>
      <c r="CR91" s="344"/>
      <c r="CS91" s="343">
        <v>736</v>
      </c>
      <c r="CT91" s="341">
        <v>332</v>
      </c>
      <c r="CU91" s="341">
        <v>154568</v>
      </c>
      <c r="CV91" s="341">
        <v>125</v>
      </c>
      <c r="CW91" s="341">
        <v>133536</v>
      </c>
      <c r="CX91" s="341">
        <v>1439</v>
      </c>
      <c r="CY91" s="341">
        <v>2051</v>
      </c>
      <c r="CZ91" s="341">
        <v>242</v>
      </c>
      <c r="DA91" s="341">
        <v>23</v>
      </c>
      <c r="DB91" s="341">
        <v>4</v>
      </c>
      <c r="DC91" s="341">
        <v>3</v>
      </c>
      <c r="DD91" s="343">
        <v>293059</v>
      </c>
      <c r="DE91" s="340">
        <v>45394</v>
      </c>
      <c r="DF91" s="341">
        <v>478</v>
      </c>
      <c r="DG91" s="341">
        <v>156</v>
      </c>
      <c r="DH91" s="341">
        <v>329</v>
      </c>
      <c r="DI91" s="341">
        <v>30</v>
      </c>
      <c r="DJ91" s="341"/>
      <c r="DK91" s="341"/>
      <c r="DL91" s="342">
        <v>46387</v>
      </c>
      <c r="DM91" s="343">
        <v>7</v>
      </c>
      <c r="DN91" s="344">
        <v>7</v>
      </c>
      <c r="DO91" s="343"/>
      <c r="DP91" s="341">
        <v>52</v>
      </c>
      <c r="DQ91" s="343">
        <v>52</v>
      </c>
      <c r="DR91" s="344">
        <v>51</v>
      </c>
      <c r="DS91" s="343"/>
      <c r="DT91" s="341"/>
      <c r="DU91" s="343"/>
      <c r="DV91" s="340">
        <v>1965</v>
      </c>
      <c r="DW91" s="341"/>
      <c r="DX91" s="342">
        <v>1965</v>
      </c>
      <c r="DY91" s="343">
        <v>180</v>
      </c>
      <c r="DZ91" s="344">
        <v>3</v>
      </c>
      <c r="EA91" s="343">
        <v>383</v>
      </c>
      <c r="EB91" s="341">
        <v>2</v>
      </c>
      <c r="EC91" s="343">
        <v>385</v>
      </c>
      <c r="ED91" s="344"/>
      <c r="EE91" s="344"/>
      <c r="EF91" s="343">
        <v>967</v>
      </c>
      <c r="EG91" s="341">
        <v>228</v>
      </c>
      <c r="EH91" s="341">
        <v>4</v>
      </c>
      <c r="EI91" s="341"/>
      <c r="EJ91" s="341"/>
      <c r="EK91" s="341"/>
      <c r="EL91" s="343">
        <v>1199</v>
      </c>
      <c r="EM91" s="340">
        <v>109</v>
      </c>
      <c r="EN91" s="341">
        <v>10788</v>
      </c>
      <c r="EO91" s="341">
        <v>104</v>
      </c>
      <c r="EP91" s="341">
        <v>117</v>
      </c>
      <c r="EQ91" s="341">
        <v>11502</v>
      </c>
      <c r="ER91" s="341">
        <v>54</v>
      </c>
      <c r="ES91" s="341">
        <v>66</v>
      </c>
      <c r="ET91" s="341"/>
      <c r="EU91" s="341"/>
      <c r="EV91" s="341"/>
      <c r="EW91" s="341">
        <v>45</v>
      </c>
      <c r="EX91" s="341">
        <v>8</v>
      </c>
      <c r="EY91" s="341"/>
      <c r="EZ91" s="342">
        <v>22793</v>
      </c>
      <c r="FA91" s="343"/>
      <c r="FB91" s="344">
        <v>0</v>
      </c>
      <c r="FC91" s="343">
        <v>3</v>
      </c>
      <c r="FD91" s="341">
        <v>36</v>
      </c>
      <c r="FE91" s="341">
        <v>502</v>
      </c>
      <c r="FF91" s="343">
        <v>541</v>
      </c>
      <c r="FG91" s="344">
        <v>46</v>
      </c>
      <c r="FH91" s="344">
        <v>525</v>
      </c>
      <c r="FI91" s="343">
        <v>20</v>
      </c>
      <c r="FJ91" s="341">
        <v>4650</v>
      </c>
      <c r="FK91" s="341">
        <v>92</v>
      </c>
      <c r="FL91" s="341">
        <v>1635</v>
      </c>
      <c r="FM91" s="343">
        <v>6397</v>
      </c>
      <c r="FN91" s="340"/>
      <c r="FO91" s="341"/>
      <c r="FP91" s="342"/>
      <c r="FQ91" s="343">
        <v>389</v>
      </c>
      <c r="FR91" s="341"/>
      <c r="FS91" s="343">
        <v>389</v>
      </c>
      <c r="FT91" s="344"/>
      <c r="FU91" s="343">
        <v>1416</v>
      </c>
      <c r="FV91" s="341"/>
      <c r="FW91" s="343">
        <v>1416</v>
      </c>
      <c r="FX91" s="340">
        <v>57</v>
      </c>
      <c r="FY91" s="341">
        <v>1141</v>
      </c>
      <c r="FZ91" s="341">
        <v>133</v>
      </c>
      <c r="GA91" s="341">
        <v>80</v>
      </c>
      <c r="GB91" s="342">
        <v>1411</v>
      </c>
      <c r="GC91" s="343"/>
      <c r="GD91" s="340">
        <v>4620</v>
      </c>
      <c r="GE91" s="341">
        <v>1124</v>
      </c>
      <c r="GF91" s="342">
        <v>5744</v>
      </c>
      <c r="GG91" s="343"/>
      <c r="GH91" s="340">
        <v>236</v>
      </c>
      <c r="GI91" s="341"/>
      <c r="GJ91" s="341"/>
      <c r="GK91" s="342">
        <v>236</v>
      </c>
      <c r="GL91" s="343">
        <v>468</v>
      </c>
      <c r="GM91" s="340">
        <v>224</v>
      </c>
      <c r="GN91" s="341">
        <v>2</v>
      </c>
      <c r="GO91" s="341">
        <v>540</v>
      </c>
      <c r="GP91" s="341">
        <v>1390</v>
      </c>
      <c r="GQ91" s="342">
        <v>2156</v>
      </c>
      <c r="GR91" s="343">
        <v>855445</v>
      </c>
      <c r="GS91" s="345">
        <f>855445/49209180</f>
        <v>1.7383849923936958E-2</v>
      </c>
      <c r="GT91" s="293"/>
      <c r="GU91" s="293"/>
      <c r="GV91" s="293"/>
      <c r="GW91" s="293"/>
      <c r="GX91" s="293"/>
      <c r="GY91" s="293"/>
      <c r="GZ91" s="293"/>
      <c r="HA91" s="293"/>
      <c r="HB91" s="293"/>
      <c r="HC91" s="293"/>
      <c r="HD91" s="293"/>
      <c r="HE91" s="293"/>
      <c r="HF91" s="293"/>
      <c r="HG91" s="293"/>
      <c r="HH91" s="293"/>
      <c r="HI91" s="293"/>
      <c r="HJ91" s="293"/>
      <c r="HK91" s="293"/>
      <c r="HL91" s="293"/>
      <c r="HM91" s="293"/>
      <c r="HN91" s="293"/>
      <c r="HO91" s="293"/>
      <c r="HP91" s="293"/>
      <c r="HQ91" s="293"/>
      <c r="HR91" s="293"/>
      <c r="HS91" s="293"/>
      <c r="HT91" s="293"/>
      <c r="HU91" s="293"/>
      <c r="HV91" s="293"/>
      <c r="HW91" s="293"/>
      <c r="HX91" s="294"/>
    </row>
    <row r="92" spans="2:232" ht="12.75" x14ac:dyDescent="0.2">
      <c r="B92" s="259" t="s">
        <v>47</v>
      </c>
      <c r="C92" s="258">
        <v>602</v>
      </c>
      <c r="D92" s="115"/>
      <c r="E92" s="115"/>
      <c r="F92" s="115">
        <v>0</v>
      </c>
      <c r="G92" s="257">
        <v>602</v>
      </c>
      <c r="H92" s="117"/>
      <c r="I92" s="258">
        <v>5</v>
      </c>
      <c r="J92" s="115"/>
      <c r="K92" s="257">
        <v>5</v>
      </c>
      <c r="L92" s="117"/>
      <c r="M92" s="116">
        <v>935</v>
      </c>
      <c r="N92" s="117">
        <v>162114</v>
      </c>
      <c r="O92" s="115">
        <v>976</v>
      </c>
      <c r="P92" s="115">
        <v>27</v>
      </c>
      <c r="Q92" s="115">
        <v>55</v>
      </c>
      <c r="R92" s="115">
        <v>0</v>
      </c>
      <c r="S92" s="115"/>
      <c r="T92" s="115">
        <v>1</v>
      </c>
      <c r="U92" s="115"/>
      <c r="V92" s="117">
        <v>163173</v>
      </c>
      <c r="W92" s="258">
        <v>8728</v>
      </c>
      <c r="X92" s="115">
        <v>469</v>
      </c>
      <c r="Y92" s="257">
        <v>9197</v>
      </c>
      <c r="Z92" s="117">
        <v>21198</v>
      </c>
      <c r="AA92" s="115">
        <v>0</v>
      </c>
      <c r="AB92" s="117">
        <v>21198</v>
      </c>
      <c r="AC92" s="258">
        <v>449</v>
      </c>
      <c r="AD92" s="115"/>
      <c r="AE92" s="115"/>
      <c r="AF92" s="257">
        <v>449</v>
      </c>
      <c r="AG92" s="117">
        <v>17</v>
      </c>
      <c r="AH92" s="115">
        <v>3</v>
      </c>
      <c r="AI92" s="115">
        <v>1</v>
      </c>
      <c r="AJ92" s="115"/>
      <c r="AK92" s="117">
        <v>21</v>
      </c>
      <c r="AL92" s="258">
        <v>1</v>
      </c>
      <c r="AM92" s="115">
        <v>72</v>
      </c>
      <c r="AN92" s="257">
        <v>73</v>
      </c>
      <c r="AO92" s="117"/>
      <c r="AP92" s="116"/>
      <c r="AQ92" s="117"/>
      <c r="AR92" s="115"/>
      <c r="AS92" s="115"/>
      <c r="AT92" s="117"/>
      <c r="AU92" s="258">
        <v>3</v>
      </c>
      <c r="AV92" s="115"/>
      <c r="AW92" s="115">
        <v>3</v>
      </c>
      <c r="AX92" s="115"/>
      <c r="AY92" s="115"/>
      <c r="AZ92" s="115"/>
      <c r="BA92" s="115"/>
      <c r="BB92" s="115"/>
      <c r="BC92" s="257">
        <v>6</v>
      </c>
      <c r="BD92" s="117"/>
      <c r="BE92" s="116">
        <v>3</v>
      </c>
      <c r="BF92" s="117">
        <v>564</v>
      </c>
      <c r="BG92" s="115">
        <v>500</v>
      </c>
      <c r="BH92" s="115">
        <v>4038</v>
      </c>
      <c r="BI92" s="115">
        <v>74</v>
      </c>
      <c r="BJ92" s="115">
        <v>23</v>
      </c>
      <c r="BK92" s="115"/>
      <c r="BL92" s="117">
        <v>5199</v>
      </c>
      <c r="BM92" s="116"/>
      <c r="BN92" s="116"/>
      <c r="BO92" s="116">
        <v>4</v>
      </c>
      <c r="BP92" s="116"/>
      <c r="BQ92" s="117">
        <v>84</v>
      </c>
      <c r="BR92" s="115"/>
      <c r="BS92" s="117">
        <v>84</v>
      </c>
      <c r="BT92" s="116"/>
      <c r="BU92" s="117"/>
      <c r="BV92" s="115">
        <v>1</v>
      </c>
      <c r="BW92" s="115"/>
      <c r="BX92" s="117">
        <v>1</v>
      </c>
      <c r="BY92" s="258"/>
      <c r="BZ92" s="115"/>
      <c r="CA92" s="115"/>
      <c r="CB92" s="115">
        <v>0</v>
      </c>
      <c r="CC92" s="115"/>
      <c r="CD92" s="115"/>
      <c r="CE92" s="115"/>
      <c r="CF92" s="115"/>
      <c r="CG92" s="115"/>
      <c r="CH92" s="115"/>
      <c r="CI92" s="115"/>
      <c r="CJ92" s="115"/>
      <c r="CK92" s="115">
        <v>1</v>
      </c>
      <c r="CL92" s="115"/>
      <c r="CM92" s="115"/>
      <c r="CN92" s="257">
        <v>1</v>
      </c>
      <c r="CO92" s="117">
        <v>5</v>
      </c>
      <c r="CP92" s="115"/>
      <c r="CQ92" s="117">
        <v>5</v>
      </c>
      <c r="CR92" s="116"/>
      <c r="CS92" s="117">
        <v>17</v>
      </c>
      <c r="CT92" s="115">
        <v>9</v>
      </c>
      <c r="CU92" s="115">
        <v>83480</v>
      </c>
      <c r="CV92" s="115">
        <v>301</v>
      </c>
      <c r="CW92" s="115">
        <v>8384</v>
      </c>
      <c r="CX92" s="115">
        <v>9</v>
      </c>
      <c r="CY92" s="115">
        <v>8</v>
      </c>
      <c r="CZ92" s="115">
        <v>3</v>
      </c>
      <c r="DA92" s="115">
        <v>68</v>
      </c>
      <c r="DB92" s="115"/>
      <c r="DC92" s="115">
        <v>12</v>
      </c>
      <c r="DD92" s="117">
        <v>92291</v>
      </c>
      <c r="DE92" s="258">
        <v>4033</v>
      </c>
      <c r="DF92" s="115">
        <v>2</v>
      </c>
      <c r="DG92" s="115">
        <v>38</v>
      </c>
      <c r="DH92" s="115">
        <v>20</v>
      </c>
      <c r="DI92" s="115"/>
      <c r="DJ92" s="115"/>
      <c r="DK92" s="115"/>
      <c r="DL92" s="257">
        <v>4093</v>
      </c>
      <c r="DM92" s="117"/>
      <c r="DN92" s="116"/>
      <c r="DO92" s="117"/>
      <c r="DP92" s="115"/>
      <c r="DQ92" s="117"/>
      <c r="DR92" s="116">
        <v>34</v>
      </c>
      <c r="DS92" s="117"/>
      <c r="DT92" s="115"/>
      <c r="DU92" s="117"/>
      <c r="DV92" s="258">
        <v>6</v>
      </c>
      <c r="DW92" s="115"/>
      <c r="DX92" s="257">
        <v>6</v>
      </c>
      <c r="DY92" s="117">
        <v>1</v>
      </c>
      <c r="DZ92" s="116">
        <v>1</v>
      </c>
      <c r="EA92" s="117">
        <v>1510</v>
      </c>
      <c r="EB92" s="115"/>
      <c r="EC92" s="117">
        <v>1510</v>
      </c>
      <c r="ED92" s="116"/>
      <c r="EE92" s="116"/>
      <c r="EF92" s="117">
        <v>82</v>
      </c>
      <c r="EG92" s="115">
        <v>136</v>
      </c>
      <c r="EH92" s="115"/>
      <c r="EI92" s="115"/>
      <c r="EJ92" s="115"/>
      <c r="EK92" s="115"/>
      <c r="EL92" s="117">
        <v>218</v>
      </c>
      <c r="EM92" s="258">
        <v>189</v>
      </c>
      <c r="EN92" s="115">
        <v>3411</v>
      </c>
      <c r="EO92" s="115">
        <v>76</v>
      </c>
      <c r="EP92" s="115">
        <v>221</v>
      </c>
      <c r="EQ92" s="115">
        <v>5154</v>
      </c>
      <c r="ER92" s="115">
        <v>21</v>
      </c>
      <c r="ES92" s="115">
        <v>118</v>
      </c>
      <c r="ET92" s="115">
        <v>2</v>
      </c>
      <c r="EU92" s="115">
        <v>2</v>
      </c>
      <c r="EV92" s="115">
        <v>2</v>
      </c>
      <c r="EW92" s="115">
        <v>0</v>
      </c>
      <c r="EX92" s="115">
        <v>2</v>
      </c>
      <c r="EY92" s="115"/>
      <c r="EZ92" s="257">
        <v>9198</v>
      </c>
      <c r="FA92" s="117"/>
      <c r="FB92" s="116">
        <v>4</v>
      </c>
      <c r="FC92" s="117">
        <v>1</v>
      </c>
      <c r="FD92" s="115"/>
      <c r="FE92" s="115">
        <v>24</v>
      </c>
      <c r="FF92" s="117">
        <v>25</v>
      </c>
      <c r="FG92" s="116"/>
      <c r="FH92" s="116">
        <v>252</v>
      </c>
      <c r="FI92" s="117">
        <v>1</v>
      </c>
      <c r="FJ92" s="115">
        <v>127</v>
      </c>
      <c r="FK92" s="115"/>
      <c r="FL92" s="115">
        <v>8</v>
      </c>
      <c r="FM92" s="117">
        <v>136</v>
      </c>
      <c r="FN92" s="258"/>
      <c r="FO92" s="115"/>
      <c r="FP92" s="257"/>
      <c r="FQ92" s="117">
        <v>78</v>
      </c>
      <c r="FR92" s="115"/>
      <c r="FS92" s="117">
        <v>78</v>
      </c>
      <c r="FT92" s="116"/>
      <c r="FU92" s="117">
        <v>11</v>
      </c>
      <c r="FV92" s="115"/>
      <c r="FW92" s="117">
        <v>11</v>
      </c>
      <c r="FX92" s="258">
        <v>20</v>
      </c>
      <c r="FY92" s="115">
        <v>1</v>
      </c>
      <c r="FZ92" s="115">
        <v>1</v>
      </c>
      <c r="GA92" s="115"/>
      <c r="GB92" s="257">
        <v>22</v>
      </c>
      <c r="GC92" s="117"/>
      <c r="GD92" s="258">
        <v>50</v>
      </c>
      <c r="GE92" s="115">
        <v>58</v>
      </c>
      <c r="GF92" s="257">
        <v>108</v>
      </c>
      <c r="GG92" s="117"/>
      <c r="GH92" s="258">
        <v>2</v>
      </c>
      <c r="GI92" s="115"/>
      <c r="GJ92" s="115"/>
      <c r="GK92" s="257">
        <v>2</v>
      </c>
      <c r="GL92" s="117">
        <v>8</v>
      </c>
      <c r="GM92" s="258">
        <v>8</v>
      </c>
      <c r="GN92" s="115">
        <v>3</v>
      </c>
      <c r="GO92" s="115"/>
      <c r="GP92" s="115">
        <v>251</v>
      </c>
      <c r="GQ92" s="257">
        <v>262</v>
      </c>
      <c r="GR92" s="117">
        <v>309216</v>
      </c>
      <c r="GS92" s="324">
        <f>309216/49209180</f>
        <v>6.2837056012719581E-3</v>
      </c>
      <c r="GT92" s="293"/>
      <c r="GU92" s="293"/>
      <c r="GV92" s="293"/>
      <c r="GW92" s="293"/>
      <c r="GX92" s="293"/>
      <c r="GY92" s="293"/>
      <c r="GZ92" s="293"/>
      <c r="HA92" s="293"/>
      <c r="HB92" s="293"/>
      <c r="HC92" s="293"/>
      <c r="HD92" s="293"/>
      <c r="HE92" s="293"/>
      <c r="HF92" s="293"/>
      <c r="HG92" s="293"/>
      <c r="HH92" s="293"/>
      <c r="HI92" s="293"/>
      <c r="HJ92" s="293"/>
      <c r="HK92" s="293"/>
      <c r="HL92" s="293"/>
      <c r="HM92" s="293"/>
      <c r="HN92" s="293"/>
      <c r="HO92" s="293"/>
      <c r="HP92" s="293"/>
      <c r="HQ92" s="293"/>
      <c r="HR92" s="293"/>
      <c r="HS92" s="293"/>
      <c r="HT92" s="293"/>
      <c r="HU92" s="293"/>
      <c r="HV92" s="293"/>
      <c r="HW92" s="293"/>
      <c r="HX92" s="294"/>
    </row>
    <row r="93" spans="2:232" ht="12.75" x14ac:dyDescent="0.2">
      <c r="B93" s="259" t="s">
        <v>80</v>
      </c>
      <c r="C93" s="258">
        <v>44</v>
      </c>
      <c r="D93" s="115"/>
      <c r="E93" s="115"/>
      <c r="F93" s="115"/>
      <c r="G93" s="257">
        <v>44</v>
      </c>
      <c r="H93" s="117"/>
      <c r="I93" s="258">
        <v>8</v>
      </c>
      <c r="J93" s="115"/>
      <c r="K93" s="257">
        <v>8</v>
      </c>
      <c r="L93" s="117"/>
      <c r="M93" s="116">
        <v>75</v>
      </c>
      <c r="N93" s="117">
        <v>1590</v>
      </c>
      <c r="O93" s="115">
        <v>7</v>
      </c>
      <c r="P93" s="115">
        <v>7</v>
      </c>
      <c r="Q93" s="115">
        <v>2</v>
      </c>
      <c r="R93" s="115"/>
      <c r="S93" s="115"/>
      <c r="T93" s="115">
        <v>1</v>
      </c>
      <c r="U93" s="115"/>
      <c r="V93" s="117">
        <v>1607</v>
      </c>
      <c r="W93" s="258">
        <v>4255</v>
      </c>
      <c r="X93" s="115">
        <v>134</v>
      </c>
      <c r="Y93" s="257">
        <v>4389</v>
      </c>
      <c r="Z93" s="117">
        <v>8059</v>
      </c>
      <c r="AA93" s="115"/>
      <c r="AB93" s="117">
        <v>8059</v>
      </c>
      <c r="AC93" s="258">
        <v>83</v>
      </c>
      <c r="AD93" s="115"/>
      <c r="AE93" s="115"/>
      <c r="AF93" s="257">
        <v>83</v>
      </c>
      <c r="AG93" s="117">
        <v>6</v>
      </c>
      <c r="AH93" s="115"/>
      <c r="AI93" s="115"/>
      <c r="AJ93" s="115"/>
      <c r="AK93" s="117">
        <v>6</v>
      </c>
      <c r="AL93" s="258"/>
      <c r="AM93" s="115">
        <v>2</v>
      </c>
      <c r="AN93" s="257">
        <v>2</v>
      </c>
      <c r="AO93" s="117"/>
      <c r="AP93" s="116"/>
      <c r="AQ93" s="117"/>
      <c r="AR93" s="115"/>
      <c r="AS93" s="115"/>
      <c r="AT93" s="117"/>
      <c r="AU93" s="258"/>
      <c r="AV93" s="115"/>
      <c r="AW93" s="115"/>
      <c r="AX93" s="115"/>
      <c r="AY93" s="115"/>
      <c r="AZ93" s="115"/>
      <c r="BA93" s="115"/>
      <c r="BB93" s="115"/>
      <c r="BC93" s="257"/>
      <c r="BD93" s="117"/>
      <c r="BE93" s="116">
        <v>3</v>
      </c>
      <c r="BF93" s="117">
        <v>376</v>
      </c>
      <c r="BG93" s="115">
        <v>837</v>
      </c>
      <c r="BH93" s="115">
        <v>806</v>
      </c>
      <c r="BI93" s="115">
        <v>2</v>
      </c>
      <c r="BJ93" s="115">
        <v>64</v>
      </c>
      <c r="BK93" s="115"/>
      <c r="BL93" s="117">
        <v>2085</v>
      </c>
      <c r="BM93" s="116"/>
      <c r="BN93" s="116"/>
      <c r="BO93" s="116">
        <v>0</v>
      </c>
      <c r="BP93" s="116">
        <v>42</v>
      </c>
      <c r="BQ93" s="117">
        <v>29</v>
      </c>
      <c r="BR93" s="115"/>
      <c r="BS93" s="117">
        <v>29</v>
      </c>
      <c r="BT93" s="116"/>
      <c r="BU93" s="117">
        <v>8</v>
      </c>
      <c r="BV93" s="115"/>
      <c r="BW93" s="115"/>
      <c r="BX93" s="117">
        <v>8</v>
      </c>
      <c r="BY93" s="258"/>
      <c r="BZ93" s="115"/>
      <c r="CA93" s="115"/>
      <c r="CB93" s="115"/>
      <c r="CC93" s="115"/>
      <c r="CD93" s="115"/>
      <c r="CE93" s="115"/>
      <c r="CF93" s="115"/>
      <c r="CG93" s="115"/>
      <c r="CH93" s="115"/>
      <c r="CI93" s="115"/>
      <c r="CJ93" s="115"/>
      <c r="CK93" s="115"/>
      <c r="CL93" s="115"/>
      <c r="CM93" s="115"/>
      <c r="CN93" s="257"/>
      <c r="CO93" s="117">
        <v>10</v>
      </c>
      <c r="CP93" s="115"/>
      <c r="CQ93" s="117">
        <v>10</v>
      </c>
      <c r="CR93" s="116"/>
      <c r="CS93" s="117">
        <v>3</v>
      </c>
      <c r="CT93" s="115"/>
      <c r="CU93" s="115">
        <v>9690</v>
      </c>
      <c r="CV93" s="115">
        <v>9</v>
      </c>
      <c r="CW93" s="115">
        <v>5010</v>
      </c>
      <c r="CX93" s="115"/>
      <c r="CY93" s="115">
        <v>1</v>
      </c>
      <c r="CZ93" s="115"/>
      <c r="DA93" s="115">
        <v>10</v>
      </c>
      <c r="DB93" s="115"/>
      <c r="DC93" s="115"/>
      <c r="DD93" s="117">
        <v>14723</v>
      </c>
      <c r="DE93" s="258">
        <v>60</v>
      </c>
      <c r="DF93" s="115"/>
      <c r="DG93" s="115">
        <v>4</v>
      </c>
      <c r="DH93" s="115"/>
      <c r="DI93" s="115"/>
      <c r="DJ93" s="115"/>
      <c r="DK93" s="115"/>
      <c r="DL93" s="257">
        <v>64</v>
      </c>
      <c r="DM93" s="117"/>
      <c r="DN93" s="116"/>
      <c r="DO93" s="117"/>
      <c r="DP93" s="115"/>
      <c r="DQ93" s="117"/>
      <c r="DR93" s="116"/>
      <c r="DS93" s="117"/>
      <c r="DT93" s="115"/>
      <c r="DU93" s="117"/>
      <c r="DV93" s="258">
        <v>0</v>
      </c>
      <c r="DW93" s="115"/>
      <c r="DX93" s="257">
        <v>0</v>
      </c>
      <c r="DY93" s="117"/>
      <c r="DZ93" s="116"/>
      <c r="EA93" s="117">
        <v>434</v>
      </c>
      <c r="EB93" s="115"/>
      <c r="EC93" s="117">
        <v>434</v>
      </c>
      <c r="ED93" s="116"/>
      <c r="EE93" s="116"/>
      <c r="EF93" s="117"/>
      <c r="EG93" s="115">
        <v>0</v>
      </c>
      <c r="EH93" s="115"/>
      <c r="EI93" s="115"/>
      <c r="EJ93" s="115"/>
      <c r="EK93" s="115"/>
      <c r="EL93" s="117">
        <v>0</v>
      </c>
      <c r="EM93" s="258">
        <v>23</v>
      </c>
      <c r="EN93" s="115">
        <v>71</v>
      </c>
      <c r="EO93" s="115">
        <v>1</v>
      </c>
      <c r="EP93" s="115">
        <v>2</v>
      </c>
      <c r="EQ93" s="115">
        <v>61</v>
      </c>
      <c r="ER93" s="115">
        <v>2</v>
      </c>
      <c r="ES93" s="115">
        <v>16</v>
      </c>
      <c r="ET93" s="115"/>
      <c r="EU93" s="115"/>
      <c r="EV93" s="115"/>
      <c r="EW93" s="115"/>
      <c r="EX93" s="115">
        <v>1</v>
      </c>
      <c r="EY93" s="115"/>
      <c r="EZ93" s="257">
        <v>177</v>
      </c>
      <c r="FA93" s="117"/>
      <c r="FB93" s="116">
        <v>1</v>
      </c>
      <c r="FC93" s="117">
        <v>0</v>
      </c>
      <c r="FD93" s="115"/>
      <c r="FE93" s="115"/>
      <c r="FF93" s="117">
        <v>0</v>
      </c>
      <c r="FG93" s="116"/>
      <c r="FH93" s="116">
        <v>0</v>
      </c>
      <c r="FI93" s="117"/>
      <c r="FJ93" s="115"/>
      <c r="FK93" s="115"/>
      <c r="FL93" s="115"/>
      <c r="FM93" s="117"/>
      <c r="FN93" s="258"/>
      <c r="FO93" s="115"/>
      <c r="FP93" s="257"/>
      <c r="FQ93" s="117">
        <v>8</v>
      </c>
      <c r="FR93" s="115"/>
      <c r="FS93" s="117">
        <v>8</v>
      </c>
      <c r="FT93" s="116"/>
      <c r="FU93" s="117">
        <v>61</v>
      </c>
      <c r="FV93" s="115"/>
      <c r="FW93" s="117">
        <v>61</v>
      </c>
      <c r="FX93" s="258">
        <v>1</v>
      </c>
      <c r="FY93" s="115"/>
      <c r="FZ93" s="115"/>
      <c r="GA93" s="115"/>
      <c r="GB93" s="257">
        <v>1</v>
      </c>
      <c r="GC93" s="117"/>
      <c r="GD93" s="258">
        <v>2</v>
      </c>
      <c r="GE93" s="115">
        <v>3</v>
      </c>
      <c r="GF93" s="257">
        <v>5</v>
      </c>
      <c r="GG93" s="117"/>
      <c r="GH93" s="258">
        <v>26</v>
      </c>
      <c r="GI93" s="115"/>
      <c r="GJ93" s="115"/>
      <c r="GK93" s="257">
        <v>26</v>
      </c>
      <c r="GL93" s="117"/>
      <c r="GM93" s="258"/>
      <c r="GN93" s="115"/>
      <c r="GO93" s="115"/>
      <c r="GP93" s="115"/>
      <c r="GQ93" s="257"/>
      <c r="GR93" s="117">
        <v>31950</v>
      </c>
      <c r="GS93" s="324">
        <f>31950/49209180</f>
        <v>6.4926909978991728E-4</v>
      </c>
      <c r="GT93" s="293"/>
      <c r="GU93" s="293"/>
      <c r="GV93" s="293"/>
      <c r="GW93" s="293"/>
      <c r="GX93" s="293"/>
      <c r="GY93" s="293"/>
      <c r="GZ93" s="293"/>
      <c r="HA93" s="293"/>
      <c r="HB93" s="293"/>
      <c r="HC93" s="293"/>
      <c r="HD93" s="293"/>
      <c r="HE93" s="293"/>
      <c r="HF93" s="293"/>
      <c r="HG93" s="293"/>
      <c r="HH93" s="293"/>
      <c r="HI93" s="293"/>
      <c r="HJ93" s="293"/>
      <c r="HK93" s="293"/>
      <c r="HL93" s="293"/>
      <c r="HM93" s="293"/>
      <c r="HN93" s="293"/>
      <c r="HO93" s="293"/>
      <c r="HP93" s="293"/>
      <c r="HQ93" s="293"/>
      <c r="HR93" s="293"/>
      <c r="HS93" s="293"/>
      <c r="HT93" s="293"/>
      <c r="HU93" s="293"/>
      <c r="HV93" s="293"/>
      <c r="HW93" s="293"/>
      <c r="HX93" s="294"/>
    </row>
    <row r="94" spans="2:232" ht="12.75" x14ac:dyDescent="0.2">
      <c r="B94" s="259" t="s">
        <v>109</v>
      </c>
      <c r="C94" s="258">
        <v>47</v>
      </c>
      <c r="D94" s="115">
        <v>18</v>
      </c>
      <c r="E94" s="115">
        <v>10</v>
      </c>
      <c r="F94" s="115">
        <v>8</v>
      </c>
      <c r="G94" s="257">
        <v>83</v>
      </c>
      <c r="H94" s="117"/>
      <c r="I94" s="258">
        <v>890</v>
      </c>
      <c r="J94" s="115"/>
      <c r="K94" s="257">
        <v>890</v>
      </c>
      <c r="L94" s="117"/>
      <c r="M94" s="116">
        <v>3428</v>
      </c>
      <c r="N94" s="117">
        <v>21824</v>
      </c>
      <c r="O94" s="115">
        <v>12</v>
      </c>
      <c r="P94" s="115">
        <v>78</v>
      </c>
      <c r="Q94" s="115">
        <v>43</v>
      </c>
      <c r="R94" s="115"/>
      <c r="S94" s="115">
        <v>2</v>
      </c>
      <c r="T94" s="115"/>
      <c r="U94" s="115"/>
      <c r="V94" s="117">
        <v>21959</v>
      </c>
      <c r="W94" s="258">
        <v>15058</v>
      </c>
      <c r="X94" s="115">
        <v>19628</v>
      </c>
      <c r="Y94" s="257">
        <v>34686</v>
      </c>
      <c r="Z94" s="117">
        <v>1417110</v>
      </c>
      <c r="AA94" s="115">
        <v>16</v>
      </c>
      <c r="AB94" s="117">
        <v>1417126</v>
      </c>
      <c r="AC94" s="258">
        <v>824</v>
      </c>
      <c r="AD94" s="115"/>
      <c r="AE94" s="115"/>
      <c r="AF94" s="257">
        <v>824</v>
      </c>
      <c r="AG94" s="117">
        <v>69</v>
      </c>
      <c r="AH94" s="115"/>
      <c r="AI94" s="115">
        <v>149</v>
      </c>
      <c r="AJ94" s="115">
        <v>4</v>
      </c>
      <c r="AK94" s="117">
        <v>222</v>
      </c>
      <c r="AL94" s="258">
        <v>18</v>
      </c>
      <c r="AM94" s="115">
        <v>17</v>
      </c>
      <c r="AN94" s="257">
        <v>35</v>
      </c>
      <c r="AO94" s="117"/>
      <c r="AP94" s="116"/>
      <c r="AQ94" s="117"/>
      <c r="AR94" s="115">
        <v>257</v>
      </c>
      <c r="AS94" s="115">
        <v>1</v>
      </c>
      <c r="AT94" s="117">
        <v>258</v>
      </c>
      <c r="AU94" s="258">
        <v>51</v>
      </c>
      <c r="AV94" s="115"/>
      <c r="AW94" s="115">
        <v>7</v>
      </c>
      <c r="AX94" s="115"/>
      <c r="AY94" s="115">
        <v>35</v>
      </c>
      <c r="AZ94" s="115">
        <v>3</v>
      </c>
      <c r="BA94" s="115">
        <v>1</v>
      </c>
      <c r="BB94" s="115">
        <v>0</v>
      </c>
      <c r="BC94" s="257">
        <v>97</v>
      </c>
      <c r="BD94" s="117"/>
      <c r="BE94" s="116">
        <v>4</v>
      </c>
      <c r="BF94" s="117">
        <v>7797</v>
      </c>
      <c r="BG94" s="115">
        <v>11013</v>
      </c>
      <c r="BH94" s="115">
        <v>27831</v>
      </c>
      <c r="BI94" s="115">
        <v>31</v>
      </c>
      <c r="BJ94" s="115">
        <v>214</v>
      </c>
      <c r="BK94" s="115"/>
      <c r="BL94" s="117">
        <v>46886</v>
      </c>
      <c r="BM94" s="116">
        <v>2</v>
      </c>
      <c r="BN94" s="116"/>
      <c r="BO94" s="116">
        <v>10</v>
      </c>
      <c r="BP94" s="116">
        <v>1</v>
      </c>
      <c r="BQ94" s="117">
        <v>11</v>
      </c>
      <c r="BR94" s="115"/>
      <c r="BS94" s="117">
        <v>11</v>
      </c>
      <c r="BT94" s="116">
        <v>40</v>
      </c>
      <c r="BU94" s="117">
        <v>10</v>
      </c>
      <c r="BV94" s="115">
        <v>2</v>
      </c>
      <c r="BW94" s="115"/>
      <c r="BX94" s="117">
        <v>12</v>
      </c>
      <c r="BY94" s="258">
        <v>1</v>
      </c>
      <c r="BZ94" s="115"/>
      <c r="CA94" s="115">
        <v>1</v>
      </c>
      <c r="CB94" s="115">
        <v>27</v>
      </c>
      <c r="CC94" s="115">
        <v>33</v>
      </c>
      <c r="CD94" s="115">
        <v>27</v>
      </c>
      <c r="CE94" s="115">
        <v>19</v>
      </c>
      <c r="CF94" s="115">
        <v>0</v>
      </c>
      <c r="CG94" s="115">
        <v>6</v>
      </c>
      <c r="CH94" s="115">
        <v>20</v>
      </c>
      <c r="CI94" s="115">
        <v>34</v>
      </c>
      <c r="CJ94" s="115"/>
      <c r="CK94" s="115">
        <v>29</v>
      </c>
      <c r="CL94" s="115">
        <v>0</v>
      </c>
      <c r="CM94" s="115"/>
      <c r="CN94" s="257">
        <v>197</v>
      </c>
      <c r="CO94" s="117">
        <v>69</v>
      </c>
      <c r="CP94" s="115"/>
      <c r="CQ94" s="117">
        <v>69</v>
      </c>
      <c r="CR94" s="116"/>
      <c r="CS94" s="117">
        <v>83</v>
      </c>
      <c r="CT94" s="115">
        <v>53</v>
      </c>
      <c r="CU94" s="115">
        <v>28745</v>
      </c>
      <c r="CV94" s="115">
        <v>117</v>
      </c>
      <c r="CW94" s="115">
        <v>58491</v>
      </c>
      <c r="CX94" s="115">
        <v>1127</v>
      </c>
      <c r="CY94" s="115">
        <v>1179</v>
      </c>
      <c r="CZ94" s="115">
        <v>119</v>
      </c>
      <c r="DA94" s="115">
        <v>0</v>
      </c>
      <c r="DB94" s="115">
        <v>5</v>
      </c>
      <c r="DC94" s="115">
        <v>24</v>
      </c>
      <c r="DD94" s="117">
        <v>89943</v>
      </c>
      <c r="DE94" s="258">
        <v>4768</v>
      </c>
      <c r="DF94" s="115">
        <v>253</v>
      </c>
      <c r="DG94" s="115">
        <v>177</v>
      </c>
      <c r="DH94" s="115">
        <v>77</v>
      </c>
      <c r="DI94" s="115">
        <v>14</v>
      </c>
      <c r="DJ94" s="115"/>
      <c r="DK94" s="115"/>
      <c r="DL94" s="257">
        <v>5289</v>
      </c>
      <c r="DM94" s="117"/>
      <c r="DN94" s="116"/>
      <c r="DO94" s="117"/>
      <c r="DP94" s="115">
        <v>53</v>
      </c>
      <c r="DQ94" s="117">
        <v>53</v>
      </c>
      <c r="DR94" s="116">
        <v>4</v>
      </c>
      <c r="DS94" s="117"/>
      <c r="DT94" s="115"/>
      <c r="DU94" s="117"/>
      <c r="DV94" s="258">
        <v>944</v>
      </c>
      <c r="DW94" s="115"/>
      <c r="DX94" s="257">
        <v>944</v>
      </c>
      <c r="DY94" s="117">
        <v>2</v>
      </c>
      <c r="DZ94" s="116">
        <v>0</v>
      </c>
      <c r="EA94" s="117">
        <v>5220</v>
      </c>
      <c r="EB94" s="115"/>
      <c r="EC94" s="117">
        <v>5220</v>
      </c>
      <c r="ED94" s="116"/>
      <c r="EE94" s="116"/>
      <c r="EF94" s="117">
        <v>663</v>
      </c>
      <c r="EG94" s="115">
        <v>192</v>
      </c>
      <c r="EH94" s="115">
        <v>7</v>
      </c>
      <c r="EI94" s="115"/>
      <c r="EJ94" s="115"/>
      <c r="EK94" s="115"/>
      <c r="EL94" s="117">
        <v>862</v>
      </c>
      <c r="EM94" s="258">
        <v>122</v>
      </c>
      <c r="EN94" s="115">
        <v>105</v>
      </c>
      <c r="EO94" s="115">
        <v>51</v>
      </c>
      <c r="EP94" s="115">
        <v>135</v>
      </c>
      <c r="EQ94" s="115">
        <v>146</v>
      </c>
      <c r="ER94" s="115">
        <v>44</v>
      </c>
      <c r="ES94" s="115">
        <v>40</v>
      </c>
      <c r="ET94" s="115">
        <v>8</v>
      </c>
      <c r="EU94" s="115">
        <v>1</v>
      </c>
      <c r="EV94" s="115">
        <v>2</v>
      </c>
      <c r="EW94" s="115">
        <v>7</v>
      </c>
      <c r="EX94" s="115">
        <v>10</v>
      </c>
      <c r="EY94" s="115"/>
      <c r="EZ94" s="257">
        <v>671</v>
      </c>
      <c r="FA94" s="117"/>
      <c r="FB94" s="116"/>
      <c r="FC94" s="117">
        <v>0</v>
      </c>
      <c r="FD94" s="115">
        <v>6</v>
      </c>
      <c r="FE94" s="115">
        <v>65</v>
      </c>
      <c r="FF94" s="117">
        <v>71</v>
      </c>
      <c r="FG94" s="116">
        <v>3</v>
      </c>
      <c r="FH94" s="116">
        <v>56</v>
      </c>
      <c r="FI94" s="117">
        <v>27</v>
      </c>
      <c r="FJ94" s="115">
        <v>763</v>
      </c>
      <c r="FK94" s="115">
        <v>19</v>
      </c>
      <c r="FL94" s="115">
        <v>166</v>
      </c>
      <c r="FM94" s="117">
        <v>975</v>
      </c>
      <c r="FN94" s="258"/>
      <c r="FO94" s="115"/>
      <c r="FP94" s="257"/>
      <c r="FQ94" s="117">
        <v>26</v>
      </c>
      <c r="FR94" s="115"/>
      <c r="FS94" s="117">
        <v>26</v>
      </c>
      <c r="FT94" s="116"/>
      <c r="FU94" s="117">
        <v>1358</v>
      </c>
      <c r="FV94" s="115"/>
      <c r="FW94" s="117">
        <v>1358</v>
      </c>
      <c r="FX94" s="258">
        <v>4</v>
      </c>
      <c r="FY94" s="115">
        <v>267</v>
      </c>
      <c r="FZ94" s="115">
        <v>23</v>
      </c>
      <c r="GA94" s="115">
        <v>20</v>
      </c>
      <c r="GB94" s="257">
        <v>314</v>
      </c>
      <c r="GC94" s="117"/>
      <c r="GD94" s="258">
        <v>450</v>
      </c>
      <c r="GE94" s="115">
        <v>171</v>
      </c>
      <c r="GF94" s="257">
        <v>621</v>
      </c>
      <c r="GG94" s="117"/>
      <c r="GH94" s="258">
        <v>11</v>
      </c>
      <c r="GI94" s="115"/>
      <c r="GJ94" s="115"/>
      <c r="GK94" s="257">
        <v>11</v>
      </c>
      <c r="GL94" s="117">
        <v>338</v>
      </c>
      <c r="GM94" s="258">
        <v>9</v>
      </c>
      <c r="GN94" s="115">
        <v>1</v>
      </c>
      <c r="GO94" s="115">
        <v>87</v>
      </c>
      <c r="GP94" s="115">
        <v>279</v>
      </c>
      <c r="GQ94" s="257">
        <v>376</v>
      </c>
      <c r="GR94" s="117">
        <v>1633977</v>
      </c>
      <c r="GS94" s="324">
        <f>1633977/49209180</f>
        <v>3.3204719119481363E-2</v>
      </c>
      <c r="GT94" s="293"/>
      <c r="GU94" s="293"/>
      <c r="GV94" s="293"/>
      <c r="GW94" s="293"/>
      <c r="GX94" s="293"/>
      <c r="GY94" s="293"/>
      <c r="GZ94" s="293"/>
      <c r="HA94" s="293"/>
      <c r="HB94" s="293"/>
      <c r="HC94" s="293"/>
      <c r="HD94" s="293"/>
      <c r="HE94" s="293"/>
      <c r="HF94" s="293"/>
      <c r="HG94" s="293"/>
      <c r="HH94" s="293"/>
      <c r="HI94" s="293"/>
      <c r="HJ94" s="293"/>
      <c r="HK94" s="293"/>
      <c r="HL94" s="293"/>
      <c r="HM94" s="293"/>
      <c r="HN94" s="293"/>
      <c r="HO94" s="293"/>
      <c r="HP94" s="293"/>
      <c r="HQ94" s="293"/>
      <c r="HR94" s="293"/>
      <c r="HS94" s="293"/>
      <c r="HT94" s="293"/>
      <c r="HU94" s="293"/>
      <c r="HV94" s="293"/>
      <c r="HW94" s="293"/>
      <c r="HX94" s="294"/>
    </row>
    <row r="95" spans="2:232" ht="12.75" x14ac:dyDescent="0.2">
      <c r="B95" s="259" t="s">
        <v>136</v>
      </c>
      <c r="C95" s="258">
        <v>397</v>
      </c>
      <c r="D95" s="115"/>
      <c r="E95" s="115">
        <v>1</v>
      </c>
      <c r="F95" s="115"/>
      <c r="G95" s="257">
        <v>398</v>
      </c>
      <c r="H95" s="117"/>
      <c r="I95" s="258">
        <v>63</v>
      </c>
      <c r="J95" s="115"/>
      <c r="K95" s="257">
        <v>63</v>
      </c>
      <c r="L95" s="117"/>
      <c r="M95" s="116">
        <v>35340</v>
      </c>
      <c r="N95" s="117">
        <v>395814</v>
      </c>
      <c r="O95" s="115">
        <v>182</v>
      </c>
      <c r="P95" s="115">
        <v>14</v>
      </c>
      <c r="Q95" s="115">
        <v>25</v>
      </c>
      <c r="R95" s="115">
        <v>12</v>
      </c>
      <c r="S95" s="115">
        <v>21</v>
      </c>
      <c r="T95" s="115">
        <v>2</v>
      </c>
      <c r="U95" s="115"/>
      <c r="V95" s="117">
        <v>396070</v>
      </c>
      <c r="W95" s="258">
        <v>938</v>
      </c>
      <c r="X95" s="115">
        <v>377</v>
      </c>
      <c r="Y95" s="257">
        <v>1315</v>
      </c>
      <c r="Z95" s="117">
        <v>12800</v>
      </c>
      <c r="AA95" s="115"/>
      <c r="AB95" s="117">
        <v>12800</v>
      </c>
      <c r="AC95" s="258">
        <v>2003</v>
      </c>
      <c r="AD95" s="115"/>
      <c r="AE95" s="115"/>
      <c r="AF95" s="257">
        <v>2003</v>
      </c>
      <c r="AG95" s="117">
        <v>8</v>
      </c>
      <c r="AH95" s="115"/>
      <c r="AI95" s="115">
        <v>3</v>
      </c>
      <c r="AJ95" s="115"/>
      <c r="AK95" s="117">
        <v>11</v>
      </c>
      <c r="AL95" s="258"/>
      <c r="AM95" s="115">
        <v>59</v>
      </c>
      <c r="AN95" s="257">
        <v>59</v>
      </c>
      <c r="AO95" s="117"/>
      <c r="AP95" s="116"/>
      <c r="AQ95" s="117">
        <v>4</v>
      </c>
      <c r="AR95" s="115"/>
      <c r="AS95" s="115"/>
      <c r="AT95" s="117">
        <v>4</v>
      </c>
      <c r="AU95" s="258">
        <v>4</v>
      </c>
      <c r="AV95" s="115">
        <v>2</v>
      </c>
      <c r="AW95" s="115"/>
      <c r="AX95" s="115"/>
      <c r="AY95" s="115"/>
      <c r="AZ95" s="115"/>
      <c r="BA95" s="115"/>
      <c r="BB95" s="115"/>
      <c r="BC95" s="257">
        <v>6</v>
      </c>
      <c r="BD95" s="117">
        <v>0</v>
      </c>
      <c r="BE95" s="116">
        <v>14</v>
      </c>
      <c r="BF95" s="117">
        <v>683</v>
      </c>
      <c r="BG95" s="115">
        <v>368</v>
      </c>
      <c r="BH95" s="115">
        <v>823</v>
      </c>
      <c r="BI95" s="115">
        <v>44</v>
      </c>
      <c r="BJ95" s="115">
        <v>19</v>
      </c>
      <c r="BK95" s="115"/>
      <c r="BL95" s="117">
        <v>1937</v>
      </c>
      <c r="BM95" s="116">
        <v>0</v>
      </c>
      <c r="BN95" s="116"/>
      <c r="BO95" s="116">
        <v>2</v>
      </c>
      <c r="BP95" s="116">
        <v>1</v>
      </c>
      <c r="BQ95" s="117">
        <v>116</v>
      </c>
      <c r="BR95" s="115">
        <v>7</v>
      </c>
      <c r="BS95" s="117">
        <v>123</v>
      </c>
      <c r="BT95" s="116"/>
      <c r="BU95" s="117">
        <v>8</v>
      </c>
      <c r="BV95" s="115">
        <v>1</v>
      </c>
      <c r="BW95" s="115"/>
      <c r="BX95" s="117">
        <v>9</v>
      </c>
      <c r="BY95" s="258"/>
      <c r="BZ95" s="115"/>
      <c r="CA95" s="115">
        <v>1</v>
      </c>
      <c r="CB95" s="115"/>
      <c r="CC95" s="115"/>
      <c r="CD95" s="115"/>
      <c r="CE95" s="115"/>
      <c r="CF95" s="115"/>
      <c r="CG95" s="115"/>
      <c r="CH95" s="115"/>
      <c r="CI95" s="115"/>
      <c r="CJ95" s="115"/>
      <c r="CK95" s="115"/>
      <c r="CL95" s="115"/>
      <c r="CM95" s="115"/>
      <c r="CN95" s="257">
        <v>1</v>
      </c>
      <c r="CO95" s="117">
        <v>33</v>
      </c>
      <c r="CP95" s="115"/>
      <c r="CQ95" s="117">
        <v>33</v>
      </c>
      <c r="CR95" s="116"/>
      <c r="CS95" s="117">
        <v>196</v>
      </c>
      <c r="CT95" s="115">
        <v>2</v>
      </c>
      <c r="CU95" s="115">
        <v>283689</v>
      </c>
      <c r="CV95" s="115">
        <v>1513</v>
      </c>
      <c r="CW95" s="115">
        <v>65579</v>
      </c>
      <c r="CX95" s="115">
        <v>6</v>
      </c>
      <c r="CY95" s="115">
        <v>1</v>
      </c>
      <c r="CZ95" s="115"/>
      <c r="DA95" s="115">
        <v>51</v>
      </c>
      <c r="DB95" s="115"/>
      <c r="DC95" s="115">
        <v>5</v>
      </c>
      <c r="DD95" s="117">
        <v>351042</v>
      </c>
      <c r="DE95" s="258">
        <v>1058</v>
      </c>
      <c r="DF95" s="115"/>
      <c r="DG95" s="115">
        <v>26</v>
      </c>
      <c r="DH95" s="115">
        <v>136</v>
      </c>
      <c r="DI95" s="115"/>
      <c r="DJ95" s="115">
        <v>0</v>
      </c>
      <c r="DK95" s="115"/>
      <c r="DL95" s="257">
        <v>1220</v>
      </c>
      <c r="DM95" s="117"/>
      <c r="DN95" s="116">
        <v>26</v>
      </c>
      <c r="DO95" s="117"/>
      <c r="DP95" s="115"/>
      <c r="DQ95" s="117"/>
      <c r="DR95" s="116">
        <v>39</v>
      </c>
      <c r="DS95" s="117"/>
      <c r="DT95" s="115"/>
      <c r="DU95" s="117"/>
      <c r="DV95" s="258">
        <v>3</v>
      </c>
      <c r="DW95" s="115"/>
      <c r="DX95" s="257">
        <v>3</v>
      </c>
      <c r="DY95" s="117">
        <v>6</v>
      </c>
      <c r="DZ95" s="116"/>
      <c r="EA95" s="117">
        <v>3395</v>
      </c>
      <c r="EB95" s="115"/>
      <c r="EC95" s="117">
        <v>3395</v>
      </c>
      <c r="ED95" s="116"/>
      <c r="EE95" s="116"/>
      <c r="EF95" s="117">
        <v>17</v>
      </c>
      <c r="EG95" s="115">
        <v>209</v>
      </c>
      <c r="EH95" s="115"/>
      <c r="EI95" s="115"/>
      <c r="EJ95" s="115"/>
      <c r="EK95" s="115">
        <v>1</v>
      </c>
      <c r="EL95" s="117">
        <v>227</v>
      </c>
      <c r="EM95" s="258">
        <v>66</v>
      </c>
      <c r="EN95" s="115">
        <v>515</v>
      </c>
      <c r="EO95" s="115">
        <v>74</v>
      </c>
      <c r="EP95" s="115">
        <v>41</v>
      </c>
      <c r="EQ95" s="115">
        <v>19078</v>
      </c>
      <c r="ER95" s="115">
        <v>23</v>
      </c>
      <c r="ES95" s="115">
        <v>67</v>
      </c>
      <c r="ET95" s="115">
        <v>1</v>
      </c>
      <c r="EU95" s="115">
        <v>2</v>
      </c>
      <c r="EV95" s="115">
        <v>2</v>
      </c>
      <c r="EW95" s="115">
        <v>0</v>
      </c>
      <c r="EX95" s="115">
        <v>2</v>
      </c>
      <c r="EY95" s="115"/>
      <c r="EZ95" s="257">
        <v>19871</v>
      </c>
      <c r="FA95" s="117"/>
      <c r="FB95" s="116">
        <v>1</v>
      </c>
      <c r="FC95" s="117"/>
      <c r="FD95" s="115"/>
      <c r="FE95" s="115">
        <v>9</v>
      </c>
      <c r="FF95" s="117">
        <v>9</v>
      </c>
      <c r="FG95" s="116"/>
      <c r="FH95" s="116">
        <v>17</v>
      </c>
      <c r="FI95" s="117">
        <v>2</v>
      </c>
      <c r="FJ95" s="115">
        <v>7</v>
      </c>
      <c r="FK95" s="115"/>
      <c r="FL95" s="115">
        <v>11</v>
      </c>
      <c r="FM95" s="117">
        <v>20</v>
      </c>
      <c r="FN95" s="258">
        <v>1</v>
      </c>
      <c r="FO95" s="115"/>
      <c r="FP95" s="257">
        <v>1</v>
      </c>
      <c r="FQ95" s="117">
        <v>82</v>
      </c>
      <c r="FR95" s="115"/>
      <c r="FS95" s="117">
        <v>82</v>
      </c>
      <c r="FT95" s="116"/>
      <c r="FU95" s="117">
        <v>16</v>
      </c>
      <c r="FV95" s="115"/>
      <c r="FW95" s="117">
        <v>16</v>
      </c>
      <c r="FX95" s="258">
        <v>27</v>
      </c>
      <c r="FY95" s="115">
        <v>4</v>
      </c>
      <c r="FZ95" s="115">
        <v>1</v>
      </c>
      <c r="GA95" s="115"/>
      <c r="GB95" s="257">
        <v>32</v>
      </c>
      <c r="GC95" s="117"/>
      <c r="GD95" s="258">
        <v>39</v>
      </c>
      <c r="GE95" s="115">
        <v>39</v>
      </c>
      <c r="GF95" s="257">
        <v>78</v>
      </c>
      <c r="GG95" s="117"/>
      <c r="GH95" s="258">
        <v>7</v>
      </c>
      <c r="GI95" s="115"/>
      <c r="GJ95" s="115"/>
      <c r="GK95" s="257">
        <v>7</v>
      </c>
      <c r="GL95" s="117">
        <v>15</v>
      </c>
      <c r="GM95" s="258">
        <v>17</v>
      </c>
      <c r="GN95" s="115"/>
      <c r="GO95" s="115"/>
      <c r="GP95" s="115">
        <v>6</v>
      </c>
      <c r="GQ95" s="257">
        <v>23</v>
      </c>
      <c r="GR95" s="117">
        <v>826319</v>
      </c>
      <c r="GS95" s="324">
        <f>826319/49209180</f>
        <v>1.6791968490432071E-2</v>
      </c>
      <c r="GT95" s="293"/>
      <c r="GU95" s="293"/>
      <c r="GV95" s="293"/>
      <c r="GW95" s="293"/>
      <c r="GX95" s="293"/>
      <c r="GY95" s="293"/>
      <c r="GZ95" s="293"/>
      <c r="HA95" s="293"/>
      <c r="HB95" s="293"/>
      <c r="HC95" s="293"/>
      <c r="HD95" s="293"/>
      <c r="HE95" s="293"/>
      <c r="HF95" s="293"/>
      <c r="HG95" s="293"/>
      <c r="HH95" s="293"/>
      <c r="HI95" s="293"/>
      <c r="HJ95" s="293"/>
      <c r="HK95" s="293"/>
      <c r="HL95" s="293"/>
      <c r="HM95" s="293"/>
      <c r="HN95" s="293"/>
      <c r="HO95" s="293"/>
      <c r="HP95" s="293"/>
      <c r="HQ95" s="293"/>
      <c r="HR95" s="293"/>
      <c r="HS95" s="293"/>
      <c r="HT95" s="293"/>
      <c r="HU95" s="293"/>
      <c r="HV95" s="293"/>
      <c r="HW95" s="293"/>
      <c r="HX95" s="294"/>
    </row>
    <row r="96" spans="2:232" ht="12.75" x14ac:dyDescent="0.2">
      <c r="B96" s="259" t="s">
        <v>138</v>
      </c>
      <c r="C96" s="258">
        <v>156</v>
      </c>
      <c r="D96" s="115"/>
      <c r="E96" s="115"/>
      <c r="F96" s="115"/>
      <c r="G96" s="257">
        <v>156</v>
      </c>
      <c r="H96" s="117"/>
      <c r="I96" s="258">
        <v>63</v>
      </c>
      <c r="J96" s="115"/>
      <c r="K96" s="257">
        <v>63</v>
      </c>
      <c r="L96" s="117"/>
      <c r="M96" s="116">
        <v>11655</v>
      </c>
      <c r="N96" s="117">
        <v>44177</v>
      </c>
      <c r="O96" s="115">
        <v>79</v>
      </c>
      <c r="P96" s="115">
        <v>53</v>
      </c>
      <c r="Q96" s="115">
        <v>2</v>
      </c>
      <c r="R96" s="115"/>
      <c r="S96" s="115"/>
      <c r="T96" s="115"/>
      <c r="U96" s="115"/>
      <c r="V96" s="117">
        <v>44311</v>
      </c>
      <c r="W96" s="258">
        <v>1268</v>
      </c>
      <c r="X96" s="115">
        <v>110</v>
      </c>
      <c r="Y96" s="257">
        <v>1378</v>
      </c>
      <c r="Z96" s="117">
        <v>1520</v>
      </c>
      <c r="AA96" s="115"/>
      <c r="AB96" s="117">
        <v>1520</v>
      </c>
      <c r="AC96" s="258">
        <v>215</v>
      </c>
      <c r="AD96" s="115"/>
      <c r="AE96" s="115"/>
      <c r="AF96" s="257">
        <v>215</v>
      </c>
      <c r="AG96" s="117">
        <v>2</v>
      </c>
      <c r="AH96" s="115"/>
      <c r="AI96" s="115"/>
      <c r="AJ96" s="115"/>
      <c r="AK96" s="117">
        <v>2</v>
      </c>
      <c r="AL96" s="258"/>
      <c r="AM96" s="115">
        <v>47</v>
      </c>
      <c r="AN96" s="257">
        <v>47</v>
      </c>
      <c r="AO96" s="117"/>
      <c r="AP96" s="116"/>
      <c r="AQ96" s="117">
        <v>1</v>
      </c>
      <c r="AR96" s="115"/>
      <c r="AS96" s="115"/>
      <c r="AT96" s="117">
        <v>1</v>
      </c>
      <c r="AU96" s="258"/>
      <c r="AV96" s="115"/>
      <c r="AW96" s="115"/>
      <c r="AX96" s="115"/>
      <c r="AY96" s="115"/>
      <c r="AZ96" s="115"/>
      <c r="BA96" s="115"/>
      <c r="BB96" s="115"/>
      <c r="BC96" s="257"/>
      <c r="BD96" s="117">
        <v>0</v>
      </c>
      <c r="BE96" s="116">
        <v>4</v>
      </c>
      <c r="BF96" s="117">
        <v>68</v>
      </c>
      <c r="BG96" s="115">
        <v>40</v>
      </c>
      <c r="BH96" s="115">
        <v>755</v>
      </c>
      <c r="BI96" s="115">
        <v>15</v>
      </c>
      <c r="BJ96" s="115">
        <v>3</v>
      </c>
      <c r="BK96" s="115"/>
      <c r="BL96" s="117">
        <v>881</v>
      </c>
      <c r="BM96" s="116"/>
      <c r="BN96" s="116"/>
      <c r="BO96" s="116">
        <v>1</v>
      </c>
      <c r="BP96" s="116"/>
      <c r="BQ96" s="117">
        <v>139</v>
      </c>
      <c r="BR96" s="115">
        <v>1</v>
      </c>
      <c r="BS96" s="117">
        <v>140</v>
      </c>
      <c r="BT96" s="116"/>
      <c r="BU96" s="117">
        <v>1</v>
      </c>
      <c r="BV96" s="115">
        <v>1</v>
      </c>
      <c r="BW96" s="115"/>
      <c r="BX96" s="117">
        <v>2</v>
      </c>
      <c r="BY96" s="258"/>
      <c r="BZ96" s="115"/>
      <c r="CA96" s="115">
        <v>2</v>
      </c>
      <c r="CB96" s="115"/>
      <c r="CC96" s="115"/>
      <c r="CD96" s="115"/>
      <c r="CE96" s="115"/>
      <c r="CF96" s="115"/>
      <c r="CG96" s="115"/>
      <c r="CH96" s="115"/>
      <c r="CI96" s="115"/>
      <c r="CJ96" s="115"/>
      <c r="CK96" s="115"/>
      <c r="CL96" s="115"/>
      <c r="CM96" s="115"/>
      <c r="CN96" s="257">
        <v>2</v>
      </c>
      <c r="CO96" s="117">
        <v>115</v>
      </c>
      <c r="CP96" s="115"/>
      <c r="CQ96" s="117">
        <v>115</v>
      </c>
      <c r="CR96" s="116"/>
      <c r="CS96" s="117">
        <v>22</v>
      </c>
      <c r="CT96" s="115">
        <v>1</v>
      </c>
      <c r="CU96" s="115">
        <v>50797</v>
      </c>
      <c r="CV96" s="115">
        <v>192</v>
      </c>
      <c r="CW96" s="115">
        <v>54921</v>
      </c>
      <c r="CX96" s="115"/>
      <c r="CY96" s="115">
        <v>0</v>
      </c>
      <c r="CZ96" s="115"/>
      <c r="DA96" s="115">
        <v>31</v>
      </c>
      <c r="DB96" s="115"/>
      <c r="DC96" s="115">
        <v>1</v>
      </c>
      <c r="DD96" s="117">
        <v>105965</v>
      </c>
      <c r="DE96" s="258">
        <v>353</v>
      </c>
      <c r="DF96" s="115"/>
      <c r="DG96" s="115">
        <v>10</v>
      </c>
      <c r="DH96" s="115">
        <v>50</v>
      </c>
      <c r="DI96" s="115"/>
      <c r="DJ96" s="115"/>
      <c r="DK96" s="115"/>
      <c r="DL96" s="257">
        <v>413</v>
      </c>
      <c r="DM96" s="117"/>
      <c r="DN96" s="116"/>
      <c r="DO96" s="117"/>
      <c r="DP96" s="115"/>
      <c r="DQ96" s="117"/>
      <c r="DR96" s="116">
        <v>12</v>
      </c>
      <c r="DS96" s="117"/>
      <c r="DT96" s="115"/>
      <c r="DU96" s="117"/>
      <c r="DV96" s="258"/>
      <c r="DW96" s="115"/>
      <c r="DX96" s="257"/>
      <c r="DY96" s="117"/>
      <c r="DZ96" s="116"/>
      <c r="EA96" s="117">
        <v>1701</v>
      </c>
      <c r="EB96" s="115"/>
      <c r="EC96" s="117">
        <v>1701</v>
      </c>
      <c r="ED96" s="116"/>
      <c r="EE96" s="116"/>
      <c r="EF96" s="117">
        <v>8</v>
      </c>
      <c r="EG96" s="115">
        <v>78</v>
      </c>
      <c r="EH96" s="115"/>
      <c r="EI96" s="115"/>
      <c r="EJ96" s="115"/>
      <c r="EK96" s="115"/>
      <c r="EL96" s="117">
        <v>86</v>
      </c>
      <c r="EM96" s="258">
        <v>7</v>
      </c>
      <c r="EN96" s="115">
        <v>262</v>
      </c>
      <c r="EO96" s="115">
        <v>3</v>
      </c>
      <c r="EP96" s="115">
        <v>44</v>
      </c>
      <c r="EQ96" s="115">
        <v>402</v>
      </c>
      <c r="ER96" s="115">
        <v>5</v>
      </c>
      <c r="ES96" s="115">
        <v>17</v>
      </c>
      <c r="ET96" s="115">
        <v>0</v>
      </c>
      <c r="EU96" s="115"/>
      <c r="EV96" s="115"/>
      <c r="EW96" s="115"/>
      <c r="EX96" s="115"/>
      <c r="EY96" s="115"/>
      <c r="EZ96" s="257">
        <v>740</v>
      </c>
      <c r="FA96" s="117"/>
      <c r="FB96" s="116"/>
      <c r="FC96" s="117">
        <v>0</v>
      </c>
      <c r="FD96" s="115"/>
      <c r="FE96" s="115">
        <v>36</v>
      </c>
      <c r="FF96" s="117">
        <v>36</v>
      </c>
      <c r="FG96" s="116"/>
      <c r="FH96" s="116">
        <v>0</v>
      </c>
      <c r="FI96" s="117">
        <v>3</v>
      </c>
      <c r="FJ96" s="115"/>
      <c r="FK96" s="115"/>
      <c r="FL96" s="115"/>
      <c r="FM96" s="117">
        <v>3</v>
      </c>
      <c r="FN96" s="258"/>
      <c r="FO96" s="115"/>
      <c r="FP96" s="257"/>
      <c r="FQ96" s="117">
        <v>367</v>
      </c>
      <c r="FR96" s="115"/>
      <c r="FS96" s="117">
        <v>367</v>
      </c>
      <c r="FT96" s="116"/>
      <c r="FU96" s="117">
        <v>20</v>
      </c>
      <c r="FV96" s="115"/>
      <c r="FW96" s="117">
        <v>20</v>
      </c>
      <c r="FX96" s="258">
        <v>4</v>
      </c>
      <c r="FY96" s="115">
        <v>1</v>
      </c>
      <c r="FZ96" s="115"/>
      <c r="GA96" s="115">
        <v>1</v>
      </c>
      <c r="GB96" s="257">
        <v>6</v>
      </c>
      <c r="GC96" s="117"/>
      <c r="GD96" s="258">
        <v>48</v>
      </c>
      <c r="GE96" s="115">
        <v>12</v>
      </c>
      <c r="GF96" s="257">
        <v>60</v>
      </c>
      <c r="GG96" s="117"/>
      <c r="GH96" s="258">
        <v>3</v>
      </c>
      <c r="GI96" s="115"/>
      <c r="GJ96" s="115"/>
      <c r="GK96" s="257">
        <v>3</v>
      </c>
      <c r="GL96" s="117">
        <v>1</v>
      </c>
      <c r="GM96" s="258">
        <v>0</v>
      </c>
      <c r="GN96" s="115"/>
      <c r="GO96" s="115"/>
      <c r="GP96" s="115"/>
      <c r="GQ96" s="257">
        <v>0</v>
      </c>
      <c r="GR96" s="117">
        <v>169906</v>
      </c>
      <c r="GS96" s="324">
        <f>169906/49209180</f>
        <v>3.4527297548953262E-3</v>
      </c>
      <c r="GT96" s="293"/>
      <c r="GU96" s="293"/>
      <c r="GV96" s="293"/>
      <c r="GW96" s="293"/>
      <c r="GX96" s="293"/>
      <c r="GY96" s="293"/>
      <c r="GZ96" s="293"/>
      <c r="HA96" s="293"/>
      <c r="HB96" s="293"/>
      <c r="HC96" s="293"/>
      <c r="HD96" s="293"/>
      <c r="HE96" s="293"/>
      <c r="HF96" s="293"/>
      <c r="HG96" s="293"/>
      <c r="HH96" s="293"/>
      <c r="HI96" s="293"/>
      <c r="HJ96" s="293"/>
      <c r="HK96" s="293"/>
      <c r="HL96" s="293"/>
      <c r="HM96" s="293"/>
      <c r="HN96" s="293"/>
      <c r="HO96" s="293"/>
      <c r="HP96" s="293"/>
      <c r="HQ96" s="293"/>
      <c r="HR96" s="293"/>
      <c r="HS96" s="293"/>
      <c r="HT96" s="293"/>
      <c r="HU96" s="293"/>
      <c r="HV96" s="293"/>
      <c r="HW96" s="293"/>
      <c r="HX96" s="294"/>
    </row>
    <row r="97" spans="2:232" ht="12.75" x14ac:dyDescent="0.2">
      <c r="B97" s="259" t="s">
        <v>178</v>
      </c>
      <c r="C97" s="258">
        <v>55</v>
      </c>
      <c r="D97" s="115"/>
      <c r="E97" s="115">
        <v>1</v>
      </c>
      <c r="F97" s="115"/>
      <c r="G97" s="257">
        <v>56</v>
      </c>
      <c r="H97" s="117"/>
      <c r="I97" s="258">
        <v>8</v>
      </c>
      <c r="J97" s="115"/>
      <c r="K97" s="257">
        <v>8</v>
      </c>
      <c r="L97" s="117"/>
      <c r="M97" s="116">
        <v>261</v>
      </c>
      <c r="N97" s="117">
        <v>163151</v>
      </c>
      <c r="O97" s="115">
        <v>82</v>
      </c>
      <c r="P97" s="115">
        <v>2</v>
      </c>
      <c r="Q97" s="115">
        <v>34</v>
      </c>
      <c r="R97" s="115"/>
      <c r="S97" s="115">
        <v>11</v>
      </c>
      <c r="T97" s="115">
        <v>1</v>
      </c>
      <c r="U97" s="115"/>
      <c r="V97" s="117">
        <v>163281</v>
      </c>
      <c r="W97" s="258">
        <v>1388</v>
      </c>
      <c r="X97" s="115">
        <v>187</v>
      </c>
      <c r="Y97" s="257">
        <v>1575</v>
      </c>
      <c r="Z97" s="117">
        <v>2693</v>
      </c>
      <c r="AA97" s="115"/>
      <c r="AB97" s="117">
        <v>2693</v>
      </c>
      <c r="AC97" s="258">
        <v>311</v>
      </c>
      <c r="AD97" s="115">
        <v>0</v>
      </c>
      <c r="AE97" s="115"/>
      <c r="AF97" s="257">
        <v>311</v>
      </c>
      <c r="AG97" s="117">
        <v>69</v>
      </c>
      <c r="AH97" s="115"/>
      <c r="AI97" s="115">
        <v>1</v>
      </c>
      <c r="AJ97" s="115"/>
      <c r="AK97" s="117">
        <v>70</v>
      </c>
      <c r="AL97" s="258"/>
      <c r="AM97" s="115">
        <v>4</v>
      </c>
      <c r="AN97" s="257">
        <v>4</v>
      </c>
      <c r="AO97" s="117"/>
      <c r="AP97" s="116"/>
      <c r="AQ97" s="117"/>
      <c r="AR97" s="115">
        <v>1</v>
      </c>
      <c r="AS97" s="115"/>
      <c r="AT97" s="117">
        <v>1</v>
      </c>
      <c r="AU97" s="258">
        <v>3</v>
      </c>
      <c r="AV97" s="115">
        <v>1</v>
      </c>
      <c r="AW97" s="115"/>
      <c r="AX97" s="115"/>
      <c r="AY97" s="115"/>
      <c r="AZ97" s="115"/>
      <c r="BA97" s="115"/>
      <c r="BB97" s="115"/>
      <c r="BC97" s="257">
        <v>4</v>
      </c>
      <c r="BD97" s="117"/>
      <c r="BE97" s="116">
        <v>3</v>
      </c>
      <c r="BF97" s="117">
        <v>37362</v>
      </c>
      <c r="BG97" s="115">
        <v>1471</v>
      </c>
      <c r="BH97" s="115">
        <v>13248</v>
      </c>
      <c r="BI97" s="115">
        <v>38</v>
      </c>
      <c r="BJ97" s="115">
        <v>149</v>
      </c>
      <c r="BK97" s="115"/>
      <c r="BL97" s="117">
        <v>52268</v>
      </c>
      <c r="BM97" s="116"/>
      <c r="BN97" s="116"/>
      <c r="BO97" s="116"/>
      <c r="BP97" s="116">
        <v>2</v>
      </c>
      <c r="BQ97" s="117">
        <v>13</v>
      </c>
      <c r="BR97" s="115"/>
      <c r="BS97" s="117">
        <v>13</v>
      </c>
      <c r="BT97" s="116"/>
      <c r="BU97" s="117"/>
      <c r="BV97" s="115"/>
      <c r="BW97" s="115"/>
      <c r="BX97" s="117"/>
      <c r="BY97" s="258"/>
      <c r="BZ97" s="115"/>
      <c r="CA97" s="115">
        <v>1</v>
      </c>
      <c r="CB97" s="115"/>
      <c r="CC97" s="115"/>
      <c r="CD97" s="115">
        <v>1</v>
      </c>
      <c r="CE97" s="115"/>
      <c r="CF97" s="115"/>
      <c r="CG97" s="115">
        <v>1</v>
      </c>
      <c r="CH97" s="115"/>
      <c r="CI97" s="115">
        <v>1</v>
      </c>
      <c r="CJ97" s="115"/>
      <c r="CK97" s="115"/>
      <c r="CL97" s="115"/>
      <c r="CM97" s="115"/>
      <c r="CN97" s="257">
        <v>4</v>
      </c>
      <c r="CO97" s="117">
        <v>19</v>
      </c>
      <c r="CP97" s="115"/>
      <c r="CQ97" s="117">
        <v>19</v>
      </c>
      <c r="CR97" s="116"/>
      <c r="CS97" s="117">
        <v>53</v>
      </c>
      <c r="CT97" s="115">
        <v>11</v>
      </c>
      <c r="CU97" s="115">
        <v>39492</v>
      </c>
      <c r="CV97" s="115">
        <v>133</v>
      </c>
      <c r="CW97" s="115">
        <v>3934</v>
      </c>
      <c r="CX97" s="115">
        <v>5</v>
      </c>
      <c r="CY97" s="115">
        <v>1</v>
      </c>
      <c r="CZ97" s="115"/>
      <c r="DA97" s="115">
        <v>5</v>
      </c>
      <c r="DB97" s="115">
        <v>1</v>
      </c>
      <c r="DC97" s="115">
        <v>6</v>
      </c>
      <c r="DD97" s="117">
        <v>43641</v>
      </c>
      <c r="DE97" s="258">
        <v>442</v>
      </c>
      <c r="DF97" s="115">
        <v>2</v>
      </c>
      <c r="DG97" s="115">
        <v>90</v>
      </c>
      <c r="DH97" s="115">
        <v>37</v>
      </c>
      <c r="DI97" s="115"/>
      <c r="DJ97" s="115"/>
      <c r="DK97" s="115"/>
      <c r="DL97" s="257">
        <v>571</v>
      </c>
      <c r="DM97" s="117"/>
      <c r="DN97" s="116"/>
      <c r="DO97" s="117"/>
      <c r="DP97" s="115"/>
      <c r="DQ97" s="117"/>
      <c r="DR97" s="116">
        <v>9</v>
      </c>
      <c r="DS97" s="117"/>
      <c r="DT97" s="115"/>
      <c r="DU97" s="117"/>
      <c r="DV97" s="258">
        <v>10</v>
      </c>
      <c r="DW97" s="115"/>
      <c r="DX97" s="257">
        <v>10</v>
      </c>
      <c r="DY97" s="117">
        <v>1</v>
      </c>
      <c r="DZ97" s="116">
        <v>0</v>
      </c>
      <c r="EA97" s="117">
        <v>16392</v>
      </c>
      <c r="EB97" s="115"/>
      <c r="EC97" s="117">
        <v>16392</v>
      </c>
      <c r="ED97" s="116"/>
      <c r="EE97" s="116"/>
      <c r="EF97" s="117">
        <v>42</v>
      </c>
      <c r="EG97" s="115">
        <v>56</v>
      </c>
      <c r="EH97" s="115"/>
      <c r="EI97" s="115"/>
      <c r="EJ97" s="115"/>
      <c r="EK97" s="115"/>
      <c r="EL97" s="117">
        <v>98</v>
      </c>
      <c r="EM97" s="258">
        <v>119</v>
      </c>
      <c r="EN97" s="115">
        <v>2004</v>
      </c>
      <c r="EO97" s="115">
        <v>63</v>
      </c>
      <c r="EP97" s="115">
        <v>208</v>
      </c>
      <c r="EQ97" s="115">
        <v>3908</v>
      </c>
      <c r="ER97" s="115">
        <v>26</v>
      </c>
      <c r="ES97" s="115">
        <v>148</v>
      </c>
      <c r="ET97" s="115">
        <v>12</v>
      </c>
      <c r="EU97" s="115">
        <v>5</v>
      </c>
      <c r="EV97" s="115">
        <v>4</v>
      </c>
      <c r="EW97" s="115"/>
      <c r="EX97" s="115">
        <v>8</v>
      </c>
      <c r="EY97" s="115">
        <v>1</v>
      </c>
      <c r="EZ97" s="257">
        <v>6506</v>
      </c>
      <c r="FA97" s="117"/>
      <c r="FB97" s="116">
        <v>1</v>
      </c>
      <c r="FC97" s="117">
        <v>1</v>
      </c>
      <c r="FD97" s="115"/>
      <c r="FE97" s="115"/>
      <c r="FF97" s="117">
        <v>1</v>
      </c>
      <c r="FG97" s="116"/>
      <c r="FH97" s="116">
        <v>365</v>
      </c>
      <c r="FI97" s="117">
        <v>12</v>
      </c>
      <c r="FJ97" s="115">
        <v>9</v>
      </c>
      <c r="FK97" s="115"/>
      <c r="FL97" s="115"/>
      <c r="FM97" s="117">
        <v>21</v>
      </c>
      <c r="FN97" s="258"/>
      <c r="FO97" s="115"/>
      <c r="FP97" s="257"/>
      <c r="FQ97" s="117"/>
      <c r="FR97" s="115"/>
      <c r="FS97" s="117"/>
      <c r="FT97" s="116"/>
      <c r="FU97" s="117">
        <v>143</v>
      </c>
      <c r="FV97" s="115"/>
      <c r="FW97" s="117">
        <v>143</v>
      </c>
      <c r="FX97" s="258">
        <v>16</v>
      </c>
      <c r="FY97" s="115"/>
      <c r="FZ97" s="115"/>
      <c r="GA97" s="115"/>
      <c r="GB97" s="257">
        <v>16</v>
      </c>
      <c r="GC97" s="117"/>
      <c r="GD97" s="258">
        <v>8</v>
      </c>
      <c r="GE97" s="115">
        <v>2</v>
      </c>
      <c r="GF97" s="257">
        <v>10</v>
      </c>
      <c r="GG97" s="117"/>
      <c r="GH97" s="258">
        <v>0</v>
      </c>
      <c r="GI97" s="115"/>
      <c r="GJ97" s="115"/>
      <c r="GK97" s="257">
        <v>0</v>
      </c>
      <c r="GL97" s="117">
        <v>2</v>
      </c>
      <c r="GM97" s="258"/>
      <c r="GN97" s="115">
        <v>2</v>
      </c>
      <c r="GO97" s="115">
        <v>15</v>
      </c>
      <c r="GP97" s="115"/>
      <c r="GQ97" s="257">
        <v>17</v>
      </c>
      <c r="GR97" s="117">
        <v>288377</v>
      </c>
      <c r="GS97" s="324">
        <f>288377/49209180</f>
        <v>5.8602277054809696E-3</v>
      </c>
      <c r="GT97" s="293"/>
      <c r="GU97" s="293"/>
      <c r="GV97" s="293"/>
      <c r="GW97" s="293"/>
      <c r="GX97" s="293"/>
      <c r="GY97" s="293"/>
      <c r="GZ97" s="293"/>
      <c r="HA97" s="293"/>
      <c r="HB97" s="293"/>
      <c r="HC97" s="293"/>
      <c r="HD97" s="293"/>
      <c r="HE97" s="293"/>
      <c r="HF97" s="293"/>
      <c r="HG97" s="293"/>
      <c r="HH97" s="293"/>
      <c r="HI97" s="293"/>
      <c r="HJ97" s="293"/>
      <c r="HK97" s="293"/>
      <c r="HL97" s="293"/>
      <c r="HM97" s="293"/>
      <c r="HN97" s="293"/>
      <c r="HO97" s="293"/>
      <c r="HP97" s="293"/>
      <c r="HQ97" s="293"/>
      <c r="HR97" s="293"/>
      <c r="HS97" s="293"/>
      <c r="HT97" s="293"/>
      <c r="HU97" s="293"/>
      <c r="HV97" s="293"/>
      <c r="HW97" s="293"/>
      <c r="HX97" s="294"/>
    </row>
    <row r="98" spans="2:232" ht="12.75" x14ac:dyDescent="0.2">
      <c r="B98" s="259" t="s">
        <v>193</v>
      </c>
      <c r="C98" s="258">
        <v>103</v>
      </c>
      <c r="D98" s="115"/>
      <c r="E98" s="115"/>
      <c r="F98" s="115"/>
      <c r="G98" s="257">
        <v>103</v>
      </c>
      <c r="H98" s="117"/>
      <c r="I98" s="258">
        <v>24</v>
      </c>
      <c r="J98" s="115"/>
      <c r="K98" s="257">
        <v>24</v>
      </c>
      <c r="L98" s="117">
        <v>1</v>
      </c>
      <c r="M98" s="116">
        <v>8437</v>
      </c>
      <c r="N98" s="117">
        <v>44267</v>
      </c>
      <c r="O98" s="115">
        <v>101</v>
      </c>
      <c r="P98" s="115">
        <v>3</v>
      </c>
      <c r="Q98" s="115">
        <v>4</v>
      </c>
      <c r="R98" s="115"/>
      <c r="S98" s="115">
        <v>1</v>
      </c>
      <c r="T98" s="115"/>
      <c r="U98" s="115"/>
      <c r="V98" s="117">
        <v>44376</v>
      </c>
      <c r="W98" s="258">
        <v>3117</v>
      </c>
      <c r="X98" s="115">
        <v>241</v>
      </c>
      <c r="Y98" s="257">
        <v>3358</v>
      </c>
      <c r="Z98" s="117">
        <v>13469</v>
      </c>
      <c r="AA98" s="115"/>
      <c r="AB98" s="117">
        <v>13469</v>
      </c>
      <c r="AC98" s="258">
        <v>243</v>
      </c>
      <c r="AD98" s="115"/>
      <c r="AE98" s="115"/>
      <c r="AF98" s="257">
        <v>243</v>
      </c>
      <c r="AG98" s="117">
        <v>4</v>
      </c>
      <c r="AH98" s="115">
        <v>1</v>
      </c>
      <c r="AI98" s="115"/>
      <c r="AJ98" s="115"/>
      <c r="AK98" s="117">
        <v>5</v>
      </c>
      <c r="AL98" s="258"/>
      <c r="AM98" s="115">
        <v>35</v>
      </c>
      <c r="AN98" s="257">
        <v>35</v>
      </c>
      <c r="AO98" s="117"/>
      <c r="AP98" s="116"/>
      <c r="AQ98" s="117">
        <v>1</v>
      </c>
      <c r="AR98" s="115"/>
      <c r="AS98" s="115"/>
      <c r="AT98" s="117">
        <v>1</v>
      </c>
      <c r="AU98" s="258"/>
      <c r="AV98" s="115">
        <v>3</v>
      </c>
      <c r="AW98" s="115"/>
      <c r="AX98" s="115"/>
      <c r="AY98" s="115">
        <v>0</v>
      </c>
      <c r="AZ98" s="115"/>
      <c r="BA98" s="115"/>
      <c r="BB98" s="115"/>
      <c r="BC98" s="257">
        <v>3</v>
      </c>
      <c r="BD98" s="117"/>
      <c r="BE98" s="116">
        <v>0</v>
      </c>
      <c r="BF98" s="117">
        <v>301</v>
      </c>
      <c r="BG98" s="115">
        <v>110</v>
      </c>
      <c r="BH98" s="115">
        <v>1615</v>
      </c>
      <c r="BI98" s="115">
        <v>9</v>
      </c>
      <c r="BJ98" s="115">
        <v>48</v>
      </c>
      <c r="BK98" s="115"/>
      <c r="BL98" s="117">
        <v>2083</v>
      </c>
      <c r="BM98" s="116">
        <v>1</v>
      </c>
      <c r="BN98" s="116"/>
      <c r="BO98" s="116"/>
      <c r="BP98" s="116">
        <v>1</v>
      </c>
      <c r="BQ98" s="117">
        <v>232</v>
      </c>
      <c r="BR98" s="115"/>
      <c r="BS98" s="117">
        <v>232</v>
      </c>
      <c r="BT98" s="116"/>
      <c r="BU98" s="117">
        <v>6</v>
      </c>
      <c r="BV98" s="115"/>
      <c r="BW98" s="115"/>
      <c r="BX98" s="117">
        <v>6</v>
      </c>
      <c r="BY98" s="258"/>
      <c r="BZ98" s="115"/>
      <c r="CA98" s="115">
        <v>1</v>
      </c>
      <c r="CB98" s="115"/>
      <c r="CC98" s="115"/>
      <c r="CD98" s="115"/>
      <c r="CE98" s="115"/>
      <c r="CF98" s="115"/>
      <c r="CG98" s="115"/>
      <c r="CH98" s="115"/>
      <c r="CI98" s="115"/>
      <c r="CJ98" s="115"/>
      <c r="CK98" s="115"/>
      <c r="CL98" s="115"/>
      <c r="CM98" s="115"/>
      <c r="CN98" s="257">
        <v>1</v>
      </c>
      <c r="CO98" s="117">
        <v>50</v>
      </c>
      <c r="CP98" s="115"/>
      <c r="CQ98" s="117">
        <v>50</v>
      </c>
      <c r="CR98" s="116">
        <v>1</v>
      </c>
      <c r="CS98" s="117">
        <v>74</v>
      </c>
      <c r="CT98" s="115">
        <v>6</v>
      </c>
      <c r="CU98" s="115">
        <v>363819</v>
      </c>
      <c r="CV98" s="115">
        <v>182</v>
      </c>
      <c r="CW98" s="115">
        <v>25640</v>
      </c>
      <c r="CX98" s="115">
        <v>0</v>
      </c>
      <c r="CY98" s="115">
        <v>0</v>
      </c>
      <c r="CZ98" s="115">
        <v>1</v>
      </c>
      <c r="DA98" s="115">
        <v>37</v>
      </c>
      <c r="DB98" s="115"/>
      <c r="DC98" s="115"/>
      <c r="DD98" s="117">
        <v>389759</v>
      </c>
      <c r="DE98" s="258">
        <v>1611</v>
      </c>
      <c r="DF98" s="115"/>
      <c r="DG98" s="115">
        <v>9</v>
      </c>
      <c r="DH98" s="115">
        <v>28</v>
      </c>
      <c r="DI98" s="115"/>
      <c r="DJ98" s="115"/>
      <c r="DK98" s="115"/>
      <c r="DL98" s="257">
        <v>1648</v>
      </c>
      <c r="DM98" s="117"/>
      <c r="DN98" s="116"/>
      <c r="DO98" s="117"/>
      <c r="DP98" s="115"/>
      <c r="DQ98" s="117"/>
      <c r="DR98" s="116">
        <v>14</v>
      </c>
      <c r="DS98" s="117"/>
      <c r="DT98" s="115"/>
      <c r="DU98" s="117"/>
      <c r="DV98" s="258">
        <v>2</v>
      </c>
      <c r="DW98" s="115">
        <v>1</v>
      </c>
      <c r="DX98" s="257">
        <v>3</v>
      </c>
      <c r="DY98" s="117">
        <v>6</v>
      </c>
      <c r="DZ98" s="116">
        <v>1</v>
      </c>
      <c r="EA98" s="117">
        <v>1106</v>
      </c>
      <c r="EB98" s="115"/>
      <c r="EC98" s="117">
        <v>1106</v>
      </c>
      <c r="ED98" s="116"/>
      <c r="EE98" s="116"/>
      <c r="EF98" s="117">
        <v>5</v>
      </c>
      <c r="EG98" s="115">
        <v>51</v>
      </c>
      <c r="EH98" s="115"/>
      <c r="EI98" s="115"/>
      <c r="EJ98" s="115"/>
      <c r="EK98" s="115"/>
      <c r="EL98" s="117">
        <v>56</v>
      </c>
      <c r="EM98" s="258">
        <v>21</v>
      </c>
      <c r="EN98" s="115">
        <v>1918</v>
      </c>
      <c r="EO98" s="115">
        <v>4</v>
      </c>
      <c r="EP98" s="115">
        <v>20</v>
      </c>
      <c r="EQ98" s="115">
        <v>3325</v>
      </c>
      <c r="ER98" s="115">
        <v>4</v>
      </c>
      <c r="ES98" s="115">
        <v>20</v>
      </c>
      <c r="ET98" s="115">
        <v>0</v>
      </c>
      <c r="EU98" s="115">
        <v>1</v>
      </c>
      <c r="EV98" s="115">
        <v>1</v>
      </c>
      <c r="EW98" s="115"/>
      <c r="EX98" s="115">
        <v>5</v>
      </c>
      <c r="EY98" s="115"/>
      <c r="EZ98" s="257">
        <v>5319</v>
      </c>
      <c r="FA98" s="117"/>
      <c r="FB98" s="116">
        <v>1</v>
      </c>
      <c r="FC98" s="117">
        <v>1</v>
      </c>
      <c r="FD98" s="115"/>
      <c r="FE98" s="115">
        <v>10</v>
      </c>
      <c r="FF98" s="117">
        <v>11</v>
      </c>
      <c r="FG98" s="116"/>
      <c r="FH98" s="116">
        <v>20</v>
      </c>
      <c r="FI98" s="117">
        <v>0</v>
      </c>
      <c r="FJ98" s="115">
        <v>1</v>
      </c>
      <c r="FK98" s="115"/>
      <c r="FL98" s="115"/>
      <c r="FM98" s="117">
        <v>1</v>
      </c>
      <c r="FN98" s="258"/>
      <c r="FO98" s="115"/>
      <c r="FP98" s="257"/>
      <c r="FQ98" s="117">
        <v>55</v>
      </c>
      <c r="FR98" s="115"/>
      <c r="FS98" s="117">
        <v>55</v>
      </c>
      <c r="FT98" s="116"/>
      <c r="FU98" s="117">
        <v>40</v>
      </c>
      <c r="FV98" s="115"/>
      <c r="FW98" s="117">
        <v>40</v>
      </c>
      <c r="FX98" s="258">
        <v>47</v>
      </c>
      <c r="FY98" s="115"/>
      <c r="FZ98" s="115"/>
      <c r="GA98" s="115"/>
      <c r="GB98" s="257">
        <v>47</v>
      </c>
      <c r="GC98" s="117"/>
      <c r="GD98" s="258">
        <v>72</v>
      </c>
      <c r="GE98" s="115">
        <v>28</v>
      </c>
      <c r="GF98" s="257">
        <v>100</v>
      </c>
      <c r="GG98" s="117"/>
      <c r="GH98" s="258">
        <v>10</v>
      </c>
      <c r="GI98" s="115"/>
      <c r="GJ98" s="115"/>
      <c r="GK98" s="257">
        <v>10</v>
      </c>
      <c r="GL98" s="117">
        <v>15</v>
      </c>
      <c r="GM98" s="258">
        <v>0</v>
      </c>
      <c r="GN98" s="115">
        <v>2</v>
      </c>
      <c r="GO98" s="115"/>
      <c r="GP98" s="115"/>
      <c r="GQ98" s="257">
        <v>2</v>
      </c>
      <c r="GR98" s="117">
        <v>470644</v>
      </c>
      <c r="GS98" s="324">
        <f>470644/49209180</f>
        <v>9.5641504288427482E-3</v>
      </c>
      <c r="GT98" s="293"/>
      <c r="GU98" s="293"/>
      <c r="GV98" s="293"/>
      <c r="GW98" s="293"/>
      <c r="GX98" s="293"/>
      <c r="GY98" s="293"/>
      <c r="GZ98" s="293"/>
      <c r="HA98" s="293"/>
      <c r="HB98" s="293"/>
      <c r="HC98" s="293"/>
      <c r="HD98" s="293"/>
      <c r="HE98" s="293"/>
      <c r="HF98" s="293"/>
      <c r="HG98" s="293"/>
      <c r="HH98" s="293"/>
      <c r="HI98" s="293"/>
      <c r="HJ98" s="293"/>
      <c r="HK98" s="293"/>
      <c r="HL98" s="293"/>
      <c r="HM98" s="293"/>
      <c r="HN98" s="293"/>
      <c r="HO98" s="293"/>
      <c r="HP98" s="293"/>
      <c r="HQ98" s="293"/>
      <c r="HR98" s="293"/>
      <c r="HS98" s="293"/>
      <c r="HT98" s="293"/>
      <c r="HU98" s="293"/>
      <c r="HV98" s="293"/>
      <c r="HW98" s="293"/>
      <c r="HX98" s="294"/>
    </row>
    <row r="99" spans="2:232" ht="12.75" x14ac:dyDescent="0.2">
      <c r="B99" s="259" t="s">
        <v>207</v>
      </c>
      <c r="C99" s="258">
        <v>19727</v>
      </c>
      <c r="D99" s="115">
        <v>10</v>
      </c>
      <c r="E99" s="115">
        <v>75</v>
      </c>
      <c r="F99" s="115">
        <v>20</v>
      </c>
      <c r="G99" s="257">
        <v>19832</v>
      </c>
      <c r="H99" s="117"/>
      <c r="I99" s="258">
        <v>136</v>
      </c>
      <c r="J99" s="115"/>
      <c r="K99" s="257">
        <v>136</v>
      </c>
      <c r="L99" s="117">
        <v>3</v>
      </c>
      <c r="M99" s="116">
        <v>27312</v>
      </c>
      <c r="N99" s="117">
        <v>3421620</v>
      </c>
      <c r="O99" s="115">
        <v>37987</v>
      </c>
      <c r="P99" s="115">
        <v>521</v>
      </c>
      <c r="Q99" s="115">
        <v>1305</v>
      </c>
      <c r="R99" s="115">
        <v>77</v>
      </c>
      <c r="S99" s="115">
        <v>109</v>
      </c>
      <c r="T99" s="115">
        <v>100</v>
      </c>
      <c r="U99" s="115">
        <v>11</v>
      </c>
      <c r="V99" s="117">
        <v>3461730</v>
      </c>
      <c r="W99" s="258">
        <v>9565</v>
      </c>
      <c r="X99" s="115">
        <v>10423</v>
      </c>
      <c r="Y99" s="257">
        <v>19988</v>
      </c>
      <c r="Z99" s="117">
        <v>156943</v>
      </c>
      <c r="AA99" s="115">
        <v>264</v>
      </c>
      <c r="AB99" s="117">
        <v>157207</v>
      </c>
      <c r="AC99" s="258">
        <v>6804</v>
      </c>
      <c r="AD99" s="115">
        <v>18</v>
      </c>
      <c r="AE99" s="115"/>
      <c r="AF99" s="257">
        <v>6822</v>
      </c>
      <c r="AG99" s="117">
        <v>155</v>
      </c>
      <c r="AH99" s="115">
        <v>2</v>
      </c>
      <c r="AI99" s="115">
        <v>1013</v>
      </c>
      <c r="AJ99" s="115">
        <v>4</v>
      </c>
      <c r="AK99" s="117">
        <v>1174</v>
      </c>
      <c r="AL99" s="258">
        <v>147</v>
      </c>
      <c r="AM99" s="115">
        <v>16773</v>
      </c>
      <c r="AN99" s="257">
        <v>16920</v>
      </c>
      <c r="AO99" s="117"/>
      <c r="AP99" s="116"/>
      <c r="AQ99" s="117">
        <v>11</v>
      </c>
      <c r="AR99" s="115">
        <v>432</v>
      </c>
      <c r="AS99" s="115"/>
      <c r="AT99" s="117">
        <v>443</v>
      </c>
      <c r="AU99" s="258">
        <v>214</v>
      </c>
      <c r="AV99" s="115">
        <v>25</v>
      </c>
      <c r="AW99" s="115">
        <v>91</v>
      </c>
      <c r="AX99" s="115"/>
      <c r="AY99" s="115">
        <v>78</v>
      </c>
      <c r="AZ99" s="115">
        <v>20</v>
      </c>
      <c r="BA99" s="115">
        <v>18</v>
      </c>
      <c r="BB99" s="115">
        <v>17</v>
      </c>
      <c r="BC99" s="257">
        <v>463</v>
      </c>
      <c r="BD99" s="117">
        <v>6</v>
      </c>
      <c r="BE99" s="116">
        <v>15</v>
      </c>
      <c r="BF99" s="117">
        <v>14359</v>
      </c>
      <c r="BG99" s="115">
        <v>7218</v>
      </c>
      <c r="BH99" s="115">
        <v>12830</v>
      </c>
      <c r="BI99" s="115">
        <v>1550</v>
      </c>
      <c r="BJ99" s="115">
        <v>509</v>
      </c>
      <c r="BK99" s="115">
        <v>0</v>
      </c>
      <c r="BL99" s="117">
        <v>36466</v>
      </c>
      <c r="BM99" s="116">
        <v>2</v>
      </c>
      <c r="BN99" s="116"/>
      <c r="BO99" s="116">
        <v>598</v>
      </c>
      <c r="BP99" s="116">
        <v>11</v>
      </c>
      <c r="BQ99" s="117">
        <v>38</v>
      </c>
      <c r="BR99" s="115">
        <v>10</v>
      </c>
      <c r="BS99" s="117">
        <v>48</v>
      </c>
      <c r="BT99" s="116">
        <v>1595</v>
      </c>
      <c r="BU99" s="117">
        <v>20</v>
      </c>
      <c r="BV99" s="115">
        <v>6</v>
      </c>
      <c r="BW99" s="115">
        <v>4</v>
      </c>
      <c r="BX99" s="117">
        <v>30</v>
      </c>
      <c r="BY99" s="258">
        <v>7</v>
      </c>
      <c r="BZ99" s="115"/>
      <c r="CA99" s="115">
        <v>4</v>
      </c>
      <c r="CB99" s="115">
        <v>38</v>
      </c>
      <c r="CC99" s="115">
        <v>82</v>
      </c>
      <c r="CD99" s="115">
        <v>72</v>
      </c>
      <c r="CE99" s="115">
        <v>48</v>
      </c>
      <c r="CF99" s="115"/>
      <c r="CG99" s="115">
        <v>6</v>
      </c>
      <c r="CH99" s="115">
        <v>77</v>
      </c>
      <c r="CI99" s="115">
        <v>94</v>
      </c>
      <c r="CJ99" s="115"/>
      <c r="CK99" s="115">
        <v>56</v>
      </c>
      <c r="CL99" s="115">
        <v>13</v>
      </c>
      <c r="CM99" s="115"/>
      <c r="CN99" s="257">
        <v>497</v>
      </c>
      <c r="CO99" s="117">
        <v>401</v>
      </c>
      <c r="CP99" s="115"/>
      <c r="CQ99" s="117">
        <v>401</v>
      </c>
      <c r="CR99" s="116"/>
      <c r="CS99" s="117">
        <v>1399</v>
      </c>
      <c r="CT99" s="115">
        <v>349</v>
      </c>
      <c r="CU99" s="115">
        <v>1656323</v>
      </c>
      <c r="CV99" s="115">
        <v>7887</v>
      </c>
      <c r="CW99" s="115">
        <v>296019</v>
      </c>
      <c r="CX99" s="115">
        <v>4310</v>
      </c>
      <c r="CY99" s="115">
        <v>1199</v>
      </c>
      <c r="CZ99" s="115">
        <v>232</v>
      </c>
      <c r="DA99" s="115">
        <v>22393</v>
      </c>
      <c r="DB99" s="115">
        <v>102</v>
      </c>
      <c r="DC99" s="115">
        <v>13</v>
      </c>
      <c r="DD99" s="117">
        <v>1990226</v>
      </c>
      <c r="DE99" s="258">
        <v>46515</v>
      </c>
      <c r="DF99" s="115">
        <v>558</v>
      </c>
      <c r="DG99" s="115">
        <v>3908</v>
      </c>
      <c r="DH99" s="115">
        <v>1462</v>
      </c>
      <c r="DI99" s="115">
        <v>101</v>
      </c>
      <c r="DJ99" s="115"/>
      <c r="DK99" s="115"/>
      <c r="DL99" s="257">
        <v>52544</v>
      </c>
      <c r="DM99" s="117">
        <v>0</v>
      </c>
      <c r="DN99" s="116"/>
      <c r="DO99" s="117">
        <v>1</v>
      </c>
      <c r="DP99" s="115">
        <v>209</v>
      </c>
      <c r="DQ99" s="117">
        <v>210</v>
      </c>
      <c r="DR99" s="116">
        <v>963</v>
      </c>
      <c r="DS99" s="117"/>
      <c r="DT99" s="115"/>
      <c r="DU99" s="117"/>
      <c r="DV99" s="258">
        <v>2966</v>
      </c>
      <c r="DW99" s="115"/>
      <c r="DX99" s="257">
        <v>2966</v>
      </c>
      <c r="DY99" s="117">
        <v>213</v>
      </c>
      <c r="DZ99" s="116">
        <v>3</v>
      </c>
      <c r="EA99" s="117">
        <v>62022</v>
      </c>
      <c r="EB99" s="115"/>
      <c r="EC99" s="117">
        <v>62022</v>
      </c>
      <c r="ED99" s="116"/>
      <c r="EE99" s="116"/>
      <c r="EF99" s="117">
        <v>2259</v>
      </c>
      <c r="EG99" s="115">
        <v>2438</v>
      </c>
      <c r="EH99" s="115">
        <v>22</v>
      </c>
      <c r="EI99" s="115"/>
      <c r="EJ99" s="115"/>
      <c r="EK99" s="115">
        <v>6</v>
      </c>
      <c r="EL99" s="117">
        <v>4725</v>
      </c>
      <c r="EM99" s="258">
        <v>2257</v>
      </c>
      <c r="EN99" s="115">
        <v>225309</v>
      </c>
      <c r="EO99" s="115">
        <v>2272</v>
      </c>
      <c r="EP99" s="115">
        <v>3373</v>
      </c>
      <c r="EQ99" s="115">
        <v>157006</v>
      </c>
      <c r="ER99" s="115">
        <v>226</v>
      </c>
      <c r="ES99" s="115">
        <v>1424</v>
      </c>
      <c r="ET99" s="115">
        <v>46</v>
      </c>
      <c r="EU99" s="115">
        <v>68</v>
      </c>
      <c r="EV99" s="115">
        <v>93</v>
      </c>
      <c r="EW99" s="115">
        <v>33</v>
      </c>
      <c r="EX99" s="115">
        <v>140</v>
      </c>
      <c r="EY99" s="115"/>
      <c r="EZ99" s="257">
        <v>392247</v>
      </c>
      <c r="FA99" s="117"/>
      <c r="FB99" s="116">
        <v>41</v>
      </c>
      <c r="FC99" s="117">
        <v>1</v>
      </c>
      <c r="FD99" s="115">
        <v>20</v>
      </c>
      <c r="FE99" s="115">
        <v>14370</v>
      </c>
      <c r="FF99" s="117">
        <v>14391</v>
      </c>
      <c r="FG99" s="116">
        <v>185</v>
      </c>
      <c r="FH99" s="116">
        <v>3072</v>
      </c>
      <c r="FI99" s="117">
        <v>28</v>
      </c>
      <c r="FJ99" s="115">
        <v>1782</v>
      </c>
      <c r="FK99" s="115">
        <v>143</v>
      </c>
      <c r="FL99" s="115">
        <v>1531</v>
      </c>
      <c r="FM99" s="117">
        <v>3484</v>
      </c>
      <c r="FN99" s="258">
        <v>1</v>
      </c>
      <c r="FO99" s="115"/>
      <c r="FP99" s="257">
        <v>1</v>
      </c>
      <c r="FQ99" s="117">
        <v>10964</v>
      </c>
      <c r="FR99" s="115">
        <v>3</v>
      </c>
      <c r="FS99" s="117">
        <v>10967</v>
      </c>
      <c r="FT99" s="116">
        <v>1</v>
      </c>
      <c r="FU99" s="117">
        <v>318</v>
      </c>
      <c r="FV99" s="115"/>
      <c r="FW99" s="117">
        <v>318</v>
      </c>
      <c r="FX99" s="258">
        <v>20</v>
      </c>
      <c r="FY99" s="115">
        <v>1157</v>
      </c>
      <c r="FZ99" s="115">
        <v>130</v>
      </c>
      <c r="GA99" s="115">
        <v>55</v>
      </c>
      <c r="GB99" s="257">
        <v>1362</v>
      </c>
      <c r="GC99" s="117"/>
      <c r="GD99" s="258">
        <v>649</v>
      </c>
      <c r="GE99" s="115">
        <v>16047</v>
      </c>
      <c r="GF99" s="257">
        <v>16696</v>
      </c>
      <c r="GG99" s="117"/>
      <c r="GH99" s="258">
        <v>21</v>
      </c>
      <c r="GI99" s="115"/>
      <c r="GJ99" s="115"/>
      <c r="GK99" s="257">
        <v>21</v>
      </c>
      <c r="GL99" s="117">
        <v>1276</v>
      </c>
      <c r="GM99" s="258">
        <v>330</v>
      </c>
      <c r="GN99" s="115">
        <v>2</v>
      </c>
      <c r="GO99" s="115">
        <v>443</v>
      </c>
      <c r="GP99" s="115">
        <v>3267</v>
      </c>
      <c r="GQ99" s="257">
        <v>4042</v>
      </c>
      <c r="GR99" s="117">
        <v>6313675</v>
      </c>
      <c r="GS99" s="324">
        <f>6313675/49209180</f>
        <v>0.12830278821959643</v>
      </c>
      <c r="GT99" s="293"/>
      <c r="GU99" s="293"/>
      <c r="GV99" s="293"/>
      <c r="GW99" s="293"/>
      <c r="GX99" s="293"/>
      <c r="GY99" s="293"/>
      <c r="GZ99" s="293"/>
      <c r="HA99" s="293"/>
      <c r="HB99" s="293"/>
      <c r="HC99" s="293"/>
      <c r="HD99" s="293"/>
      <c r="HE99" s="293"/>
      <c r="HF99" s="293"/>
      <c r="HG99" s="293"/>
      <c r="HH99" s="293"/>
      <c r="HI99" s="293"/>
      <c r="HJ99" s="293"/>
      <c r="HK99" s="293"/>
      <c r="HL99" s="293"/>
      <c r="HM99" s="293"/>
      <c r="HN99" s="293"/>
      <c r="HO99" s="293"/>
      <c r="HP99" s="293"/>
      <c r="HQ99" s="293"/>
      <c r="HR99" s="293"/>
      <c r="HS99" s="293"/>
      <c r="HT99" s="293"/>
      <c r="HU99" s="293"/>
      <c r="HV99" s="293"/>
      <c r="HW99" s="293"/>
      <c r="HX99" s="294"/>
    </row>
    <row r="100" spans="2:232" ht="12.75" x14ac:dyDescent="0.2">
      <c r="B100" s="259" t="s">
        <v>234</v>
      </c>
      <c r="C100" s="258">
        <v>75</v>
      </c>
      <c r="D100" s="115"/>
      <c r="E100" s="115"/>
      <c r="F100" s="115"/>
      <c r="G100" s="257">
        <v>75</v>
      </c>
      <c r="H100" s="117"/>
      <c r="I100" s="258">
        <v>544</v>
      </c>
      <c r="J100" s="115"/>
      <c r="K100" s="257">
        <v>544</v>
      </c>
      <c r="L100" s="117"/>
      <c r="M100" s="116">
        <v>589</v>
      </c>
      <c r="N100" s="117">
        <v>4289</v>
      </c>
      <c r="O100" s="115">
        <v>104</v>
      </c>
      <c r="P100" s="115"/>
      <c r="Q100" s="115"/>
      <c r="R100" s="115"/>
      <c r="S100" s="115"/>
      <c r="T100" s="115"/>
      <c r="U100" s="115"/>
      <c r="V100" s="117">
        <v>4393</v>
      </c>
      <c r="W100" s="258">
        <v>123</v>
      </c>
      <c r="X100" s="115">
        <v>59</v>
      </c>
      <c r="Y100" s="257">
        <v>182</v>
      </c>
      <c r="Z100" s="117">
        <v>1571</v>
      </c>
      <c r="AA100" s="115"/>
      <c r="AB100" s="117">
        <v>1571</v>
      </c>
      <c r="AC100" s="258">
        <v>2</v>
      </c>
      <c r="AD100" s="115"/>
      <c r="AE100" s="115"/>
      <c r="AF100" s="257">
        <v>2</v>
      </c>
      <c r="AG100" s="117"/>
      <c r="AH100" s="115"/>
      <c r="AI100" s="115"/>
      <c r="AJ100" s="115"/>
      <c r="AK100" s="117"/>
      <c r="AL100" s="258"/>
      <c r="AM100" s="115">
        <v>9</v>
      </c>
      <c r="AN100" s="257">
        <v>9</v>
      </c>
      <c r="AO100" s="117"/>
      <c r="AP100" s="116"/>
      <c r="AQ100" s="117"/>
      <c r="AR100" s="115"/>
      <c r="AS100" s="115"/>
      <c r="AT100" s="117"/>
      <c r="AU100" s="258"/>
      <c r="AV100" s="115"/>
      <c r="AW100" s="115"/>
      <c r="AX100" s="115"/>
      <c r="AY100" s="115"/>
      <c r="AZ100" s="115"/>
      <c r="BA100" s="115"/>
      <c r="BB100" s="115"/>
      <c r="BC100" s="257"/>
      <c r="BD100" s="117"/>
      <c r="BE100" s="116"/>
      <c r="BF100" s="117">
        <v>70</v>
      </c>
      <c r="BG100" s="115">
        <v>30</v>
      </c>
      <c r="BH100" s="115">
        <v>597</v>
      </c>
      <c r="BI100" s="115">
        <v>2</v>
      </c>
      <c r="BJ100" s="115"/>
      <c r="BK100" s="115"/>
      <c r="BL100" s="117">
        <v>699</v>
      </c>
      <c r="BM100" s="116"/>
      <c r="BN100" s="116"/>
      <c r="BO100" s="116"/>
      <c r="BP100" s="116"/>
      <c r="BQ100" s="117">
        <v>9</v>
      </c>
      <c r="BR100" s="115">
        <v>10</v>
      </c>
      <c r="BS100" s="117">
        <v>19</v>
      </c>
      <c r="BT100" s="116"/>
      <c r="BU100" s="117">
        <v>3</v>
      </c>
      <c r="BV100" s="115">
        <v>1</v>
      </c>
      <c r="BW100" s="115"/>
      <c r="BX100" s="117">
        <v>4</v>
      </c>
      <c r="BY100" s="258"/>
      <c r="BZ100" s="115"/>
      <c r="CA100" s="115"/>
      <c r="CB100" s="115"/>
      <c r="CC100" s="115"/>
      <c r="CD100" s="115"/>
      <c r="CE100" s="115"/>
      <c r="CF100" s="115"/>
      <c r="CG100" s="115"/>
      <c r="CH100" s="115"/>
      <c r="CI100" s="115"/>
      <c r="CJ100" s="115"/>
      <c r="CK100" s="115"/>
      <c r="CL100" s="115"/>
      <c r="CM100" s="115"/>
      <c r="CN100" s="257"/>
      <c r="CO100" s="117">
        <v>290</v>
      </c>
      <c r="CP100" s="115"/>
      <c r="CQ100" s="117">
        <v>290</v>
      </c>
      <c r="CR100" s="116"/>
      <c r="CS100" s="117">
        <v>5</v>
      </c>
      <c r="CT100" s="115"/>
      <c r="CU100" s="115">
        <v>62613</v>
      </c>
      <c r="CV100" s="115">
        <v>2</v>
      </c>
      <c r="CW100" s="115">
        <v>6233</v>
      </c>
      <c r="CX100" s="115"/>
      <c r="CY100" s="115"/>
      <c r="CZ100" s="115"/>
      <c r="DA100" s="115">
        <v>9</v>
      </c>
      <c r="DB100" s="115"/>
      <c r="DC100" s="115"/>
      <c r="DD100" s="117">
        <v>68862</v>
      </c>
      <c r="DE100" s="258">
        <v>185</v>
      </c>
      <c r="DF100" s="115">
        <v>1</v>
      </c>
      <c r="DG100" s="115">
        <v>2</v>
      </c>
      <c r="DH100" s="115">
        <v>1</v>
      </c>
      <c r="DI100" s="115"/>
      <c r="DJ100" s="115"/>
      <c r="DK100" s="115"/>
      <c r="DL100" s="257">
        <v>189</v>
      </c>
      <c r="DM100" s="117"/>
      <c r="DN100" s="116"/>
      <c r="DO100" s="117">
        <v>1</v>
      </c>
      <c r="DP100" s="115"/>
      <c r="DQ100" s="117">
        <v>1</v>
      </c>
      <c r="DR100" s="116">
        <v>4</v>
      </c>
      <c r="DS100" s="117"/>
      <c r="DT100" s="115"/>
      <c r="DU100" s="117"/>
      <c r="DV100" s="258"/>
      <c r="DW100" s="115"/>
      <c r="DX100" s="257"/>
      <c r="DY100" s="117">
        <v>1</v>
      </c>
      <c r="DZ100" s="116"/>
      <c r="EA100" s="117">
        <v>85</v>
      </c>
      <c r="EB100" s="115"/>
      <c r="EC100" s="117">
        <v>85</v>
      </c>
      <c r="ED100" s="116"/>
      <c r="EE100" s="116"/>
      <c r="EF100" s="117">
        <v>1</v>
      </c>
      <c r="EG100" s="115">
        <v>12</v>
      </c>
      <c r="EH100" s="115"/>
      <c r="EI100" s="115"/>
      <c r="EJ100" s="115"/>
      <c r="EK100" s="115"/>
      <c r="EL100" s="117">
        <v>13</v>
      </c>
      <c r="EM100" s="258">
        <v>1</v>
      </c>
      <c r="EN100" s="115">
        <v>402</v>
      </c>
      <c r="EO100" s="115">
        <v>1</v>
      </c>
      <c r="EP100" s="115">
        <v>2</v>
      </c>
      <c r="EQ100" s="115">
        <v>185</v>
      </c>
      <c r="ER100" s="115"/>
      <c r="ES100" s="115">
        <v>1</v>
      </c>
      <c r="ET100" s="115"/>
      <c r="EU100" s="115"/>
      <c r="EV100" s="115"/>
      <c r="EW100" s="115"/>
      <c r="EX100" s="115"/>
      <c r="EY100" s="115"/>
      <c r="EZ100" s="257">
        <v>592</v>
      </c>
      <c r="FA100" s="117"/>
      <c r="FB100" s="116"/>
      <c r="FC100" s="117"/>
      <c r="FD100" s="115"/>
      <c r="FE100" s="115"/>
      <c r="FF100" s="117"/>
      <c r="FG100" s="116"/>
      <c r="FH100" s="116">
        <v>0</v>
      </c>
      <c r="FI100" s="117"/>
      <c r="FJ100" s="115"/>
      <c r="FK100" s="115"/>
      <c r="FL100" s="115"/>
      <c r="FM100" s="117"/>
      <c r="FN100" s="258"/>
      <c r="FO100" s="115"/>
      <c r="FP100" s="257"/>
      <c r="FQ100" s="117">
        <v>12</v>
      </c>
      <c r="FR100" s="115"/>
      <c r="FS100" s="117">
        <v>12</v>
      </c>
      <c r="FT100" s="116"/>
      <c r="FU100" s="117">
        <v>12</v>
      </c>
      <c r="FV100" s="115"/>
      <c r="FW100" s="117">
        <v>12</v>
      </c>
      <c r="FX100" s="258"/>
      <c r="FY100" s="115"/>
      <c r="FZ100" s="115"/>
      <c r="GA100" s="115"/>
      <c r="GB100" s="257"/>
      <c r="GC100" s="117"/>
      <c r="GD100" s="258">
        <v>25</v>
      </c>
      <c r="GE100" s="115">
        <v>8</v>
      </c>
      <c r="GF100" s="257">
        <v>33</v>
      </c>
      <c r="GG100" s="117"/>
      <c r="GH100" s="258">
        <v>3</v>
      </c>
      <c r="GI100" s="115"/>
      <c r="GJ100" s="115"/>
      <c r="GK100" s="257">
        <v>3</v>
      </c>
      <c r="GL100" s="117"/>
      <c r="GM100" s="258"/>
      <c r="GN100" s="115">
        <v>1</v>
      </c>
      <c r="GO100" s="115"/>
      <c r="GP100" s="115"/>
      <c r="GQ100" s="257">
        <v>1</v>
      </c>
      <c r="GR100" s="117">
        <v>78185</v>
      </c>
      <c r="GS100" s="324">
        <f>78185/49209180</f>
        <v>1.5888295639147005E-3</v>
      </c>
      <c r="GT100" s="293"/>
      <c r="GU100" s="293"/>
      <c r="GV100" s="293"/>
      <c r="GW100" s="293"/>
      <c r="GX100" s="293"/>
      <c r="GY100" s="293"/>
      <c r="GZ100" s="293"/>
      <c r="HA100" s="293"/>
      <c r="HB100" s="293"/>
      <c r="HC100" s="293"/>
      <c r="HD100" s="293"/>
      <c r="HE100" s="293"/>
      <c r="HF100" s="293"/>
      <c r="HG100" s="293"/>
      <c r="HH100" s="293"/>
      <c r="HI100" s="293"/>
      <c r="HJ100" s="293"/>
      <c r="HK100" s="293"/>
      <c r="HL100" s="293"/>
      <c r="HM100" s="293"/>
      <c r="HN100" s="293"/>
      <c r="HO100" s="293"/>
      <c r="HP100" s="293"/>
      <c r="HQ100" s="293"/>
      <c r="HR100" s="293"/>
      <c r="HS100" s="293"/>
      <c r="HT100" s="293"/>
      <c r="HU100" s="293"/>
      <c r="HV100" s="293"/>
      <c r="HW100" s="293"/>
      <c r="HX100" s="294"/>
    </row>
    <row r="101" spans="2:232" ht="12.75" x14ac:dyDescent="0.2">
      <c r="B101" s="259" t="s">
        <v>245</v>
      </c>
      <c r="C101" s="258">
        <v>67</v>
      </c>
      <c r="D101" s="115"/>
      <c r="E101" s="115"/>
      <c r="F101" s="115"/>
      <c r="G101" s="257">
        <v>67</v>
      </c>
      <c r="H101" s="117"/>
      <c r="I101" s="258">
        <v>1693</v>
      </c>
      <c r="J101" s="115"/>
      <c r="K101" s="257">
        <v>1693</v>
      </c>
      <c r="L101" s="117"/>
      <c r="M101" s="116">
        <v>590</v>
      </c>
      <c r="N101" s="117">
        <v>799</v>
      </c>
      <c r="O101" s="115">
        <v>4</v>
      </c>
      <c r="P101" s="115"/>
      <c r="Q101" s="115">
        <v>3</v>
      </c>
      <c r="R101" s="115"/>
      <c r="S101" s="115"/>
      <c r="T101" s="115"/>
      <c r="U101" s="115">
        <v>0</v>
      </c>
      <c r="V101" s="117">
        <v>806</v>
      </c>
      <c r="W101" s="258">
        <v>376</v>
      </c>
      <c r="X101" s="115">
        <v>23</v>
      </c>
      <c r="Y101" s="257">
        <v>399</v>
      </c>
      <c r="Z101" s="117">
        <v>4886</v>
      </c>
      <c r="AA101" s="115"/>
      <c r="AB101" s="117">
        <v>4886</v>
      </c>
      <c r="AC101" s="258">
        <v>5</v>
      </c>
      <c r="AD101" s="115">
        <v>1</v>
      </c>
      <c r="AE101" s="115"/>
      <c r="AF101" s="257">
        <v>6</v>
      </c>
      <c r="AG101" s="117"/>
      <c r="AH101" s="115"/>
      <c r="AI101" s="115">
        <v>3</v>
      </c>
      <c r="AJ101" s="115"/>
      <c r="AK101" s="117">
        <v>3</v>
      </c>
      <c r="AL101" s="258"/>
      <c r="AM101" s="115">
        <v>2</v>
      </c>
      <c r="AN101" s="257">
        <v>2</v>
      </c>
      <c r="AO101" s="117"/>
      <c r="AP101" s="116"/>
      <c r="AQ101" s="117">
        <v>12</v>
      </c>
      <c r="AR101" s="115">
        <v>1</v>
      </c>
      <c r="AS101" s="115"/>
      <c r="AT101" s="117">
        <v>13</v>
      </c>
      <c r="AU101" s="258"/>
      <c r="AV101" s="115"/>
      <c r="AW101" s="115"/>
      <c r="AX101" s="115">
        <v>1</v>
      </c>
      <c r="AY101" s="115"/>
      <c r="AZ101" s="115"/>
      <c r="BA101" s="115"/>
      <c r="BB101" s="115"/>
      <c r="BC101" s="257">
        <v>1</v>
      </c>
      <c r="BD101" s="117">
        <v>1</v>
      </c>
      <c r="BE101" s="116">
        <v>7</v>
      </c>
      <c r="BF101" s="117">
        <v>62</v>
      </c>
      <c r="BG101" s="115">
        <v>34</v>
      </c>
      <c r="BH101" s="115">
        <v>492</v>
      </c>
      <c r="BI101" s="115">
        <v>4</v>
      </c>
      <c r="BJ101" s="115">
        <v>9</v>
      </c>
      <c r="BK101" s="115"/>
      <c r="BL101" s="117">
        <v>601</v>
      </c>
      <c r="BM101" s="116"/>
      <c r="BN101" s="116"/>
      <c r="BO101" s="116">
        <v>1</v>
      </c>
      <c r="BP101" s="116"/>
      <c r="BQ101" s="117">
        <v>39</v>
      </c>
      <c r="BR101" s="115"/>
      <c r="BS101" s="117">
        <v>39</v>
      </c>
      <c r="BT101" s="116">
        <v>2</v>
      </c>
      <c r="BU101" s="117">
        <v>10</v>
      </c>
      <c r="BV101" s="115"/>
      <c r="BW101" s="115">
        <v>0</v>
      </c>
      <c r="BX101" s="117">
        <v>10</v>
      </c>
      <c r="BY101" s="258"/>
      <c r="BZ101" s="115"/>
      <c r="CA101" s="115">
        <v>1</v>
      </c>
      <c r="CB101" s="115">
        <v>0</v>
      </c>
      <c r="CC101" s="115"/>
      <c r="CD101" s="115"/>
      <c r="CE101" s="115"/>
      <c r="CF101" s="115"/>
      <c r="CG101" s="115"/>
      <c r="CH101" s="115"/>
      <c r="CI101" s="115"/>
      <c r="CJ101" s="115"/>
      <c r="CK101" s="115"/>
      <c r="CL101" s="115"/>
      <c r="CM101" s="115"/>
      <c r="CN101" s="257">
        <v>1</v>
      </c>
      <c r="CO101" s="117">
        <v>682</v>
      </c>
      <c r="CP101" s="115"/>
      <c r="CQ101" s="117">
        <v>682</v>
      </c>
      <c r="CR101" s="116"/>
      <c r="CS101" s="117">
        <v>45</v>
      </c>
      <c r="CT101" s="115"/>
      <c r="CU101" s="115">
        <v>103266</v>
      </c>
      <c r="CV101" s="115">
        <v>1</v>
      </c>
      <c r="CW101" s="115">
        <v>7017</v>
      </c>
      <c r="CX101" s="115">
        <v>2</v>
      </c>
      <c r="CY101" s="115">
        <v>3</v>
      </c>
      <c r="CZ101" s="115"/>
      <c r="DA101" s="115">
        <v>2</v>
      </c>
      <c r="DB101" s="115"/>
      <c r="DC101" s="115"/>
      <c r="DD101" s="117">
        <v>110336</v>
      </c>
      <c r="DE101" s="258">
        <v>224</v>
      </c>
      <c r="DF101" s="115"/>
      <c r="DG101" s="115">
        <v>2</v>
      </c>
      <c r="DH101" s="115">
        <v>2</v>
      </c>
      <c r="DI101" s="115"/>
      <c r="DJ101" s="115"/>
      <c r="DK101" s="115"/>
      <c r="DL101" s="257">
        <v>228</v>
      </c>
      <c r="DM101" s="117"/>
      <c r="DN101" s="116">
        <v>1</v>
      </c>
      <c r="DO101" s="117"/>
      <c r="DP101" s="115"/>
      <c r="DQ101" s="117"/>
      <c r="DR101" s="116">
        <v>6</v>
      </c>
      <c r="DS101" s="117"/>
      <c r="DT101" s="115"/>
      <c r="DU101" s="117"/>
      <c r="DV101" s="258">
        <v>1</v>
      </c>
      <c r="DW101" s="115"/>
      <c r="DX101" s="257">
        <v>1</v>
      </c>
      <c r="DY101" s="117">
        <v>0</v>
      </c>
      <c r="DZ101" s="116">
        <v>0</v>
      </c>
      <c r="EA101" s="117">
        <v>179</v>
      </c>
      <c r="EB101" s="115"/>
      <c r="EC101" s="117">
        <v>179</v>
      </c>
      <c r="ED101" s="116"/>
      <c r="EE101" s="116"/>
      <c r="EF101" s="117">
        <v>15</v>
      </c>
      <c r="EG101" s="115">
        <v>65</v>
      </c>
      <c r="EH101" s="115"/>
      <c r="EI101" s="115"/>
      <c r="EJ101" s="115"/>
      <c r="EK101" s="115"/>
      <c r="EL101" s="117">
        <v>80</v>
      </c>
      <c r="EM101" s="258">
        <v>9</v>
      </c>
      <c r="EN101" s="115">
        <v>45</v>
      </c>
      <c r="EO101" s="115">
        <v>4</v>
      </c>
      <c r="EP101" s="115">
        <v>7</v>
      </c>
      <c r="EQ101" s="115">
        <v>46</v>
      </c>
      <c r="ER101" s="115">
        <v>8</v>
      </c>
      <c r="ES101" s="115">
        <v>11</v>
      </c>
      <c r="ET101" s="115">
        <v>1</v>
      </c>
      <c r="EU101" s="115">
        <v>1</v>
      </c>
      <c r="EV101" s="115">
        <v>3</v>
      </c>
      <c r="EW101" s="115"/>
      <c r="EX101" s="115">
        <v>9</v>
      </c>
      <c r="EY101" s="115"/>
      <c r="EZ101" s="257">
        <v>144</v>
      </c>
      <c r="FA101" s="117"/>
      <c r="FB101" s="116"/>
      <c r="FC101" s="117">
        <v>1</v>
      </c>
      <c r="FD101" s="115"/>
      <c r="FE101" s="115"/>
      <c r="FF101" s="117">
        <v>1</v>
      </c>
      <c r="FG101" s="116"/>
      <c r="FH101" s="116">
        <v>1</v>
      </c>
      <c r="FI101" s="117">
        <v>4</v>
      </c>
      <c r="FJ101" s="115"/>
      <c r="FK101" s="115"/>
      <c r="FL101" s="115">
        <v>6</v>
      </c>
      <c r="FM101" s="117">
        <v>10</v>
      </c>
      <c r="FN101" s="258"/>
      <c r="FO101" s="115"/>
      <c r="FP101" s="257"/>
      <c r="FQ101" s="117"/>
      <c r="FR101" s="115"/>
      <c r="FS101" s="117"/>
      <c r="FT101" s="116"/>
      <c r="FU101" s="117">
        <v>15</v>
      </c>
      <c r="FV101" s="115"/>
      <c r="FW101" s="117">
        <v>15</v>
      </c>
      <c r="FX101" s="258"/>
      <c r="FY101" s="115"/>
      <c r="FZ101" s="115"/>
      <c r="GA101" s="115"/>
      <c r="GB101" s="257"/>
      <c r="GC101" s="117"/>
      <c r="GD101" s="258">
        <v>66</v>
      </c>
      <c r="GE101" s="115">
        <v>6</v>
      </c>
      <c r="GF101" s="257">
        <v>72</v>
      </c>
      <c r="GG101" s="117"/>
      <c r="GH101" s="258">
        <v>29</v>
      </c>
      <c r="GI101" s="115"/>
      <c r="GJ101" s="115"/>
      <c r="GK101" s="257">
        <v>29</v>
      </c>
      <c r="GL101" s="117">
        <v>6</v>
      </c>
      <c r="GM101" s="258">
        <v>3</v>
      </c>
      <c r="GN101" s="115"/>
      <c r="GO101" s="115"/>
      <c r="GP101" s="115">
        <v>6</v>
      </c>
      <c r="GQ101" s="257">
        <v>9</v>
      </c>
      <c r="GR101" s="117">
        <v>120928</v>
      </c>
      <c r="GS101" s="324">
        <f>120928/49209180</f>
        <v>2.4574276588230082E-3</v>
      </c>
      <c r="GT101" s="293"/>
      <c r="GU101" s="293"/>
      <c r="GV101" s="293"/>
      <c r="GW101" s="293"/>
      <c r="GX101" s="293"/>
      <c r="GY101" s="293"/>
      <c r="GZ101" s="293"/>
      <c r="HA101" s="293"/>
      <c r="HB101" s="293"/>
      <c r="HC101" s="293"/>
      <c r="HD101" s="293"/>
      <c r="HE101" s="293"/>
      <c r="HF101" s="293"/>
      <c r="HG101" s="293"/>
      <c r="HH101" s="293"/>
      <c r="HI101" s="293"/>
      <c r="HJ101" s="293"/>
      <c r="HK101" s="293"/>
      <c r="HL101" s="293"/>
      <c r="HM101" s="293"/>
      <c r="HN101" s="293"/>
      <c r="HO101" s="293"/>
      <c r="HP101" s="293"/>
      <c r="HQ101" s="293"/>
      <c r="HR101" s="293"/>
      <c r="HS101" s="293"/>
      <c r="HT101" s="293"/>
      <c r="HU101" s="293"/>
      <c r="HV101" s="293"/>
      <c r="HW101" s="293"/>
      <c r="HX101" s="294"/>
    </row>
    <row r="102" spans="2:232" ht="13.5" thickBot="1" x14ac:dyDescent="0.25">
      <c r="B102" s="325" t="s">
        <v>247</v>
      </c>
      <c r="C102" s="326">
        <v>634</v>
      </c>
      <c r="D102" s="327">
        <v>27</v>
      </c>
      <c r="E102" s="327">
        <v>6</v>
      </c>
      <c r="F102" s="327">
        <v>47</v>
      </c>
      <c r="G102" s="328">
        <v>714</v>
      </c>
      <c r="H102" s="329">
        <v>0</v>
      </c>
      <c r="I102" s="326">
        <v>34</v>
      </c>
      <c r="J102" s="327"/>
      <c r="K102" s="328">
        <v>34</v>
      </c>
      <c r="L102" s="329"/>
      <c r="M102" s="330">
        <v>5320</v>
      </c>
      <c r="N102" s="329">
        <v>266961</v>
      </c>
      <c r="O102" s="327">
        <v>795</v>
      </c>
      <c r="P102" s="327">
        <v>739</v>
      </c>
      <c r="Q102" s="327">
        <v>1760</v>
      </c>
      <c r="R102" s="327">
        <v>16</v>
      </c>
      <c r="S102" s="327">
        <v>44</v>
      </c>
      <c r="T102" s="327">
        <v>39</v>
      </c>
      <c r="U102" s="327">
        <v>21</v>
      </c>
      <c r="V102" s="329">
        <v>270375</v>
      </c>
      <c r="W102" s="326">
        <v>4093</v>
      </c>
      <c r="X102" s="327">
        <v>2107</v>
      </c>
      <c r="Y102" s="328">
        <v>6200</v>
      </c>
      <c r="Z102" s="329">
        <v>52105</v>
      </c>
      <c r="AA102" s="327">
        <v>16</v>
      </c>
      <c r="AB102" s="329">
        <v>52121</v>
      </c>
      <c r="AC102" s="326">
        <v>2289</v>
      </c>
      <c r="AD102" s="327">
        <v>20</v>
      </c>
      <c r="AE102" s="327"/>
      <c r="AF102" s="328">
        <v>2309</v>
      </c>
      <c r="AG102" s="329">
        <v>308</v>
      </c>
      <c r="AH102" s="327">
        <v>5</v>
      </c>
      <c r="AI102" s="327">
        <v>391</v>
      </c>
      <c r="AJ102" s="327">
        <v>1</v>
      </c>
      <c r="AK102" s="329">
        <v>705</v>
      </c>
      <c r="AL102" s="326">
        <v>151</v>
      </c>
      <c r="AM102" s="327">
        <v>12</v>
      </c>
      <c r="AN102" s="328">
        <v>163</v>
      </c>
      <c r="AO102" s="329"/>
      <c r="AP102" s="330"/>
      <c r="AQ102" s="329">
        <v>2</v>
      </c>
      <c r="AR102" s="327">
        <v>694</v>
      </c>
      <c r="AS102" s="327"/>
      <c r="AT102" s="329">
        <v>696</v>
      </c>
      <c r="AU102" s="326">
        <v>178</v>
      </c>
      <c r="AV102" s="327">
        <v>11</v>
      </c>
      <c r="AW102" s="327">
        <v>116</v>
      </c>
      <c r="AX102" s="327">
        <v>10</v>
      </c>
      <c r="AY102" s="327">
        <v>28</v>
      </c>
      <c r="AZ102" s="327">
        <v>12</v>
      </c>
      <c r="BA102" s="327">
        <v>1</v>
      </c>
      <c r="BB102" s="327">
        <v>4</v>
      </c>
      <c r="BC102" s="328">
        <v>360</v>
      </c>
      <c r="BD102" s="329"/>
      <c r="BE102" s="330">
        <v>12</v>
      </c>
      <c r="BF102" s="329">
        <v>51761</v>
      </c>
      <c r="BG102" s="327">
        <v>7172</v>
      </c>
      <c r="BH102" s="327">
        <v>104309</v>
      </c>
      <c r="BI102" s="327">
        <v>504</v>
      </c>
      <c r="BJ102" s="327">
        <v>528</v>
      </c>
      <c r="BK102" s="327"/>
      <c r="BL102" s="329">
        <v>164274</v>
      </c>
      <c r="BM102" s="330">
        <v>137</v>
      </c>
      <c r="BN102" s="330">
        <v>3</v>
      </c>
      <c r="BO102" s="330">
        <v>9</v>
      </c>
      <c r="BP102" s="330">
        <v>16</v>
      </c>
      <c r="BQ102" s="329">
        <v>62</v>
      </c>
      <c r="BR102" s="327"/>
      <c r="BS102" s="329">
        <v>62</v>
      </c>
      <c r="BT102" s="330">
        <v>266</v>
      </c>
      <c r="BU102" s="329">
        <v>2</v>
      </c>
      <c r="BV102" s="327">
        <v>1</v>
      </c>
      <c r="BW102" s="327"/>
      <c r="BX102" s="329">
        <v>3</v>
      </c>
      <c r="BY102" s="326">
        <v>17</v>
      </c>
      <c r="BZ102" s="327"/>
      <c r="CA102" s="327">
        <v>3</v>
      </c>
      <c r="CB102" s="327">
        <v>116</v>
      </c>
      <c r="CC102" s="327">
        <v>124</v>
      </c>
      <c r="CD102" s="327">
        <v>94</v>
      </c>
      <c r="CE102" s="327">
        <v>50</v>
      </c>
      <c r="CF102" s="327">
        <v>6</v>
      </c>
      <c r="CG102" s="327">
        <v>40</v>
      </c>
      <c r="CH102" s="327">
        <v>41</v>
      </c>
      <c r="CI102" s="327">
        <v>175</v>
      </c>
      <c r="CJ102" s="327"/>
      <c r="CK102" s="327">
        <v>19</v>
      </c>
      <c r="CL102" s="327">
        <v>36</v>
      </c>
      <c r="CM102" s="327"/>
      <c r="CN102" s="328">
        <v>721</v>
      </c>
      <c r="CO102" s="329">
        <v>113</v>
      </c>
      <c r="CP102" s="327"/>
      <c r="CQ102" s="329">
        <v>113</v>
      </c>
      <c r="CR102" s="330">
        <v>1</v>
      </c>
      <c r="CS102" s="329">
        <v>202</v>
      </c>
      <c r="CT102" s="327">
        <v>409</v>
      </c>
      <c r="CU102" s="327">
        <v>136659</v>
      </c>
      <c r="CV102" s="327">
        <v>1177</v>
      </c>
      <c r="CW102" s="327">
        <v>53808</v>
      </c>
      <c r="CX102" s="327">
        <v>2249</v>
      </c>
      <c r="CY102" s="327">
        <v>1705</v>
      </c>
      <c r="CZ102" s="327">
        <v>336</v>
      </c>
      <c r="DA102" s="327">
        <v>16</v>
      </c>
      <c r="DB102" s="327">
        <v>33</v>
      </c>
      <c r="DC102" s="327">
        <v>21</v>
      </c>
      <c r="DD102" s="329">
        <v>196615</v>
      </c>
      <c r="DE102" s="326">
        <v>7508</v>
      </c>
      <c r="DF102" s="327">
        <v>892</v>
      </c>
      <c r="DG102" s="327">
        <v>641</v>
      </c>
      <c r="DH102" s="327">
        <v>506</v>
      </c>
      <c r="DI102" s="327">
        <v>72</v>
      </c>
      <c r="DJ102" s="327">
        <v>1</v>
      </c>
      <c r="DK102" s="327"/>
      <c r="DL102" s="328">
        <v>9620</v>
      </c>
      <c r="DM102" s="329"/>
      <c r="DN102" s="330"/>
      <c r="DO102" s="329">
        <v>1</v>
      </c>
      <c r="DP102" s="327">
        <v>46</v>
      </c>
      <c r="DQ102" s="329">
        <v>47</v>
      </c>
      <c r="DR102" s="330">
        <v>158</v>
      </c>
      <c r="DS102" s="329"/>
      <c r="DT102" s="327"/>
      <c r="DU102" s="329"/>
      <c r="DV102" s="326">
        <v>3478</v>
      </c>
      <c r="DW102" s="327"/>
      <c r="DX102" s="328">
        <v>3478</v>
      </c>
      <c r="DY102" s="329">
        <v>23</v>
      </c>
      <c r="DZ102" s="330">
        <v>11</v>
      </c>
      <c r="EA102" s="329">
        <v>95225</v>
      </c>
      <c r="EB102" s="327"/>
      <c r="EC102" s="329">
        <v>95225</v>
      </c>
      <c r="ED102" s="330"/>
      <c r="EE102" s="330"/>
      <c r="EF102" s="329">
        <v>1920</v>
      </c>
      <c r="EG102" s="327">
        <v>651</v>
      </c>
      <c r="EH102" s="327">
        <v>49</v>
      </c>
      <c r="EI102" s="327"/>
      <c r="EJ102" s="327"/>
      <c r="EK102" s="327"/>
      <c r="EL102" s="329">
        <v>2620</v>
      </c>
      <c r="EM102" s="326">
        <v>1817</v>
      </c>
      <c r="EN102" s="327">
        <v>7431</v>
      </c>
      <c r="EO102" s="327">
        <v>1396</v>
      </c>
      <c r="EP102" s="327">
        <v>2560</v>
      </c>
      <c r="EQ102" s="327">
        <v>6340</v>
      </c>
      <c r="ER102" s="327">
        <v>254</v>
      </c>
      <c r="ES102" s="327">
        <v>886</v>
      </c>
      <c r="ET102" s="327">
        <v>91</v>
      </c>
      <c r="EU102" s="327">
        <v>76</v>
      </c>
      <c r="EV102" s="327">
        <v>70</v>
      </c>
      <c r="EW102" s="327">
        <v>17</v>
      </c>
      <c r="EX102" s="327">
        <v>128</v>
      </c>
      <c r="EY102" s="327">
        <v>6</v>
      </c>
      <c r="EZ102" s="328">
        <v>21072</v>
      </c>
      <c r="FA102" s="329"/>
      <c r="FB102" s="330">
        <v>24</v>
      </c>
      <c r="FC102" s="329">
        <v>1</v>
      </c>
      <c r="FD102" s="327">
        <v>22</v>
      </c>
      <c r="FE102" s="327">
        <v>173</v>
      </c>
      <c r="FF102" s="329">
        <v>196</v>
      </c>
      <c r="FG102" s="330">
        <v>10</v>
      </c>
      <c r="FH102" s="330">
        <v>271</v>
      </c>
      <c r="FI102" s="329">
        <v>42</v>
      </c>
      <c r="FJ102" s="327">
        <v>571</v>
      </c>
      <c r="FK102" s="327">
        <v>152</v>
      </c>
      <c r="FL102" s="327">
        <v>628</v>
      </c>
      <c r="FM102" s="329">
        <v>1393</v>
      </c>
      <c r="FN102" s="326"/>
      <c r="FO102" s="327"/>
      <c r="FP102" s="328"/>
      <c r="FQ102" s="329">
        <v>13</v>
      </c>
      <c r="FR102" s="327"/>
      <c r="FS102" s="329">
        <v>13</v>
      </c>
      <c r="FT102" s="330"/>
      <c r="FU102" s="329">
        <v>233</v>
      </c>
      <c r="FV102" s="327"/>
      <c r="FW102" s="329">
        <v>233</v>
      </c>
      <c r="FX102" s="326">
        <v>403</v>
      </c>
      <c r="FY102" s="327">
        <v>542</v>
      </c>
      <c r="FZ102" s="327">
        <v>298</v>
      </c>
      <c r="GA102" s="327">
        <v>30</v>
      </c>
      <c r="GB102" s="328">
        <v>1273</v>
      </c>
      <c r="GC102" s="329"/>
      <c r="GD102" s="326">
        <v>187</v>
      </c>
      <c r="GE102" s="327">
        <v>112</v>
      </c>
      <c r="GF102" s="328">
        <v>299</v>
      </c>
      <c r="GG102" s="329"/>
      <c r="GH102" s="326">
        <v>4</v>
      </c>
      <c r="GI102" s="327">
        <v>1</v>
      </c>
      <c r="GJ102" s="327"/>
      <c r="GK102" s="328">
        <v>5</v>
      </c>
      <c r="GL102" s="329">
        <v>530</v>
      </c>
      <c r="GM102" s="326">
        <v>190</v>
      </c>
      <c r="GN102" s="327">
        <v>1</v>
      </c>
      <c r="GO102" s="327">
        <v>1307</v>
      </c>
      <c r="GP102" s="327">
        <v>501</v>
      </c>
      <c r="GQ102" s="328">
        <v>1999</v>
      </c>
      <c r="GR102" s="329">
        <v>839729</v>
      </c>
      <c r="GS102" s="331">
        <f>839729/49209180</f>
        <v>1.706447861963967E-2</v>
      </c>
      <c r="GT102" s="293"/>
      <c r="GU102" s="293"/>
      <c r="GV102" s="293"/>
      <c r="GW102" s="293"/>
      <c r="GX102" s="293"/>
      <c r="GY102" s="293"/>
      <c r="GZ102" s="293"/>
      <c r="HA102" s="293"/>
      <c r="HB102" s="293"/>
      <c r="HC102" s="293"/>
      <c r="HD102" s="293"/>
      <c r="HE102" s="293"/>
      <c r="HF102" s="293"/>
      <c r="HG102" s="293"/>
      <c r="HH102" s="293"/>
      <c r="HI102" s="293"/>
      <c r="HJ102" s="293"/>
      <c r="HK102" s="293"/>
      <c r="HL102" s="293"/>
      <c r="HM102" s="293"/>
      <c r="HN102" s="293"/>
      <c r="HO102" s="293"/>
      <c r="HP102" s="293"/>
      <c r="HQ102" s="293"/>
      <c r="HR102" s="293"/>
      <c r="HS102" s="293"/>
      <c r="HT102" s="293"/>
      <c r="HU102" s="293"/>
      <c r="HV102" s="293"/>
      <c r="HW102" s="293"/>
      <c r="HX102" s="294"/>
    </row>
    <row r="103" spans="2:232" ht="13.5" thickBot="1" x14ac:dyDescent="0.25">
      <c r="B103" s="332" t="s">
        <v>550</v>
      </c>
      <c r="C103" s="333">
        <v>22828</v>
      </c>
      <c r="D103" s="334">
        <v>65</v>
      </c>
      <c r="E103" s="334">
        <v>93</v>
      </c>
      <c r="F103" s="334">
        <v>96</v>
      </c>
      <c r="G103" s="335">
        <v>23082</v>
      </c>
      <c r="H103" s="336">
        <v>0</v>
      </c>
      <c r="I103" s="333">
        <v>11032</v>
      </c>
      <c r="J103" s="334"/>
      <c r="K103" s="335">
        <v>11032</v>
      </c>
      <c r="L103" s="336">
        <v>4</v>
      </c>
      <c r="M103" s="337">
        <v>140549</v>
      </c>
      <c r="N103" s="336">
        <v>4588499</v>
      </c>
      <c r="O103" s="334">
        <v>40428</v>
      </c>
      <c r="P103" s="334">
        <v>1504</v>
      </c>
      <c r="Q103" s="334">
        <v>3268</v>
      </c>
      <c r="R103" s="334">
        <v>105</v>
      </c>
      <c r="S103" s="334">
        <v>188</v>
      </c>
      <c r="T103" s="334">
        <v>144</v>
      </c>
      <c r="U103" s="334">
        <v>32</v>
      </c>
      <c r="V103" s="336">
        <v>4634168</v>
      </c>
      <c r="W103" s="333">
        <v>59105</v>
      </c>
      <c r="X103" s="334">
        <v>36508</v>
      </c>
      <c r="Y103" s="335">
        <v>95613</v>
      </c>
      <c r="Z103" s="336">
        <v>1736421</v>
      </c>
      <c r="AA103" s="334">
        <v>414</v>
      </c>
      <c r="AB103" s="336">
        <v>1736835</v>
      </c>
      <c r="AC103" s="333">
        <v>13509</v>
      </c>
      <c r="AD103" s="334">
        <v>39</v>
      </c>
      <c r="AE103" s="334"/>
      <c r="AF103" s="335">
        <v>13548</v>
      </c>
      <c r="AG103" s="336">
        <v>660</v>
      </c>
      <c r="AH103" s="334">
        <v>17</v>
      </c>
      <c r="AI103" s="334">
        <v>2073</v>
      </c>
      <c r="AJ103" s="334">
        <v>20</v>
      </c>
      <c r="AK103" s="336">
        <v>2770</v>
      </c>
      <c r="AL103" s="333">
        <v>543</v>
      </c>
      <c r="AM103" s="334">
        <v>17066</v>
      </c>
      <c r="AN103" s="335">
        <v>17609</v>
      </c>
      <c r="AO103" s="336"/>
      <c r="AP103" s="337"/>
      <c r="AQ103" s="336">
        <v>36</v>
      </c>
      <c r="AR103" s="334">
        <v>2211</v>
      </c>
      <c r="AS103" s="334">
        <v>1</v>
      </c>
      <c r="AT103" s="336">
        <v>2248</v>
      </c>
      <c r="AU103" s="333">
        <v>478</v>
      </c>
      <c r="AV103" s="334">
        <v>42</v>
      </c>
      <c r="AW103" s="334">
        <v>217</v>
      </c>
      <c r="AX103" s="334">
        <v>12</v>
      </c>
      <c r="AY103" s="334">
        <v>164</v>
      </c>
      <c r="AZ103" s="334">
        <v>54</v>
      </c>
      <c r="BA103" s="334">
        <v>21</v>
      </c>
      <c r="BB103" s="334">
        <v>21</v>
      </c>
      <c r="BC103" s="335">
        <v>1009</v>
      </c>
      <c r="BD103" s="336">
        <v>7</v>
      </c>
      <c r="BE103" s="337">
        <v>77</v>
      </c>
      <c r="BF103" s="336">
        <v>113918</v>
      </c>
      <c r="BG103" s="334">
        <v>29481</v>
      </c>
      <c r="BH103" s="334">
        <v>172034</v>
      </c>
      <c r="BI103" s="334">
        <v>2286</v>
      </c>
      <c r="BJ103" s="334">
        <v>1657</v>
      </c>
      <c r="BK103" s="334">
        <v>0</v>
      </c>
      <c r="BL103" s="336">
        <v>319376</v>
      </c>
      <c r="BM103" s="337">
        <v>148</v>
      </c>
      <c r="BN103" s="337">
        <v>3</v>
      </c>
      <c r="BO103" s="337">
        <v>719</v>
      </c>
      <c r="BP103" s="337">
        <v>76</v>
      </c>
      <c r="BQ103" s="336">
        <v>812</v>
      </c>
      <c r="BR103" s="334">
        <v>91</v>
      </c>
      <c r="BS103" s="336">
        <v>903</v>
      </c>
      <c r="BT103" s="337">
        <v>2614</v>
      </c>
      <c r="BU103" s="336">
        <v>522</v>
      </c>
      <c r="BV103" s="334">
        <v>14</v>
      </c>
      <c r="BW103" s="334">
        <v>4</v>
      </c>
      <c r="BX103" s="336">
        <v>540</v>
      </c>
      <c r="BY103" s="333">
        <v>25</v>
      </c>
      <c r="BZ103" s="334"/>
      <c r="CA103" s="334">
        <v>17</v>
      </c>
      <c r="CB103" s="334">
        <v>206</v>
      </c>
      <c r="CC103" s="334">
        <v>366</v>
      </c>
      <c r="CD103" s="334">
        <v>300</v>
      </c>
      <c r="CE103" s="334">
        <v>161</v>
      </c>
      <c r="CF103" s="334">
        <v>10</v>
      </c>
      <c r="CG103" s="334">
        <v>87</v>
      </c>
      <c r="CH103" s="334">
        <v>236</v>
      </c>
      <c r="CI103" s="334">
        <v>364</v>
      </c>
      <c r="CJ103" s="334"/>
      <c r="CK103" s="334">
        <v>118</v>
      </c>
      <c r="CL103" s="334">
        <v>49</v>
      </c>
      <c r="CM103" s="334"/>
      <c r="CN103" s="335">
        <v>1939</v>
      </c>
      <c r="CO103" s="336">
        <v>287588</v>
      </c>
      <c r="CP103" s="334"/>
      <c r="CQ103" s="336">
        <v>287588</v>
      </c>
      <c r="CR103" s="337">
        <v>2</v>
      </c>
      <c r="CS103" s="336">
        <v>2835</v>
      </c>
      <c r="CT103" s="334">
        <v>1172</v>
      </c>
      <c r="CU103" s="334">
        <v>2973141</v>
      </c>
      <c r="CV103" s="334">
        <v>11639</v>
      </c>
      <c r="CW103" s="334">
        <v>718572</v>
      </c>
      <c r="CX103" s="334">
        <v>9147</v>
      </c>
      <c r="CY103" s="334">
        <v>6148</v>
      </c>
      <c r="CZ103" s="334">
        <v>933</v>
      </c>
      <c r="DA103" s="334">
        <v>22645</v>
      </c>
      <c r="DB103" s="334">
        <v>145</v>
      </c>
      <c r="DC103" s="334">
        <v>85</v>
      </c>
      <c r="DD103" s="336">
        <v>3746462</v>
      </c>
      <c r="DE103" s="333">
        <v>112151</v>
      </c>
      <c r="DF103" s="334">
        <v>2186</v>
      </c>
      <c r="DG103" s="334">
        <v>5063</v>
      </c>
      <c r="DH103" s="334">
        <v>2648</v>
      </c>
      <c r="DI103" s="334">
        <v>217</v>
      </c>
      <c r="DJ103" s="334">
        <v>1</v>
      </c>
      <c r="DK103" s="334"/>
      <c r="DL103" s="335">
        <v>122266</v>
      </c>
      <c r="DM103" s="336">
        <v>7</v>
      </c>
      <c r="DN103" s="337">
        <v>34</v>
      </c>
      <c r="DO103" s="336">
        <v>3</v>
      </c>
      <c r="DP103" s="334">
        <v>360</v>
      </c>
      <c r="DQ103" s="336">
        <v>363</v>
      </c>
      <c r="DR103" s="337">
        <v>1294</v>
      </c>
      <c r="DS103" s="336"/>
      <c r="DT103" s="334"/>
      <c r="DU103" s="336"/>
      <c r="DV103" s="333">
        <v>9375</v>
      </c>
      <c r="DW103" s="334">
        <v>1</v>
      </c>
      <c r="DX103" s="335">
        <v>9376</v>
      </c>
      <c r="DY103" s="336">
        <v>433</v>
      </c>
      <c r="DZ103" s="337">
        <v>19</v>
      </c>
      <c r="EA103" s="336">
        <v>187652</v>
      </c>
      <c r="EB103" s="334">
        <v>2</v>
      </c>
      <c r="EC103" s="336">
        <v>187654</v>
      </c>
      <c r="ED103" s="337"/>
      <c r="EE103" s="337"/>
      <c r="EF103" s="336">
        <v>5979</v>
      </c>
      <c r="EG103" s="334">
        <v>4116</v>
      </c>
      <c r="EH103" s="334">
        <v>82</v>
      </c>
      <c r="EI103" s="334"/>
      <c r="EJ103" s="334"/>
      <c r="EK103" s="334">
        <v>7</v>
      </c>
      <c r="EL103" s="336">
        <v>10184</v>
      </c>
      <c r="EM103" s="333">
        <v>4740</v>
      </c>
      <c r="EN103" s="334">
        <v>252261</v>
      </c>
      <c r="EO103" s="334">
        <v>4049</v>
      </c>
      <c r="EP103" s="334">
        <v>6730</v>
      </c>
      <c r="EQ103" s="334">
        <v>207153</v>
      </c>
      <c r="ER103" s="334">
        <v>667</v>
      </c>
      <c r="ES103" s="334">
        <v>2814</v>
      </c>
      <c r="ET103" s="334">
        <v>161</v>
      </c>
      <c r="EU103" s="334">
        <v>156</v>
      </c>
      <c r="EV103" s="334">
        <v>177</v>
      </c>
      <c r="EW103" s="334">
        <v>102</v>
      </c>
      <c r="EX103" s="334">
        <v>313</v>
      </c>
      <c r="EY103" s="334">
        <v>7</v>
      </c>
      <c r="EZ103" s="335">
        <v>479330</v>
      </c>
      <c r="FA103" s="336"/>
      <c r="FB103" s="337">
        <v>73</v>
      </c>
      <c r="FC103" s="336">
        <v>9</v>
      </c>
      <c r="FD103" s="334">
        <v>84</v>
      </c>
      <c r="FE103" s="334">
        <v>15189</v>
      </c>
      <c r="FF103" s="336">
        <v>15282</v>
      </c>
      <c r="FG103" s="337">
        <v>244</v>
      </c>
      <c r="FH103" s="337">
        <v>4579</v>
      </c>
      <c r="FI103" s="336">
        <v>139</v>
      </c>
      <c r="FJ103" s="334">
        <v>7910</v>
      </c>
      <c r="FK103" s="334">
        <v>406</v>
      </c>
      <c r="FL103" s="334">
        <v>3985</v>
      </c>
      <c r="FM103" s="336">
        <v>12440</v>
      </c>
      <c r="FN103" s="333">
        <v>2</v>
      </c>
      <c r="FO103" s="334"/>
      <c r="FP103" s="335">
        <v>2</v>
      </c>
      <c r="FQ103" s="336">
        <v>11994</v>
      </c>
      <c r="FR103" s="334">
        <v>3</v>
      </c>
      <c r="FS103" s="336">
        <v>11997</v>
      </c>
      <c r="FT103" s="337">
        <v>1</v>
      </c>
      <c r="FU103" s="336">
        <v>3643</v>
      </c>
      <c r="FV103" s="334"/>
      <c r="FW103" s="336">
        <v>3643</v>
      </c>
      <c r="FX103" s="333">
        <v>599</v>
      </c>
      <c r="FY103" s="334">
        <v>3113</v>
      </c>
      <c r="FZ103" s="334">
        <v>586</v>
      </c>
      <c r="GA103" s="334">
        <v>186</v>
      </c>
      <c r="GB103" s="335">
        <v>4484</v>
      </c>
      <c r="GC103" s="336"/>
      <c r="GD103" s="333">
        <v>6216</v>
      </c>
      <c r="GE103" s="334">
        <v>17610</v>
      </c>
      <c r="GF103" s="335">
        <v>23826</v>
      </c>
      <c r="GG103" s="336"/>
      <c r="GH103" s="333">
        <v>352</v>
      </c>
      <c r="GI103" s="334">
        <v>1</v>
      </c>
      <c r="GJ103" s="334"/>
      <c r="GK103" s="335">
        <v>353</v>
      </c>
      <c r="GL103" s="336">
        <v>2659</v>
      </c>
      <c r="GM103" s="333">
        <v>781</v>
      </c>
      <c r="GN103" s="334">
        <v>14</v>
      </c>
      <c r="GO103" s="334">
        <v>2392</v>
      </c>
      <c r="GP103" s="334">
        <v>5700</v>
      </c>
      <c r="GQ103" s="335">
        <v>8887</v>
      </c>
      <c r="GR103" s="336">
        <v>11938351</v>
      </c>
      <c r="GS103" s="338">
        <f>11938351/49209180</f>
        <v>0.24260414418610513</v>
      </c>
      <c r="GT103" s="293"/>
      <c r="GU103" s="293"/>
      <c r="GV103" s="293"/>
      <c r="GW103" s="293"/>
      <c r="GX103" s="293"/>
      <c r="GY103" s="293"/>
      <c r="GZ103" s="293"/>
      <c r="HA103" s="293"/>
      <c r="HB103" s="293"/>
      <c r="HC103" s="293"/>
      <c r="HD103" s="293"/>
      <c r="HE103" s="293"/>
      <c r="HF103" s="293"/>
      <c r="HG103" s="293"/>
      <c r="HH103" s="293"/>
      <c r="HI103" s="293"/>
      <c r="HJ103" s="293"/>
      <c r="HK103" s="293"/>
      <c r="HL103" s="293"/>
      <c r="HM103" s="293"/>
      <c r="HN103" s="293"/>
      <c r="HO103" s="293"/>
      <c r="HP103" s="293"/>
      <c r="HQ103" s="293"/>
      <c r="HR103" s="293"/>
      <c r="HS103" s="293"/>
      <c r="HT103" s="293"/>
      <c r="HU103" s="293"/>
      <c r="HV103" s="293"/>
      <c r="HW103" s="293"/>
      <c r="HX103" s="294"/>
    </row>
    <row r="104" spans="2:232" ht="12.75" x14ac:dyDescent="0.2">
      <c r="B104" s="339" t="s">
        <v>23</v>
      </c>
      <c r="C104" s="340">
        <v>1637</v>
      </c>
      <c r="D104" s="341"/>
      <c r="E104" s="341"/>
      <c r="F104" s="341"/>
      <c r="G104" s="342">
        <v>1637</v>
      </c>
      <c r="H104" s="343">
        <v>3</v>
      </c>
      <c r="I104" s="340">
        <v>5</v>
      </c>
      <c r="J104" s="341"/>
      <c r="K104" s="342">
        <v>5</v>
      </c>
      <c r="L104" s="343">
        <v>1</v>
      </c>
      <c r="M104" s="344">
        <v>10167</v>
      </c>
      <c r="N104" s="343">
        <v>25581</v>
      </c>
      <c r="O104" s="341">
        <v>155</v>
      </c>
      <c r="P104" s="341">
        <v>10096</v>
      </c>
      <c r="Q104" s="341">
        <v>2181</v>
      </c>
      <c r="R104" s="341">
        <v>33</v>
      </c>
      <c r="S104" s="341">
        <v>5787</v>
      </c>
      <c r="T104" s="341">
        <v>12</v>
      </c>
      <c r="U104" s="341">
        <v>1</v>
      </c>
      <c r="V104" s="343">
        <v>43846</v>
      </c>
      <c r="W104" s="340">
        <v>127</v>
      </c>
      <c r="X104" s="341">
        <v>70</v>
      </c>
      <c r="Y104" s="342">
        <v>197</v>
      </c>
      <c r="Z104" s="343">
        <v>1496</v>
      </c>
      <c r="AA104" s="341"/>
      <c r="AB104" s="343">
        <v>1496</v>
      </c>
      <c r="AC104" s="340">
        <v>281345</v>
      </c>
      <c r="AD104" s="341">
        <v>37</v>
      </c>
      <c r="AE104" s="341"/>
      <c r="AF104" s="342">
        <v>281382</v>
      </c>
      <c r="AG104" s="343">
        <v>1544</v>
      </c>
      <c r="AH104" s="341">
        <v>6</v>
      </c>
      <c r="AI104" s="341"/>
      <c r="AJ104" s="341"/>
      <c r="AK104" s="343">
        <v>1550</v>
      </c>
      <c r="AL104" s="340"/>
      <c r="AM104" s="341">
        <v>6</v>
      </c>
      <c r="AN104" s="342">
        <v>6</v>
      </c>
      <c r="AO104" s="343"/>
      <c r="AP104" s="344"/>
      <c r="AQ104" s="343">
        <v>8</v>
      </c>
      <c r="AR104" s="341">
        <v>1</v>
      </c>
      <c r="AS104" s="341"/>
      <c r="AT104" s="343">
        <v>9</v>
      </c>
      <c r="AU104" s="340">
        <v>11664</v>
      </c>
      <c r="AV104" s="341">
        <v>3</v>
      </c>
      <c r="AW104" s="341">
        <v>2608</v>
      </c>
      <c r="AX104" s="341">
        <v>2</v>
      </c>
      <c r="AY104" s="341"/>
      <c r="AZ104" s="341"/>
      <c r="BA104" s="341"/>
      <c r="BB104" s="341"/>
      <c r="BC104" s="342">
        <v>14277</v>
      </c>
      <c r="BD104" s="343">
        <v>4</v>
      </c>
      <c r="BE104" s="344">
        <v>16</v>
      </c>
      <c r="BF104" s="343">
        <v>548</v>
      </c>
      <c r="BG104" s="341">
        <v>4195</v>
      </c>
      <c r="BH104" s="341">
        <v>2835</v>
      </c>
      <c r="BI104" s="341">
        <v>607</v>
      </c>
      <c r="BJ104" s="341">
        <v>290</v>
      </c>
      <c r="BK104" s="341"/>
      <c r="BL104" s="343">
        <v>8475</v>
      </c>
      <c r="BM104" s="344">
        <v>4</v>
      </c>
      <c r="BN104" s="344"/>
      <c r="BO104" s="344">
        <v>1</v>
      </c>
      <c r="BP104" s="344">
        <v>18</v>
      </c>
      <c r="BQ104" s="343">
        <v>103</v>
      </c>
      <c r="BR104" s="341">
        <v>0</v>
      </c>
      <c r="BS104" s="343">
        <v>103</v>
      </c>
      <c r="BT104" s="344"/>
      <c r="BU104" s="343">
        <v>6</v>
      </c>
      <c r="BV104" s="341">
        <v>81</v>
      </c>
      <c r="BW104" s="341"/>
      <c r="BX104" s="343">
        <v>87</v>
      </c>
      <c r="BY104" s="340"/>
      <c r="BZ104" s="341"/>
      <c r="CA104" s="341">
        <v>9</v>
      </c>
      <c r="CB104" s="341">
        <v>123</v>
      </c>
      <c r="CC104" s="341">
        <v>0</v>
      </c>
      <c r="CD104" s="341"/>
      <c r="CE104" s="341"/>
      <c r="CF104" s="341"/>
      <c r="CG104" s="341"/>
      <c r="CH104" s="341"/>
      <c r="CI104" s="341">
        <v>3</v>
      </c>
      <c r="CJ104" s="341"/>
      <c r="CK104" s="341"/>
      <c r="CL104" s="341"/>
      <c r="CM104" s="341"/>
      <c r="CN104" s="342">
        <v>135</v>
      </c>
      <c r="CO104" s="343">
        <v>6</v>
      </c>
      <c r="CP104" s="341"/>
      <c r="CQ104" s="343">
        <v>6</v>
      </c>
      <c r="CR104" s="344">
        <v>0</v>
      </c>
      <c r="CS104" s="343">
        <v>675</v>
      </c>
      <c r="CT104" s="341">
        <v>40</v>
      </c>
      <c r="CU104" s="341">
        <v>679789</v>
      </c>
      <c r="CV104" s="341">
        <v>107110</v>
      </c>
      <c r="CW104" s="341">
        <v>64238</v>
      </c>
      <c r="CX104" s="341">
        <v>2</v>
      </c>
      <c r="CY104" s="341">
        <v>20</v>
      </c>
      <c r="CZ104" s="341">
        <v>14</v>
      </c>
      <c r="DA104" s="341">
        <v>1876</v>
      </c>
      <c r="DB104" s="341">
        <v>2</v>
      </c>
      <c r="DC104" s="341"/>
      <c r="DD104" s="343">
        <v>853766</v>
      </c>
      <c r="DE104" s="340">
        <v>14703</v>
      </c>
      <c r="DF104" s="341">
        <v>20</v>
      </c>
      <c r="DG104" s="341">
        <v>7564</v>
      </c>
      <c r="DH104" s="341">
        <v>8898</v>
      </c>
      <c r="DI104" s="341">
        <v>2719</v>
      </c>
      <c r="DJ104" s="341">
        <v>0</v>
      </c>
      <c r="DK104" s="341">
        <v>1</v>
      </c>
      <c r="DL104" s="342">
        <v>33905</v>
      </c>
      <c r="DM104" s="343"/>
      <c r="DN104" s="344"/>
      <c r="DO104" s="343"/>
      <c r="DP104" s="341"/>
      <c r="DQ104" s="343"/>
      <c r="DR104" s="344">
        <v>358</v>
      </c>
      <c r="DS104" s="343"/>
      <c r="DT104" s="341"/>
      <c r="DU104" s="343"/>
      <c r="DV104" s="340">
        <v>52</v>
      </c>
      <c r="DW104" s="341">
        <v>1</v>
      </c>
      <c r="DX104" s="342">
        <v>53</v>
      </c>
      <c r="DY104" s="343">
        <v>212</v>
      </c>
      <c r="DZ104" s="344">
        <v>3</v>
      </c>
      <c r="EA104" s="343">
        <v>769</v>
      </c>
      <c r="EB104" s="341"/>
      <c r="EC104" s="343">
        <v>769</v>
      </c>
      <c r="ED104" s="344"/>
      <c r="EE104" s="344"/>
      <c r="EF104" s="343">
        <v>46</v>
      </c>
      <c r="EG104" s="341">
        <v>96</v>
      </c>
      <c r="EH104" s="341">
        <v>38</v>
      </c>
      <c r="EI104" s="341"/>
      <c r="EJ104" s="341"/>
      <c r="EK104" s="341"/>
      <c r="EL104" s="343">
        <v>180</v>
      </c>
      <c r="EM104" s="340">
        <v>3596</v>
      </c>
      <c r="EN104" s="341">
        <v>3316</v>
      </c>
      <c r="EO104" s="341">
        <v>1225</v>
      </c>
      <c r="EP104" s="341">
        <v>13871</v>
      </c>
      <c r="EQ104" s="341">
        <v>4485</v>
      </c>
      <c r="ER104" s="341">
        <v>1143</v>
      </c>
      <c r="ES104" s="341">
        <v>51002</v>
      </c>
      <c r="ET104" s="341">
        <v>340</v>
      </c>
      <c r="EU104" s="341">
        <v>256</v>
      </c>
      <c r="EV104" s="341">
        <v>123</v>
      </c>
      <c r="EW104" s="341"/>
      <c r="EX104" s="341">
        <v>275</v>
      </c>
      <c r="EY104" s="341">
        <v>6</v>
      </c>
      <c r="EZ104" s="342">
        <v>79638</v>
      </c>
      <c r="FA104" s="343"/>
      <c r="FB104" s="344">
        <v>97</v>
      </c>
      <c r="FC104" s="343">
        <v>6</v>
      </c>
      <c r="FD104" s="341"/>
      <c r="FE104" s="341">
        <v>1</v>
      </c>
      <c r="FF104" s="343">
        <v>7</v>
      </c>
      <c r="FG104" s="344"/>
      <c r="FH104" s="344"/>
      <c r="FI104" s="343">
        <v>121</v>
      </c>
      <c r="FJ104" s="341"/>
      <c r="FK104" s="341"/>
      <c r="FL104" s="341"/>
      <c r="FM104" s="343">
        <v>121</v>
      </c>
      <c r="FN104" s="340">
        <v>2</v>
      </c>
      <c r="FO104" s="341"/>
      <c r="FP104" s="342">
        <v>2</v>
      </c>
      <c r="FQ104" s="343">
        <v>4</v>
      </c>
      <c r="FR104" s="341"/>
      <c r="FS104" s="343">
        <v>4</v>
      </c>
      <c r="FT104" s="344"/>
      <c r="FU104" s="343">
        <v>1128</v>
      </c>
      <c r="FV104" s="341">
        <v>0</v>
      </c>
      <c r="FW104" s="343">
        <v>1128</v>
      </c>
      <c r="FX104" s="340">
        <v>57</v>
      </c>
      <c r="FY104" s="341"/>
      <c r="FZ104" s="341"/>
      <c r="GA104" s="341"/>
      <c r="GB104" s="342">
        <v>57</v>
      </c>
      <c r="GC104" s="343"/>
      <c r="GD104" s="340">
        <v>541</v>
      </c>
      <c r="GE104" s="341">
        <v>0</v>
      </c>
      <c r="GF104" s="342">
        <v>541</v>
      </c>
      <c r="GG104" s="343">
        <v>4</v>
      </c>
      <c r="GH104" s="340">
        <v>5</v>
      </c>
      <c r="GI104" s="341"/>
      <c r="GJ104" s="341"/>
      <c r="GK104" s="342">
        <v>5</v>
      </c>
      <c r="GL104" s="343">
        <v>16</v>
      </c>
      <c r="GM104" s="340">
        <v>44</v>
      </c>
      <c r="GN104" s="341">
        <v>2</v>
      </c>
      <c r="GO104" s="341"/>
      <c r="GP104" s="341"/>
      <c r="GQ104" s="342">
        <v>46</v>
      </c>
      <c r="GR104" s="343">
        <v>1334337</v>
      </c>
      <c r="GS104" s="345">
        <f>1334337/49209180</f>
        <v>2.7115611355442215E-2</v>
      </c>
      <c r="GT104" s="293"/>
      <c r="GU104" s="293"/>
      <c r="GV104" s="293"/>
      <c r="GW104" s="293"/>
      <c r="GX104" s="293"/>
      <c r="GY104" s="293"/>
      <c r="GZ104" s="293"/>
      <c r="HA104" s="293"/>
      <c r="HB104" s="293"/>
      <c r="HC104" s="293"/>
      <c r="HD104" s="293"/>
      <c r="HE104" s="293"/>
      <c r="HF104" s="293"/>
      <c r="HG104" s="293"/>
      <c r="HH104" s="293"/>
      <c r="HI104" s="293"/>
      <c r="HJ104" s="293"/>
      <c r="HK104" s="293"/>
      <c r="HL104" s="293"/>
      <c r="HM104" s="293"/>
      <c r="HN104" s="293"/>
      <c r="HO104" s="293"/>
      <c r="HP104" s="293"/>
      <c r="HQ104" s="293"/>
      <c r="HR104" s="293"/>
      <c r="HS104" s="293"/>
      <c r="HT104" s="293"/>
      <c r="HU104" s="293"/>
      <c r="HV104" s="293"/>
      <c r="HW104" s="293"/>
      <c r="HX104" s="294"/>
    </row>
    <row r="105" spans="2:232" ht="12.75" x14ac:dyDescent="0.2">
      <c r="B105" s="259" t="s">
        <v>33</v>
      </c>
      <c r="C105" s="258">
        <v>465</v>
      </c>
      <c r="D105" s="115"/>
      <c r="E105" s="115"/>
      <c r="F105" s="115"/>
      <c r="G105" s="257">
        <v>465</v>
      </c>
      <c r="H105" s="117"/>
      <c r="I105" s="258">
        <v>11</v>
      </c>
      <c r="J105" s="115"/>
      <c r="K105" s="257">
        <v>11</v>
      </c>
      <c r="L105" s="117"/>
      <c r="M105" s="116">
        <v>4080</v>
      </c>
      <c r="N105" s="117">
        <v>5545</v>
      </c>
      <c r="O105" s="115">
        <v>50</v>
      </c>
      <c r="P105" s="115">
        <v>795</v>
      </c>
      <c r="Q105" s="115">
        <v>1966</v>
      </c>
      <c r="R105" s="115">
        <v>4</v>
      </c>
      <c r="S105" s="115">
        <v>423</v>
      </c>
      <c r="T105" s="115">
        <v>7</v>
      </c>
      <c r="U105" s="115">
        <v>0</v>
      </c>
      <c r="V105" s="117">
        <v>8790</v>
      </c>
      <c r="W105" s="258">
        <v>38</v>
      </c>
      <c r="X105" s="115">
        <v>20</v>
      </c>
      <c r="Y105" s="257">
        <v>58</v>
      </c>
      <c r="Z105" s="117">
        <v>616</v>
      </c>
      <c r="AA105" s="115"/>
      <c r="AB105" s="117">
        <v>616</v>
      </c>
      <c r="AC105" s="258">
        <v>23173</v>
      </c>
      <c r="AD105" s="115">
        <v>19</v>
      </c>
      <c r="AE105" s="115"/>
      <c r="AF105" s="257">
        <v>23192</v>
      </c>
      <c r="AG105" s="117">
        <v>493</v>
      </c>
      <c r="AH105" s="115">
        <v>6</v>
      </c>
      <c r="AI105" s="115"/>
      <c r="AJ105" s="115"/>
      <c r="AK105" s="117">
        <v>499</v>
      </c>
      <c r="AL105" s="258"/>
      <c r="AM105" s="115"/>
      <c r="AN105" s="257"/>
      <c r="AO105" s="117"/>
      <c r="AP105" s="116"/>
      <c r="AQ105" s="117">
        <v>3</v>
      </c>
      <c r="AR105" s="115">
        <v>0</v>
      </c>
      <c r="AS105" s="115"/>
      <c r="AT105" s="117">
        <v>3</v>
      </c>
      <c r="AU105" s="258">
        <v>1590</v>
      </c>
      <c r="AV105" s="115">
        <v>4</v>
      </c>
      <c r="AW105" s="115">
        <v>514</v>
      </c>
      <c r="AX105" s="115"/>
      <c r="AY105" s="115"/>
      <c r="AZ105" s="115"/>
      <c r="BA105" s="115"/>
      <c r="BB105" s="115"/>
      <c r="BC105" s="257">
        <v>2108</v>
      </c>
      <c r="BD105" s="117"/>
      <c r="BE105" s="116">
        <v>3</v>
      </c>
      <c r="BF105" s="117">
        <v>124</v>
      </c>
      <c r="BG105" s="115">
        <v>1473</v>
      </c>
      <c r="BH105" s="115">
        <v>1074</v>
      </c>
      <c r="BI105" s="115">
        <v>261</v>
      </c>
      <c r="BJ105" s="115">
        <v>43</v>
      </c>
      <c r="BK105" s="115"/>
      <c r="BL105" s="117">
        <v>2975</v>
      </c>
      <c r="BM105" s="116">
        <v>4</v>
      </c>
      <c r="BN105" s="116"/>
      <c r="BO105" s="116"/>
      <c r="BP105" s="116">
        <v>1</v>
      </c>
      <c r="BQ105" s="117">
        <v>21</v>
      </c>
      <c r="BR105" s="115"/>
      <c r="BS105" s="117">
        <v>21</v>
      </c>
      <c r="BT105" s="116"/>
      <c r="BU105" s="117">
        <v>3</v>
      </c>
      <c r="BV105" s="115">
        <v>4</v>
      </c>
      <c r="BW105" s="115"/>
      <c r="BX105" s="117">
        <v>7</v>
      </c>
      <c r="BY105" s="258"/>
      <c r="BZ105" s="115"/>
      <c r="CA105" s="115">
        <v>0</v>
      </c>
      <c r="CB105" s="115"/>
      <c r="CC105" s="115"/>
      <c r="CD105" s="115"/>
      <c r="CE105" s="115"/>
      <c r="CF105" s="115"/>
      <c r="CG105" s="115"/>
      <c r="CH105" s="115"/>
      <c r="CI105" s="115"/>
      <c r="CJ105" s="115"/>
      <c r="CK105" s="115"/>
      <c r="CL105" s="115"/>
      <c r="CM105" s="115"/>
      <c r="CN105" s="257">
        <v>0</v>
      </c>
      <c r="CO105" s="117"/>
      <c r="CP105" s="115"/>
      <c r="CQ105" s="117"/>
      <c r="CR105" s="116">
        <v>0</v>
      </c>
      <c r="CS105" s="117">
        <v>99</v>
      </c>
      <c r="CT105" s="115"/>
      <c r="CU105" s="115">
        <v>101346</v>
      </c>
      <c r="CV105" s="115">
        <v>11506</v>
      </c>
      <c r="CW105" s="115">
        <v>19471</v>
      </c>
      <c r="CX105" s="115">
        <v>5</v>
      </c>
      <c r="CY105" s="115">
        <v>5</v>
      </c>
      <c r="CZ105" s="115"/>
      <c r="DA105" s="115">
        <v>228</v>
      </c>
      <c r="DB105" s="115">
        <v>1</v>
      </c>
      <c r="DC105" s="115"/>
      <c r="DD105" s="117">
        <v>132661</v>
      </c>
      <c r="DE105" s="258">
        <v>1600</v>
      </c>
      <c r="DF105" s="115">
        <v>1</v>
      </c>
      <c r="DG105" s="115">
        <v>893</v>
      </c>
      <c r="DH105" s="115">
        <v>693</v>
      </c>
      <c r="DI105" s="115">
        <v>271</v>
      </c>
      <c r="DJ105" s="115">
        <v>8</v>
      </c>
      <c r="DK105" s="115">
        <v>2</v>
      </c>
      <c r="DL105" s="257">
        <v>3468</v>
      </c>
      <c r="DM105" s="117"/>
      <c r="DN105" s="116"/>
      <c r="DO105" s="117"/>
      <c r="DP105" s="115"/>
      <c r="DQ105" s="117"/>
      <c r="DR105" s="116">
        <v>115</v>
      </c>
      <c r="DS105" s="117"/>
      <c r="DT105" s="115"/>
      <c r="DU105" s="117"/>
      <c r="DV105" s="258">
        <v>2</v>
      </c>
      <c r="DW105" s="115">
        <v>2</v>
      </c>
      <c r="DX105" s="257">
        <v>4</v>
      </c>
      <c r="DY105" s="117">
        <v>4</v>
      </c>
      <c r="DZ105" s="116">
        <v>0</v>
      </c>
      <c r="EA105" s="117">
        <v>230</v>
      </c>
      <c r="EB105" s="115"/>
      <c r="EC105" s="117">
        <v>230</v>
      </c>
      <c r="ED105" s="116"/>
      <c r="EE105" s="116"/>
      <c r="EF105" s="117">
        <v>3</v>
      </c>
      <c r="EG105" s="115">
        <v>44</v>
      </c>
      <c r="EH105" s="115">
        <v>0</v>
      </c>
      <c r="EI105" s="115"/>
      <c r="EJ105" s="115"/>
      <c r="EK105" s="115"/>
      <c r="EL105" s="117">
        <v>47</v>
      </c>
      <c r="EM105" s="258">
        <v>1887</v>
      </c>
      <c r="EN105" s="115">
        <v>1489</v>
      </c>
      <c r="EO105" s="115">
        <v>787</v>
      </c>
      <c r="EP105" s="115">
        <v>3480</v>
      </c>
      <c r="EQ105" s="115">
        <v>1186</v>
      </c>
      <c r="ER105" s="115">
        <v>176</v>
      </c>
      <c r="ES105" s="115">
        <v>3865</v>
      </c>
      <c r="ET105" s="115">
        <v>55</v>
      </c>
      <c r="EU105" s="115">
        <v>66</v>
      </c>
      <c r="EV105" s="115">
        <v>38</v>
      </c>
      <c r="EW105" s="115"/>
      <c r="EX105" s="115">
        <v>49</v>
      </c>
      <c r="EY105" s="115">
        <v>0</v>
      </c>
      <c r="EZ105" s="257">
        <v>13078</v>
      </c>
      <c r="FA105" s="117"/>
      <c r="FB105" s="116">
        <v>1</v>
      </c>
      <c r="FC105" s="117">
        <v>0</v>
      </c>
      <c r="FD105" s="115"/>
      <c r="FE105" s="115"/>
      <c r="FF105" s="117">
        <v>0</v>
      </c>
      <c r="FG105" s="116"/>
      <c r="FH105" s="116"/>
      <c r="FI105" s="117">
        <v>37</v>
      </c>
      <c r="FJ105" s="115">
        <v>1</v>
      </c>
      <c r="FK105" s="115"/>
      <c r="FL105" s="115"/>
      <c r="FM105" s="117">
        <v>38</v>
      </c>
      <c r="FN105" s="258">
        <v>1</v>
      </c>
      <c r="FO105" s="115"/>
      <c r="FP105" s="257">
        <v>1</v>
      </c>
      <c r="FQ105" s="117"/>
      <c r="FR105" s="115"/>
      <c r="FS105" s="117"/>
      <c r="FT105" s="116"/>
      <c r="FU105" s="117">
        <v>145</v>
      </c>
      <c r="FV105" s="115"/>
      <c r="FW105" s="117">
        <v>145</v>
      </c>
      <c r="FX105" s="258">
        <v>2</v>
      </c>
      <c r="FY105" s="115"/>
      <c r="FZ105" s="115"/>
      <c r="GA105" s="115"/>
      <c r="GB105" s="257">
        <v>2</v>
      </c>
      <c r="GC105" s="117"/>
      <c r="GD105" s="258">
        <v>126</v>
      </c>
      <c r="GE105" s="115">
        <v>0</v>
      </c>
      <c r="GF105" s="257">
        <v>126</v>
      </c>
      <c r="GG105" s="117"/>
      <c r="GH105" s="258">
        <v>4</v>
      </c>
      <c r="GI105" s="115"/>
      <c r="GJ105" s="115"/>
      <c r="GK105" s="257">
        <v>4</v>
      </c>
      <c r="GL105" s="117">
        <v>6</v>
      </c>
      <c r="GM105" s="258">
        <v>7</v>
      </c>
      <c r="GN105" s="115"/>
      <c r="GO105" s="115"/>
      <c r="GP105" s="115"/>
      <c r="GQ105" s="257">
        <v>7</v>
      </c>
      <c r="GR105" s="117">
        <v>192770</v>
      </c>
      <c r="GS105" s="324">
        <f>192770/49209180</f>
        <v>3.9173585091237043E-3</v>
      </c>
      <c r="GT105" s="293"/>
      <c r="GU105" s="293"/>
      <c r="GV105" s="293"/>
      <c r="GW105" s="293"/>
      <c r="GX105" s="293"/>
      <c r="GY105" s="293"/>
      <c r="GZ105" s="293"/>
      <c r="HA105" s="293"/>
      <c r="HB105" s="293"/>
      <c r="HC105" s="293"/>
      <c r="HD105" s="293"/>
      <c r="HE105" s="293"/>
      <c r="HF105" s="293"/>
      <c r="HG105" s="293"/>
      <c r="HH105" s="293"/>
      <c r="HI105" s="293"/>
      <c r="HJ105" s="293"/>
      <c r="HK105" s="293"/>
      <c r="HL105" s="293"/>
      <c r="HM105" s="293"/>
      <c r="HN105" s="293"/>
      <c r="HO105" s="293"/>
      <c r="HP105" s="293"/>
      <c r="HQ105" s="293"/>
      <c r="HR105" s="293"/>
      <c r="HS105" s="293"/>
      <c r="HT105" s="293"/>
      <c r="HU105" s="293"/>
      <c r="HV105" s="293"/>
      <c r="HW105" s="293"/>
      <c r="HX105" s="294"/>
    </row>
    <row r="106" spans="2:232" ht="12.75" x14ac:dyDescent="0.2">
      <c r="B106" s="259" t="s">
        <v>107</v>
      </c>
      <c r="C106" s="258">
        <v>113</v>
      </c>
      <c r="D106" s="115"/>
      <c r="E106" s="115">
        <v>1</v>
      </c>
      <c r="F106" s="115"/>
      <c r="G106" s="257">
        <v>114</v>
      </c>
      <c r="H106" s="117"/>
      <c r="I106" s="258">
        <v>9</v>
      </c>
      <c r="J106" s="115"/>
      <c r="K106" s="257">
        <v>9</v>
      </c>
      <c r="L106" s="117"/>
      <c r="M106" s="116">
        <v>3407</v>
      </c>
      <c r="N106" s="117">
        <v>2854</v>
      </c>
      <c r="O106" s="115">
        <v>7</v>
      </c>
      <c r="P106" s="115">
        <v>119</v>
      </c>
      <c r="Q106" s="115">
        <v>96</v>
      </c>
      <c r="R106" s="115"/>
      <c r="S106" s="115">
        <v>51</v>
      </c>
      <c r="T106" s="115"/>
      <c r="U106" s="115"/>
      <c r="V106" s="117">
        <v>3127</v>
      </c>
      <c r="W106" s="258">
        <v>4</v>
      </c>
      <c r="X106" s="115">
        <v>7</v>
      </c>
      <c r="Y106" s="257">
        <v>11</v>
      </c>
      <c r="Z106" s="117">
        <v>1289</v>
      </c>
      <c r="AA106" s="115"/>
      <c r="AB106" s="117">
        <v>1289</v>
      </c>
      <c r="AC106" s="258">
        <v>1722</v>
      </c>
      <c r="AD106" s="115">
        <v>1</v>
      </c>
      <c r="AE106" s="115"/>
      <c r="AF106" s="257">
        <v>1723</v>
      </c>
      <c r="AG106" s="117">
        <v>26</v>
      </c>
      <c r="AH106" s="115"/>
      <c r="AI106" s="115">
        <v>0</v>
      </c>
      <c r="AJ106" s="115"/>
      <c r="AK106" s="117">
        <v>26</v>
      </c>
      <c r="AL106" s="258"/>
      <c r="AM106" s="115"/>
      <c r="AN106" s="257"/>
      <c r="AO106" s="117"/>
      <c r="AP106" s="116"/>
      <c r="AQ106" s="117">
        <v>0</v>
      </c>
      <c r="AR106" s="115">
        <v>24</v>
      </c>
      <c r="AS106" s="115"/>
      <c r="AT106" s="117">
        <v>24</v>
      </c>
      <c r="AU106" s="258">
        <v>39</v>
      </c>
      <c r="AV106" s="115"/>
      <c r="AW106" s="115"/>
      <c r="AX106" s="115"/>
      <c r="AY106" s="115"/>
      <c r="AZ106" s="115"/>
      <c r="BA106" s="115"/>
      <c r="BB106" s="115"/>
      <c r="BC106" s="257">
        <v>39</v>
      </c>
      <c r="BD106" s="117">
        <v>3</v>
      </c>
      <c r="BE106" s="116">
        <v>5</v>
      </c>
      <c r="BF106" s="117">
        <v>89</v>
      </c>
      <c r="BG106" s="115">
        <v>5594</v>
      </c>
      <c r="BH106" s="115">
        <v>1262</v>
      </c>
      <c r="BI106" s="115">
        <v>135</v>
      </c>
      <c r="BJ106" s="115">
        <v>17</v>
      </c>
      <c r="BK106" s="115"/>
      <c r="BL106" s="117">
        <v>7097</v>
      </c>
      <c r="BM106" s="116"/>
      <c r="BN106" s="116"/>
      <c r="BO106" s="116"/>
      <c r="BP106" s="116"/>
      <c r="BQ106" s="117">
        <v>116</v>
      </c>
      <c r="BR106" s="115"/>
      <c r="BS106" s="117">
        <v>116</v>
      </c>
      <c r="BT106" s="116"/>
      <c r="BU106" s="117">
        <v>2</v>
      </c>
      <c r="BV106" s="115"/>
      <c r="BW106" s="115"/>
      <c r="BX106" s="117">
        <v>2</v>
      </c>
      <c r="BY106" s="258"/>
      <c r="BZ106" s="115"/>
      <c r="CA106" s="115">
        <v>4</v>
      </c>
      <c r="CB106" s="115"/>
      <c r="CC106" s="115"/>
      <c r="CD106" s="115"/>
      <c r="CE106" s="115"/>
      <c r="CF106" s="115"/>
      <c r="CG106" s="115">
        <v>1</v>
      </c>
      <c r="CH106" s="115"/>
      <c r="CI106" s="115">
        <v>10</v>
      </c>
      <c r="CJ106" s="115"/>
      <c r="CK106" s="115"/>
      <c r="CL106" s="115"/>
      <c r="CM106" s="115"/>
      <c r="CN106" s="257">
        <v>15</v>
      </c>
      <c r="CO106" s="117"/>
      <c r="CP106" s="115"/>
      <c r="CQ106" s="117"/>
      <c r="CR106" s="116"/>
      <c r="CS106" s="117">
        <v>25</v>
      </c>
      <c r="CT106" s="115"/>
      <c r="CU106" s="115">
        <v>131072</v>
      </c>
      <c r="CV106" s="115">
        <v>519</v>
      </c>
      <c r="CW106" s="115">
        <v>7459</v>
      </c>
      <c r="CX106" s="115">
        <v>17</v>
      </c>
      <c r="CY106" s="115">
        <v>7</v>
      </c>
      <c r="CZ106" s="115">
        <v>1</v>
      </c>
      <c r="DA106" s="115">
        <v>11</v>
      </c>
      <c r="DB106" s="115"/>
      <c r="DC106" s="115"/>
      <c r="DD106" s="117">
        <v>139111</v>
      </c>
      <c r="DE106" s="258">
        <v>588</v>
      </c>
      <c r="DF106" s="115">
        <v>12</v>
      </c>
      <c r="DG106" s="115">
        <v>597</v>
      </c>
      <c r="DH106" s="115">
        <v>83</v>
      </c>
      <c r="DI106" s="115"/>
      <c r="DJ106" s="115"/>
      <c r="DK106" s="115"/>
      <c r="DL106" s="257">
        <v>1280</v>
      </c>
      <c r="DM106" s="117"/>
      <c r="DN106" s="116"/>
      <c r="DO106" s="117"/>
      <c r="DP106" s="115"/>
      <c r="DQ106" s="117"/>
      <c r="DR106" s="116">
        <v>37</v>
      </c>
      <c r="DS106" s="117"/>
      <c r="DT106" s="115"/>
      <c r="DU106" s="117"/>
      <c r="DV106" s="258">
        <v>181</v>
      </c>
      <c r="DW106" s="115"/>
      <c r="DX106" s="257">
        <v>181</v>
      </c>
      <c r="DY106" s="117">
        <v>1</v>
      </c>
      <c r="DZ106" s="116"/>
      <c r="EA106" s="117">
        <v>273</v>
      </c>
      <c r="EB106" s="115"/>
      <c r="EC106" s="117">
        <v>273</v>
      </c>
      <c r="ED106" s="116"/>
      <c r="EE106" s="116"/>
      <c r="EF106" s="117">
        <v>22</v>
      </c>
      <c r="EG106" s="115">
        <v>12</v>
      </c>
      <c r="EH106" s="115"/>
      <c r="EI106" s="115"/>
      <c r="EJ106" s="115"/>
      <c r="EK106" s="115"/>
      <c r="EL106" s="117">
        <v>34</v>
      </c>
      <c r="EM106" s="258">
        <v>64</v>
      </c>
      <c r="EN106" s="115">
        <v>105</v>
      </c>
      <c r="EO106" s="115">
        <v>390</v>
      </c>
      <c r="EP106" s="115">
        <v>302</v>
      </c>
      <c r="EQ106" s="115">
        <v>75</v>
      </c>
      <c r="ER106" s="115">
        <v>6</v>
      </c>
      <c r="ES106" s="115">
        <v>120</v>
      </c>
      <c r="ET106" s="115">
        <v>0</v>
      </c>
      <c r="EU106" s="115"/>
      <c r="EV106" s="115"/>
      <c r="EW106" s="115">
        <v>1</v>
      </c>
      <c r="EX106" s="115">
        <v>1</v>
      </c>
      <c r="EY106" s="115"/>
      <c r="EZ106" s="257">
        <v>1064</v>
      </c>
      <c r="FA106" s="117"/>
      <c r="FB106" s="116">
        <v>10</v>
      </c>
      <c r="FC106" s="117"/>
      <c r="FD106" s="115"/>
      <c r="FE106" s="115"/>
      <c r="FF106" s="117"/>
      <c r="FG106" s="116"/>
      <c r="FH106" s="116"/>
      <c r="FI106" s="117"/>
      <c r="FJ106" s="115"/>
      <c r="FK106" s="115"/>
      <c r="FL106" s="115"/>
      <c r="FM106" s="117"/>
      <c r="FN106" s="258">
        <v>0</v>
      </c>
      <c r="FO106" s="115"/>
      <c r="FP106" s="257">
        <v>0</v>
      </c>
      <c r="FQ106" s="117"/>
      <c r="FR106" s="115"/>
      <c r="FS106" s="117"/>
      <c r="FT106" s="116"/>
      <c r="FU106" s="117">
        <v>3</v>
      </c>
      <c r="FV106" s="115"/>
      <c r="FW106" s="117">
        <v>3</v>
      </c>
      <c r="FX106" s="258"/>
      <c r="FY106" s="115">
        <v>10</v>
      </c>
      <c r="FZ106" s="115"/>
      <c r="GA106" s="115">
        <v>10</v>
      </c>
      <c r="GB106" s="257">
        <v>20</v>
      </c>
      <c r="GC106" s="117"/>
      <c r="GD106" s="258">
        <v>12</v>
      </c>
      <c r="GE106" s="115"/>
      <c r="GF106" s="257">
        <v>12</v>
      </c>
      <c r="GG106" s="117"/>
      <c r="GH106" s="258">
        <v>1</v>
      </c>
      <c r="GI106" s="115"/>
      <c r="GJ106" s="115"/>
      <c r="GK106" s="257">
        <v>1</v>
      </c>
      <c r="GL106" s="117">
        <v>4</v>
      </c>
      <c r="GM106" s="258">
        <v>1</v>
      </c>
      <c r="GN106" s="115"/>
      <c r="GO106" s="115"/>
      <c r="GP106" s="115"/>
      <c r="GQ106" s="257">
        <v>1</v>
      </c>
      <c r="GR106" s="117">
        <v>159039</v>
      </c>
      <c r="GS106" s="324">
        <f>159039/49209180</f>
        <v>3.2318969753204587E-3</v>
      </c>
      <c r="GT106" s="293"/>
      <c r="GU106" s="293"/>
      <c r="GV106" s="293"/>
      <c r="GW106" s="293"/>
      <c r="GX106" s="293"/>
      <c r="GY106" s="293"/>
      <c r="GZ106" s="293"/>
      <c r="HA106" s="293"/>
      <c r="HB106" s="293"/>
      <c r="HC106" s="293"/>
      <c r="HD106" s="293"/>
      <c r="HE106" s="293"/>
      <c r="HF106" s="293"/>
      <c r="HG106" s="293"/>
      <c r="HH106" s="293"/>
      <c r="HI106" s="293"/>
      <c r="HJ106" s="293"/>
      <c r="HK106" s="293"/>
      <c r="HL106" s="293"/>
      <c r="HM106" s="293"/>
      <c r="HN106" s="293"/>
      <c r="HO106" s="293"/>
      <c r="HP106" s="293"/>
      <c r="HQ106" s="293"/>
      <c r="HR106" s="293"/>
      <c r="HS106" s="293"/>
      <c r="HT106" s="293"/>
      <c r="HU106" s="293"/>
      <c r="HV106" s="293"/>
      <c r="HW106" s="293"/>
      <c r="HX106" s="294"/>
    </row>
    <row r="107" spans="2:232" ht="12.75" x14ac:dyDescent="0.2">
      <c r="B107" s="259" t="s">
        <v>129</v>
      </c>
      <c r="C107" s="258">
        <v>15</v>
      </c>
      <c r="D107" s="115">
        <v>0</v>
      </c>
      <c r="E107" s="115"/>
      <c r="F107" s="115"/>
      <c r="G107" s="257">
        <v>15</v>
      </c>
      <c r="H107" s="117"/>
      <c r="I107" s="258">
        <v>34</v>
      </c>
      <c r="J107" s="115"/>
      <c r="K107" s="257">
        <v>34</v>
      </c>
      <c r="L107" s="117"/>
      <c r="M107" s="116">
        <v>1344</v>
      </c>
      <c r="N107" s="117">
        <v>1216</v>
      </c>
      <c r="O107" s="115">
        <v>10</v>
      </c>
      <c r="P107" s="115">
        <v>116</v>
      </c>
      <c r="Q107" s="115">
        <v>115</v>
      </c>
      <c r="R107" s="115"/>
      <c r="S107" s="115">
        <v>31</v>
      </c>
      <c r="T107" s="115"/>
      <c r="U107" s="115"/>
      <c r="V107" s="117">
        <v>1488</v>
      </c>
      <c r="W107" s="258">
        <v>4</v>
      </c>
      <c r="X107" s="115">
        <v>6</v>
      </c>
      <c r="Y107" s="257">
        <v>10</v>
      </c>
      <c r="Z107" s="117">
        <v>307</v>
      </c>
      <c r="AA107" s="115"/>
      <c r="AB107" s="117">
        <v>307</v>
      </c>
      <c r="AC107" s="258">
        <v>2684</v>
      </c>
      <c r="AD107" s="115">
        <v>0</v>
      </c>
      <c r="AE107" s="115"/>
      <c r="AF107" s="257">
        <v>2684</v>
      </c>
      <c r="AG107" s="117">
        <v>44</v>
      </c>
      <c r="AH107" s="115"/>
      <c r="AI107" s="115"/>
      <c r="AJ107" s="115"/>
      <c r="AK107" s="117">
        <v>44</v>
      </c>
      <c r="AL107" s="258"/>
      <c r="AM107" s="115"/>
      <c r="AN107" s="257"/>
      <c r="AO107" s="117"/>
      <c r="AP107" s="116"/>
      <c r="AQ107" s="117"/>
      <c r="AR107" s="115"/>
      <c r="AS107" s="115"/>
      <c r="AT107" s="117"/>
      <c r="AU107" s="258">
        <v>4</v>
      </c>
      <c r="AV107" s="115"/>
      <c r="AW107" s="115">
        <v>1</v>
      </c>
      <c r="AX107" s="115"/>
      <c r="AY107" s="115"/>
      <c r="AZ107" s="115"/>
      <c r="BA107" s="115"/>
      <c r="BB107" s="115"/>
      <c r="BC107" s="257">
        <v>5</v>
      </c>
      <c r="BD107" s="117"/>
      <c r="BE107" s="116"/>
      <c r="BF107" s="117">
        <v>38</v>
      </c>
      <c r="BG107" s="115">
        <v>206</v>
      </c>
      <c r="BH107" s="115">
        <v>347</v>
      </c>
      <c r="BI107" s="115">
        <v>146</v>
      </c>
      <c r="BJ107" s="115">
        <v>17</v>
      </c>
      <c r="BK107" s="115"/>
      <c r="BL107" s="117">
        <v>754</v>
      </c>
      <c r="BM107" s="116">
        <v>1</v>
      </c>
      <c r="BN107" s="116"/>
      <c r="BO107" s="116"/>
      <c r="BP107" s="116">
        <v>0</v>
      </c>
      <c r="BQ107" s="117">
        <v>15</v>
      </c>
      <c r="BR107" s="115"/>
      <c r="BS107" s="117">
        <v>15</v>
      </c>
      <c r="BT107" s="116"/>
      <c r="BU107" s="117">
        <v>3</v>
      </c>
      <c r="BV107" s="115"/>
      <c r="BW107" s="115"/>
      <c r="BX107" s="117">
        <v>3</v>
      </c>
      <c r="BY107" s="258"/>
      <c r="BZ107" s="115"/>
      <c r="CA107" s="115"/>
      <c r="CB107" s="115"/>
      <c r="CC107" s="115">
        <v>0</v>
      </c>
      <c r="CD107" s="115"/>
      <c r="CE107" s="115"/>
      <c r="CF107" s="115"/>
      <c r="CG107" s="115">
        <v>7</v>
      </c>
      <c r="CH107" s="115"/>
      <c r="CI107" s="115"/>
      <c r="CJ107" s="115"/>
      <c r="CK107" s="115"/>
      <c r="CL107" s="115"/>
      <c r="CM107" s="115"/>
      <c r="CN107" s="257">
        <v>7</v>
      </c>
      <c r="CO107" s="117">
        <v>1</v>
      </c>
      <c r="CP107" s="115"/>
      <c r="CQ107" s="117">
        <v>1</v>
      </c>
      <c r="CR107" s="116"/>
      <c r="CS107" s="117">
        <v>16</v>
      </c>
      <c r="CT107" s="115"/>
      <c r="CU107" s="115">
        <v>61600</v>
      </c>
      <c r="CV107" s="115">
        <v>3142</v>
      </c>
      <c r="CW107" s="115">
        <v>5316</v>
      </c>
      <c r="CX107" s="115">
        <v>3</v>
      </c>
      <c r="CY107" s="115">
        <v>1</v>
      </c>
      <c r="CZ107" s="115">
        <v>0</v>
      </c>
      <c r="DA107" s="115">
        <v>8</v>
      </c>
      <c r="DB107" s="115"/>
      <c r="DC107" s="115"/>
      <c r="DD107" s="117">
        <v>70086</v>
      </c>
      <c r="DE107" s="258">
        <v>582</v>
      </c>
      <c r="DF107" s="115">
        <v>1</v>
      </c>
      <c r="DG107" s="115">
        <v>419</v>
      </c>
      <c r="DH107" s="115">
        <v>87</v>
      </c>
      <c r="DI107" s="115">
        <v>7</v>
      </c>
      <c r="DJ107" s="115"/>
      <c r="DK107" s="115"/>
      <c r="DL107" s="257">
        <v>1096</v>
      </c>
      <c r="DM107" s="117"/>
      <c r="DN107" s="116"/>
      <c r="DO107" s="117"/>
      <c r="DP107" s="115"/>
      <c r="DQ107" s="117"/>
      <c r="DR107" s="116">
        <v>50</v>
      </c>
      <c r="DS107" s="117"/>
      <c r="DT107" s="115"/>
      <c r="DU107" s="117"/>
      <c r="DV107" s="258">
        <v>0</v>
      </c>
      <c r="DW107" s="115"/>
      <c r="DX107" s="257">
        <v>0</v>
      </c>
      <c r="DY107" s="117">
        <v>2</v>
      </c>
      <c r="DZ107" s="116">
        <v>0</v>
      </c>
      <c r="EA107" s="117">
        <v>83</v>
      </c>
      <c r="EB107" s="115"/>
      <c r="EC107" s="117">
        <v>83</v>
      </c>
      <c r="ED107" s="116"/>
      <c r="EE107" s="116"/>
      <c r="EF107" s="117">
        <v>1</v>
      </c>
      <c r="EG107" s="115">
        <v>14</v>
      </c>
      <c r="EH107" s="115"/>
      <c r="EI107" s="115"/>
      <c r="EJ107" s="115"/>
      <c r="EK107" s="115"/>
      <c r="EL107" s="117">
        <v>15</v>
      </c>
      <c r="EM107" s="258">
        <v>66</v>
      </c>
      <c r="EN107" s="115">
        <v>129</v>
      </c>
      <c r="EO107" s="115">
        <v>40</v>
      </c>
      <c r="EP107" s="115">
        <v>196</v>
      </c>
      <c r="EQ107" s="115">
        <v>99</v>
      </c>
      <c r="ER107" s="115">
        <v>5</v>
      </c>
      <c r="ES107" s="115">
        <v>130</v>
      </c>
      <c r="ET107" s="115">
        <v>2</v>
      </c>
      <c r="EU107" s="115">
        <v>1</v>
      </c>
      <c r="EV107" s="115">
        <v>0</v>
      </c>
      <c r="EW107" s="115"/>
      <c r="EX107" s="115"/>
      <c r="EY107" s="115"/>
      <c r="EZ107" s="257">
        <v>668</v>
      </c>
      <c r="FA107" s="117"/>
      <c r="FB107" s="116">
        <v>23</v>
      </c>
      <c r="FC107" s="117"/>
      <c r="FD107" s="115"/>
      <c r="FE107" s="115"/>
      <c r="FF107" s="117"/>
      <c r="FG107" s="116"/>
      <c r="FH107" s="116"/>
      <c r="FI107" s="117">
        <v>4</v>
      </c>
      <c r="FJ107" s="115"/>
      <c r="FK107" s="115"/>
      <c r="FL107" s="115"/>
      <c r="FM107" s="117">
        <v>4</v>
      </c>
      <c r="FN107" s="258"/>
      <c r="FO107" s="115"/>
      <c r="FP107" s="257"/>
      <c r="FQ107" s="117"/>
      <c r="FR107" s="115"/>
      <c r="FS107" s="117"/>
      <c r="FT107" s="116"/>
      <c r="FU107" s="117">
        <v>18</v>
      </c>
      <c r="FV107" s="115"/>
      <c r="FW107" s="117">
        <v>18</v>
      </c>
      <c r="FX107" s="258"/>
      <c r="FY107" s="115"/>
      <c r="FZ107" s="115"/>
      <c r="GA107" s="115"/>
      <c r="GB107" s="257"/>
      <c r="GC107" s="117"/>
      <c r="GD107" s="258">
        <v>11</v>
      </c>
      <c r="GE107" s="115"/>
      <c r="GF107" s="257">
        <v>11</v>
      </c>
      <c r="GG107" s="117"/>
      <c r="GH107" s="258">
        <v>8</v>
      </c>
      <c r="GI107" s="115"/>
      <c r="GJ107" s="115"/>
      <c r="GK107" s="257">
        <v>8</v>
      </c>
      <c r="GL107" s="117">
        <v>2</v>
      </c>
      <c r="GM107" s="258">
        <v>4</v>
      </c>
      <c r="GN107" s="115"/>
      <c r="GO107" s="115"/>
      <c r="GP107" s="115"/>
      <c r="GQ107" s="257">
        <v>4</v>
      </c>
      <c r="GR107" s="117">
        <v>78782</v>
      </c>
      <c r="GS107" s="324">
        <f>78782/49209180</f>
        <v>1.60096144662439E-3</v>
      </c>
      <c r="GT107" s="293"/>
      <c r="GU107" s="293"/>
      <c r="GV107" s="293"/>
      <c r="GW107" s="293"/>
      <c r="GX107" s="293"/>
      <c r="GY107" s="293"/>
      <c r="GZ107" s="293"/>
      <c r="HA107" s="293"/>
      <c r="HB107" s="293"/>
      <c r="HC107" s="293"/>
      <c r="HD107" s="293"/>
      <c r="HE107" s="293"/>
      <c r="HF107" s="293"/>
      <c r="HG107" s="293"/>
      <c r="HH107" s="293"/>
      <c r="HI107" s="293"/>
      <c r="HJ107" s="293"/>
      <c r="HK107" s="293"/>
      <c r="HL107" s="293"/>
      <c r="HM107" s="293"/>
      <c r="HN107" s="293"/>
      <c r="HO107" s="293"/>
      <c r="HP107" s="293"/>
      <c r="HQ107" s="293"/>
      <c r="HR107" s="293"/>
      <c r="HS107" s="293"/>
      <c r="HT107" s="293"/>
      <c r="HU107" s="293"/>
      <c r="HV107" s="293"/>
      <c r="HW107" s="293"/>
      <c r="HX107" s="294"/>
    </row>
    <row r="108" spans="2:232" ht="12.75" x14ac:dyDescent="0.2">
      <c r="B108" s="259" t="s">
        <v>132</v>
      </c>
      <c r="C108" s="258">
        <v>424</v>
      </c>
      <c r="D108" s="115"/>
      <c r="E108" s="115"/>
      <c r="F108" s="115"/>
      <c r="G108" s="257">
        <v>424</v>
      </c>
      <c r="H108" s="117">
        <v>1</v>
      </c>
      <c r="I108" s="258">
        <v>9</v>
      </c>
      <c r="J108" s="115"/>
      <c r="K108" s="257">
        <v>9</v>
      </c>
      <c r="L108" s="117"/>
      <c r="M108" s="116">
        <v>2680</v>
      </c>
      <c r="N108" s="117">
        <v>9853</v>
      </c>
      <c r="O108" s="115">
        <v>44</v>
      </c>
      <c r="P108" s="115">
        <v>664</v>
      </c>
      <c r="Q108" s="115">
        <v>525</v>
      </c>
      <c r="R108" s="115">
        <v>3</v>
      </c>
      <c r="S108" s="115">
        <v>1176</v>
      </c>
      <c r="T108" s="115">
        <v>1</v>
      </c>
      <c r="U108" s="115"/>
      <c r="V108" s="117">
        <v>12266</v>
      </c>
      <c r="W108" s="258">
        <v>20</v>
      </c>
      <c r="X108" s="115">
        <v>14</v>
      </c>
      <c r="Y108" s="257">
        <v>34</v>
      </c>
      <c r="Z108" s="117">
        <v>386</v>
      </c>
      <c r="AA108" s="115"/>
      <c r="AB108" s="117">
        <v>386</v>
      </c>
      <c r="AC108" s="258">
        <v>41460</v>
      </c>
      <c r="AD108" s="115">
        <v>29</v>
      </c>
      <c r="AE108" s="115"/>
      <c r="AF108" s="257">
        <v>41489</v>
      </c>
      <c r="AG108" s="117">
        <v>340</v>
      </c>
      <c r="AH108" s="115">
        <v>4</v>
      </c>
      <c r="AI108" s="115"/>
      <c r="AJ108" s="115"/>
      <c r="AK108" s="117">
        <v>344</v>
      </c>
      <c r="AL108" s="258"/>
      <c r="AM108" s="115">
        <v>1</v>
      </c>
      <c r="AN108" s="257">
        <v>1</v>
      </c>
      <c r="AO108" s="117"/>
      <c r="AP108" s="116"/>
      <c r="AQ108" s="117">
        <v>4</v>
      </c>
      <c r="AR108" s="115"/>
      <c r="AS108" s="115"/>
      <c r="AT108" s="117">
        <v>4</v>
      </c>
      <c r="AU108" s="258">
        <v>917</v>
      </c>
      <c r="AV108" s="115">
        <v>3</v>
      </c>
      <c r="AW108" s="115">
        <v>348</v>
      </c>
      <c r="AX108" s="115"/>
      <c r="AY108" s="115"/>
      <c r="AZ108" s="115"/>
      <c r="BA108" s="115"/>
      <c r="BB108" s="115"/>
      <c r="BC108" s="257">
        <v>1268</v>
      </c>
      <c r="BD108" s="117">
        <v>0</v>
      </c>
      <c r="BE108" s="116">
        <v>11</v>
      </c>
      <c r="BF108" s="117">
        <v>138</v>
      </c>
      <c r="BG108" s="115">
        <v>842</v>
      </c>
      <c r="BH108" s="115">
        <v>713</v>
      </c>
      <c r="BI108" s="115">
        <v>143</v>
      </c>
      <c r="BJ108" s="115">
        <v>88</v>
      </c>
      <c r="BK108" s="115"/>
      <c r="BL108" s="117">
        <v>1924</v>
      </c>
      <c r="BM108" s="116">
        <v>0</v>
      </c>
      <c r="BN108" s="116"/>
      <c r="BO108" s="116"/>
      <c r="BP108" s="116">
        <v>7</v>
      </c>
      <c r="BQ108" s="117">
        <v>120</v>
      </c>
      <c r="BR108" s="115"/>
      <c r="BS108" s="117">
        <v>120</v>
      </c>
      <c r="BT108" s="116"/>
      <c r="BU108" s="117">
        <v>1</v>
      </c>
      <c r="BV108" s="115">
        <v>11</v>
      </c>
      <c r="BW108" s="115"/>
      <c r="BX108" s="117">
        <v>12</v>
      </c>
      <c r="BY108" s="258"/>
      <c r="BZ108" s="115">
        <v>1</v>
      </c>
      <c r="CA108" s="115">
        <v>5</v>
      </c>
      <c r="CB108" s="115"/>
      <c r="CC108" s="115"/>
      <c r="CD108" s="115"/>
      <c r="CE108" s="115"/>
      <c r="CF108" s="115"/>
      <c r="CG108" s="115"/>
      <c r="CH108" s="115"/>
      <c r="CI108" s="115"/>
      <c r="CJ108" s="115"/>
      <c r="CK108" s="115"/>
      <c r="CL108" s="115"/>
      <c r="CM108" s="115"/>
      <c r="CN108" s="257">
        <v>6</v>
      </c>
      <c r="CO108" s="117">
        <v>2</v>
      </c>
      <c r="CP108" s="115"/>
      <c r="CQ108" s="117">
        <v>2</v>
      </c>
      <c r="CR108" s="116"/>
      <c r="CS108" s="117">
        <v>107</v>
      </c>
      <c r="CT108" s="115">
        <v>4</v>
      </c>
      <c r="CU108" s="115">
        <v>129356</v>
      </c>
      <c r="CV108" s="115">
        <v>18444</v>
      </c>
      <c r="CW108" s="115">
        <v>20358</v>
      </c>
      <c r="CX108" s="115">
        <v>0</v>
      </c>
      <c r="CY108" s="115">
        <v>4</v>
      </c>
      <c r="CZ108" s="115"/>
      <c r="DA108" s="115">
        <v>225</v>
      </c>
      <c r="DB108" s="115">
        <v>3</v>
      </c>
      <c r="DC108" s="115"/>
      <c r="DD108" s="117">
        <v>168501</v>
      </c>
      <c r="DE108" s="258">
        <v>3383</v>
      </c>
      <c r="DF108" s="115">
        <v>3</v>
      </c>
      <c r="DG108" s="115">
        <v>885</v>
      </c>
      <c r="DH108" s="115">
        <v>1489</v>
      </c>
      <c r="DI108" s="115">
        <v>531</v>
      </c>
      <c r="DJ108" s="115"/>
      <c r="DK108" s="115">
        <v>0</v>
      </c>
      <c r="DL108" s="257">
        <v>6291</v>
      </c>
      <c r="DM108" s="117"/>
      <c r="DN108" s="116"/>
      <c r="DO108" s="117">
        <v>1</v>
      </c>
      <c r="DP108" s="115"/>
      <c r="DQ108" s="117">
        <v>1</v>
      </c>
      <c r="DR108" s="116">
        <v>91</v>
      </c>
      <c r="DS108" s="117"/>
      <c r="DT108" s="115"/>
      <c r="DU108" s="117"/>
      <c r="DV108" s="258">
        <v>2</v>
      </c>
      <c r="DW108" s="115"/>
      <c r="DX108" s="257">
        <v>2</v>
      </c>
      <c r="DY108" s="117">
        <v>36</v>
      </c>
      <c r="DZ108" s="116">
        <v>1</v>
      </c>
      <c r="EA108" s="117">
        <v>246</v>
      </c>
      <c r="EB108" s="115"/>
      <c r="EC108" s="117">
        <v>246</v>
      </c>
      <c r="ED108" s="116"/>
      <c r="EE108" s="116"/>
      <c r="EF108" s="117">
        <v>5</v>
      </c>
      <c r="EG108" s="115">
        <v>27</v>
      </c>
      <c r="EH108" s="115"/>
      <c r="EI108" s="115"/>
      <c r="EJ108" s="115"/>
      <c r="EK108" s="115"/>
      <c r="EL108" s="117">
        <v>32</v>
      </c>
      <c r="EM108" s="258">
        <v>818</v>
      </c>
      <c r="EN108" s="115">
        <v>1325</v>
      </c>
      <c r="EO108" s="115">
        <v>386</v>
      </c>
      <c r="EP108" s="115">
        <v>2060</v>
      </c>
      <c r="EQ108" s="115">
        <v>1248</v>
      </c>
      <c r="ER108" s="115">
        <v>170</v>
      </c>
      <c r="ES108" s="115">
        <v>5670</v>
      </c>
      <c r="ET108" s="115">
        <v>59</v>
      </c>
      <c r="EU108" s="115">
        <v>55</v>
      </c>
      <c r="EV108" s="115">
        <v>36</v>
      </c>
      <c r="EW108" s="115"/>
      <c r="EX108" s="115">
        <v>47</v>
      </c>
      <c r="EY108" s="115"/>
      <c r="EZ108" s="257">
        <v>11874</v>
      </c>
      <c r="FA108" s="117"/>
      <c r="FB108" s="116">
        <v>12</v>
      </c>
      <c r="FC108" s="117"/>
      <c r="FD108" s="115"/>
      <c r="FE108" s="115"/>
      <c r="FF108" s="117"/>
      <c r="FG108" s="116"/>
      <c r="FH108" s="116"/>
      <c r="FI108" s="117">
        <v>36</v>
      </c>
      <c r="FJ108" s="115"/>
      <c r="FK108" s="115"/>
      <c r="FL108" s="115"/>
      <c r="FM108" s="117">
        <v>36</v>
      </c>
      <c r="FN108" s="258">
        <v>3</v>
      </c>
      <c r="FO108" s="115"/>
      <c r="FP108" s="257">
        <v>3</v>
      </c>
      <c r="FQ108" s="117">
        <v>1</v>
      </c>
      <c r="FR108" s="115"/>
      <c r="FS108" s="117">
        <v>1</v>
      </c>
      <c r="FT108" s="116"/>
      <c r="FU108" s="117">
        <v>371</v>
      </c>
      <c r="FV108" s="115"/>
      <c r="FW108" s="117">
        <v>371</v>
      </c>
      <c r="FX108" s="258">
        <v>6</v>
      </c>
      <c r="FY108" s="115"/>
      <c r="FZ108" s="115"/>
      <c r="GA108" s="115"/>
      <c r="GB108" s="257">
        <v>6</v>
      </c>
      <c r="GC108" s="117"/>
      <c r="GD108" s="258">
        <v>347</v>
      </c>
      <c r="GE108" s="115">
        <v>1</v>
      </c>
      <c r="GF108" s="257">
        <v>348</v>
      </c>
      <c r="GG108" s="117">
        <v>14</v>
      </c>
      <c r="GH108" s="258">
        <v>8</v>
      </c>
      <c r="GI108" s="115"/>
      <c r="GJ108" s="115"/>
      <c r="GK108" s="257">
        <v>8</v>
      </c>
      <c r="GL108" s="117">
        <v>0</v>
      </c>
      <c r="GM108" s="258">
        <v>6</v>
      </c>
      <c r="GN108" s="115">
        <v>0</v>
      </c>
      <c r="GO108" s="115"/>
      <c r="GP108" s="115"/>
      <c r="GQ108" s="257">
        <v>6</v>
      </c>
      <c r="GR108" s="117">
        <v>248868</v>
      </c>
      <c r="GS108" s="324">
        <f>248868/49209180</f>
        <v>5.0573490556030396E-3</v>
      </c>
      <c r="GT108" s="293"/>
      <c r="GU108" s="293"/>
      <c r="GV108" s="293"/>
      <c r="GW108" s="293"/>
      <c r="GX108" s="293"/>
      <c r="GY108" s="293"/>
      <c r="GZ108" s="293"/>
      <c r="HA108" s="293"/>
      <c r="HB108" s="293"/>
      <c r="HC108" s="293"/>
      <c r="HD108" s="293"/>
      <c r="HE108" s="293"/>
      <c r="HF108" s="293"/>
      <c r="HG108" s="293"/>
      <c r="HH108" s="293"/>
      <c r="HI108" s="293"/>
      <c r="HJ108" s="293"/>
      <c r="HK108" s="293"/>
      <c r="HL108" s="293"/>
      <c r="HM108" s="293"/>
      <c r="HN108" s="293"/>
      <c r="HO108" s="293"/>
      <c r="HP108" s="293"/>
      <c r="HQ108" s="293"/>
      <c r="HR108" s="293"/>
      <c r="HS108" s="293"/>
      <c r="HT108" s="293"/>
      <c r="HU108" s="293"/>
      <c r="HV108" s="293"/>
      <c r="HW108" s="293"/>
      <c r="HX108" s="294"/>
    </row>
    <row r="109" spans="2:232" ht="12.75" x14ac:dyDescent="0.2">
      <c r="B109" s="259" t="s">
        <v>172</v>
      </c>
      <c r="C109" s="258">
        <v>193</v>
      </c>
      <c r="D109" s="115"/>
      <c r="E109" s="115"/>
      <c r="F109" s="115"/>
      <c r="G109" s="257">
        <v>193</v>
      </c>
      <c r="H109" s="117">
        <v>0</v>
      </c>
      <c r="I109" s="258">
        <v>4</v>
      </c>
      <c r="J109" s="115"/>
      <c r="K109" s="257">
        <v>4</v>
      </c>
      <c r="L109" s="117"/>
      <c r="M109" s="116">
        <v>338</v>
      </c>
      <c r="N109" s="117">
        <v>1254</v>
      </c>
      <c r="O109" s="115">
        <v>4</v>
      </c>
      <c r="P109" s="115">
        <v>259</v>
      </c>
      <c r="Q109" s="115">
        <v>41</v>
      </c>
      <c r="R109" s="115">
        <v>1</v>
      </c>
      <c r="S109" s="115">
        <v>189</v>
      </c>
      <c r="T109" s="115"/>
      <c r="U109" s="115"/>
      <c r="V109" s="117">
        <v>1748</v>
      </c>
      <c r="W109" s="258">
        <v>2</v>
      </c>
      <c r="X109" s="115">
        <v>2</v>
      </c>
      <c r="Y109" s="257">
        <v>4</v>
      </c>
      <c r="Z109" s="117">
        <v>35</v>
      </c>
      <c r="AA109" s="115"/>
      <c r="AB109" s="117">
        <v>35</v>
      </c>
      <c r="AC109" s="258">
        <v>22142</v>
      </c>
      <c r="AD109" s="115">
        <v>4</v>
      </c>
      <c r="AE109" s="115"/>
      <c r="AF109" s="257">
        <v>22146</v>
      </c>
      <c r="AG109" s="117">
        <v>25</v>
      </c>
      <c r="AH109" s="115"/>
      <c r="AI109" s="115"/>
      <c r="AJ109" s="115"/>
      <c r="AK109" s="117">
        <v>25</v>
      </c>
      <c r="AL109" s="258"/>
      <c r="AM109" s="115"/>
      <c r="AN109" s="257"/>
      <c r="AO109" s="117"/>
      <c r="AP109" s="116"/>
      <c r="AQ109" s="117"/>
      <c r="AR109" s="115"/>
      <c r="AS109" s="115"/>
      <c r="AT109" s="117"/>
      <c r="AU109" s="258">
        <v>150</v>
      </c>
      <c r="AV109" s="115">
        <v>4</v>
      </c>
      <c r="AW109" s="115">
        <v>121</v>
      </c>
      <c r="AX109" s="115"/>
      <c r="AY109" s="115"/>
      <c r="AZ109" s="115"/>
      <c r="BA109" s="115"/>
      <c r="BB109" s="115"/>
      <c r="BC109" s="257">
        <v>275</v>
      </c>
      <c r="BD109" s="117"/>
      <c r="BE109" s="116"/>
      <c r="BF109" s="117">
        <v>49</v>
      </c>
      <c r="BG109" s="115">
        <v>177</v>
      </c>
      <c r="BH109" s="115">
        <v>290</v>
      </c>
      <c r="BI109" s="115">
        <v>49</v>
      </c>
      <c r="BJ109" s="115">
        <v>4</v>
      </c>
      <c r="BK109" s="115"/>
      <c r="BL109" s="117">
        <v>569</v>
      </c>
      <c r="BM109" s="116">
        <v>1</v>
      </c>
      <c r="BN109" s="116"/>
      <c r="BO109" s="116"/>
      <c r="BP109" s="116">
        <v>1</v>
      </c>
      <c r="BQ109" s="117">
        <v>1</v>
      </c>
      <c r="BR109" s="115"/>
      <c r="BS109" s="117">
        <v>1</v>
      </c>
      <c r="BT109" s="116"/>
      <c r="BU109" s="117"/>
      <c r="BV109" s="115"/>
      <c r="BW109" s="115"/>
      <c r="BX109" s="117"/>
      <c r="BY109" s="258"/>
      <c r="BZ109" s="115"/>
      <c r="CA109" s="115"/>
      <c r="CB109" s="115"/>
      <c r="CC109" s="115"/>
      <c r="CD109" s="115"/>
      <c r="CE109" s="115"/>
      <c r="CF109" s="115"/>
      <c r="CG109" s="115"/>
      <c r="CH109" s="115"/>
      <c r="CI109" s="115"/>
      <c r="CJ109" s="115"/>
      <c r="CK109" s="115"/>
      <c r="CL109" s="115"/>
      <c r="CM109" s="115"/>
      <c r="CN109" s="257"/>
      <c r="CO109" s="117"/>
      <c r="CP109" s="115"/>
      <c r="CQ109" s="117"/>
      <c r="CR109" s="116"/>
      <c r="CS109" s="117">
        <v>52</v>
      </c>
      <c r="CT109" s="115">
        <v>2</v>
      </c>
      <c r="CU109" s="115">
        <v>89687</v>
      </c>
      <c r="CV109" s="115">
        <v>9637</v>
      </c>
      <c r="CW109" s="115">
        <v>9269</v>
      </c>
      <c r="CX109" s="115">
        <v>12</v>
      </c>
      <c r="CY109" s="115">
        <v>3</v>
      </c>
      <c r="CZ109" s="115"/>
      <c r="DA109" s="115">
        <v>69</v>
      </c>
      <c r="DB109" s="115"/>
      <c r="DC109" s="115"/>
      <c r="DD109" s="117">
        <v>108731</v>
      </c>
      <c r="DE109" s="258">
        <v>510</v>
      </c>
      <c r="DF109" s="115"/>
      <c r="DG109" s="115">
        <v>17151</v>
      </c>
      <c r="DH109" s="115">
        <v>418</v>
      </c>
      <c r="DI109" s="115">
        <v>36</v>
      </c>
      <c r="DJ109" s="115"/>
      <c r="DK109" s="115"/>
      <c r="DL109" s="257">
        <v>18115</v>
      </c>
      <c r="DM109" s="117"/>
      <c r="DN109" s="116"/>
      <c r="DO109" s="117"/>
      <c r="DP109" s="115"/>
      <c r="DQ109" s="117"/>
      <c r="DR109" s="116">
        <v>35</v>
      </c>
      <c r="DS109" s="117"/>
      <c r="DT109" s="115"/>
      <c r="DU109" s="117"/>
      <c r="DV109" s="258">
        <v>5</v>
      </c>
      <c r="DW109" s="115"/>
      <c r="DX109" s="257">
        <v>5</v>
      </c>
      <c r="DY109" s="117">
        <v>2</v>
      </c>
      <c r="DZ109" s="116"/>
      <c r="EA109" s="117">
        <v>46</v>
      </c>
      <c r="EB109" s="115"/>
      <c r="EC109" s="117">
        <v>46</v>
      </c>
      <c r="ED109" s="116"/>
      <c r="EE109" s="116"/>
      <c r="EF109" s="117"/>
      <c r="EG109" s="115">
        <v>3</v>
      </c>
      <c r="EH109" s="115"/>
      <c r="EI109" s="115"/>
      <c r="EJ109" s="115"/>
      <c r="EK109" s="115"/>
      <c r="EL109" s="117">
        <v>3</v>
      </c>
      <c r="EM109" s="258">
        <v>148</v>
      </c>
      <c r="EN109" s="115">
        <v>133</v>
      </c>
      <c r="EO109" s="115">
        <v>50</v>
      </c>
      <c r="EP109" s="115">
        <v>670</v>
      </c>
      <c r="EQ109" s="115">
        <v>171</v>
      </c>
      <c r="ER109" s="115">
        <v>30</v>
      </c>
      <c r="ES109" s="115">
        <v>1499</v>
      </c>
      <c r="ET109" s="115">
        <v>55</v>
      </c>
      <c r="EU109" s="115">
        <v>15</v>
      </c>
      <c r="EV109" s="115">
        <v>17</v>
      </c>
      <c r="EW109" s="115"/>
      <c r="EX109" s="115">
        <v>29</v>
      </c>
      <c r="EY109" s="115"/>
      <c r="EZ109" s="257">
        <v>2817</v>
      </c>
      <c r="FA109" s="117"/>
      <c r="FB109" s="116">
        <v>9</v>
      </c>
      <c r="FC109" s="117"/>
      <c r="FD109" s="115"/>
      <c r="FE109" s="115"/>
      <c r="FF109" s="117"/>
      <c r="FG109" s="116"/>
      <c r="FH109" s="116"/>
      <c r="FI109" s="117">
        <v>1</v>
      </c>
      <c r="FJ109" s="115"/>
      <c r="FK109" s="115"/>
      <c r="FL109" s="115"/>
      <c r="FM109" s="117">
        <v>1</v>
      </c>
      <c r="FN109" s="258"/>
      <c r="FO109" s="115"/>
      <c r="FP109" s="257"/>
      <c r="FQ109" s="117"/>
      <c r="FR109" s="115"/>
      <c r="FS109" s="117"/>
      <c r="FT109" s="116"/>
      <c r="FU109" s="117">
        <v>4</v>
      </c>
      <c r="FV109" s="115"/>
      <c r="FW109" s="117">
        <v>4</v>
      </c>
      <c r="FX109" s="258"/>
      <c r="FY109" s="115"/>
      <c r="FZ109" s="115"/>
      <c r="GA109" s="115"/>
      <c r="GB109" s="257"/>
      <c r="GC109" s="117"/>
      <c r="GD109" s="258">
        <v>4</v>
      </c>
      <c r="GE109" s="115"/>
      <c r="GF109" s="257">
        <v>4</v>
      </c>
      <c r="GG109" s="117"/>
      <c r="GH109" s="258"/>
      <c r="GI109" s="115"/>
      <c r="GJ109" s="115"/>
      <c r="GK109" s="257"/>
      <c r="GL109" s="117">
        <v>4</v>
      </c>
      <c r="GM109" s="258">
        <v>19</v>
      </c>
      <c r="GN109" s="115"/>
      <c r="GO109" s="115">
        <v>20</v>
      </c>
      <c r="GP109" s="115"/>
      <c r="GQ109" s="257">
        <v>39</v>
      </c>
      <c r="GR109" s="117">
        <v>155155</v>
      </c>
      <c r="GS109" s="324">
        <f>155155/49209180</f>
        <v>3.1529686127669673E-3</v>
      </c>
      <c r="GT109" s="293"/>
      <c r="GU109" s="293"/>
      <c r="GV109" s="293"/>
      <c r="GW109" s="293"/>
      <c r="GX109" s="293"/>
      <c r="GY109" s="293"/>
      <c r="GZ109" s="293"/>
      <c r="HA109" s="293"/>
      <c r="HB109" s="293"/>
      <c r="HC109" s="293"/>
      <c r="HD109" s="293"/>
      <c r="HE109" s="293"/>
      <c r="HF109" s="293"/>
      <c r="HG109" s="293"/>
      <c r="HH109" s="293"/>
      <c r="HI109" s="293"/>
      <c r="HJ109" s="293"/>
      <c r="HK109" s="293"/>
      <c r="HL109" s="293"/>
      <c r="HM109" s="293"/>
      <c r="HN109" s="293"/>
      <c r="HO109" s="293"/>
      <c r="HP109" s="293"/>
      <c r="HQ109" s="293"/>
      <c r="HR109" s="293"/>
      <c r="HS109" s="293"/>
      <c r="HT109" s="293"/>
      <c r="HU109" s="293"/>
      <c r="HV109" s="293"/>
      <c r="HW109" s="293"/>
      <c r="HX109" s="294"/>
    </row>
    <row r="110" spans="2:232" ht="13.5" thickBot="1" x14ac:dyDescent="0.25">
      <c r="B110" s="325" t="s">
        <v>259</v>
      </c>
      <c r="C110" s="326">
        <v>19</v>
      </c>
      <c r="D110" s="327"/>
      <c r="E110" s="327"/>
      <c r="F110" s="327"/>
      <c r="G110" s="328">
        <v>19</v>
      </c>
      <c r="H110" s="329"/>
      <c r="I110" s="326">
        <v>2</v>
      </c>
      <c r="J110" s="327"/>
      <c r="K110" s="328">
        <v>2</v>
      </c>
      <c r="L110" s="329"/>
      <c r="M110" s="330">
        <v>277</v>
      </c>
      <c r="N110" s="329">
        <v>1239</v>
      </c>
      <c r="O110" s="327">
        <v>4</v>
      </c>
      <c r="P110" s="327">
        <v>107</v>
      </c>
      <c r="Q110" s="327">
        <v>177</v>
      </c>
      <c r="R110" s="327"/>
      <c r="S110" s="327">
        <v>66</v>
      </c>
      <c r="T110" s="327">
        <v>0</v>
      </c>
      <c r="U110" s="327">
        <v>0</v>
      </c>
      <c r="V110" s="329">
        <v>1593</v>
      </c>
      <c r="W110" s="326">
        <v>4</v>
      </c>
      <c r="X110" s="327">
        <v>2</v>
      </c>
      <c r="Y110" s="328">
        <v>6</v>
      </c>
      <c r="Z110" s="329">
        <v>44</v>
      </c>
      <c r="AA110" s="327"/>
      <c r="AB110" s="329">
        <v>44</v>
      </c>
      <c r="AC110" s="326">
        <v>3827</v>
      </c>
      <c r="AD110" s="327">
        <v>15</v>
      </c>
      <c r="AE110" s="327"/>
      <c r="AF110" s="328">
        <v>3842</v>
      </c>
      <c r="AG110" s="329">
        <v>54</v>
      </c>
      <c r="AH110" s="327"/>
      <c r="AI110" s="327"/>
      <c r="AJ110" s="327"/>
      <c r="AK110" s="329">
        <v>54</v>
      </c>
      <c r="AL110" s="326"/>
      <c r="AM110" s="327"/>
      <c r="AN110" s="328"/>
      <c r="AO110" s="329"/>
      <c r="AP110" s="330"/>
      <c r="AQ110" s="329"/>
      <c r="AR110" s="327"/>
      <c r="AS110" s="327"/>
      <c r="AT110" s="329"/>
      <c r="AU110" s="326">
        <v>235</v>
      </c>
      <c r="AV110" s="327">
        <v>0</v>
      </c>
      <c r="AW110" s="327">
        <v>20</v>
      </c>
      <c r="AX110" s="327"/>
      <c r="AY110" s="327"/>
      <c r="AZ110" s="327"/>
      <c r="BA110" s="327"/>
      <c r="BB110" s="327"/>
      <c r="BC110" s="328">
        <v>255</v>
      </c>
      <c r="BD110" s="329"/>
      <c r="BE110" s="330"/>
      <c r="BF110" s="329">
        <v>26</v>
      </c>
      <c r="BG110" s="327">
        <v>324</v>
      </c>
      <c r="BH110" s="327">
        <v>164</v>
      </c>
      <c r="BI110" s="327">
        <v>81</v>
      </c>
      <c r="BJ110" s="327">
        <v>17</v>
      </c>
      <c r="BK110" s="327"/>
      <c r="BL110" s="329">
        <v>612</v>
      </c>
      <c r="BM110" s="330"/>
      <c r="BN110" s="330"/>
      <c r="BO110" s="330"/>
      <c r="BP110" s="330"/>
      <c r="BQ110" s="329">
        <v>1</v>
      </c>
      <c r="BR110" s="327"/>
      <c r="BS110" s="329">
        <v>1</v>
      </c>
      <c r="BT110" s="330"/>
      <c r="BU110" s="329"/>
      <c r="BV110" s="327">
        <v>1</v>
      </c>
      <c r="BW110" s="327">
        <v>1</v>
      </c>
      <c r="BX110" s="329">
        <v>2</v>
      </c>
      <c r="BY110" s="326"/>
      <c r="BZ110" s="327"/>
      <c r="CA110" s="327"/>
      <c r="CB110" s="327"/>
      <c r="CC110" s="327"/>
      <c r="CD110" s="327"/>
      <c r="CE110" s="327"/>
      <c r="CF110" s="327"/>
      <c r="CG110" s="327"/>
      <c r="CH110" s="327"/>
      <c r="CI110" s="327"/>
      <c r="CJ110" s="327"/>
      <c r="CK110" s="327"/>
      <c r="CL110" s="327"/>
      <c r="CM110" s="327"/>
      <c r="CN110" s="328"/>
      <c r="CO110" s="329">
        <v>1</v>
      </c>
      <c r="CP110" s="327"/>
      <c r="CQ110" s="329">
        <v>1</v>
      </c>
      <c r="CR110" s="330"/>
      <c r="CS110" s="329">
        <v>23</v>
      </c>
      <c r="CT110" s="327"/>
      <c r="CU110" s="327">
        <v>15441</v>
      </c>
      <c r="CV110" s="327">
        <v>2059</v>
      </c>
      <c r="CW110" s="327">
        <v>3603</v>
      </c>
      <c r="CX110" s="327">
        <v>0</v>
      </c>
      <c r="CY110" s="327">
        <v>6</v>
      </c>
      <c r="CZ110" s="327"/>
      <c r="DA110" s="327">
        <v>29</v>
      </c>
      <c r="DB110" s="327">
        <v>0</v>
      </c>
      <c r="DC110" s="327"/>
      <c r="DD110" s="329">
        <v>21161</v>
      </c>
      <c r="DE110" s="326">
        <v>316</v>
      </c>
      <c r="DF110" s="327"/>
      <c r="DG110" s="327">
        <v>161</v>
      </c>
      <c r="DH110" s="327">
        <v>121</v>
      </c>
      <c r="DI110" s="327">
        <v>37</v>
      </c>
      <c r="DJ110" s="327">
        <v>0</v>
      </c>
      <c r="DK110" s="327"/>
      <c r="DL110" s="328">
        <v>635</v>
      </c>
      <c r="DM110" s="329"/>
      <c r="DN110" s="330"/>
      <c r="DO110" s="329"/>
      <c r="DP110" s="327"/>
      <c r="DQ110" s="329"/>
      <c r="DR110" s="330">
        <v>16</v>
      </c>
      <c r="DS110" s="329"/>
      <c r="DT110" s="327"/>
      <c r="DU110" s="329"/>
      <c r="DV110" s="326"/>
      <c r="DW110" s="327"/>
      <c r="DX110" s="328"/>
      <c r="DY110" s="329">
        <v>2</v>
      </c>
      <c r="DZ110" s="330"/>
      <c r="EA110" s="329">
        <v>98</v>
      </c>
      <c r="EB110" s="327"/>
      <c r="EC110" s="329">
        <v>98</v>
      </c>
      <c r="ED110" s="330"/>
      <c r="EE110" s="330"/>
      <c r="EF110" s="329">
        <v>3</v>
      </c>
      <c r="EG110" s="327">
        <v>5</v>
      </c>
      <c r="EH110" s="327"/>
      <c r="EI110" s="327"/>
      <c r="EJ110" s="327"/>
      <c r="EK110" s="327"/>
      <c r="EL110" s="329">
        <v>8</v>
      </c>
      <c r="EM110" s="326">
        <v>237</v>
      </c>
      <c r="EN110" s="327">
        <v>625</v>
      </c>
      <c r="EO110" s="327">
        <v>258</v>
      </c>
      <c r="EP110" s="327">
        <v>403</v>
      </c>
      <c r="EQ110" s="327">
        <v>240</v>
      </c>
      <c r="ER110" s="327">
        <v>40</v>
      </c>
      <c r="ES110" s="327">
        <v>417</v>
      </c>
      <c r="ET110" s="327">
        <v>28</v>
      </c>
      <c r="EU110" s="327">
        <v>19</v>
      </c>
      <c r="EV110" s="327">
        <v>22</v>
      </c>
      <c r="EW110" s="327"/>
      <c r="EX110" s="327">
        <v>33</v>
      </c>
      <c r="EY110" s="327"/>
      <c r="EZ110" s="328">
        <v>2322</v>
      </c>
      <c r="FA110" s="329"/>
      <c r="FB110" s="330"/>
      <c r="FC110" s="329"/>
      <c r="FD110" s="327"/>
      <c r="FE110" s="327">
        <v>2</v>
      </c>
      <c r="FF110" s="329">
        <v>2</v>
      </c>
      <c r="FG110" s="330"/>
      <c r="FH110" s="330"/>
      <c r="FI110" s="329">
        <v>2</v>
      </c>
      <c r="FJ110" s="327"/>
      <c r="FK110" s="327"/>
      <c r="FL110" s="327"/>
      <c r="FM110" s="329">
        <v>2</v>
      </c>
      <c r="FN110" s="326"/>
      <c r="FO110" s="327"/>
      <c r="FP110" s="328"/>
      <c r="FQ110" s="329"/>
      <c r="FR110" s="327"/>
      <c r="FS110" s="329"/>
      <c r="FT110" s="330"/>
      <c r="FU110" s="329">
        <v>13</v>
      </c>
      <c r="FV110" s="327"/>
      <c r="FW110" s="329">
        <v>13</v>
      </c>
      <c r="FX110" s="326"/>
      <c r="FY110" s="327"/>
      <c r="FZ110" s="327"/>
      <c r="GA110" s="327"/>
      <c r="GB110" s="328"/>
      <c r="GC110" s="329"/>
      <c r="GD110" s="326">
        <v>33</v>
      </c>
      <c r="GE110" s="327">
        <v>1</v>
      </c>
      <c r="GF110" s="328">
        <v>34</v>
      </c>
      <c r="GG110" s="329"/>
      <c r="GH110" s="326">
        <v>2</v>
      </c>
      <c r="GI110" s="327"/>
      <c r="GJ110" s="327"/>
      <c r="GK110" s="328">
        <v>2</v>
      </c>
      <c r="GL110" s="329"/>
      <c r="GM110" s="326">
        <v>4</v>
      </c>
      <c r="GN110" s="327"/>
      <c r="GO110" s="327"/>
      <c r="GP110" s="327"/>
      <c r="GQ110" s="328">
        <v>4</v>
      </c>
      <c r="GR110" s="329">
        <v>31007</v>
      </c>
      <c r="GS110" s="331">
        <f>31007/49209180</f>
        <v>6.3010600867561704E-4</v>
      </c>
      <c r="GT110" s="293"/>
      <c r="GU110" s="293"/>
      <c r="GV110" s="293"/>
      <c r="GW110" s="293"/>
      <c r="GX110" s="293"/>
      <c r="GY110" s="293"/>
      <c r="GZ110" s="293"/>
      <c r="HA110" s="293"/>
      <c r="HB110" s="293"/>
      <c r="HC110" s="293"/>
      <c r="HD110" s="293"/>
      <c r="HE110" s="293"/>
      <c r="HF110" s="293"/>
      <c r="HG110" s="293"/>
      <c r="HH110" s="293"/>
      <c r="HI110" s="293"/>
      <c r="HJ110" s="293"/>
      <c r="HK110" s="293"/>
      <c r="HL110" s="293"/>
      <c r="HM110" s="293"/>
      <c r="HN110" s="293"/>
      <c r="HO110" s="293"/>
      <c r="HP110" s="293"/>
      <c r="HQ110" s="293"/>
      <c r="HR110" s="293"/>
      <c r="HS110" s="293"/>
      <c r="HT110" s="293"/>
      <c r="HU110" s="293"/>
      <c r="HV110" s="293"/>
      <c r="HW110" s="293"/>
      <c r="HX110" s="294"/>
    </row>
    <row r="111" spans="2:232" ht="13.5" thickBot="1" x14ac:dyDescent="0.25">
      <c r="B111" s="332" t="s">
        <v>551</v>
      </c>
      <c r="C111" s="333">
        <v>2866</v>
      </c>
      <c r="D111" s="334">
        <v>0</v>
      </c>
      <c r="E111" s="334">
        <v>1</v>
      </c>
      <c r="F111" s="334"/>
      <c r="G111" s="335">
        <v>2867</v>
      </c>
      <c r="H111" s="336">
        <v>4</v>
      </c>
      <c r="I111" s="333">
        <v>74</v>
      </c>
      <c r="J111" s="334"/>
      <c r="K111" s="335">
        <v>74</v>
      </c>
      <c r="L111" s="336">
        <v>1</v>
      </c>
      <c r="M111" s="337">
        <v>22293</v>
      </c>
      <c r="N111" s="336">
        <v>47542</v>
      </c>
      <c r="O111" s="334">
        <v>274</v>
      </c>
      <c r="P111" s="334">
        <v>12156</v>
      </c>
      <c r="Q111" s="334">
        <v>5101</v>
      </c>
      <c r="R111" s="334">
        <v>41</v>
      </c>
      <c r="S111" s="334">
        <v>7723</v>
      </c>
      <c r="T111" s="334">
        <v>20</v>
      </c>
      <c r="U111" s="334">
        <v>1</v>
      </c>
      <c r="V111" s="336">
        <v>72858</v>
      </c>
      <c r="W111" s="333">
        <v>199</v>
      </c>
      <c r="X111" s="334">
        <v>121</v>
      </c>
      <c r="Y111" s="335">
        <v>320</v>
      </c>
      <c r="Z111" s="336">
        <v>4173</v>
      </c>
      <c r="AA111" s="334"/>
      <c r="AB111" s="336">
        <v>4173</v>
      </c>
      <c r="AC111" s="333">
        <v>376353</v>
      </c>
      <c r="AD111" s="334">
        <v>105</v>
      </c>
      <c r="AE111" s="334"/>
      <c r="AF111" s="335">
        <v>376458</v>
      </c>
      <c r="AG111" s="336">
        <v>2526</v>
      </c>
      <c r="AH111" s="334">
        <v>16</v>
      </c>
      <c r="AI111" s="334">
        <v>0</v>
      </c>
      <c r="AJ111" s="334"/>
      <c r="AK111" s="336">
        <v>2542</v>
      </c>
      <c r="AL111" s="333"/>
      <c r="AM111" s="334">
        <v>7</v>
      </c>
      <c r="AN111" s="335">
        <v>7</v>
      </c>
      <c r="AO111" s="336"/>
      <c r="AP111" s="337"/>
      <c r="AQ111" s="336">
        <v>15</v>
      </c>
      <c r="AR111" s="334">
        <v>25</v>
      </c>
      <c r="AS111" s="334"/>
      <c r="AT111" s="336">
        <v>40</v>
      </c>
      <c r="AU111" s="333">
        <v>14599</v>
      </c>
      <c r="AV111" s="334">
        <v>14</v>
      </c>
      <c r="AW111" s="334">
        <v>3612</v>
      </c>
      <c r="AX111" s="334">
        <v>2</v>
      </c>
      <c r="AY111" s="334"/>
      <c r="AZ111" s="334"/>
      <c r="BA111" s="334"/>
      <c r="BB111" s="334"/>
      <c r="BC111" s="335">
        <v>18227</v>
      </c>
      <c r="BD111" s="336">
        <v>7</v>
      </c>
      <c r="BE111" s="337">
        <v>35</v>
      </c>
      <c r="BF111" s="336">
        <v>1012</v>
      </c>
      <c r="BG111" s="334">
        <v>12811</v>
      </c>
      <c r="BH111" s="334">
        <v>6685</v>
      </c>
      <c r="BI111" s="334">
        <v>1422</v>
      </c>
      <c r="BJ111" s="334">
        <v>476</v>
      </c>
      <c r="BK111" s="334"/>
      <c r="BL111" s="336">
        <v>22406</v>
      </c>
      <c r="BM111" s="337">
        <v>10</v>
      </c>
      <c r="BN111" s="337"/>
      <c r="BO111" s="337">
        <v>1</v>
      </c>
      <c r="BP111" s="337">
        <v>27</v>
      </c>
      <c r="BQ111" s="336">
        <v>377</v>
      </c>
      <c r="BR111" s="334">
        <v>0</v>
      </c>
      <c r="BS111" s="336">
        <v>377</v>
      </c>
      <c r="BT111" s="337"/>
      <c r="BU111" s="336">
        <v>15</v>
      </c>
      <c r="BV111" s="334">
        <v>97</v>
      </c>
      <c r="BW111" s="334">
        <v>1</v>
      </c>
      <c r="BX111" s="336">
        <v>113</v>
      </c>
      <c r="BY111" s="333"/>
      <c r="BZ111" s="334">
        <v>1</v>
      </c>
      <c r="CA111" s="334">
        <v>18</v>
      </c>
      <c r="CB111" s="334">
        <v>123</v>
      </c>
      <c r="CC111" s="334">
        <v>0</v>
      </c>
      <c r="CD111" s="334"/>
      <c r="CE111" s="334"/>
      <c r="CF111" s="334"/>
      <c r="CG111" s="334">
        <v>8</v>
      </c>
      <c r="CH111" s="334"/>
      <c r="CI111" s="334">
        <v>13</v>
      </c>
      <c r="CJ111" s="334"/>
      <c r="CK111" s="334"/>
      <c r="CL111" s="334"/>
      <c r="CM111" s="334"/>
      <c r="CN111" s="335">
        <v>163</v>
      </c>
      <c r="CO111" s="336">
        <v>10</v>
      </c>
      <c r="CP111" s="334"/>
      <c r="CQ111" s="336">
        <v>10</v>
      </c>
      <c r="CR111" s="337">
        <v>0</v>
      </c>
      <c r="CS111" s="336">
        <v>997</v>
      </c>
      <c r="CT111" s="334">
        <v>46</v>
      </c>
      <c r="CU111" s="334">
        <v>1208291</v>
      </c>
      <c r="CV111" s="334">
        <v>152417</v>
      </c>
      <c r="CW111" s="334">
        <v>129714</v>
      </c>
      <c r="CX111" s="334">
        <v>39</v>
      </c>
      <c r="CY111" s="334">
        <v>46</v>
      </c>
      <c r="CZ111" s="334">
        <v>15</v>
      </c>
      <c r="DA111" s="334">
        <v>2446</v>
      </c>
      <c r="DB111" s="334">
        <v>6</v>
      </c>
      <c r="DC111" s="334"/>
      <c r="DD111" s="336">
        <v>1494017</v>
      </c>
      <c r="DE111" s="333">
        <v>21682</v>
      </c>
      <c r="DF111" s="334">
        <v>37</v>
      </c>
      <c r="DG111" s="334">
        <v>27670</v>
      </c>
      <c r="DH111" s="334">
        <v>11789</v>
      </c>
      <c r="DI111" s="334">
        <v>3601</v>
      </c>
      <c r="DJ111" s="334">
        <v>8</v>
      </c>
      <c r="DK111" s="334">
        <v>3</v>
      </c>
      <c r="DL111" s="335">
        <v>64790</v>
      </c>
      <c r="DM111" s="336"/>
      <c r="DN111" s="337"/>
      <c r="DO111" s="336">
        <v>1</v>
      </c>
      <c r="DP111" s="334"/>
      <c r="DQ111" s="336">
        <v>1</v>
      </c>
      <c r="DR111" s="337">
        <v>702</v>
      </c>
      <c r="DS111" s="336"/>
      <c r="DT111" s="334"/>
      <c r="DU111" s="336"/>
      <c r="DV111" s="333">
        <v>242</v>
      </c>
      <c r="DW111" s="334">
        <v>3</v>
      </c>
      <c r="DX111" s="335">
        <v>245</v>
      </c>
      <c r="DY111" s="336">
        <v>259</v>
      </c>
      <c r="DZ111" s="337">
        <v>4</v>
      </c>
      <c r="EA111" s="336">
        <v>1745</v>
      </c>
      <c r="EB111" s="334"/>
      <c r="EC111" s="336">
        <v>1745</v>
      </c>
      <c r="ED111" s="337"/>
      <c r="EE111" s="337"/>
      <c r="EF111" s="336">
        <v>80</v>
      </c>
      <c r="EG111" s="334">
        <v>201</v>
      </c>
      <c r="EH111" s="334">
        <v>38</v>
      </c>
      <c r="EI111" s="334"/>
      <c r="EJ111" s="334"/>
      <c r="EK111" s="334"/>
      <c r="EL111" s="336">
        <v>319</v>
      </c>
      <c r="EM111" s="333">
        <v>6816</v>
      </c>
      <c r="EN111" s="334">
        <v>7122</v>
      </c>
      <c r="EO111" s="334">
        <v>3136</v>
      </c>
      <c r="EP111" s="334">
        <v>20982</v>
      </c>
      <c r="EQ111" s="334">
        <v>7504</v>
      </c>
      <c r="ER111" s="334">
        <v>1570</v>
      </c>
      <c r="ES111" s="334">
        <v>62703</v>
      </c>
      <c r="ET111" s="334">
        <v>539</v>
      </c>
      <c r="EU111" s="334">
        <v>412</v>
      </c>
      <c r="EV111" s="334">
        <v>236</v>
      </c>
      <c r="EW111" s="334">
        <v>1</v>
      </c>
      <c r="EX111" s="334">
        <v>434</v>
      </c>
      <c r="EY111" s="334">
        <v>6</v>
      </c>
      <c r="EZ111" s="335">
        <v>111461</v>
      </c>
      <c r="FA111" s="336"/>
      <c r="FB111" s="337">
        <v>152</v>
      </c>
      <c r="FC111" s="336">
        <v>6</v>
      </c>
      <c r="FD111" s="334"/>
      <c r="FE111" s="334">
        <v>3</v>
      </c>
      <c r="FF111" s="336">
        <v>9</v>
      </c>
      <c r="FG111" s="337"/>
      <c r="FH111" s="337"/>
      <c r="FI111" s="336">
        <v>201</v>
      </c>
      <c r="FJ111" s="334">
        <v>1</v>
      </c>
      <c r="FK111" s="334"/>
      <c r="FL111" s="334"/>
      <c r="FM111" s="336">
        <v>202</v>
      </c>
      <c r="FN111" s="333">
        <v>6</v>
      </c>
      <c r="FO111" s="334"/>
      <c r="FP111" s="335">
        <v>6</v>
      </c>
      <c r="FQ111" s="336">
        <v>5</v>
      </c>
      <c r="FR111" s="334"/>
      <c r="FS111" s="336">
        <v>5</v>
      </c>
      <c r="FT111" s="337"/>
      <c r="FU111" s="336">
        <v>1682</v>
      </c>
      <c r="FV111" s="334">
        <v>0</v>
      </c>
      <c r="FW111" s="336">
        <v>1682</v>
      </c>
      <c r="FX111" s="333">
        <v>65</v>
      </c>
      <c r="FY111" s="334">
        <v>10</v>
      </c>
      <c r="FZ111" s="334"/>
      <c r="GA111" s="334">
        <v>10</v>
      </c>
      <c r="GB111" s="335">
        <v>85</v>
      </c>
      <c r="GC111" s="336"/>
      <c r="GD111" s="333">
        <v>1074</v>
      </c>
      <c r="GE111" s="334">
        <v>2</v>
      </c>
      <c r="GF111" s="335">
        <v>1076</v>
      </c>
      <c r="GG111" s="336">
        <v>18</v>
      </c>
      <c r="GH111" s="333">
        <v>28</v>
      </c>
      <c r="GI111" s="334"/>
      <c r="GJ111" s="334"/>
      <c r="GK111" s="335">
        <v>28</v>
      </c>
      <c r="GL111" s="336">
        <v>32</v>
      </c>
      <c r="GM111" s="333">
        <v>85</v>
      </c>
      <c r="GN111" s="334">
        <v>2</v>
      </c>
      <c r="GO111" s="334">
        <v>20</v>
      </c>
      <c r="GP111" s="334"/>
      <c r="GQ111" s="335">
        <v>107</v>
      </c>
      <c r="GR111" s="336">
        <v>2199958</v>
      </c>
      <c r="GS111" s="338">
        <f>2199958/49209180</f>
        <v>4.4706251963556397E-2</v>
      </c>
      <c r="GT111" s="293"/>
      <c r="GU111" s="293"/>
      <c r="GV111" s="293"/>
      <c r="GW111" s="293"/>
      <c r="GX111" s="293"/>
      <c r="GY111" s="293"/>
      <c r="GZ111" s="293"/>
      <c r="HA111" s="293"/>
      <c r="HB111" s="293"/>
      <c r="HC111" s="293"/>
      <c r="HD111" s="293"/>
      <c r="HE111" s="293"/>
      <c r="HF111" s="293"/>
      <c r="HG111" s="293"/>
      <c r="HH111" s="293"/>
      <c r="HI111" s="293"/>
      <c r="HJ111" s="293"/>
      <c r="HK111" s="293"/>
      <c r="HL111" s="293"/>
      <c r="HM111" s="293"/>
      <c r="HN111" s="293"/>
      <c r="HO111" s="293"/>
      <c r="HP111" s="293"/>
      <c r="HQ111" s="293"/>
      <c r="HR111" s="293"/>
      <c r="HS111" s="293"/>
      <c r="HT111" s="293"/>
      <c r="HU111" s="293"/>
      <c r="HV111" s="293"/>
      <c r="HW111" s="293"/>
      <c r="HX111" s="294"/>
    </row>
    <row r="112" spans="2:232" ht="13.5" thickBot="1" x14ac:dyDescent="0.25">
      <c r="B112" s="332" t="s">
        <v>552</v>
      </c>
      <c r="C112" s="333">
        <v>1023</v>
      </c>
      <c r="D112" s="334"/>
      <c r="E112" s="334"/>
      <c r="F112" s="334">
        <v>1</v>
      </c>
      <c r="G112" s="335">
        <v>1024</v>
      </c>
      <c r="H112" s="336"/>
      <c r="I112" s="333">
        <v>2</v>
      </c>
      <c r="J112" s="334"/>
      <c r="K112" s="335">
        <v>2</v>
      </c>
      <c r="L112" s="336"/>
      <c r="M112" s="337">
        <v>844</v>
      </c>
      <c r="N112" s="336">
        <v>18107</v>
      </c>
      <c r="O112" s="334">
        <v>66</v>
      </c>
      <c r="P112" s="334"/>
      <c r="Q112" s="334">
        <v>77</v>
      </c>
      <c r="R112" s="334"/>
      <c r="S112" s="334"/>
      <c r="T112" s="334"/>
      <c r="U112" s="334"/>
      <c r="V112" s="336">
        <v>18250</v>
      </c>
      <c r="W112" s="333"/>
      <c r="X112" s="334"/>
      <c r="Y112" s="335"/>
      <c r="Z112" s="336">
        <v>29</v>
      </c>
      <c r="AA112" s="334"/>
      <c r="AB112" s="336">
        <v>29</v>
      </c>
      <c r="AC112" s="333">
        <v>2</v>
      </c>
      <c r="AD112" s="334"/>
      <c r="AE112" s="334"/>
      <c r="AF112" s="335">
        <v>2</v>
      </c>
      <c r="AG112" s="336"/>
      <c r="AH112" s="334"/>
      <c r="AI112" s="334"/>
      <c r="AJ112" s="334"/>
      <c r="AK112" s="336"/>
      <c r="AL112" s="333"/>
      <c r="AM112" s="334"/>
      <c r="AN112" s="335"/>
      <c r="AO112" s="336"/>
      <c r="AP112" s="337"/>
      <c r="AQ112" s="336"/>
      <c r="AR112" s="334"/>
      <c r="AS112" s="334"/>
      <c r="AT112" s="336"/>
      <c r="AU112" s="333">
        <v>2</v>
      </c>
      <c r="AV112" s="334"/>
      <c r="AW112" s="334"/>
      <c r="AX112" s="334"/>
      <c r="AY112" s="334"/>
      <c r="AZ112" s="334"/>
      <c r="BA112" s="334"/>
      <c r="BB112" s="334"/>
      <c r="BC112" s="335">
        <v>2</v>
      </c>
      <c r="BD112" s="336"/>
      <c r="BE112" s="337">
        <v>168</v>
      </c>
      <c r="BF112" s="336">
        <v>146</v>
      </c>
      <c r="BG112" s="334">
        <v>87</v>
      </c>
      <c r="BH112" s="334">
        <v>1337</v>
      </c>
      <c r="BI112" s="334">
        <v>1</v>
      </c>
      <c r="BJ112" s="334">
        <v>8</v>
      </c>
      <c r="BK112" s="334"/>
      <c r="BL112" s="336">
        <v>1579</v>
      </c>
      <c r="BM112" s="337">
        <v>1</v>
      </c>
      <c r="BN112" s="337"/>
      <c r="BO112" s="337"/>
      <c r="BP112" s="337">
        <v>8</v>
      </c>
      <c r="BQ112" s="336">
        <v>501</v>
      </c>
      <c r="BR112" s="334"/>
      <c r="BS112" s="336">
        <v>501</v>
      </c>
      <c r="BT112" s="337"/>
      <c r="BU112" s="336">
        <v>2</v>
      </c>
      <c r="BV112" s="334">
        <v>6</v>
      </c>
      <c r="BW112" s="334"/>
      <c r="BX112" s="336">
        <v>8</v>
      </c>
      <c r="BY112" s="333"/>
      <c r="BZ112" s="334"/>
      <c r="CA112" s="334"/>
      <c r="CB112" s="334"/>
      <c r="CC112" s="334">
        <v>0</v>
      </c>
      <c r="CD112" s="334">
        <v>1</v>
      </c>
      <c r="CE112" s="334"/>
      <c r="CF112" s="334"/>
      <c r="CG112" s="334"/>
      <c r="CH112" s="334"/>
      <c r="CI112" s="334">
        <v>1</v>
      </c>
      <c r="CJ112" s="334"/>
      <c r="CK112" s="334">
        <v>1</v>
      </c>
      <c r="CL112" s="334"/>
      <c r="CM112" s="334"/>
      <c r="CN112" s="335">
        <v>3</v>
      </c>
      <c r="CO112" s="336"/>
      <c r="CP112" s="334"/>
      <c r="CQ112" s="336"/>
      <c r="CR112" s="337"/>
      <c r="CS112" s="336">
        <v>3</v>
      </c>
      <c r="CT112" s="334">
        <v>18</v>
      </c>
      <c r="CU112" s="334">
        <v>24438</v>
      </c>
      <c r="CV112" s="334">
        <v>2</v>
      </c>
      <c r="CW112" s="334">
        <v>19615</v>
      </c>
      <c r="CX112" s="334">
        <v>11</v>
      </c>
      <c r="CY112" s="334">
        <v>17</v>
      </c>
      <c r="CZ112" s="334">
        <v>2</v>
      </c>
      <c r="DA112" s="334"/>
      <c r="DB112" s="334"/>
      <c r="DC112" s="334">
        <v>0</v>
      </c>
      <c r="DD112" s="336">
        <v>44106</v>
      </c>
      <c r="DE112" s="333">
        <v>1156</v>
      </c>
      <c r="DF112" s="334">
        <v>20</v>
      </c>
      <c r="DG112" s="334"/>
      <c r="DH112" s="334"/>
      <c r="DI112" s="334"/>
      <c r="DJ112" s="334"/>
      <c r="DK112" s="334"/>
      <c r="DL112" s="335">
        <v>1176</v>
      </c>
      <c r="DM112" s="336"/>
      <c r="DN112" s="337"/>
      <c r="DO112" s="336"/>
      <c r="DP112" s="334"/>
      <c r="DQ112" s="336"/>
      <c r="DR112" s="337">
        <v>88</v>
      </c>
      <c r="DS112" s="336"/>
      <c r="DT112" s="334"/>
      <c r="DU112" s="336"/>
      <c r="DV112" s="333">
        <v>4</v>
      </c>
      <c r="DW112" s="334"/>
      <c r="DX112" s="335">
        <v>4</v>
      </c>
      <c r="DY112" s="336">
        <v>13</v>
      </c>
      <c r="DZ112" s="337">
        <v>0</v>
      </c>
      <c r="EA112" s="336">
        <v>28</v>
      </c>
      <c r="EB112" s="334"/>
      <c r="EC112" s="336">
        <v>28</v>
      </c>
      <c r="ED112" s="337"/>
      <c r="EE112" s="337"/>
      <c r="EF112" s="336">
        <v>3</v>
      </c>
      <c r="EG112" s="334">
        <v>1</v>
      </c>
      <c r="EH112" s="334"/>
      <c r="EI112" s="334"/>
      <c r="EJ112" s="334"/>
      <c r="EK112" s="334"/>
      <c r="EL112" s="336">
        <v>4</v>
      </c>
      <c r="EM112" s="333">
        <v>6</v>
      </c>
      <c r="EN112" s="334">
        <v>334</v>
      </c>
      <c r="EO112" s="334">
        <v>0</v>
      </c>
      <c r="EP112" s="334">
        <v>3</v>
      </c>
      <c r="EQ112" s="334">
        <v>222</v>
      </c>
      <c r="ER112" s="334"/>
      <c r="ES112" s="334">
        <v>1</v>
      </c>
      <c r="ET112" s="334"/>
      <c r="EU112" s="334"/>
      <c r="EV112" s="334"/>
      <c r="EW112" s="334"/>
      <c r="EX112" s="334"/>
      <c r="EY112" s="334"/>
      <c r="EZ112" s="335">
        <v>566</v>
      </c>
      <c r="FA112" s="336"/>
      <c r="FB112" s="337"/>
      <c r="FC112" s="336"/>
      <c r="FD112" s="334"/>
      <c r="FE112" s="334"/>
      <c r="FF112" s="336"/>
      <c r="FG112" s="337"/>
      <c r="FH112" s="337"/>
      <c r="FI112" s="336">
        <v>13</v>
      </c>
      <c r="FJ112" s="334">
        <v>14</v>
      </c>
      <c r="FK112" s="334"/>
      <c r="FL112" s="334">
        <v>6</v>
      </c>
      <c r="FM112" s="336">
        <v>33</v>
      </c>
      <c r="FN112" s="333"/>
      <c r="FO112" s="334">
        <v>3</v>
      </c>
      <c r="FP112" s="335">
        <v>3</v>
      </c>
      <c r="FQ112" s="336"/>
      <c r="FR112" s="334"/>
      <c r="FS112" s="336"/>
      <c r="FT112" s="337"/>
      <c r="FU112" s="336">
        <v>165</v>
      </c>
      <c r="FV112" s="334"/>
      <c r="FW112" s="336">
        <v>165</v>
      </c>
      <c r="FX112" s="333">
        <v>4</v>
      </c>
      <c r="FY112" s="334">
        <v>12</v>
      </c>
      <c r="FZ112" s="334">
        <v>1</v>
      </c>
      <c r="GA112" s="334"/>
      <c r="GB112" s="335">
        <v>17</v>
      </c>
      <c r="GC112" s="336"/>
      <c r="GD112" s="333">
        <v>271</v>
      </c>
      <c r="GE112" s="334">
        <v>0</v>
      </c>
      <c r="GF112" s="335">
        <v>271</v>
      </c>
      <c r="GG112" s="336"/>
      <c r="GH112" s="333">
        <v>0</v>
      </c>
      <c r="GI112" s="334"/>
      <c r="GJ112" s="334"/>
      <c r="GK112" s="335">
        <v>0</v>
      </c>
      <c r="GL112" s="336">
        <v>12</v>
      </c>
      <c r="GM112" s="333"/>
      <c r="GN112" s="334">
        <v>1</v>
      </c>
      <c r="GO112" s="334"/>
      <c r="GP112" s="334"/>
      <c r="GQ112" s="335">
        <v>1</v>
      </c>
      <c r="GR112" s="336">
        <v>68908</v>
      </c>
      <c r="GS112" s="338">
        <f>68908/49209180</f>
        <v>1.4003078287425233E-3</v>
      </c>
      <c r="GT112" s="293"/>
      <c r="GU112" s="293"/>
      <c r="GV112" s="293"/>
      <c r="GW112" s="293"/>
      <c r="GX112" s="293"/>
      <c r="GY112" s="293"/>
      <c r="GZ112" s="293"/>
      <c r="HA112" s="293"/>
      <c r="HB112" s="293"/>
      <c r="HC112" s="293"/>
      <c r="HD112" s="293"/>
      <c r="HE112" s="293"/>
      <c r="HF112" s="293"/>
      <c r="HG112" s="293"/>
      <c r="HH112" s="293"/>
      <c r="HI112" s="293"/>
      <c r="HJ112" s="293"/>
      <c r="HK112" s="293"/>
      <c r="HL112" s="293"/>
      <c r="HM112" s="293"/>
      <c r="HN112" s="293"/>
      <c r="HO112" s="293"/>
      <c r="HP112" s="293"/>
      <c r="HQ112" s="293"/>
      <c r="HR112" s="293"/>
      <c r="HS112" s="293"/>
      <c r="HT112" s="293"/>
      <c r="HU112" s="293"/>
      <c r="HV112" s="293"/>
      <c r="HW112" s="293"/>
      <c r="HX112" s="294"/>
    </row>
    <row r="113" spans="2:232" ht="13.5" thickBot="1" x14ac:dyDescent="0.25">
      <c r="B113" s="346" t="s">
        <v>553</v>
      </c>
      <c r="C113" s="347">
        <v>1</v>
      </c>
      <c r="D113" s="348"/>
      <c r="E113" s="348"/>
      <c r="F113" s="348"/>
      <c r="G113" s="349">
        <v>1</v>
      </c>
      <c r="H113" s="350"/>
      <c r="I113" s="347">
        <v>18</v>
      </c>
      <c r="J113" s="348"/>
      <c r="K113" s="349">
        <v>18</v>
      </c>
      <c r="L113" s="350"/>
      <c r="M113" s="351">
        <v>13</v>
      </c>
      <c r="N113" s="350">
        <v>104</v>
      </c>
      <c r="O113" s="348"/>
      <c r="P113" s="348">
        <v>14</v>
      </c>
      <c r="Q113" s="348"/>
      <c r="R113" s="348"/>
      <c r="S113" s="348"/>
      <c r="T113" s="348"/>
      <c r="U113" s="348"/>
      <c r="V113" s="350">
        <v>118</v>
      </c>
      <c r="W113" s="347">
        <v>1</v>
      </c>
      <c r="X113" s="348">
        <v>1</v>
      </c>
      <c r="Y113" s="349">
        <v>2</v>
      </c>
      <c r="Z113" s="350">
        <v>27</v>
      </c>
      <c r="AA113" s="348"/>
      <c r="AB113" s="350">
        <v>27</v>
      </c>
      <c r="AC113" s="347">
        <v>25</v>
      </c>
      <c r="AD113" s="348"/>
      <c r="AE113" s="348"/>
      <c r="AF113" s="349">
        <v>25</v>
      </c>
      <c r="AG113" s="350">
        <v>2</v>
      </c>
      <c r="AH113" s="348"/>
      <c r="AI113" s="348"/>
      <c r="AJ113" s="348"/>
      <c r="AK113" s="350">
        <v>2</v>
      </c>
      <c r="AL113" s="347"/>
      <c r="AM113" s="348"/>
      <c r="AN113" s="349"/>
      <c r="AO113" s="350"/>
      <c r="AP113" s="351"/>
      <c r="AQ113" s="350"/>
      <c r="AR113" s="348"/>
      <c r="AS113" s="348"/>
      <c r="AT113" s="350"/>
      <c r="AU113" s="347"/>
      <c r="AV113" s="348"/>
      <c r="AW113" s="348">
        <v>3</v>
      </c>
      <c r="AX113" s="348"/>
      <c r="AY113" s="348"/>
      <c r="AZ113" s="348"/>
      <c r="BA113" s="348"/>
      <c r="BB113" s="348"/>
      <c r="BC113" s="349">
        <v>3</v>
      </c>
      <c r="BD113" s="350"/>
      <c r="BE113" s="351"/>
      <c r="BF113" s="350"/>
      <c r="BG113" s="348">
        <v>6</v>
      </c>
      <c r="BH113" s="348">
        <v>23</v>
      </c>
      <c r="BI113" s="348">
        <v>0</v>
      </c>
      <c r="BJ113" s="348">
        <v>0</v>
      </c>
      <c r="BK113" s="348"/>
      <c r="BL113" s="350">
        <v>29</v>
      </c>
      <c r="BM113" s="351"/>
      <c r="BN113" s="351"/>
      <c r="BO113" s="351"/>
      <c r="BP113" s="351"/>
      <c r="BQ113" s="350"/>
      <c r="BR113" s="348"/>
      <c r="BS113" s="350"/>
      <c r="BT113" s="351"/>
      <c r="BU113" s="350">
        <v>0</v>
      </c>
      <c r="BV113" s="348"/>
      <c r="BW113" s="348">
        <v>0</v>
      </c>
      <c r="BX113" s="350">
        <v>0</v>
      </c>
      <c r="BY113" s="347"/>
      <c r="BZ113" s="348"/>
      <c r="CA113" s="348"/>
      <c r="CB113" s="348"/>
      <c r="CC113" s="348"/>
      <c r="CD113" s="348"/>
      <c r="CE113" s="348"/>
      <c r="CF113" s="348"/>
      <c r="CG113" s="348"/>
      <c r="CH113" s="348"/>
      <c r="CI113" s="348"/>
      <c r="CJ113" s="348"/>
      <c r="CK113" s="348"/>
      <c r="CL113" s="348"/>
      <c r="CM113" s="348"/>
      <c r="CN113" s="349"/>
      <c r="CO113" s="350">
        <v>3</v>
      </c>
      <c r="CP113" s="348"/>
      <c r="CQ113" s="350">
        <v>3</v>
      </c>
      <c r="CR113" s="351"/>
      <c r="CS113" s="350">
        <v>6</v>
      </c>
      <c r="CT113" s="348"/>
      <c r="CU113" s="348">
        <v>553</v>
      </c>
      <c r="CV113" s="348">
        <v>7</v>
      </c>
      <c r="CW113" s="348">
        <v>95</v>
      </c>
      <c r="CX113" s="348">
        <v>1</v>
      </c>
      <c r="CY113" s="348">
        <v>1</v>
      </c>
      <c r="CZ113" s="348"/>
      <c r="DA113" s="348"/>
      <c r="DB113" s="348"/>
      <c r="DC113" s="348"/>
      <c r="DD113" s="350">
        <v>663</v>
      </c>
      <c r="DE113" s="347">
        <v>19</v>
      </c>
      <c r="DF113" s="348">
        <v>3</v>
      </c>
      <c r="DG113" s="348">
        <v>1</v>
      </c>
      <c r="DH113" s="348">
        <v>3</v>
      </c>
      <c r="DI113" s="348"/>
      <c r="DJ113" s="348"/>
      <c r="DK113" s="348"/>
      <c r="DL113" s="349">
        <v>26</v>
      </c>
      <c r="DM113" s="350"/>
      <c r="DN113" s="351"/>
      <c r="DO113" s="350"/>
      <c r="DP113" s="348"/>
      <c r="DQ113" s="350"/>
      <c r="DR113" s="351"/>
      <c r="DS113" s="350"/>
      <c r="DT113" s="348"/>
      <c r="DU113" s="350"/>
      <c r="DV113" s="347">
        <v>4</v>
      </c>
      <c r="DW113" s="348"/>
      <c r="DX113" s="349">
        <v>4</v>
      </c>
      <c r="DY113" s="350"/>
      <c r="DZ113" s="351"/>
      <c r="EA113" s="350"/>
      <c r="EB113" s="348"/>
      <c r="EC113" s="350"/>
      <c r="ED113" s="351"/>
      <c r="EE113" s="351"/>
      <c r="EF113" s="350">
        <v>1</v>
      </c>
      <c r="EG113" s="348"/>
      <c r="EH113" s="348"/>
      <c r="EI113" s="348"/>
      <c r="EJ113" s="348"/>
      <c r="EK113" s="348"/>
      <c r="EL113" s="350">
        <v>1</v>
      </c>
      <c r="EM113" s="347">
        <v>1</v>
      </c>
      <c r="EN113" s="348">
        <v>22</v>
      </c>
      <c r="EO113" s="348"/>
      <c r="EP113" s="348">
        <v>23</v>
      </c>
      <c r="EQ113" s="348">
        <v>13</v>
      </c>
      <c r="ER113" s="348"/>
      <c r="ES113" s="348">
        <v>1</v>
      </c>
      <c r="ET113" s="348"/>
      <c r="EU113" s="348"/>
      <c r="EV113" s="348"/>
      <c r="EW113" s="348"/>
      <c r="EX113" s="348">
        <v>1</v>
      </c>
      <c r="EY113" s="348"/>
      <c r="EZ113" s="349">
        <v>61</v>
      </c>
      <c r="FA113" s="350"/>
      <c r="FB113" s="351"/>
      <c r="FC113" s="350"/>
      <c r="FD113" s="348"/>
      <c r="FE113" s="348"/>
      <c r="FF113" s="350"/>
      <c r="FG113" s="351"/>
      <c r="FH113" s="351"/>
      <c r="FI113" s="350"/>
      <c r="FJ113" s="348"/>
      <c r="FK113" s="348"/>
      <c r="FL113" s="348"/>
      <c r="FM113" s="350"/>
      <c r="FN113" s="347"/>
      <c r="FO113" s="348"/>
      <c r="FP113" s="349"/>
      <c r="FQ113" s="350"/>
      <c r="FR113" s="348"/>
      <c r="FS113" s="350"/>
      <c r="FT113" s="351"/>
      <c r="FU113" s="350">
        <v>3</v>
      </c>
      <c r="FV113" s="348"/>
      <c r="FW113" s="350">
        <v>3</v>
      </c>
      <c r="FX113" s="347"/>
      <c r="FY113" s="348">
        <v>3</v>
      </c>
      <c r="FZ113" s="348">
        <v>3</v>
      </c>
      <c r="GA113" s="348"/>
      <c r="GB113" s="349">
        <v>6</v>
      </c>
      <c r="GC113" s="350"/>
      <c r="GD113" s="347"/>
      <c r="GE113" s="348"/>
      <c r="GF113" s="349"/>
      <c r="GG113" s="350"/>
      <c r="GH113" s="347">
        <v>2</v>
      </c>
      <c r="GI113" s="348"/>
      <c r="GJ113" s="348"/>
      <c r="GK113" s="349">
        <v>2</v>
      </c>
      <c r="GL113" s="350"/>
      <c r="GM113" s="347"/>
      <c r="GN113" s="348"/>
      <c r="GO113" s="348"/>
      <c r="GP113" s="348"/>
      <c r="GQ113" s="349"/>
      <c r="GR113" s="350">
        <v>1007</v>
      </c>
      <c r="GS113" s="352">
        <f>1007/49209180</f>
        <v>2.0463661455037455E-5</v>
      </c>
      <c r="GT113" s="293"/>
      <c r="GU113" s="293"/>
      <c r="GV113" s="293"/>
      <c r="GW113" s="293"/>
      <c r="GX113" s="293"/>
      <c r="GY113" s="293"/>
      <c r="GZ113" s="293"/>
      <c r="HA113" s="293"/>
      <c r="HB113" s="293"/>
      <c r="HC113" s="293"/>
      <c r="HD113" s="293"/>
      <c r="HE113" s="293"/>
      <c r="HF113" s="293"/>
      <c r="HG113" s="293"/>
      <c r="HH113" s="293"/>
      <c r="HI113" s="293"/>
      <c r="HJ113" s="293"/>
      <c r="HK113" s="293"/>
      <c r="HL113" s="293"/>
      <c r="HM113" s="293"/>
      <c r="HN113" s="293"/>
      <c r="HO113" s="293"/>
      <c r="HP113" s="293"/>
      <c r="HQ113" s="293"/>
      <c r="HR113" s="293"/>
      <c r="HS113" s="293"/>
      <c r="HT113" s="293"/>
      <c r="HU113" s="293"/>
      <c r="HV113" s="293"/>
      <c r="HW113" s="293"/>
      <c r="HX113" s="294"/>
    </row>
    <row r="114" spans="2:232" ht="13.5" thickBot="1" x14ac:dyDescent="0.25">
      <c r="B114" s="346" t="s">
        <v>537</v>
      </c>
      <c r="C114" s="347">
        <v>159518</v>
      </c>
      <c r="D114" s="348">
        <v>458</v>
      </c>
      <c r="E114" s="348">
        <v>572</v>
      </c>
      <c r="F114" s="348">
        <v>468</v>
      </c>
      <c r="G114" s="349">
        <v>161016</v>
      </c>
      <c r="H114" s="350">
        <v>26</v>
      </c>
      <c r="I114" s="347">
        <v>392850</v>
      </c>
      <c r="J114" s="348">
        <v>6</v>
      </c>
      <c r="K114" s="349">
        <v>392856</v>
      </c>
      <c r="L114" s="350">
        <v>18</v>
      </c>
      <c r="M114" s="351">
        <v>638785</v>
      </c>
      <c r="N114" s="350">
        <v>14473683</v>
      </c>
      <c r="O114" s="348">
        <v>180357</v>
      </c>
      <c r="P114" s="348">
        <v>48132</v>
      </c>
      <c r="Q114" s="348">
        <v>27122</v>
      </c>
      <c r="R114" s="348">
        <v>496</v>
      </c>
      <c r="S114" s="348">
        <v>19393</v>
      </c>
      <c r="T114" s="348">
        <v>547</v>
      </c>
      <c r="U114" s="348">
        <v>81</v>
      </c>
      <c r="V114" s="350">
        <v>14749811</v>
      </c>
      <c r="W114" s="347">
        <v>66944</v>
      </c>
      <c r="X114" s="348">
        <v>46334</v>
      </c>
      <c r="Y114" s="349">
        <v>113278</v>
      </c>
      <c r="Z114" s="350">
        <v>1829782</v>
      </c>
      <c r="AA114" s="348">
        <v>513</v>
      </c>
      <c r="AB114" s="350">
        <v>1830295</v>
      </c>
      <c r="AC114" s="347">
        <v>789774</v>
      </c>
      <c r="AD114" s="348">
        <v>668</v>
      </c>
      <c r="AE114" s="348">
        <v>20</v>
      </c>
      <c r="AF114" s="349">
        <v>790462</v>
      </c>
      <c r="AG114" s="350">
        <v>28035</v>
      </c>
      <c r="AH114" s="348">
        <v>8355</v>
      </c>
      <c r="AI114" s="348">
        <v>2874</v>
      </c>
      <c r="AJ114" s="348">
        <v>40</v>
      </c>
      <c r="AK114" s="350">
        <v>39304</v>
      </c>
      <c r="AL114" s="347">
        <v>1204</v>
      </c>
      <c r="AM114" s="348">
        <v>17186</v>
      </c>
      <c r="AN114" s="349">
        <v>18390</v>
      </c>
      <c r="AO114" s="350">
        <v>4</v>
      </c>
      <c r="AP114" s="351">
        <v>0</v>
      </c>
      <c r="AQ114" s="350">
        <v>704</v>
      </c>
      <c r="AR114" s="348">
        <v>5264</v>
      </c>
      <c r="AS114" s="348">
        <v>1</v>
      </c>
      <c r="AT114" s="350">
        <v>5969</v>
      </c>
      <c r="AU114" s="347">
        <v>23263</v>
      </c>
      <c r="AV114" s="348">
        <v>181</v>
      </c>
      <c r="AW114" s="348">
        <v>10771</v>
      </c>
      <c r="AX114" s="348">
        <v>70</v>
      </c>
      <c r="AY114" s="348">
        <v>689</v>
      </c>
      <c r="AZ114" s="348">
        <v>63</v>
      </c>
      <c r="BA114" s="348">
        <v>114</v>
      </c>
      <c r="BB114" s="348">
        <v>136</v>
      </c>
      <c r="BC114" s="349">
        <v>35287</v>
      </c>
      <c r="BD114" s="350">
        <v>18385</v>
      </c>
      <c r="BE114" s="351">
        <v>25955</v>
      </c>
      <c r="BF114" s="350">
        <v>875724</v>
      </c>
      <c r="BG114" s="348">
        <v>727417</v>
      </c>
      <c r="BH114" s="348">
        <v>2872030</v>
      </c>
      <c r="BI114" s="348">
        <v>21124</v>
      </c>
      <c r="BJ114" s="348">
        <v>219045</v>
      </c>
      <c r="BK114" s="348">
        <v>240</v>
      </c>
      <c r="BL114" s="350">
        <v>4715580</v>
      </c>
      <c r="BM114" s="351">
        <v>17407</v>
      </c>
      <c r="BN114" s="351">
        <v>16</v>
      </c>
      <c r="BO114" s="351">
        <v>809</v>
      </c>
      <c r="BP114" s="351">
        <v>30640</v>
      </c>
      <c r="BQ114" s="350">
        <v>61782</v>
      </c>
      <c r="BR114" s="348">
        <v>57886</v>
      </c>
      <c r="BS114" s="350">
        <v>119668</v>
      </c>
      <c r="BT114" s="351">
        <v>3029</v>
      </c>
      <c r="BU114" s="350">
        <v>147485</v>
      </c>
      <c r="BV114" s="348">
        <v>43172</v>
      </c>
      <c r="BW114" s="348">
        <v>16892</v>
      </c>
      <c r="BX114" s="350">
        <v>207549</v>
      </c>
      <c r="BY114" s="347">
        <v>156</v>
      </c>
      <c r="BZ114" s="348">
        <v>501</v>
      </c>
      <c r="CA114" s="348">
        <v>1027</v>
      </c>
      <c r="CB114" s="348">
        <v>945</v>
      </c>
      <c r="CC114" s="348">
        <v>1535</v>
      </c>
      <c r="CD114" s="348">
        <v>981</v>
      </c>
      <c r="CE114" s="348">
        <v>508</v>
      </c>
      <c r="CF114" s="348">
        <v>36</v>
      </c>
      <c r="CG114" s="348">
        <v>549</v>
      </c>
      <c r="CH114" s="348">
        <v>417</v>
      </c>
      <c r="CI114" s="348">
        <v>1152</v>
      </c>
      <c r="CJ114" s="348">
        <v>58107</v>
      </c>
      <c r="CK114" s="348">
        <v>567</v>
      </c>
      <c r="CL114" s="348">
        <v>153</v>
      </c>
      <c r="CM114" s="348">
        <v>18737</v>
      </c>
      <c r="CN114" s="349">
        <v>85371</v>
      </c>
      <c r="CO114" s="350">
        <v>323499</v>
      </c>
      <c r="CP114" s="348">
        <v>133</v>
      </c>
      <c r="CQ114" s="350">
        <v>323632</v>
      </c>
      <c r="CR114" s="351">
        <v>12467</v>
      </c>
      <c r="CS114" s="350">
        <v>15491</v>
      </c>
      <c r="CT114" s="348">
        <v>5569</v>
      </c>
      <c r="CU114" s="348">
        <v>12177784</v>
      </c>
      <c r="CV114" s="348">
        <v>330706</v>
      </c>
      <c r="CW114" s="348">
        <v>4771157</v>
      </c>
      <c r="CX114" s="348">
        <v>21511</v>
      </c>
      <c r="CY114" s="348">
        <v>16666</v>
      </c>
      <c r="CZ114" s="348">
        <v>3710</v>
      </c>
      <c r="DA114" s="348">
        <v>26606</v>
      </c>
      <c r="DB114" s="348">
        <v>235</v>
      </c>
      <c r="DC114" s="348">
        <v>595</v>
      </c>
      <c r="DD114" s="350">
        <v>17370030</v>
      </c>
      <c r="DE114" s="347">
        <v>1351992</v>
      </c>
      <c r="DF114" s="348">
        <v>7253</v>
      </c>
      <c r="DG114" s="348">
        <v>84265</v>
      </c>
      <c r="DH114" s="348">
        <v>41011</v>
      </c>
      <c r="DI114" s="348">
        <v>7220</v>
      </c>
      <c r="DJ114" s="348">
        <v>35</v>
      </c>
      <c r="DK114" s="348">
        <v>27</v>
      </c>
      <c r="DL114" s="349">
        <v>1491803</v>
      </c>
      <c r="DM114" s="350">
        <v>56</v>
      </c>
      <c r="DN114" s="351">
        <v>65</v>
      </c>
      <c r="DO114" s="350">
        <v>15</v>
      </c>
      <c r="DP114" s="348">
        <v>440</v>
      </c>
      <c r="DQ114" s="350">
        <v>455</v>
      </c>
      <c r="DR114" s="351">
        <v>123728</v>
      </c>
      <c r="DS114" s="350">
        <v>73783</v>
      </c>
      <c r="DT114" s="348">
        <v>5989</v>
      </c>
      <c r="DU114" s="350">
        <v>79772</v>
      </c>
      <c r="DV114" s="347">
        <v>27820</v>
      </c>
      <c r="DW114" s="348">
        <v>50</v>
      </c>
      <c r="DX114" s="349">
        <v>27870</v>
      </c>
      <c r="DY114" s="350">
        <v>38224</v>
      </c>
      <c r="DZ114" s="351">
        <v>10726</v>
      </c>
      <c r="EA114" s="350">
        <v>657585</v>
      </c>
      <c r="EB114" s="348">
        <v>2</v>
      </c>
      <c r="EC114" s="350">
        <v>657587</v>
      </c>
      <c r="ED114" s="351">
        <v>43</v>
      </c>
      <c r="EE114" s="351">
        <v>7</v>
      </c>
      <c r="EF114" s="350">
        <v>28121</v>
      </c>
      <c r="EG114" s="348">
        <v>30549</v>
      </c>
      <c r="EH114" s="348">
        <v>1045</v>
      </c>
      <c r="EI114" s="348">
        <v>4</v>
      </c>
      <c r="EJ114" s="348">
        <v>46</v>
      </c>
      <c r="EK114" s="348">
        <v>36</v>
      </c>
      <c r="EL114" s="350">
        <v>59801</v>
      </c>
      <c r="EM114" s="347">
        <v>257034</v>
      </c>
      <c r="EN114" s="348">
        <v>1737324</v>
      </c>
      <c r="EO114" s="348">
        <v>24089</v>
      </c>
      <c r="EP114" s="348">
        <v>197954</v>
      </c>
      <c r="EQ114" s="348">
        <v>896364</v>
      </c>
      <c r="ER114" s="348">
        <v>16641</v>
      </c>
      <c r="ES114" s="348">
        <v>185807</v>
      </c>
      <c r="ET114" s="348">
        <v>2800</v>
      </c>
      <c r="EU114" s="348">
        <v>2311</v>
      </c>
      <c r="EV114" s="348">
        <v>1771</v>
      </c>
      <c r="EW114" s="348">
        <v>167</v>
      </c>
      <c r="EX114" s="348">
        <v>3204</v>
      </c>
      <c r="EY114" s="348">
        <v>26</v>
      </c>
      <c r="EZ114" s="349">
        <v>3325492</v>
      </c>
      <c r="FA114" s="350">
        <v>1</v>
      </c>
      <c r="FB114" s="351">
        <v>7274</v>
      </c>
      <c r="FC114" s="350">
        <v>5445</v>
      </c>
      <c r="FD114" s="348">
        <v>111</v>
      </c>
      <c r="FE114" s="348">
        <v>15741</v>
      </c>
      <c r="FF114" s="350">
        <v>21297</v>
      </c>
      <c r="FG114" s="351">
        <v>289</v>
      </c>
      <c r="FH114" s="351">
        <v>4751</v>
      </c>
      <c r="FI114" s="350">
        <v>47110</v>
      </c>
      <c r="FJ114" s="348">
        <v>10756</v>
      </c>
      <c r="FK114" s="348">
        <v>846</v>
      </c>
      <c r="FL114" s="348">
        <v>6122</v>
      </c>
      <c r="FM114" s="350">
        <v>64834</v>
      </c>
      <c r="FN114" s="347">
        <v>249</v>
      </c>
      <c r="FO114" s="348">
        <v>8623</v>
      </c>
      <c r="FP114" s="349">
        <v>8872</v>
      </c>
      <c r="FQ114" s="350">
        <v>13474</v>
      </c>
      <c r="FR114" s="348">
        <v>4</v>
      </c>
      <c r="FS114" s="350">
        <v>13478</v>
      </c>
      <c r="FT114" s="351">
        <v>105</v>
      </c>
      <c r="FU114" s="350">
        <v>520578</v>
      </c>
      <c r="FV114" s="348">
        <v>0</v>
      </c>
      <c r="FW114" s="350">
        <v>520578</v>
      </c>
      <c r="FX114" s="347">
        <v>1943</v>
      </c>
      <c r="FY114" s="348">
        <v>6490</v>
      </c>
      <c r="FZ114" s="348">
        <v>1588</v>
      </c>
      <c r="GA114" s="348">
        <v>469</v>
      </c>
      <c r="GB114" s="349">
        <v>10490</v>
      </c>
      <c r="GC114" s="350">
        <v>1</v>
      </c>
      <c r="GD114" s="347">
        <v>413963</v>
      </c>
      <c r="GE114" s="348">
        <v>17896</v>
      </c>
      <c r="GF114" s="349">
        <v>431859</v>
      </c>
      <c r="GG114" s="350">
        <v>26</v>
      </c>
      <c r="GH114" s="347">
        <v>555308</v>
      </c>
      <c r="GI114" s="348">
        <v>20</v>
      </c>
      <c r="GJ114" s="348">
        <v>96</v>
      </c>
      <c r="GK114" s="349">
        <v>555424</v>
      </c>
      <c r="GL114" s="350">
        <v>7900</v>
      </c>
      <c r="GM114" s="347">
        <v>5138</v>
      </c>
      <c r="GN114" s="348">
        <v>21715</v>
      </c>
      <c r="GO114" s="348">
        <v>7043</v>
      </c>
      <c r="GP114" s="348">
        <v>6437</v>
      </c>
      <c r="GQ114" s="349">
        <v>40333</v>
      </c>
      <c r="GR114" s="350">
        <v>49209180</v>
      </c>
      <c r="GS114" s="352">
        <f>49209180/49209180</f>
        <v>1</v>
      </c>
      <c r="GT114" s="293"/>
      <c r="GU114" s="293"/>
      <c r="GV114" s="293"/>
      <c r="GW114" s="293"/>
      <c r="GX114" s="293"/>
      <c r="GY114" s="293"/>
      <c r="GZ114" s="293"/>
      <c r="HA114" s="293"/>
      <c r="HB114" s="293"/>
      <c r="HC114" s="293"/>
      <c r="HD114" s="293"/>
      <c r="HE114" s="293"/>
      <c r="HF114" s="293"/>
      <c r="HG114" s="293"/>
      <c r="HH114" s="293"/>
      <c r="HI114" s="293"/>
      <c r="HJ114" s="293"/>
      <c r="HK114" s="293"/>
      <c r="HL114" s="293"/>
      <c r="HM114" s="293"/>
      <c r="HN114" s="293"/>
      <c r="HO114" s="293"/>
      <c r="HP114" s="293"/>
      <c r="HQ114" s="293"/>
      <c r="HR114" s="293"/>
      <c r="HS114" s="293"/>
      <c r="HT114" s="293"/>
      <c r="HU114" s="293"/>
      <c r="HV114" s="293"/>
      <c r="HW114" s="293"/>
      <c r="HX114" s="294"/>
    </row>
  </sheetData>
  <mergeCells count="44">
    <mergeCell ref="GC1:GS1"/>
    <mergeCell ref="FH1:GB1"/>
    <mergeCell ref="EM1:FG1"/>
    <mergeCell ref="DO1:EL1"/>
    <mergeCell ref="CS1:DN1"/>
    <mergeCell ref="BY1:CR1"/>
    <mergeCell ref="BD1:BX1"/>
    <mergeCell ref="AC1:BC1"/>
    <mergeCell ref="B1:AB1"/>
    <mergeCell ref="B2:B3"/>
    <mergeCell ref="C2:G2"/>
    <mergeCell ref="I2:K2"/>
    <mergeCell ref="N2:V2"/>
    <mergeCell ref="AQ2:AT2"/>
    <mergeCell ref="AU2:BC2"/>
    <mergeCell ref="BF2:BL2"/>
    <mergeCell ref="BQ2:BS2"/>
    <mergeCell ref="BU2:BX2"/>
    <mergeCell ref="W2:Y2"/>
    <mergeCell ref="Z2:AB2"/>
    <mergeCell ref="AC2:AF2"/>
    <mergeCell ref="AG2:AK2"/>
    <mergeCell ref="AL2:AN2"/>
    <mergeCell ref="DS2:DU2"/>
    <mergeCell ref="DV2:DX2"/>
    <mergeCell ref="EA2:EC2"/>
    <mergeCell ref="EF2:EL2"/>
    <mergeCell ref="EM2:EZ2"/>
    <mergeCell ref="BY2:CN2"/>
    <mergeCell ref="CO2:CQ2"/>
    <mergeCell ref="CS2:DD2"/>
    <mergeCell ref="DE2:DL2"/>
    <mergeCell ref="DO2:DQ2"/>
    <mergeCell ref="GS2:GS3"/>
    <mergeCell ref="FX2:GB2"/>
    <mergeCell ref="GD2:GF2"/>
    <mergeCell ref="GH2:GK2"/>
    <mergeCell ref="GM2:GQ2"/>
    <mergeCell ref="GR2:GR3"/>
    <mergeCell ref="FC2:FF2"/>
    <mergeCell ref="FI2:FM2"/>
    <mergeCell ref="FN2:FP2"/>
    <mergeCell ref="FQ2:FS2"/>
    <mergeCell ref="FU2:FW2"/>
  </mergeCells>
  <printOptions horizontalCentered="1" verticalCentered="1"/>
  <pageMargins left="0.11811023622047245" right="0.11811023622047245" top="0.15748031496062992" bottom="0.11811023622047245" header="0.15748031496062992" footer="0.11811023622047245"/>
  <pageSetup scale="55" orientation="landscape" r:id="rId1"/>
  <headerFooter alignWithMargins="0"/>
  <rowBreaks count="1" manualBreakCount="1">
    <brk id="57" min="1" max="200" man="1"/>
  </rowBreaks>
  <colBreaks count="8" manualBreakCount="8">
    <brk id="28" max="113" man="1"/>
    <brk id="55" max="113" man="1"/>
    <brk id="76" max="113" man="1"/>
    <brk id="96" max="113" man="1"/>
    <brk id="118" max="113" man="1"/>
    <brk id="142" max="113" man="1"/>
    <brk id="163" max="113" man="1"/>
    <brk id="184" max="113"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A1:G17"/>
  <sheetViews>
    <sheetView view="pageBreakPreview" zoomScaleNormal="100" zoomScaleSheetLayoutView="100" workbookViewId="0"/>
  </sheetViews>
  <sheetFormatPr defaultColWidth="9.140625" defaultRowHeight="12.75" x14ac:dyDescent="0.2"/>
  <cols>
    <col min="1" max="1" width="9.140625" style="110"/>
    <col min="2" max="2" width="10.7109375" customWidth="1"/>
    <col min="3" max="7" width="15.140625" customWidth="1"/>
  </cols>
  <sheetData>
    <row r="1" spans="2:7" s="112" customFormat="1" ht="30" customHeight="1" x14ac:dyDescent="0.2">
      <c r="B1" s="419" t="s">
        <v>626</v>
      </c>
      <c r="C1" s="420"/>
      <c r="D1" s="420"/>
      <c r="E1" s="420"/>
      <c r="F1" s="420"/>
      <c r="G1" s="420"/>
    </row>
    <row r="2" spans="2:7" s="112" customFormat="1" ht="15" customHeight="1" thickBot="1" x14ac:dyDescent="0.25">
      <c r="B2" s="111"/>
    </row>
    <row r="3" spans="2:7" ht="15" customHeight="1" thickBot="1" x14ac:dyDescent="0.25">
      <c r="B3" s="122" t="s">
        <v>264</v>
      </c>
      <c r="C3" s="421" t="s">
        <v>1</v>
      </c>
      <c r="D3" s="421"/>
      <c r="E3" s="421"/>
      <c r="F3" s="421" t="s">
        <v>266</v>
      </c>
      <c r="G3" s="421"/>
    </row>
    <row r="4" spans="2:7" ht="15" customHeight="1" thickBot="1" x14ac:dyDescent="0.25">
      <c r="B4" s="114" t="s">
        <v>265</v>
      </c>
      <c r="C4" s="123">
        <v>2021</v>
      </c>
      <c r="D4" s="123">
        <v>2022</v>
      </c>
      <c r="E4" s="123">
        <v>2023</v>
      </c>
      <c r="F4" s="123" t="s">
        <v>589</v>
      </c>
      <c r="G4" s="123" t="s">
        <v>607</v>
      </c>
    </row>
    <row r="5" spans="2:7" ht="15" customHeight="1" x14ac:dyDescent="0.2">
      <c r="B5" s="113" t="s">
        <v>5</v>
      </c>
      <c r="C5" s="121">
        <v>2901</v>
      </c>
      <c r="D5" s="121">
        <v>2189</v>
      </c>
      <c r="E5" s="121">
        <v>9820</v>
      </c>
      <c r="F5" s="120">
        <v>-24.543260944501895</v>
      </c>
      <c r="G5" s="120">
        <v>348.60666971219734</v>
      </c>
    </row>
    <row r="6" spans="2:7" ht="15" customHeight="1" x14ac:dyDescent="0.2">
      <c r="B6" s="113" t="s">
        <v>6</v>
      </c>
      <c r="C6" s="121">
        <v>2420</v>
      </c>
      <c r="D6" s="121">
        <v>1642</v>
      </c>
      <c r="E6" s="121">
        <v>3633</v>
      </c>
      <c r="F6" s="120">
        <v>-32.148760330578511</v>
      </c>
      <c r="G6" s="120">
        <v>121.25456760048721</v>
      </c>
    </row>
    <row r="7" spans="2:7" ht="15" customHeight="1" x14ac:dyDescent="0.2">
      <c r="B7" s="113" t="s">
        <v>7</v>
      </c>
      <c r="C7" s="121">
        <v>2980</v>
      </c>
      <c r="D7" s="121">
        <v>569</v>
      </c>
      <c r="E7" s="121">
        <v>24951</v>
      </c>
      <c r="F7" s="120">
        <v>-80.90604026845638</v>
      </c>
      <c r="G7" s="120">
        <v>4285.0615114235497</v>
      </c>
    </row>
    <row r="8" spans="2:7" ht="15" customHeight="1" x14ac:dyDescent="0.2">
      <c r="B8" s="113" t="s">
        <v>8</v>
      </c>
      <c r="C8" s="121">
        <v>3185</v>
      </c>
      <c r="D8" s="121">
        <v>32130</v>
      </c>
      <c r="E8" s="121">
        <v>83938</v>
      </c>
      <c r="F8" s="120">
        <v>908.79120879120876</v>
      </c>
      <c r="G8" s="120">
        <v>161.24494242141301</v>
      </c>
    </row>
    <row r="9" spans="2:7" ht="15" customHeight="1" x14ac:dyDescent="0.2">
      <c r="B9" s="113" t="s">
        <v>9</v>
      </c>
      <c r="C9" s="121">
        <v>2277</v>
      </c>
      <c r="D9" s="121">
        <v>86259</v>
      </c>
      <c r="E9" s="121">
        <v>173710</v>
      </c>
      <c r="F9" s="120">
        <v>3688.274044795784</v>
      </c>
      <c r="G9" s="120">
        <v>101.38188478883363</v>
      </c>
    </row>
    <row r="10" spans="2:7" ht="15" customHeight="1" x14ac:dyDescent="0.2">
      <c r="B10" s="113" t="s">
        <v>10</v>
      </c>
      <c r="C10" s="121">
        <v>6369</v>
      </c>
      <c r="D10" s="121">
        <v>108199</v>
      </c>
      <c r="E10" s="121">
        <v>184493</v>
      </c>
      <c r="F10" s="120">
        <v>1598.8381221541842</v>
      </c>
      <c r="G10" s="120">
        <v>70.512666475660595</v>
      </c>
    </row>
    <row r="11" spans="2:7" ht="15" customHeight="1" x14ac:dyDescent="0.2">
      <c r="B11" s="113" t="s">
        <v>11</v>
      </c>
      <c r="C11" s="121">
        <v>11439</v>
      </c>
      <c r="D11" s="121">
        <v>124327</v>
      </c>
      <c r="E11" s="121">
        <v>213082</v>
      </c>
      <c r="F11" s="120">
        <v>986.86948159804183</v>
      </c>
      <c r="G11" s="120">
        <v>71.388354902796664</v>
      </c>
    </row>
    <row r="12" spans="2:7" ht="15" customHeight="1" x14ac:dyDescent="0.2">
      <c r="B12" s="113" t="s">
        <v>12</v>
      </c>
      <c r="C12" s="121">
        <v>20883</v>
      </c>
      <c r="D12" s="121">
        <v>164355</v>
      </c>
      <c r="E12" s="121">
        <v>224101</v>
      </c>
      <c r="F12" s="120">
        <v>687.02772590145094</v>
      </c>
      <c r="G12" s="120">
        <v>36.351799458489246</v>
      </c>
    </row>
    <row r="13" spans="2:7" ht="15" customHeight="1" x14ac:dyDescent="0.2">
      <c r="B13" s="113" t="s">
        <v>13</v>
      </c>
      <c r="C13" s="121">
        <v>13739</v>
      </c>
      <c r="D13" s="121">
        <v>157817</v>
      </c>
      <c r="E13" s="121">
        <v>203383</v>
      </c>
      <c r="F13" s="120">
        <v>1048.6789431545237</v>
      </c>
      <c r="G13" s="120">
        <v>28.872681650265815</v>
      </c>
    </row>
    <row r="14" spans="2:7" ht="15" customHeight="1" x14ac:dyDescent="0.2">
      <c r="B14" s="113" t="s">
        <v>14</v>
      </c>
      <c r="C14" s="121">
        <v>10075</v>
      </c>
      <c r="D14" s="121">
        <v>176193</v>
      </c>
      <c r="E14" s="121">
        <v>286028</v>
      </c>
      <c r="F14" s="120">
        <v>1648.8138957816377</v>
      </c>
      <c r="G14" s="120">
        <v>62.337890835617763</v>
      </c>
    </row>
    <row r="15" spans="2:7" ht="15" customHeight="1" x14ac:dyDescent="0.2">
      <c r="B15" s="113" t="s">
        <v>15</v>
      </c>
      <c r="C15" s="121">
        <v>10241</v>
      </c>
      <c r="D15" s="121">
        <v>57293</v>
      </c>
      <c r="E15" s="121">
        <v>106011</v>
      </c>
      <c r="F15" s="120">
        <v>459.44731959769553</v>
      </c>
      <c r="G15" s="120">
        <v>85.033075593877086</v>
      </c>
    </row>
    <row r="16" spans="2:7" ht="15" customHeight="1" thickBot="1" x14ac:dyDescent="0.25">
      <c r="B16" s="113" t="s">
        <v>16</v>
      </c>
      <c r="C16" s="121">
        <v>2782</v>
      </c>
      <c r="D16" s="121">
        <v>10775</v>
      </c>
      <c r="E16" s="121">
        <v>21404</v>
      </c>
      <c r="F16" s="120">
        <v>287.31128684399715</v>
      </c>
      <c r="G16" s="120">
        <v>98.645011600928072</v>
      </c>
    </row>
    <row r="17" spans="2:7" ht="15" customHeight="1" thickBot="1" x14ac:dyDescent="0.25">
      <c r="B17" s="38" t="s">
        <v>17</v>
      </c>
      <c r="C17" s="252">
        <v>89291</v>
      </c>
      <c r="D17" s="252">
        <v>921748</v>
      </c>
      <c r="E17" s="252">
        <v>1534554</v>
      </c>
      <c r="F17" s="124">
        <v>932.29664803843616</v>
      </c>
      <c r="G17" s="124">
        <v>66.483030068955941</v>
      </c>
    </row>
  </sheetData>
  <mergeCells count="3">
    <mergeCell ref="B1:G1"/>
    <mergeCell ref="C3:E3"/>
    <mergeCell ref="F3:G3"/>
  </mergeCells>
  <printOptions horizontalCentered="1"/>
  <pageMargins left="0.74803149606299213" right="0.74803149606299213" top="0.59055118110236227" bottom="0.19685039370078741" header="0.51181102362204722" footer="0.1181102362204724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6666"/>
  </sheetPr>
  <dimension ref="D1:H19"/>
  <sheetViews>
    <sheetView view="pageBreakPreview" topLeftCell="B1" zoomScale="80" zoomScaleNormal="85" zoomScaleSheetLayoutView="80" workbookViewId="0">
      <selection activeCell="C1" sqref="C1"/>
    </sheetView>
  </sheetViews>
  <sheetFormatPr defaultColWidth="9.140625" defaultRowHeight="12.75" x14ac:dyDescent="0.2"/>
  <cols>
    <col min="1" max="1" width="0" style="199" hidden="1" customWidth="1"/>
    <col min="2" max="2" width="20.85546875" style="199" customWidth="1"/>
    <col min="3" max="3" width="9.28515625" style="199" customWidth="1"/>
    <col min="4" max="4" width="18.7109375" style="6" customWidth="1"/>
    <col min="5" max="7" width="18.7109375" style="199" customWidth="1"/>
    <col min="8" max="8" width="14.28515625" style="199" bestFit="1" customWidth="1"/>
    <col min="9" max="16384" width="9.140625" style="199"/>
  </cols>
  <sheetData>
    <row r="1" spans="4:8" ht="60" customHeight="1" x14ac:dyDescent="0.2">
      <c r="D1" s="398" t="s">
        <v>641</v>
      </c>
      <c r="E1" s="398"/>
      <c r="F1" s="398"/>
      <c r="G1" s="398"/>
    </row>
    <row r="2" spans="4:8" ht="12.75" customHeight="1" x14ac:dyDescent="0.2"/>
    <row r="3" spans="4:8" ht="47.25" x14ac:dyDescent="0.2">
      <c r="D3" s="12"/>
      <c r="E3" s="21" t="s">
        <v>2</v>
      </c>
      <c r="F3" s="21" t="s">
        <v>3</v>
      </c>
      <c r="G3" s="21" t="s">
        <v>4</v>
      </c>
      <c r="H3" s="230"/>
    </row>
    <row r="4" spans="4:8" ht="23.25" customHeight="1" x14ac:dyDescent="0.2">
      <c r="D4" s="12" t="s">
        <v>5</v>
      </c>
      <c r="E4" s="43">
        <v>2005967</v>
      </c>
      <c r="F4" s="43">
        <v>629877</v>
      </c>
      <c r="G4" s="43">
        <v>2635844</v>
      </c>
      <c r="H4" s="230"/>
    </row>
    <row r="5" spans="4:8" ht="23.25" customHeight="1" x14ac:dyDescent="0.2">
      <c r="D5" s="12" t="s">
        <v>6</v>
      </c>
      <c r="E5" s="43">
        <v>1870414</v>
      </c>
      <c r="F5" s="43">
        <v>433583</v>
      </c>
      <c r="G5" s="43">
        <v>2303997</v>
      </c>
      <c r="H5" s="230"/>
    </row>
    <row r="6" spans="4:8" ht="23.25" customHeight="1" x14ac:dyDescent="0.2">
      <c r="D6" s="12" t="s">
        <v>7</v>
      </c>
      <c r="E6" s="43">
        <v>2335728</v>
      </c>
      <c r="F6" s="43">
        <v>495854</v>
      </c>
      <c r="G6" s="43">
        <v>2831582</v>
      </c>
      <c r="H6" s="230"/>
    </row>
    <row r="7" spans="4:8" ht="23.25" customHeight="1" x14ac:dyDescent="0.2">
      <c r="D7" s="12" t="s">
        <v>8</v>
      </c>
      <c r="E7" s="43">
        <v>3321824</v>
      </c>
      <c r="F7" s="43">
        <v>578687</v>
      </c>
      <c r="G7" s="43">
        <v>3900511</v>
      </c>
      <c r="H7" s="230"/>
    </row>
    <row r="8" spans="4:8" ht="23.25" customHeight="1" x14ac:dyDescent="0.2">
      <c r="D8" s="12" t="s">
        <v>9</v>
      </c>
      <c r="E8" s="43">
        <v>4500242</v>
      </c>
      <c r="F8" s="43">
        <v>511197</v>
      </c>
      <c r="G8" s="43">
        <v>5011439</v>
      </c>
      <c r="H8" s="230"/>
    </row>
    <row r="9" spans="4:8" ht="23.25" customHeight="1" x14ac:dyDescent="0.2">
      <c r="D9" s="12" t="s">
        <v>10</v>
      </c>
      <c r="E9" s="43">
        <v>5584021</v>
      </c>
      <c r="F9" s="43">
        <v>678008</v>
      </c>
      <c r="G9" s="43">
        <v>6262029</v>
      </c>
      <c r="H9" s="230"/>
    </row>
    <row r="10" spans="4:8" ht="23.25" customHeight="1" x14ac:dyDescent="0.2">
      <c r="D10" s="12" t="s">
        <v>11</v>
      </c>
      <c r="E10" s="43">
        <v>7148044</v>
      </c>
      <c r="F10" s="43">
        <v>1147863</v>
      </c>
      <c r="G10" s="43">
        <v>8295907</v>
      </c>
      <c r="H10" s="230"/>
    </row>
    <row r="11" spans="4:8" ht="23.25" customHeight="1" x14ac:dyDescent="0.2">
      <c r="D11" s="12" t="s">
        <v>12</v>
      </c>
      <c r="E11" s="43">
        <v>6660700</v>
      </c>
      <c r="F11" s="43">
        <v>827105</v>
      </c>
      <c r="G11" s="43">
        <v>7487805</v>
      </c>
      <c r="H11" s="230"/>
    </row>
    <row r="12" spans="4:8" ht="23.25" customHeight="1" x14ac:dyDescent="0.2">
      <c r="D12" s="12" t="s">
        <v>13</v>
      </c>
      <c r="E12" s="43">
        <v>5786027</v>
      </c>
      <c r="F12" s="43">
        <v>714928</v>
      </c>
      <c r="G12" s="43">
        <v>6500955</v>
      </c>
      <c r="H12" s="230"/>
    </row>
    <row r="13" spans="4:8" ht="23.25" customHeight="1" x14ac:dyDescent="0.2">
      <c r="D13" s="12" t="s">
        <v>14</v>
      </c>
      <c r="E13" s="43">
        <v>4987112</v>
      </c>
      <c r="F13" s="43">
        <v>494088</v>
      </c>
      <c r="G13" s="43">
        <v>5481200</v>
      </c>
      <c r="H13" s="230"/>
    </row>
    <row r="14" spans="4:8" ht="23.25" customHeight="1" x14ac:dyDescent="0.2">
      <c r="D14" s="12" t="s">
        <v>15</v>
      </c>
      <c r="E14" s="43">
        <v>2525345</v>
      </c>
      <c r="F14" s="43">
        <v>475792</v>
      </c>
      <c r="G14" s="43">
        <v>3001137</v>
      </c>
      <c r="H14" s="230"/>
    </row>
    <row r="15" spans="4:8" ht="23.25" customHeight="1" x14ac:dyDescent="0.2">
      <c r="D15" s="12" t="s">
        <v>16</v>
      </c>
      <c r="E15" s="43">
        <v>2483756</v>
      </c>
      <c r="F15" s="43">
        <v>497675</v>
      </c>
      <c r="G15" s="43">
        <v>2981431</v>
      </c>
      <c r="H15" s="230"/>
    </row>
    <row r="16" spans="4:8" ht="23.25" customHeight="1" x14ac:dyDescent="0.2">
      <c r="D16" s="219" t="s">
        <v>17</v>
      </c>
      <c r="E16" s="220">
        <v>49209180</v>
      </c>
      <c r="F16" s="220">
        <v>7484657</v>
      </c>
      <c r="G16" s="220">
        <v>56693837</v>
      </c>
      <c r="H16" s="230"/>
    </row>
    <row r="17" spans="4:7" ht="11.25" customHeight="1" x14ac:dyDescent="0.2">
      <c r="D17" s="201"/>
      <c r="E17" s="1"/>
      <c r="F17" s="1"/>
      <c r="G17" s="1"/>
    </row>
    <row r="18" spans="4:7" ht="45.75" customHeight="1" x14ac:dyDescent="0.2">
      <c r="D18" s="399" t="s">
        <v>18</v>
      </c>
      <c r="E18" s="400"/>
      <c r="F18" s="400"/>
      <c r="G18" s="400"/>
    </row>
    <row r="19" spans="4:7" ht="33.75" customHeight="1" x14ac:dyDescent="0.2">
      <c r="D19" s="399" t="s">
        <v>19</v>
      </c>
      <c r="E19" s="400"/>
      <c r="F19" s="400"/>
      <c r="G19" s="400"/>
    </row>
  </sheetData>
  <mergeCells count="3">
    <mergeCell ref="D1:G1"/>
    <mergeCell ref="D18:G18"/>
    <mergeCell ref="D19:G19"/>
  </mergeCells>
  <printOptions horizontalCentered="1"/>
  <pageMargins left="0.70866141732283472" right="0.70866141732283472" top="0.74803149606299213" bottom="0.74803149606299213" header="0.31496062992125984" footer="0.31496062992125984"/>
  <pageSetup paperSize="9" scale="60" orientation="portrait" r:id="rId1"/>
  <headerFooter scaleWithDoc="0"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A1:Q50"/>
  <sheetViews>
    <sheetView view="pageBreakPreview" zoomScaleNormal="100" zoomScaleSheetLayoutView="100" workbookViewId="0"/>
  </sheetViews>
  <sheetFormatPr defaultColWidth="9.140625" defaultRowHeight="12.75" x14ac:dyDescent="0.2"/>
  <cols>
    <col min="1" max="1" width="9.140625" style="110"/>
    <col min="2" max="2" width="11.28515625" style="6" customWidth="1"/>
    <col min="3" max="3" width="29" style="6" bestFit="1" customWidth="1"/>
    <col min="4" max="4" width="8.140625" customWidth="1"/>
    <col min="5" max="5" width="6.140625" bestFit="1" customWidth="1"/>
    <col min="6" max="6" width="6.5703125" bestFit="1" customWidth="1"/>
    <col min="7" max="8" width="7.140625" bestFit="1" customWidth="1"/>
    <col min="9" max="11" width="8.140625" bestFit="1" customWidth="1"/>
    <col min="12" max="12" width="9" bestFit="1" customWidth="1"/>
    <col min="13" max="15" width="8.140625" bestFit="1" customWidth="1"/>
    <col min="16" max="16" width="7.140625" bestFit="1" customWidth="1"/>
    <col min="17" max="17" width="8.85546875" customWidth="1"/>
  </cols>
  <sheetData>
    <row r="1" spans="2:17" ht="30" customHeight="1" thickBot="1" x14ac:dyDescent="0.25">
      <c r="B1" s="463" t="s">
        <v>627</v>
      </c>
      <c r="C1" s="464"/>
      <c r="D1" s="464"/>
      <c r="E1" s="464"/>
      <c r="F1" s="464"/>
      <c r="G1" s="464"/>
      <c r="H1" s="464"/>
      <c r="I1" s="464"/>
      <c r="J1" s="464"/>
      <c r="K1" s="464"/>
      <c r="L1" s="464"/>
      <c r="M1" s="464"/>
      <c r="N1" s="464"/>
      <c r="O1" s="464"/>
      <c r="P1" s="464"/>
      <c r="Q1" s="464"/>
    </row>
    <row r="2" spans="2:17" ht="15" customHeight="1" thickBot="1" x14ac:dyDescent="0.25">
      <c r="B2" s="262" t="s">
        <v>0</v>
      </c>
      <c r="C2" s="262" t="s">
        <v>0</v>
      </c>
      <c r="D2" s="256" t="s">
        <v>0</v>
      </c>
      <c r="E2" s="465" t="s">
        <v>265</v>
      </c>
      <c r="F2" s="465"/>
      <c r="G2" s="465"/>
      <c r="H2" s="465"/>
      <c r="I2" s="465"/>
      <c r="J2" s="465"/>
      <c r="K2" s="465"/>
      <c r="L2" s="465"/>
      <c r="M2" s="465"/>
      <c r="N2" s="465"/>
      <c r="O2" s="465"/>
      <c r="P2" s="465"/>
      <c r="Q2" s="256"/>
    </row>
    <row r="3" spans="2:17" ht="15" customHeight="1" thickBot="1" x14ac:dyDescent="0.25">
      <c r="B3" s="470" t="s">
        <v>557</v>
      </c>
      <c r="C3" s="470"/>
      <c r="D3" s="470"/>
      <c r="E3" s="177" t="s">
        <v>5</v>
      </c>
      <c r="F3" s="177" t="s">
        <v>6</v>
      </c>
      <c r="G3" s="177" t="s">
        <v>7</v>
      </c>
      <c r="H3" s="177" t="s">
        <v>8</v>
      </c>
      <c r="I3" s="177" t="s">
        <v>9</v>
      </c>
      <c r="J3" s="177" t="s">
        <v>10</v>
      </c>
      <c r="K3" s="177" t="s">
        <v>11</v>
      </c>
      <c r="L3" s="177" t="s">
        <v>12</v>
      </c>
      <c r="M3" s="177" t="s">
        <v>13</v>
      </c>
      <c r="N3" s="177" t="s">
        <v>14</v>
      </c>
      <c r="O3" s="177" t="s">
        <v>15</v>
      </c>
      <c r="P3" s="177" t="s">
        <v>16</v>
      </c>
      <c r="Q3" s="264" t="s">
        <v>17</v>
      </c>
    </row>
    <row r="4" spans="2:17" ht="15" customHeight="1" x14ac:dyDescent="0.2">
      <c r="B4" s="471" t="s">
        <v>306</v>
      </c>
      <c r="C4" s="306" t="s">
        <v>366</v>
      </c>
      <c r="D4" s="472" t="s">
        <v>269</v>
      </c>
      <c r="E4" s="2"/>
      <c r="F4" s="2"/>
      <c r="G4" s="284">
        <v>146</v>
      </c>
      <c r="H4" s="2"/>
      <c r="I4" s="284">
        <v>1230</v>
      </c>
      <c r="J4" s="284">
        <v>3251</v>
      </c>
      <c r="K4" s="2"/>
      <c r="L4" s="2"/>
      <c r="M4" s="284">
        <v>3289</v>
      </c>
      <c r="N4" s="284">
        <v>6547</v>
      </c>
      <c r="O4" s="284">
        <v>4634</v>
      </c>
      <c r="P4" s="2"/>
      <c r="Q4" s="190">
        <v>19097</v>
      </c>
    </row>
    <row r="5" spans="2:17" ht="15" customHeight="1" x14ac:dyDescent="0.2">
      <c r="B5" s="471"/>
      <c r="C5" s="306" t="s">
        <v>369</v>
      </c>
      <c r="D5" s="472"/>
      <c r="E5" s="2"/>
      <c r="F5" s="2"/>
      <c r="G5" s="2"/>
      <c r="H5" s="284">
        <v>3735</v>
      </c>
      <c r="I5" s="284">
        <v>5792</v>
      </c>
      <c r="J5" s="284">
        <v>2485</v>
      </c>
      <c r="K5" s="284">
        <v>1540</v>
      </c>
      <c r="L5" s="284">
        <v>7147</v>
      </c>
      <c r="M5" s="284">
        <v>2841</v>
      </c>
      <c r="N5" s="284">
        <v>7143</v>
      </c>
      <c r="O5" s="284">
        <v>4287</v>
      </c>
      <c r="P5" s="284">
        <v>1635</v>
      </c>
      <c r="Q5" s="190">
        <v>36605</v>
      </c>
    </row>
    <row r="6" spans="2:17" ht="15" customHeight="1" x14ac:dyDescent="0.2">
      <c r="B6" s="471"/>
      <c r="C6" s="306" t="s">
        <v>367</v>
      </c>
      <c r="D6" s="472"/>
      <c r="E6" s="2"/>
      <c r="F6" s="2"/>
      <c r="G6" s="2"/>
      <c r="H6" s="2"/>
      <c r="I6" s="284">
        <v>510</v>
      </c>
      <c r="J6" s="2"/>
      <c r="K6" s="2"/>
      <c r="L6" s="284">
        <v>575</v>
      </c>
      <c r="M6" s="284">
        <v>529</v>
      </c>
      <c r="N6" s="2"/>
      <c r="O6" s="2"/>
      <c r="P6" s="2"/>
      <c r="Q6" s="190">
        <v>1614</v>
      </c>
    </row>
    <row r="7" spans="2:17" ht="15" customHeight="1" thickBot="1" x14ac:dyDescent="0.25">
      <c r="B7" s="468"/>
      <c r="C7" s="146" t="s">
        <v>17</v>
      </c>
      <c r="D7" s="85" t="s">
        <v>264</v>
      </c>
      <c r="E7" s="145"/>
      <c r="F7" s="145"/>
      <c r="G7" s="127">
        <v>146</v>
      </c>
      <c r="H7" s="127">
        <v>3735</v>
      </c>
      <c r="I7" s="127">
        <v>7532</v>
      </c>
      <c r="J7" s="127">
        <v>5736</v>
      </c>
      <c r="K7" s="127">
        <v>1540</v>
      </c>
      <c r="L7" s="127">
        <v>7722</v>
      </c>
      <c r="M7" s="127">
        <v>6659</v>
      </c>
      <c r="N7" s="127">
        <v>13690</v>
      </c>
      <c r="O7" s="127">
        <v>8921</v>
      </c>
      <c r="P7" s="127">
        <v>1635</v>
      </c>
      <c r="Q7" s="191">
        <v>57316</v>
      </c>
    </row>
    <row r="8" spans="2:17" ht="15" customHeight="1" x14ac:dyDescent="0.2">
      <c r="B8" s="466" t="s">
        <v>309</v>
      </c>
      <c r="C8" s="307" t="s">
        <v>376</v>
      </c>
      <c r="D8" s="434" t="s">
        <v>269</v>
      </c>
      <c r="E8" s="147">
        <v>3235</v>
      </c>
      <c r="F8" s="147">
        <v>1736</v>
      </c>
      <c r="G8" s="147">
        <v>14131</v>
      </c>
      <c r="H8" s="147">
        <v>39499</v>
      </c>
      <c r="I8" s="147">
        <v>88491</v>
      </c>
      <c r="J8" s="147">
        <v>95354</v>
      </c>
      <c r="K8" s="147">
        <v>106643</v>
      </c>
      <c r="L8" s="147">
        <v>117381</v>
      </c>
      <c r="M8" s="147">
        <v>99067</v>
      </c>
      <c r="N8" s="147">
        <v>123302</v>
      </c>
      <c r="O8" s="147">
        <v>39350</v>
      </c>
      <c r="P8" s="147">
        <v>4539</v>
      </c>
      <c r="Q8" s="196">
        <v>732728</v>
      </c>
    </row>
    <row r="9" spans="2:17" ht="15" customHeight="1" x14ac:dyDescent="0.2">
      <c r="B9" s="467"/>
      <c r="C9" s="308" t="s">
        <v>615</v>
      </c>
      <c r="D9" s="469"/>
      <c r="E9" s="151"/>
      <c r="F9" s="151"/>
      <c r="G9" s="151"/>
      <c r="H9" s="151"/>
      <c r="I9" s="151"/>
      <c r="J9" s="151"/>
      <c r="K9" s="151"/>
      <c r="L9" s="151"/>
      <c r="M9" s="150">
        <v>20</v>
      </c>
      <c r="N9" s="151"/>
      <c r="O9" s="151"/>
      <c r="P9" s="151"/>
      <c r="Q9" s="198">
        <v>20</v>
      </c>
    </row>
    <row r="10" spans="2:17" ht="15" customHeight="1" thickBot="1" x14ac:dyDescent="0.25">
      <c r="B10" s="468"/>
      <c r="C10" s="309" t="s">
        <v>17</v>
      </c>
      <c r="D10" s="92" t="s">
        <v>264</v>
      </c>
      <c r="E10" s="153">
        <v>3235</v>
      </c>
      <c r="F10" s="153">
        <v>1736</v>
      </c>
      <c r="G10" s="153">
        <v>14131</v>
      </c>
      <c r="H10" s="153">
        <v>39499</v>
      </c>
      <c r="I10" s="153">
        <v>88491</v>
      </c>
      <c r="J10" s="153">
        <v>95354</v>
      </c>
      <c r="K10" s="153">
        <v>106643</v>
      </c>
      <c r="L10" s="153">
        <v>117381</v>
      </c>
      <c r="M10" s="153">
        <v>99087</v>
      </c>
      <c r="N10" s="153">
        <v>123302</v>
      </c>
      <c r="O10" s="153">
        <v>39350</v>
      </c>
      <c r="P10" s="153">
        <v>4539</v>
      </c>
      <c r="Q10" s="197">
        <v>732748</v>
      </c>
    </row>
    <row r="11" spans="2:17" ht="15" customHeight="1" thickBot="1" x14ac:dyDescent="0.25">
      <c r="B11" s="146" t="s">
        <v>313</v>
      </c>
      <c r="C11" s="146" t="s">
        <v>382</v>
      </c>
      <c r="D11" s="85" t="s">
        <v>269</v>
      </c>
      <c r="E11" s="127">
        <v>56</v>
      </c>
      <c r="F11" s="127">
        <v>109</v>
      </c>
      <c r="G11" s="127">
        <v>176</v>
      </c>
      <c r="H11" s="127">
        <v>142</v>
      </c>
      <c r="I11" s="127">
        <v>206</v>
      </c>
      <c r="J11" s="127">
        <v>145</v>
      </c>
      <c r="K11" s="127">
        <v>186</v>
      </c>
      <c r="L11" s="127">
        <v>142</v>
      </c>
      <c r="M11" s="127">
        <v>184</v>
      </c>
      <c r="N11" s="127">
        <v>204</v>
      </c>
      <c r="O11" s="127">
        <v>71</v>
      </c>
      <c r="P11" s="127">
        <v>179</v>
      </c>
      <c r="Q11" s="191">
        <v>1800</v>
      </c>
    </row>
    <row r="12" spans="2:17" ht="15" customHeight="1" x14ac:dyDescent="0.2">
      <c r="B12" s="466" t="s">
        <v>314</v>
      </c>
      <c r="C12" s="307" t="s">
        <v>383</v>
      </c>
      <c r="D12" s="434" t="s">
        <v>269</v>
      </c>
      <c r="E12" s="147">
        <v>1</v>
      </c>
      <c r="F12" s="148"/>
      <c r="G12" s="148"/>
      <c r="H12" s="148"/>
      <c r="I12" s="148"/>
      <c r="J12" s="148"/>
      <c r="K12" s="148"/>
      <c r="L12" s="148"/>
      <c r="M12" s="148"/>
      <c r="N12" s="147">
        <v>7</v>
      </c>
      <c r="O12" s="148"/>
      <c r="P12" s="148"/>
      <c r="Q12" s="196">
        <v>8</v>
      </c>
    </row>
    <row r="13" spans="2:17" ht="15" customHeight="1" x14ac:dyDescent="0.2">
      <c r="B13" s="467"/>
      <c r="C13" s="308" t="s">
        <v>384</v>
      </c>
      <c r="D13" s="469"/>
      <c r="E13" s="150">
        <v>1</v>
      </c>
      <c r="F13" s="150">
        <v>8</v>
      </c>
      <c r="G13" s="151"/>
      <c r="H13" s="151"/>
      <c r="I13" s="151"/>
      <c r="J13" s="151"/>
      <c r="K13" s="151"/>
      <c r="L13" s="151"/>
      <c r="M13" s="150">
        <v>22</v>
      </c>
      <c r="N13" s="151"/>
      <c r="O13" s="151"/>
      <c r="P13" s="150">
        <v>3</v>
      </c>
      <c r="Q13" s="198">
        <v>34</v>
      </c>
    </row>
    <row r="14" spans="2:17" ht="15" customHeight="1" x14ac:dyDescent="0.2">
      <c r="B14" s="467"/>
      <c r="C14" s="308" t="s">
        <v>385</v>
      </c>
      <c r="D14" s="469"/>
      <c r="E14" s="150">
        <v>1547</v>
      </c>
      <c r="F14" s="151"/>
      <c r="G14" s="150">
        <v>74</v>
      </c>
      <c r="H14" s="150">
        <v>3575</v>
      </c>
      <c r="I14" s="150">
        <v>2544</v>
      </c>
      <c r="J14" s="150">
        <v>1341</v>
      </c>
      <c r="K14" s="150">
        <v>2190</v>
      </c>
      <c r="L14" s="150">
        <v>2267</v>
      </c>
      <c r="M14" s="150">
        <v>3977</v>
      </c>
      <c r="N14" s="150">
        <v>4103</v>
      </c>
      <c r="O14" s="151"/>
      <c r="P14" s="150">
        <v>15</v>
      </c>
      <c r="Q14" s="198">
        <v>21633</v>
      </c>
    </row>
    <row r="15" spans="2:17" ht="15" customHeight="1" x14ac:dyDescent="0.2">
      <c r="B15" s="467"/>
      <c r="C15" s="308" t="s">
        <v>388</v>
      </c>
      <c r="D15" s="469"/>
      <c r="E15" s="150">
        <v>2</v>
      </c>
      <c r="F15" s="150">
        <v>4</v>
      </c>
      <c r="G15" s="151"/>
      <c r="H15" s="150">
        <v>3</v>
      </c>
      <c r="I15" s="150">
        <v>16</v>
      </c>
      <c r="J15" s="150">
        <v>21</v>
      </c>
      <c r="K15" s="150">
        <v>23</v>
      </c>
      <c r="L15" s="150">
        <v>7</v>
      </c>
      <c r="M15" s="150">
        <v>17</v>
      </c>
      <c r="N15" s="150">
        <v>22</v>
      </c>
      <c r="O15" s="150">
        <v>12</v>
      </c>
      <c r="P15" s="150">
        <v>19</v>
      </c>
      <c r="Q15" s="198">
        <v>146</v>
      </c>
    </row>
    <row r="16" spans="2:17" ht="15" customHeight="1" x14ac:dyDescent="0.2">
      <c r="B16" s="467"/>
      <c r="C16" s="308" t="s">
        <v>389</v>
      </c>
      <c r="D16" s="469"/>
      <c r="E16" s="151"/>
      <c r="F16" s="151"/>
      <c r="G16" s="151"/>
      <c r="H16" s="150">
        <v>766</v>
      </c>
      <c r="I16" s="150">
        <v>2769</v>
      </c>
      <c r="J16" s="150">
        <v>446</v>
      </c>
      <c r="K16" s="150">
        <v>3044</v>
      </c>
      <c r="L16" s="150">
        <v>341</v>
      </c>
      <c r="M16" s="150">
        <v>2303</v>
      </c>
      <c r="N16" s="150">
        <v>996</v>
      </c>
      <c r="O16" s="150">
        <v>79</v>
      </c>
      <c r="P16" s="150">
        <v>23</v>
      </c>
      <c r="Q16" s="198">
        <v>10767</v>
      </c>
    </row>
    <row r="17" spans="2:17" ht="15" customHeight="1" x14ac:dyDescent="0.2">
      <c r="B17" s="467"/>
      <c r="C17" s="308" t="s">
        <v>387</v>
      </c>
      <c r="D17" s="469"/>
      <c r="E17" s="151"/>
      <c r="F17" s="151"/>
      <c r="G17" s="151"/>
      <c r="H17" s="150">
        <v>10</v>
      </c>
      <c r="I17" s="151"/>
      <c r="J17" s="151"/>
      <c r="K17" s="151"/>
      <c r="L17" s="151"/>
      <c r="M17" s="151"/>
      <c r="N17" s="150">
        <v>4</v>
      </c>
      <c r="O17" s="151"/>
      <c r="P17" s="151"/>
      <c r="Q17" s="198">
        <v>14</v>
      </c>
    </row>
    <row r="18" spans="2:17" ht="15" customHeight="1" thickBot="1" x14ac:dyDescent="0.25">
      <c r="B18" s="468"/>
      <c r="C18" s="309" t="s">
        <v>17</v>
      </c>
      <c r="D18" s="92" t="s">
        <v>264</v>
      </c>
      <c r="E18" s="153">
        <v>1551</v>
      </c>
      <c r="F18" s="153">
        <v>12</v>
      </c>
      <c r="G18" s="153">
        <v>74</v>
      </c>
      <c r="H18" s="153">
        <v>4354</v>
      </c>
      <c r="I18" s="153">
        <v>5329</v>
      </c>
      <c r="J18" s="153">
        <v>1808</v>
      </c>
      <c r="K18" s="153">
        <v>5257</v>
      </c>
      <c r="L18" s="153">
        <v>2615</v>
      </c>
      <c r="M18" s="153">
        <v>6319</v>
      </c>
      <c r="N18" s="153">
        <v>5132</v>
      </c>
      <c r="O18" s="153">
        <v>91</v>
      </c>
      <c r="P18" s="153">
        <v>60</v>
      </c>
      <c r="Q18" s="197">
        <v>32602</v>
      </c>
    </row>
    <row r="19" spans="2:17" ht="15" customHeight="1" thickBot="1" x14ac:dyDescent="0.25">
      <c r="B19" s="146" t="s">
        <v>323</v>
      </c>
      <c r="C19" s="146" t="s">
        <v>404</v>
      </c>
      <c r="D19" s="85" t="s">
        <v>269</v>
      </c>
      <c r="E19" s="127">
        <v>30</v>
      </c>
      <c r="F19" s="127">
        <v>236</v>
      </c>
      <c r="G19" s="127">
        <v>344</v>
      </c>
      <c r="H19" s="127">
        <v>83</v>
      </c>
      <c r="I19" s="127">
        <v>30</v>
      </c>
      <c r="J19" s="127">
        <v>127</v>
      </c>
      <c r="K19" s="127">
        <v>144</v>
      </c>
      <c r="L19" s="127">
        <v>62</v>
      </c>
      <c r="M19" s="127">
        <v>147</v>
      </c>
      <c r="N19" s="127">
        <v>177</v>
      </c>
      <c r="O19" s="127">
        <v>176</v>
      </c>
      <c r="P19" s="127">
        <v>99</v>
      </c>
      <c r="Q19" s="191">
        <v>1655</v>
      </c>
    </row>
    <row r="20" spans="2:17" ht="15" customHeight="1" x14ac:dyDescent="0.2">
      <c r="B20" s="466" t="s">
        <v>328</v>
      </c>
      <c r="C20" s="307" t="s">
        <v>437</v>
      </c>
      <c r="D20" s="434" t="s">
        <v>269</v>
      </c>
      <c r="E20" s="147">
        <v>1417</v>
      </c>
      <c r="F20" s="148"/>
      <c r="G20" s="148"/>
      <c r="H20" s="147">
        <v>661</v>
      </c>
      <c r="I20" s="147">
        <v>1920</v>
      </c>
      <c r="J20" s="147">
        <v>1082</v>
      </c>
      <c r="K20" s="147">
        <v>2581</v>
      </c>
      <c r="L20" s="147">
        <v>4352</v>
      </c>
      <c r="M20" s="147">
        <v>3784</v>
      </c>
      <c r="N20" s="147">
        <v>4314</v>
      </c>
      <c r="O20" s="147">
        <v>2547</v>
      </c>
      <c r="P20" s="147">
        <v>1451</v>
      </c>
      <c r="Q20" s="196">
        <v>24109</v>
      </c>
    </row>
    <row r="21" spans="2:17" ht="15" customHeight="1" x14ac:dyDescent="0.2">
      <c r="B21" s="467"/>
      <c r="C21" s="308" t="s">
        <v>438</v>
      </c>
      <c r="D21" s="469"/>
      <c r="E21" s="150">
        <v>6</v>
      </c>
      <c r="F21" s="151"/>
      <c r="G21" s="150">
        <v>6763</v>
      </c>
      <c r="H21" s="150">
        <v>21038</v>
      </c>
      <c r="I21" s="150">
        <v>24676</v>
      </c>
      <c r="J21" s="150">
        <v>31919</v>
      </c>
      <c r="K21" s="150">
        <v>36321</v>
      </c>
      <c r="L21" s="150">
        <v>35547</v>
      </c>
      <c r="M21" s="150">
        <v>30678</v>
      </c>
      <c r="N21" s="150">
        <v>60264</v>
      </c>
      <c r="O21" s="150">
        <v>26198</v>
      </c>
      <c r="P21" s="150">
        <v>4385</v>
      </c>
      <c r="Q21" s="198">
        <v>277795</v>
      </c>
    </row>
    <row r="22" spans="2:17" ht="15" customHeight="1" thickBot="1" x14ac:dyDescent="0.25">
      <c r="B22" s="468"/>
      <c r="C22" s="309" t="s">
        <v>17</v>
      </c>
      <c r="D22" s="92" t="s">
        <v>264</v>
      </c>
      <c r="E22" s="153">
        <v>1423</v>
      </c>
      <c r="F22" s="154"/>
      <c r="G22" s="153">
        <v>6763</v>
      </c>
      <c r="H22" s="153">
        <v>21699</v>
      </c>
      <c r="I22" s="153">
        <v>26596</v>
      </c>
      <c r="J22" s="153">
        <v>33001</v>
      </c>
      <c r="K22" s="153">
        <v>38902</v>
      </c>
      <c r="L22" s="153">
        <v>39899</v>
      </c>
      <c r="M22" s="153">
        <v>34462</v>
      </c>
      <c r="N22" s="153">
        <v>64578</v>
      </c>
      <c r="O22" s="153">
        <v>28745</v>
      </c>
      <c r="P22" s="153">
        <v>5836</v>
      </c>
      <c r="Q22" s="197">
        <v>301904</v>
      </c>
    </row>
    <row r="23" spans="2:17" ht="15" customHeight="1" x14ac:dyDescent="0.2">
      <c r="B23" s="466" t="s">
        <v>329</v>
      </c>
      <c r="C23" s="306" t="s">
        <v>439</v>
      </c>
      <c r="D23" s="434" t="s">
        <v>269</v>
      </c>
      <c r="E23" s="2"/>
      <c r="F23" s="2"/>
      <c r="G23" s="284">
        <v>853</v>
      </c>
      <c r="H23" s="284">
        <v>2250</v>
      </c>
      <c r="I23" s="284">
        <v>1628</v>
      </c>
      <c r="J23" s="284">
        <v>1889</v>
      </c>
      <c r="K23" s="284">
        <v>3069</v>
      </c>
      <c r="L23" s="284">
        <v>1061</v>
      </c>
      <c r="M23" s="284">
        <v>376</v>
      </c>
      <c r="N23" s="284">
        <v>588</v>
      </c>
      <c r="O23" s="284">
        <v>543</v>
      </c>
      <c r="P23" s="2"/>
      <c r="Q23" s="190">
        <v>12257</v>
      </c>
    </row>
    <row r="24" spans="2:17" ht="15" customHeight="1" x14ac:dyDescent="0.2">
      <c r="B24" s="471"/>
      <c r="C24" s="306" t="s">
        <v>440</v>
      </c>
      <c r="D24" s="472"/>
      <c r="E24" s="2"/>
      <c r="F24" s="2"/>
      <c r="G24" s="284">
        <v>157</v>
      </c>
      <c r="H24" s="284">
        <v>503</v>
      </c>
      <c r="I24" s="284">
        <v>4595</v>
      </c>
      <c r="J24" s="284">
        <v>2426</v>
      </c>
      <c r="K24" s="284">
        <v>1375</v>
      </c>
      <c r="L24" s="2"/>
      <c r="M24" s="284">
        <v>758</v>
      </c>
      <c r="N24" s="284">
        <v>10595</v>
      </c>
      <c r="O24" s="284">
        <v>13188</v>
      </c>
      <c r="P24" s="284">
        <v>4103</v>
      </c>
      <c r="Q24" s="190">
        <v>37700</v>
      </c>
    </row>
    <row r="25" spans="2:17" ht="15" customHeight="1" x14ac:dyDescent="0.2">
      <c r="B25" s="471"/>
      <c r="C25" s="306" t="s">
        <v>443</v>
      </c>
      <c r="D25" s="472"/>
      <c r="E25" s="2"/>
      <c r="F25" s="2"/>
      <c r="G25" s="2"/>
      <c r="H25" s="284">
        <v>1413</v>
      </c>
      <c r="I25" s="284">
        <v>725</v>
      </c>
      <c r="J25" s="284">
        <v>283</v>
      </c>
      <c r="K25" s="284">
        <v>216</v>
      </c>
      <c r="L25" s="284">
        <v>24</v>
      </c>
      <c r="M25" s="284">
        <v>828</v>
      </c>
      <c r="N25" s="284">
        <v>1413</v>
      </c>
      <c r="O25" s="284">
        <v>1518</v>
      </c>
      <c r="P25" s="2"/>
      <c r="Q25" s="190">
        <v>6420</v>
      </c>
    </row>
    <row r="26" spans="2:17" ht="15" customHeight="1" thickBot="1" x14ac:dyDescent="0.25">
      <c r="B26" s="468"/>
      <c r="C26" s="146" t="s">
        <v>17</v>
      </c>
      <c r="D26" s="85" t="s">
        <v>264</v>
      </c>
      <c r="E26" s="145"/>
      <c r="F26" s="145"/>
      <c r="G26" s="127">
        <v>1010</v>
      </c>
      <c r="H26" s="127">
        <v>4166</v>
      </c>
      <c r="I26" s="127">
        <v>6948</v>
      </c>
      <c r="J26" s="127">
        <v>4598</v>
      </c>
      <c r="K26" s="127">
        <v>4660</v>
      </c>
      <c r="L26" s="127">
        <v>1085</v>
      </c>
      <c r="M26" s="127">
        <v>1962</v>
      </c>
      <c r="N26" s="127">
        <v>12596</v>
      </c>
      <c r="O26" s="127">
        <v>15249</v>
      </c>
      <c r="P26" s="127">
        <v>4103</v>
      </c>
      <c r="Q26" s="191">
        <v>56377</v>
      </c>
    </row>
    <row r="27" spans="2:17" ht="15" customHeight="1" x14ac:dyDescent="0.2">
      <c r="B27" s="466" t="s">
        <v>342</v>
      </c>
      <c r="C27" s="307" t="s">
        <v>458</v>
      </c>
      <c r="D27" s="434" t="s">
        <v>269</v>
      </c>
      <c r="E27" s="147">
        <v>115</v>
      </c>
      <c r="F27" s="147">
        <v>101</v>
      </c>
      <c r="G27" s="147">
        <v>210</v>
      </c>
      <c r="H27" s="147">
        <v>2820</v>
      </c>
      <c r="I27" s="147">
        <v>12386</v>
      </c>
      <c r="J27" s="147">
        <v>14355</v>
      </c>
      <c r="K27" s="147">
        <v>17126</v>
      </c>
      <c r="L27" s="147">
        <v>19883</v>
      </c>
      <c r="M27" s="147">
        <v>17174</v>
      </c>
      <c r="N27" s="147">
        <v>11193</v>
      </c>
      <c r="O27" s="147">
        <v>284</v>
      </c>
      <c r="P27" s="147">
        <v>2</v>
      </c>
      <c r="Q27" s="196">
        <v>95649</v>
      </c>
    </row>
    <row r="28" spans="2:17" ht="15" customHeight="1" x14ac:dyDescent="0.2">
      <c r="B28" s="467"/>
      <c r="C28" s="308" t="s">
        <v>464</v>
      </c>
      <c r="D28" s="469"/>
      <c r="E28" s="151"/>
      <c r="F28" s="151"/>
      <c r="G28" s="150">
        <v>271</v>
      </c>
      <c r="H28" s="150">
        <v>3282</v>
      </c>
      <c r="I28" s="150">
        <v>7534</v>
      </c>
      <c r="J28" s="150">
        <v>8931</v>
      </c>
      <c r="K28" s="150">
        <v>9283</v>
      </c>
      <c r="L28" s="150">
        <v>7580</v>
      </c>
      <c r="M28" s="150">
        <v>8869</v>
      </c>
      <c r="N28" s="150">
        <v>12416</v>
      </c>
      <c r="O28" s="150">
        <v>3446</v>
      </c>
      <c r="P28" s="150">
        <v>38</v>
      </c>
      <c r="Q28" s="198">
        <v>61650</v>
      </c>
    </row>
    <row r="29" spans="2:17" ht="15" customHeight="1" x14ac:dyDescent="0.2">
      <c r="B29" s="467"/>
      <c r="C29" s="308" t="s">
        <v>459</v>
      </c>
      <c r="D29" s="469"/>
      <c r="E29" s="151"/>
      <c r="F29" s="151"/>
      <c r="G29" s="151"/>
      <c r="H29" s="151"/>
      <c r="I29" s="150">
        <v>1</v>
      </c>
      <c r="J29" s="150">
        <v>24</v>
      </c>
      <c r="K29" s="150">
        <v>10</v>
      </c>
      <c r="L29" s="150">
        <v>48</v>
      </c>
      <c r="M29" s="150">
        <v>83</v>
      </c>
      <c r="N29" s="150">
        <v>1</v>
      </c>
      <c r="O29" s="151"/>
      <c r="P29" s="151"/>
      <c r="Q29" s="198">
        <v>167</v>
      </c>
    </row>
    <row r="30" spans="2:17" ht="15" customHeight="1" x14ac:dyDescent="0.2">
      <c r="B30" s="467"/>
      <c r="C30" s="308" t="s">
        <v>460</v>
      </c>
      <c r="D30" s="469"/>
      <c r="E30" s="151"/>
      <c r="F30" s="151"/>
      <c r="G30" s="151"/>
      <c r="H30" s="151"/>
      <c r="I30" s="150">
        <v>11774</v>
      </c>
      <c r="J30" s="150">
        <v>14337</v>
      </c>
      <c r="K30" s="150">
        <v>20256</v>
      </c>
      <c r="L30" s="150">
        <v>20229</v>
      </c>
      <c r="M30" s="150">
        <v>18687</v>
      </c>
      <c r="N30" s="150">
        <v>31373</v>
      </c>
      <c r="O30" s="150">
        <v>1010</v>
      </c>
      <c r="P30" s="150">
        <v>249</v>
      </c>
      <c r="Q30" s="198">
        <v>117915</v>
      </c>
    </row>
    <row r="31" spans="2:17" ht="15" customHeight="1" thickBot="1" x14ac:dyDescent="0.25">
      <c r="B31" s="468"/>
      <c r="C31" s="309" t="s">
        <v>17</v>
      </c>
      <c r="D31" s="92" t="s">
        <v>264</v>
      </c>
      <c r="E31" s="153">
        <v>115</v>
      </c>
      <c r="F31" s="153">
        <v>101</v>
      </c>
      <c r="G31" s="153">
        <v>481</v>
      </c>
      <c r="H31" s="153">
        <v>6102</v>
      </c>
      <c r="I31" s="153">
        <v>31695</v>
      </c>
      <c r="J31" s="153">
        <v>37647</v>
      </c>
      <c r="K31" s="153">
        <v>46675</v>
      </c>
      <c r="L31" s="153">
        <v>47740</v>
      </c>
      <c r="M31" s="153">
        <v>44813</v>
      </c>
      <c r="N31" s="153">
        <v>54983</v>
      </c>
      <c r="O31" s="153">
        <v>4740</v>
      </c>
      <c r="P31" s="153">
        <v>289</v>
      </c>
      <c r="Q31" s="197">
        <v>275381</v>
      </c>
    </row>
    <row r="32" spans="2:17" ht="15" customHeight="1" thickBot="1" x14ac:dyDescent="0.25">
      <c r="B32" s="146" t="s">
        <v>344</v>
      </c>
      <c r="C32" s="146" t="s">
        <v>472</v>
      </c>
      <c r="D32" s="85" t="s">
        <v>269</v>
      </c>
      <c r="E32" s="127">
        <v>104</v>
      </c>
      <c r="F32" s="127">
        <v>94</v>
      </c>
      <c r="G32" s="127">
        <v>20</v>
      </c>
      <c r="H32" s="145"/>
      <c r="I32" s="145"/>
      <c r="J32" s="127">
        <v>1800</v>
      </c>
      <c r="K32" s="127">
        <v>1439</v>
      </c>
      <c r="L32" s="145"/>
      <c r="M32" s="127">
        <v>2378</v>
      </c>
      <c r="N32" s="127">
        <v>2946</v>
      </c>
      <c r="O32" s="127">
        <v>1118</v>
      </c>
      <c r="P32" s="145"/>
      <c r="Q32" s="191">
        <v>9899</v>
      </c>
    </row>
    <row r="33" spans="2:17" ht="15" customHeight="1" x14ac:dyDescent="0.2">
      <c r="B33" s="466" t="s">
        <v>347</v>
      </c>
      <c r="C33" s="307" t="s">
        <v>476</v>
      </c>
      <c r="D33" s="434" t="s">
        <v>269</v>
      </c>
      <c r="E33" s="147">
        <v>285</v>
      </c>
      <c r="F33" s="147">
        <v>149</v>
      </c>
      <c r="G33" s="147">
        <v>303</v>
      </c>
      <c r="H33" s="147">
        <v>313</v>
      </c>
      <c r="I33" s="147">
        <v>289</v>
      </c>
      <c r="J33" s="147">
        <v>224</v>
      </c>
      <c r="K33" s="147">
        <v>254</v>
      </c>
      <c r="L33" s="147">
        <v>196</v>
      </c>
      <c r="M33" s="147">
        <v>231</v>
      </c>
      <c r="N33" s="147">
        <v>208</v>
      </c>
      <c r="O33" s="147">
        <v>186</v>
      </c>
      <c r="P33" s="147">
        <v>232</v>
      </c>
      <c r="Q33" s="196">
        <v>2870</v>
      </c>
    </row>
    <row r="34" spans="2:17" ht="15" customHeight="1" x14ac:dyDescent="0.2">
      <c r="B34" s="467"/>
      <c r="C34" s="308" t="s">
        <v>477</v>
      </c>
      <c r="D34" s="469"/>
      <c r="E34" s="150">
        <v>431</v>
      </c>
      <c r="F34" s="150">
        <v>269</v>
      </c>
      <c r="G34" s="150">
        <v>534</v>
      </c>
      <c r="H34" s="150">
        <v>551</v>
      </c>
      <c r="I34" s="150">
        <v>535</v>
      </c>
      <c r="J34" s="150">
        <v>360</v>
      </c>
      <c r="K34" s="150">
        <v>508</v>
      </c>
      <c r="L34" s="150">
        <v>356</v>
      </c>
      <c r="M34" s="150">
        <v>300</v>
      </c>
      <c r="N34" s="150">
        <v>407</v>
      </c>
      <c r="O34" s="150">
        <v>345</v>
      </c>
      <c r="P34" s="150">
        <v>338</v>
      </c>
      <c r="Q34" s="198">
        <v>4934</v>
      </c>
    </row>
    <row r="35" spans="2:17" ht="15" customHeight="1" x14ac:dyDescent="0.2">
      <c r="B35" s="467"/>
      <c r="C35" s="308" t="s">
        <v>358</v>
      </c>
      <c r="D35" s="469"/>
      <c r="E35" s="150">
        <v>21</v>
      </c>
      <c r="F35" s="150">
        <v>18</v>
      </c>
      <c r="G35" s="150">
        <v>56</v>
      </c>
      <c r="H35" s="150">
        <v>45</v>
      </c>
      <c r="I35" s="150">
        <v>62</v>
      </c>
      <c r="J35" s="150">
        <v>34</v>
      </c>
      <c r="K35" s="150">
        <v>35</v>
      </c>
      <c r="L35" s="150">
        <v>18</v>
      </c>
      <c r="M35" s="150">
        <v>30</v>
      </c>
      <c r="N35" s="150">
        <v>15</v>
      </c>
      <c r="O35" s="150">
        <v>24</v>
      </c>
      <c r="P35" s="150">
        <v>20</v>
      </c>
      <c r="Q35" s="198">
        <v>378</v>
      </c>
    </row>
    <row r="36" spans="2:17" ht="15" customHeight="1" thickBot="1" x14ac:dyDescent="0.25">
      <c r="B36" s="468"/>
      <c r="C36" s="309" t="s">
        <v>17</v>
      </c>
      <c r="D36" s="92" t="s">
        <v>264</v>
      </c>
      <c r="E36" s="153">
        <v>737</v>
      </c>
      <c r="F36" s="153">
        <v>436</v>
      </c>
      <c r="G36" s="153">
        <v>893</v>
      </c>
      <c r="H36" s="153">
        <v>909</v>
      </c>
      <c r="I36" s="153">
        <v>886</v>
      </c>
      <c r="J36" s="153">
        <v>618</v>
      </c>
      <c r="K36" s="153">
        <v>797</v>
      </c>
      <c r="L36" s="153">
        <v>570</v>
      </c>
      <c r="M36" s="153">
        <v>561</v>
      </c>
      <c r="N36" s="153">
        <v>630</v>
      </c>
      <c r="O36" s="153">
        <v>555</v>
      </c>
      <c r="P36" s="153">
        <v>590</v>
      </c>
      <c r="Q36" s="197">
        <v>8182</v>
      </c>
    </row>
    <row r="37" spans="2:17" ht="15" customHeight="1" thickBot="1" x14ac:dyDescent="0.25">
      <c r="B37" s="146" t="s">
        <v>348</v>
      </c>
      <c r="C37" s="146" t="s">
        <v>479</v>
      </c>
      <c r="D37" s="85" t="s">
        <v>269</v>
      </c>
      <c r="E37" s="145"/>
      <c r="F37" s="145"/>
      <c r="G37" s="145"/>
      <c r="H37" s="127">
        <v>793</v>
      </c>
      <c r="I37" s="145"/>
      <c r="J37" s="127">
        <v>1433</v>
      </c>
      <c r="K37" s="127">
        <v>2293</v>
      </c>
      <c r="L37" s="127">
        <v>4989</v>
      </c>
      <c r="M37" s="127">
        <v>2581</v>
      </c>
      <c r="N37" s="127">
        <v>1163</v>
      </c>
      <c r="O37" s="145"/>
      <c r="P37" s="145"/>
      <c r="Q37" s="191">
        <v>13252</v>
      </c>
    </row>
    <row r="38" spans="2:17" ht="15" customHeight="1" thickBot="1" x14ac:dyDescent="0.25">
      <c r="B38" s="158" t="s">
        <v>352</v>
      </c>
      <c r="C38" s="158" t="s">
        <v>485</v>
      </c>
      <c r="D38" s="87" t="s">
        <v>269</v>
      </c>
      <c r="E38" s="156">
        <v>240</v>
      </c>
      <c r="F38" s="156">
        <v>189</v>
      </c>
      <c r="G38" s="156">
        <v>267</v>
      </c>
      <c r="H38" s="156">
        <v>224</v>
      </c>
      <c r="I38" s="156">
        <v>354</v>
      </c>
      <c r="J38" s="156">
        <v>350</v>
      </c>
      <c r="K38" s="156">
        <v>270</v>
      </c>
      <c r="L38" s="156">
        <v>387</v>
      </c>
      <c r="M38" s="156">
        <v>297</v>
      </c>
      <c r="N38" s="156">
        <v>307</v>
      </c>
      <c r="O38" s="156">
        <v>237</v>
      </c>
      <c r="P38" s="156">
        <v>281</v>
      </c>
      <c r="Q38" s="288">
        <v>3403</v>
      </c>
    </row>
    <row r="39" spans="2:17" ht="15" customHeight="1" thickBot="1" x14ac:dyDescent="0.25">
      <c r="B39" s="158" t="s">
        <v>353</v>
      </c>
      <c r="C39" s="158" t="s">
        <v>486</v>
      </c>
      <c r="D39" s="87" t="s">
        <v>269</v>
      </c>
      <c r="E39" s="156">
        <v>502</v>
      </c>
      <c r="F39" s="283"/>
      <c r="G39" s="283"/>
      <c r="H39" s="156">
        <v>745</v>
      </c>
      <c r="I39" s="156">
        <v>1790</v>
      </c>
      <c r="J39" s="156">
        <v>587</v>
      </c>
      <c r="K39" s="156">
        <v>1769</v>
      </c>
      <c r="L39" s="283"/>
      <c r="M39" s="156">
        <v>1582</v>
      </c>
      <c r="N39" s="156">
        <v>2913</v>
      </c>
      <c r="O39" s="156">
        <v>2677</v>
      </c>
      <c r="P39" s="156">
        <v>2469</v>
      </c>
      <c r="Q39" s="288">
        <v>15034</v>
      </c>
    </row>
    <row r="40" spans="2:17" ht="15" customHeight="1" x14ac:dyDescent="0.2">
      <c r="B40" s="466" t="s">
        <v>357</v>
      </c>
      <c r="C40" s="306" t="s">
        <v>494</v>
      </c>
      <c r="D40" s="434" t="s">
        <v>269</v>
      </c>
      <c r="E40" s="284">
        <v>291</v>
      </c>
      <c r="F40" s="284">
        <v>415</v>
      </c>
      <c r="G40" s="284">
        <v>358</v>
      </c>
      <c r="H40" s="284">
        <v>433</v>
      </c>
      <c r="I40" s="284">
        <v>404</v>
      </c>
      <c r="J40" s="284">
        <v>423</v>
      </c>
      <c r="K40" s="284">
        <v>541</v>
      </c>
      <c r="L40" s="284">
        <v>352</v>
      </c>
      <c r="M40" s="284">
        <v>244</v>
      </c>
      <c r="N40" s="284">
        <v>278</v>
      </c>
      <c r="O40" s="284">
        <v>235</v>
      </c>
      <c r="P40" s="284">
        <v>258</v>
      </c>
      <c r="Q40" s="190">
        <v>4232</v>
      </c>
    </row>
    <row r="41" spans="2:17" ht="15" customHeight="1" x14ac:dyDescent="0.2">
      <c r="B41" s="471"/>
      <c r="C41" s="306" t="s">
        <v>495</v>
      </c>
      <c r="D41" s="472"/>
      <c r="E41" s="284">
        <v>148</v>
      </c>
      <c r="F41" s="284">
        <v>51</v>
      </c>
      <c r="G41" s="284">
        <v>155</v>
      </c>
      <c r="H41" s="284">
        <v>292</v>
      </c>
      <c r="I41" s="284">
        <v>59</v>
      </c>
      <c r="J41" s="284">
        <v>58</v>
      </c>
      <c r="K41" s="284">
        <v>166</v>
      </c>
      <c r="L41" s="284">
        <v>49</v>
      </c>
      <c r="M41" s="284">
        <v>164</v>
      </c>
      <c r="N41" s="284">
        <v>72</v>
      </c>
      <c r="O41" s="284">
        <v>138</v>
      </c>
      <c r="P41" s="284">
        <v>110</v>
      </c>
      <c r="Q41" s="190">
        <v>1462</v>
      </c>
    </row>
    <row r="42" spans="2:17" ht="15" customHeight="1" x14ac:dyDescent="0.2">
      <c r="B42" s="471"/>
      <c r="C42" s="306" t="s">
        <v>496</v>
      </c>
      <c r="D42" s="472"/>
      <c r="E42" s="284">
        <v>223</v>
      </c>
      <c r="F42" s="284">
        <v>254</v>
      </c>
      <c r="G42" s="284">
        <v>133</v>
      </c>
      <c r="H42" s="284">
        <v>209</v>
      </c>
      <c r="I42" s="284">
        <v>283</v>
      </c>
      <c r="J42" s="284">
        <v>215</v>
      </c>
      <c r="K42" s="284">
        <v>139</v>
      </c>
      <c r="L42" s="284">
        <v>186</v>
      </c>
      <c r="M42" s="284">
        <v>205</v>
      </c>
      <c r="N42" s="284">
        <v>144</v>
      </c>
      <c r="O42" s="284">
        <v>295</v>
      </c>
      <c r="P42" s="284">
        <v>355</v>
      </c>
      <c r="Q42" s="190">
        <v>2641</v>
      </c>
    </row>
    <row r="43" spans="2:17" ht="15" customHeight="1" thickBot="1" x14ac:dyDescent="0.25">
      <c r="B43" s="468"/>
      <c r="C43" s="146" t="s">
        <v>17</v>
      </c>
      <c r="D43" s="85" t="s">
        <v>264</v>
      </c>
      <c r="E43" s="127">
        <v>662</v>
      </c>
      <c r="F43" s="127">
        <v>720</v>
      </c>
      <c r="G43" s="127">
        <v>646</v>
      </c>
      <c r="H43" s="127">
        <v>934</v>
      </c>
      <c r="I43" s="127">
        <v>746</v>
      </c>
      <c r="J43" s="127">
        <v>696</v>
      </c>
      <c r="K43" s="127">
        <v>846</v>
      </c>
      <c r="L43" s="127">
        <v>587</v>
      </c>
      <c r="M43" s="127">
        <v>613</v>
      </c>
      <c r="N43" s="127">
        <v>494</v>
      </c>
      <c r="O43" s="127">
        <v>668</v>
      </c>
      <c r="P43" s="127">
        <v>723</v>
      </c>
      <c r="Q43" s="191">
        <v>8335</v>
      </c>
    </row>
    <row r="44" spans="2:17" ht="15" customHeight="1" thickBot="1" x14ac:dyDescent="0.25">
      <c r="B44" s="158" t="s">
        <v>311</v>
      </c>
      <c r="C44" s="158" t="s">
        <v>601</v>
      </c>
      <c r="D44" s="87" t="s">
        <v>269</v>
      </c>
      <c r="E44" s="156">
        <v>1165</v>
      </c>
      <c r="F44" s="283"/>
      <c r="G44" s="283"/>
      <c r="H44" s="156">
        <v>553</v>
      </c>
      <c r="I44" s="156">
        <v>3107</v>
      </c>
      <c r="J44" s="156">
        <v>593</v>
      </c>
      <c r="K44" s="156">
        <v>1661</v>
      </c>
      <c r="L44" s="156">
        <v>922</v>
      </c>
      <c r="M44" s="156">
        <v>1738</v>
      </c>
      <c r="N44" s="156">
        <v>2913</v>
      </c>
      <c r="O44" s="156">
        <v>3413</v>
      </c>
      <c r="P44" s="156">
        <v>601</v>
      </c>
      <c r="Q44" s="288">
        <v>16666</v>
      </c>
    </row>
    <row r="45" spans="2:17" ht="15" customHeight="1" thickBot="1" x14ac:dyDescent="0.25">
      <c r="B45" s="263" t="s">
        <v>17</v>
      </c>
      <c r="C45" s="263" t="s">
        <v>264</v>
      </c>
      <c r="D45" s="263"/>
      <c r="E45" s="288">
        <v>9820</v>
      </c>
      <c r="F45" s="288">
        <v>3633</v>
      </c>
      <c r="G45" s="288">
        <v>24951</v>
      </c>
      <c r="H45" s="288">
        <v>83938</v>
      </c>
      <c r="I45" s="288">
        <v>173710</v>
      </c>
      <c r="J45" s="288">
        <v>184493</v>
      </c>
      <c r="K45" s="288">
        <v>213082</v>
      </c>
      <c r="L45" s="288">
        <v>224101</v>
      </c>
      <c r="M45" s="288">
        <v>203383</v>
      </c>
      <c r="N45" s="288">
        <v>286028</v>
      </c>
      <c r="O45" s="288">
        <v>106011</v>
      </c>
      <c r="P45" s="288">
        <v>21404</v>
      </c>
      <c r="Q45" s="288">
        <v>1534554</v>
      </c>
    </row>
    <row r="46" spans="2:17" ht="15" customHeight="1" thickBot="1" x14ac:dyDescent="0.25">
      <c r="B46" s="93" t="s">
        <v>295</v>
      </c>
      <c r="C46" s="158" t="s">
        <v>0</v>
      </c>
      <c r="D46" s="87" t="s">
        <v>0</v>
      </c>
      <c r="E46" s="157">
        <v>0.63992534638728904</v>
      </c>
      <c r="F46" s="157">
        <v>0.23674631195774146</v>
      </c>
      <c r="G46" s="157">
        <v>1.6259447370376019</v>
      </c>
      <c r="H46" s="157">
        <v>5.4698629047918805</v>
      </c>
      <c r="I46" s="157">
        <v>11.319901417610589</v>
      </c>
      <c r="J46" s="157">
        <v>12.022581153872721</v>
      </c>
      <c r="K46" s="157">
        <v>13.885598030437508</v>
      </c>
      <c r="L46" s="157">
        <v>14.60365682797738</v>
      </c>
      <c r="M46" s="157">
        <v>13.253557711230755</v>
      </c>
      <c r="N46" s="157">
        <v>18.639161606564514</v>
      </c>
      <c r="O46" s="157">
        <v>6.9082612928577296</v>
      </c>
      <c r="P46" s="157">
        <v>1.3948026592742908</v>
      </c>
      <c r="Q46" s="157">
        <v>100</v>
      </c>
    </row>
    <row r="47" spans="2:17" ht="15" customHeight="1" x14ac:dyDescent="0.2"/>
    <row r="48" spans="2:17" ht="15" customHeight="1" x14ac:dyDescent="0.2"/>
    <row r="49" ht="15" customHeight="1" x14ac:dyDescent="0.2"/>
    <row r="50" ht="15" customHeight="1" x14ac:dyDescent="0.2"/>
  </sheetData>
  <mergeCells count="19">
    <mergeCell ref="B40:B43"/>
    <mergeCell ref="D40:D42"/>
    <mergeCell ref="B23:B26"/>
    <mergeCell ref="D23:D25"/>
    <mergeCell ref="B27:B31"/>
    <mergeCell ref="D27:D30"/>
    <mergeCell ref="B33:B36"/>
    <mergeCell ref="D33:D35"/>
    <mergeCell ref="B1:Q1"/>
    <mergeCell ref="E2:P2"/>
    <mergeCell ref="B12:B18"/>
    <mergeCell ref="D12:D17"/>
    <mergeCell ref="B20:B22"/>
    <mergeCell ref="D20:D21"/>
    <mergeCell ref="B3:D3"/>
    <mergeCell ref="B4:B7"/>
    <mergeCell ref="D4:D6"/>
    <mergeCell ref="B8:B10"/>
    <mergeCell ref="D8:D9"/>
  </mergeCells>
  <printOptions horizontalCentered="1"/>
  <pageMargins left="0.74803149606299213" right="0.74803149606299213" top="0.47244094488188981" bottom="0.47244094488188981" header="0.47244094488188981" footer="0.47244094488188981"/>
  <pageSetup scale="73"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B1:DF114"/>
  <sheetViews>
    <sheetView view="pageBreakPreview" zoomScaleNormal="100" zoomScaleSheetLayoutView="100" workbookViewId="0"/>
  </sheetViews>
  <sheetFormatPr defaultColWidth="9.140625" defaultRowHeight="12.75" x14ac:dyDescent="0.2"/>
  <cols>
    <col min="1" max="1" width="9.140625" style="265"/>
    <col min="2" max="2" width="27.42578125" style="265" bestFit="1" customWidth="1"/>
    <col min="3" max="3" width="9.140625" style="265" customWidth="1"/>
    <col min="4" max="4" width="6" style="265" customWidth="1"/>
    <col min="5" max="5" width="6.7109375" style="265" customWidth="1"/>
    <col min="6" max="6" width="7.85546875" style="265" customWidth="1"/>
    <col min="7" max="7" width="7.5703125" style="265" customWidth="1"/>
    <col min="8" max="8" width="6.140625" style="265" customWidth="1"/>
    <col min="9" max="10" width="7.28515625" style="265" customWidth="1"/>
    <col min="11" max="11" width="6.5703125" style="265" customWidth="1"/>
    <col min="12" max="12" width="7" style="265" customWidth="1"/>
    <col min="13" max="13" width="7.85546875" style="265" customWidth="1"/>
    <col min="14" max="14" width="6.28515625" style="265" customWidth="1"/>
    <col min="15" max="15" width="9.140625" style="265" customWidth="1"/>
    <col min="16" max="16" width="7.28515625" style="265" customWidth="1"/>
    <col min="17" max="17" width="6.28515625" style="265" customWidth="1"/>
    <col min="18" max="18" width="8.140625" style="265" customWidth="1"/>
    <col min="19" max="19" width="7.5703125" style="265" customWidth="1"/>
    <col min="20" max="20" width="9.85546875" style="265" customWidth="1"/>
    <col min="21" max="21" width="7.140625" style="265" customWidth="1"/>
    <col min="22" max="22" width="8.85546875" style="265" customWidth="1"/>
    <col min="23" max="23" width="7.5703125" style="265" customWidth="1"/>
    <col min="24" max="25" width="7.85546875" style="265" customWidth="1"/>
    <col min="26" max="26" width="7.42578125" style="265" customWidth="1"/>
    <col min="27" max="27" width="9.28515625" style="265" customWidth="1"/>
    <col min="28" max="28" width="7.85546875" style="265" customWidth="1"/>
    <col min="29" max="29" width="7.140625" style="265" customWidth="1"/>
    <col min="30" max="30" width="9" style="265" customWidth="1"/>
    <col min="31" max="31" width="9.7109375" style="265" customWidth="1"/>
    <col min="32" max="32" width="5.7109375" style="265" customWidth="1"/>
    <col min="33" max="33" width="9.28515625" style="265" customWidth="1"/>
    <col min="34" max="34" width="10.5703125" style="265" customWidth="1"/>
    <col min="35" max="35" width="9.28515625" style="265" customWidth="1"/>
    <col min="36" max="36" width="10.5703125" style="265" customWidth="1"/>
    <col min="37" max="37" width="6.85546875" style="265" customWidth="1"/>
    <col min="38" max="38" width="8" style="265" customWidth="1"/>
    <col min="39" max="39" width="7.28515625" style="265" customWidth="1"/>
    <col min="40" max="40" width="11" style="265" customWidth="1"/>
    <col min="41" max="41" width="7.42578125" style="265" customWidth="1"/>
    <col min="42" max="42" width="7.28515625" style="265" customWidth="1"/>
    <col min="43" max="43" width="7.7109375" style="265" customWidth="1"/>
    <col min="44" max="44" width="9.140625" style="265" customWidth="1"/>
    <col min="45" max="45" width="7.7109375" style="265" customWidth="1"/>
    <col min="46" max="46" width="9" style="265" customWidth="1"/>
    <col min="47" max="47" width="7.28515625" style="265" customWidth="1"/>
    <col min="48" max="48" width="10.140625" style="265" customWidth="1"/>
    <col min="49" max="49" width="7.28515625" style="265" customWidth="1"/>
    <col min="50" max="50" width="7.85546875" style="265" customWidth="1"/>
    <col min="51" max="51" width="7.42578125" style="265" customWidth="1"/>
    <col min="52" max="52" width="8.140625" style="265" customWidth="1"/>
    <col min="53" max="53" width="6" style="265" customWidth="1"/>
    <col min="54" max="54" width="11.7109375" style="265" customWidth="1"/>
    <col min="55" max="55" width="8.140625" style="265" customWidth="1"/>
    <col min="56" max="56" width="11.5703125" style="265" customWidth="1"/>
    <col min="57" max="57" width="9.140625" style="265" customWidth="1"/>
    <col min="58" max="58" width="7.28515625" style="265" customWidth="1"/>
    <col min="59" max="59" width="8.140625" style="265" customWidth="1"/>
    <col min="60" max="60" width="6.85546875" style="265" customWidth="1"/>
    <col min="61" max="61" width="7.140625" style="265" customWidth="1"/>
    <col min="62" max="62" width="7.5703125" style="265" customWidth="1"/>
    <col min="63" max="63" width="6.140625" style="265" customWidth="1"/>
    <col min="64" max="64" width="10.85546875" style="265" customWidth="1"/>
    <col min="65" max="65" width="5.42578125" style="265" customWidth="1"/>
    <col min="66" max="66" width="7.85546875" style="265" customWidth="1"/>
    <col min="67" max="67" width="11.140625" style="265" customWidth="1"/>
    <col min="68" max="68" width="7.85546875" style="265" customWidth="1"/>
    <col min="69" max="69" width="9.28515625" style="265" customWidth="1"/>
    <col min="70" max="70" width="7.5703125" style="265" customWidth="1"/>
    <col min="71" max="71" width="7.42578125" style="265" customWidth="1"/>
    <col min="72" max="72" width="11.140625" style="265" customWidth="1"/>
    <col min="73" max="73" width="8.140625" style="265" customWidth="1"/>
    <col min="74" max="74" width="8.7109375" style="265" customWidth="1"/>
    <col min="75" max="75" width="9.42578125" style="265" customWidth="1"/>
    <col min="76" max="76" width="7.85546875" style="265" customWidth="1"/>
    <col min="77" max="77" width="8.140625" style="265" customWidth="1"/>
    <col min="78" max="78" width="7.7109375" style="265" customWidth="1"/>
    <col min="79" max="79" width="9.42578125" style="265" customWidth="1"/>
    <col min="80" max="80" width="10.140625" style="265" customWidth="1"/>
    <col min="81" max="81" width="8.42578125" style="265" customWidth="1"/>
    <col min="82" max="82" width="9.7109375" style="265" customWidth="1"/>
    <col min="83" max="83" width="6.140625" style="265" customWidth="1"/>
    <col min="84" max="84" width="6.7109375" style="265" customWidth="1"/>
    <col min="85" max="85" width="10.140625" style="265" customWidth="1"/>
    <col min="86" max="86" width="9.7109375" style="265" customWidth="1"/>
    <col min="87" max="87" width="6.85546875" style="265" customWidth="1"/>
    <col min="88" max="88" width="8.140625" style="265" customWidth="1"/>
    <col min="89" max="89" width="5.85546875" style="265" customWidth="1"/>
    <col min="90" max="90" width="6.140625" style="265" customWidth="1"/>
    <col min="91" max="91" width="7.7109375" style="265" customWidth="1"/>
    <col min="92" max="92" width="7.5703125" style="265" customWidth="1"/>
    <col min="93" max="93" width="8.42578125" style="265" customWidth="1"/>
    <col min="94" max="94" width="8.28515625" style="265" customWidth="1"/>
    <col min="95" max="95" width="7.28515625" style="265" customWidth="1"/>
    <col min="96" max="96" width="8.7109375" style="265" customWidth="1"/>
    <col min="97" max="97" width="8.28515625" style="265" customWidth="1"/>
    <col min="98" max="98" width="7.5703125" style="265" customWidth="1"/>
    <col min="99" max="99" width="9" style="265" customWidth="1"/>
    <col min="100" max="100" width="9.140625" style="265" customWidth="1"/>
    <col min="101" max="101" width="9.7109375" style="265" customWidth="1"/>
    <col min="102" max="102" width="9" style="265" customWidth="1"/>
    <col min="103" max="103" width="8.42578125" style="265" customWidth="1"/>
    <col min="104" max="104" width="9.140625" style="265" customWidth="1"/>
    <col min="105" max="105" width="6.140625" style="265" customWidth="1"/>
    <col min="106" max="106" width="10.28515625" style="265" customWidth="1"/>
    <col min="107" max="107" width="10.5703125" style="265" customWidth="1"/>
    <col min="108" max="108" width="10.42578125" style="265" customWidth="1"/>
    <col min="109" max="109" width="14" style="265" bestFit="1" customWidth="1"/>
    <col min="110" max="110" width="8.85546875" style="265" bestFit="1" customWidth="1"/>
    <col min="111" max="112" width="9.140625" style="265"/>
    <col min="113" max="113" width="9.140625" style="265" customWidth="1"/>
    <col min="114" max="16384" width="9.140625" style="265"/>
  </cols>
  <sheetData>
    <row r="1" spans="2:110" s="261" customFormat="1" ht="30" customHeight="1" thickBot="1" x14ac:dyDescent="0.25">
      <c r="B1" s="460" t="s">
        <v>628</v>
      </c>
      <c r="C1" s="460"/>
      <c r="D1" s="460"/>
      <c r="E1" s="460"/>
      <c r="F1" s="460"/>
      <c r="G1" s="460"/>
      <c r="H1" s="460"/>
      <c r="I1" s="460"/>
      <c r="J1" s="460"/>
      <c r="K1" s="460"/>
      <c r="L1" s="460"/>
      <c r="M1" s="460"/>
      <c r="N1" s="460"/>
      <c r="O1" s="460"/>
      <c r="P1" s="460"/>
      <c r="Q1" s="460"/>
      <c r="R1" s="460"/>
      <c r="S1" s="460"/>
      <c r="T1" s="460"/>
      <c r="U1" s="460"/>
      <c r="V1" s="460"/>
      <c r="W1" s="460"/>
      <c r="X1" s="460"/>
      <c r="Y1" s="460"/>
      <c r="Z1" s="460"/>
      <c r="AA1" s="460"/>
      <c r="AB1" s="460"/>
      <c r="AC1" s="473" t="s">
        <v>628</v>
      </c>
      <c r="AD1" s="473"/>
      <c r="AE1" s="473"/>
      <c r="AF1" s="473"/>
      <c r="AG1" s="473"/>
      <c r="AH1" s="473"/>
      <c r="AI1" s="473"/>
      <c r="AJ1" s="473"/>
      <c r="AK1" s="473"/>
      <c r="AL1" s="473"/>
      <c r="AM1" s="473"/>
      <c r="AN1" s="473"/>
      <c r="AO1" s="473"/>
      <c r="AP1" s="473"/>
      <c r="AQ1" s="473"/>
      <c r="AR1" s="473"/>
      <c r="AS1" s="473"/>
      <c r="AT1" s="473"/>
      <c r="AU1" s="473"/>
      <c r="AV1" s="473"/>
      <c r="AW1" s="473"/>
      <c r="AX1" s="473"/>
      <c r="AY1" s="473" t="s">
        <v>628</v>
      </c>
      <c r="AZ1" s="473"/>
      <c r="BA1" s="473"/>
      <c r="BB1" s="473"/>
      <c r="BC1" s="473"/>
      <c r="BD1" s="473"/>
      <c r="BE1" s="473"/>
      <c r="BF1" s="473"/>
      <c r="BG1" s="473"/>
      <c r="BH1" s="473"/>
      <c r="BI1" s="473"/>
      <c r="BJ1" s="473"/>
      <c r="BK1" s="473"/>
      <c r="BL1" s="473"/>
      <c r="BM1" s="473"/>
      <c r="BN1" s="473"/>
      <c r="BO1" s="473"/>
      <c r="BP1" s="473"/>
      <c r="BQ1" s="473"/>
      <c r="BR1" s="473" t="s">
        <v>628</v>
      </c>
      <c r="BS1" s="473"/>
      <c r="BT1" s="473"/>
      <c r="BU1" s="473"/>
      <c r="BV1" s="473"/>
      <c r="BW1" s="473"/>
      <c r="BX1" s="473"/>
      <c r="BY1" s="473"/>
      <c r="BZ1" s="473"/>
      <c r="CA1" s="473"/>
      <c r="CB1" s="473"/>
      <c r="CC1" s="473"/>
      <c r="CD1" s="473"/>
      <c r="CE1" s="473"/>
      <c r="CF1" s="473"/>
      <c r="CG1" s="473"/>
      <c r="CH1" s="473"/>
      <c r="CI1" s="473"/>
      <c r="CJ1" s="473"/>
      <c r="CK1" s="473"/>
      <c r="CL1" s="473"/>
      <c r="CM1" s="473"/>
      <c r="CN1" s="473" t="s">
        <v>628</v>
      </c>
      <c r="CO1" s="473"/>
      <c r="CP1" s="473"/>
      <c r="CQ1" s="473"/>
      <c r="CR1" s="473"/>
      <c r="CS1" s="473"/>
      <c r="CT1" s="473"/>
      <c r="CU1" s="473"/>
      <c r="CV1" s="473"/>
      <c r="CW1" s="473"/>
      <c r="CX1" s="473"/>
      <c r="CY1" s="473"/>
      <c r="CZ1" s="473"/>
      <c r="DA1" s="473"/>
      <c r="DB1" s="473"/>
      <c r="DC1" s="473"/>
      <c r="DD1" s="473"/>
      <c r="DE1" s="473"/>
      <c r="DF1" s="473"/>
    </row>
    <row r="2" spans="2:110" s="134" customFormat="1" ht="16.5" customHeight="1" x14ac:dyDescent="0.2">
      <c r="B2" s="353"/>
      <c r="C2" s="477" t="s">
        <v>301</v>
      </c>
      <c r="D2" s="478"/>
      <c r="E2" s="478"/>
      <c r="F2" s="479"/>
      <c r="G2" s="475" t="s">
        <v>306</v>
      </c>
      <c r="H2" s="475"/>
      <c r="I2" s="475"/>
      <c r="J2" s="475"/>
      <c r="K2" s="475"/>
      <c r="L2" s="475"/>
      <c r="M2" s="475"/>
      <c r="N2" s="370" t="s">
        <v>308</v>
      </c>
      <c r="O2" s="475" t="s">
        <v>309</v>
      </c>
      <c r="P2" s="475"/>
      <c r="Q2" s="475"/>
      <c r="R2" s="475"/>
      <c r="S2" s="474" t="s">
        <v>310</v>
      </c>
      <c r="T2" s="475"/>
      <c r="U2" s="475"/>
      <c r="V2" s="476"/>
      <c r="W2" s="475" t="s">
        <v>311</v>
      </c>
      <c r="X2" s="475"/>
      <c r="Y2" s="475"/>
      <c r="Z2" s="474" t="s">
        <v>313</v>
      </c>
      <c r="AA2" s="475"/>
      <c r="AB2" s="476"/>
      <c r="AC2" s="475" t="s">
        <v>314</v>
      </c>
      <c r="AD2" s="475"/>
      <c r="AE2" s="475"/>
      <c r="AF2" s="475"/>
      <c r="AG2" s="475"/>
      <c r="AH2" s="475"/>
      <c r="AI2" s="475"/>
      <c r="AJ2" s="475"/>
      <c r="AK2" s="376" t="s">
        <v>317</v>
      </c>
      <c r="AL2" s="370" t="s">
        <v>323</v>
      </c>
      <c r="AM2" s="474" t="s">
        <v>325</v>
      </c>
      <c r="AN2" s="475"/>
      <c r="AO2" s="475"/>
      <c r="AP2" s="475"/>
      <c r="AQ2" s="475"/>
      <c r="AR2" s="475"/>
      <c r="AS2" s="475"/>
      <c r="AT2" s="475"/>
      <c r="AU2" s="475"/>
      <c r="AV2" s="475"/>
      <c r="AW2" s="475"/>
      <c r="AX2" s="476"/>
      <c r="AY2" s="475" t="s">
        <v>328</v>
      </c>
      <c r="AZ2" s="475"/>
      <c r="BA2" s="475"/>
      <c r="BB2" s="475"/>
      <c r="BC2" s="475"/>
      <c r="BD2" s="475"/>
      <c r="BE2" s="475"/>
      <c r="BF2" s="475"/>
      <c r="BG2" s="475"/>
      <c r="BH2" s="474" t="s">
        <v>329</v>
      </c>
      <c r="BI2" s="475"/>
      <c r="BJ2" s="475"/>
      <c r="BK2" s="475"/>
      <c r="BL2" s="475"/>
      <c r="BM2" s="475"/>
      <c r="BN2" s="476"/>
      <c r="BO2" s="371" t="s">
        <v>332</v>
      </c>
      <c r="BP2" s="370" t="s">
        <v>336</v>
      </c>
      <c r="BQ2" s="370" t="s">
        <v>334</v>
      </c>
      <c r="BR2" s="475" t="s">
        <v>341</v>
      </c>
      <c r="BS2" s="475"/>
      <c r="BT2" s="475"/>
      <c r="BU2" s="475"/>
      <c r="BV2" s="475"/>
      <c r="BW2" s="475"/>
      <c r="BX2" s="475"/>
      <c r="BY2" s="474" t="s">
        <v>342</v>
      </c>
      <c r="BZ2" s="475"/>
      <c r="CA2" s="475"/>
      <c r="CB2" s="475"/>
      <c r="CC2" s="475"/>
      <c r="CD2" s="475"/>
      <c r="CE2" s="475"/>
      <c r="CF2" s="475"/>
      <c r="CG2" s="475"/>
      <c r="CH2" s="475"/>
      <c r="CI2" s="475"/>
      <c r="CJ2" s="476"/>
      <c r="CK2" s="475" t="s">
        <v>344</v>
      </c>
      <c r="CL2" s="475"/>
      <c r="CM2" s="475"/>
      <c r="CN2" s="370" t="s">
        <v>345</v>
      </c>
      <c r="CO2" s="370" t="s">
        <v>346</v>
      </c>
      <c r="CP2" s="475" t="s">
        <v>347</v>
      </c>
      <c r="CQ2" s="475"/>
      <c r="CR2" s="475"/>
      <c r="CS2" s="475"/>
      <c r="CT2" s="370" t="s">
        <v>348</v>
      </c>
      <c r="CU2" s="475" t="s">
        <v>352</v>
      </c>
      <c r="CV2" s="475"/>
      <c r="CW2" s="475"/>
      <c r="CX2" s="475"/>
      <c r="CY2" s="370" t="s">
        <v>353</v>
      </c>
      <c r="CZ2" s="370" t="s">
        <v>356</v>
      </c>
      <c r="DA2" s="475" t="s">
        <v>357</v>
      </c>
      <c r="DB2" s="475"/>
      <c r="DC2" s="475"/>
      <c r="DD2" s="475"/>
      <c r="DE2" s="481" t="s">
        <v>537</v>
      </c>
      <c r="DF2" s="476" t="s">
        <v>538</v>
      </c>
    </row>
    <row r="3" spans="2:110" s="134" customFormat="1" ht="62.25" customHeight="1" thickBot="1" x14ac:dyDescent="0.25">
      <c r="B3" s="268" t="s">
        <v>267</v>
      </c>
      <c r="C3" s="362" t="s">
        <v>614</v>
      </c>
      <c r="D3" s="372" t="s">
        <v>360</v>
      </c>
      <c r="E3" s="372" t="s">
        <v>361</v>
      </c>
      <c r="F3" s="363" t="s">
        <v>509</v>
      </c>
      <c r="G3" s="142" t="s">
        <v>369</v>
      </c>
      <c r="H3" s="137" t="s">
        <v>367</v>
      </c>
      <c r="I3" s="137" t="s">
        <v>595</v>
      </c>
      <c r="J3" s="137" t="s">
        <v>366</v>
      </c>
      <c r="K3" s="137" t="s">
        <v>368</v>
      </c>
      <c r="L3" s="137" t="s">
        <v>372</v>
      </c>
      <c r="M3" s="142" t="s">
        <v>510</v>
      </c>
      <c r="N3" s="267" t="s">
        <v>373</v>
      </c>
      <c r="O3" s="142" t="s">
        <v>376</v>
      </c>
      <c r="P3" s="137" t="s">
        <v>375</v>
      </c>
      <c r="Q3" s="137" t="s">
        <v>615</v>
      </c>
      <c r="R3" s="142" t="s">
        <v>513</v>
      </c>
      <c r="S3" s="279" t="s">
        <v>379</v>
      </c>
      <c r="T3" s="137" t="s">
        <v>378</v>
      </c>
      <c r="U3" s="137" t="s">
        <v>377</v>
      </c>
      <c r="V3" s="278" t="s">
        <v>514</v>
      </c>
      <c r="W3" s="142" t="s">
        <v>499</v>
      </c>
      <c r="X3" s="137" t="s">
        <v>604</v>
      </c>
      <c r="Y3" s="142" t="s">
        <v>603</v>
      </c>
      <c r="Z3" s="279" t="s">
        <v>382</v>
      </c>
      <c r="AA3" s="137" t="s">
        <v>616</v>
      </c>
      <c r="AB3" s="278" t="s">
        <v>515</v>
      </c>
      <c r="AC3" s="142" t="s">
        <v>385</v>
      </c>
      <c r="AD3" s="137" t="s">
        <v>386</v>
      </c>
      <c r="AE3" s="137" t="s">
        <v>389</v>
      </c>
      <c r="AF3" s="137" t="s">
        <v>388</v>
      </c>
      <c r="AG3" s="137" t="s">
        <v>387</v>
      </c>
      <c r="AH3" s="137" t="s">
        <v>383</v>
      </c>
      <c r="AI3" s="137" t="s">
        <v>384</v>
      </c>
      <c r="AJ3" s="142" t="s">
        <v>516</v>
      </c>
      <c r="AK3" s="267" t="s">
        <v>617</v>
      </c>
      <c r="AL3" s="267" t="s">
        <v>404</v>
      </c>
      <c r="AM3" s="279" t="s">
        <v>410</v>
      </c>
      <c r="AN3" s="137" t="s">
        <v>421</v>
      </c>
      <c r="AO3" s="137" t="s">
        <v>414</v>
      </c>
      <c r="AP3" s="137" t="s">
        <v>416</v>
      </c>
      <c r="AQ3" s="137" t="s">
        <v>412</v>
      </c>
      <c r="AR3" s="137" t="s">
        <v>418</v>
      </c>
      <c r="AS3" s="137" t="s">
        <v>413</v>
      </c>
      <c r="AT3" s="137" t="s">
        <v>419</v>
      </c>
      <c r="AU3" s="137" t="s">
        <v>420</v>
      </c>
      <c r="AV3" s="137" t="s">
        <v>408</v>
      </c>
      <c r="AW3" s="137" t="s">
        <v>409</v>
      </c>
      <c r="AX3" s="278" t="s">
        <v>520</v>
      </c>
      <c r="AY3" s="142" t="s">
        <v>435</v>
      </c>
      <c r="AZ3" s="137" t="s">
        <v>438</v>
      </c>
      <c r="BA3" s="137" t="s">
        <v>434</v>
      </c>
      <c r="BB3" s="137" t="s">
        <v>428</v>
      </c>
      <c r="BC3" s="137" t="s">
        <v>433</v>
      </c>
      <c r="BD3" s="137" t="s">
        <v>437</v>
      </c>
      <c r="BE3" s="137" t="s">
        <v>436</v>
      </c>
      <c r="BF3" s="137" t="s">
        <v>430</v>
      </c>
      <c r="BG3" s="142" t="s">
        <v>522</v>
      </c>
      <c r="BH3" s="279" t="s">
        <v>441</v>
      </c>
      <c r="BI3" s="137" t="s">
        <v>439</v>
      </c>
      <c r="BJ3" s="137" t="s">
        <v>440</v>
      </c>
      <c r="BK3" s="137" t="s">
        <v>443</v>
      </c>
      <c r="BL3" s="137" t="s">
        <v>445</v>
      </c>
      <c r="BM3" s="137" t="s">
        <v>444</v>
      </c>
      <c r="BN3" s="278" t="s">
        <v>523</v>
      </c>
      <c r="BO3" s="142" t="s">
        <v>447</v>
      </c>
      <c r="BP3" s="267" t="s">
        <v>451</v>
      </c>
      <c r="BQ3" s="267" t="s">
        <v>620</v>
      </c>
      <c r="BR3" s="142" t="s">
        <v>424</v>
      </c>
      <c r="BS3" s="137" t="s">
        <v>423</v>
      </c>
      <c r="BT3" s="137" t="s">
        <v>425</v>
      </c>
      <c r="BU3" s="137" t="s">
        <v>619</v>
      </c>
      <c r="BV3" s="137" t="s">
        <v>598</v>
      </c>
      <c r="BW3" s="137" t="s">
        <v>426</v>
      </c>
      <c r="BX3" s="142" t="s">
        <v>527</v>
      </c>
      <c r="BY3" s="279" t="s">
        <v>458</v>
      </c>
      <c r="BZ3" s="137" t="s">
        <v>465</v>
      </c>
      <c r="CA3" s="137" t="s">
        <v>464</v>
      </c>
      <c r="CB3" s="137" t="s">
        <v>459</v>
      </c>
      <c r="CC3" s="137" t="s">
        <v>460</v>
      </c>
      <c r="CD3" s="137" t="s">
        <v>599</v>
      </c>
      <c r="CE3" s="137" t="s">
        <v>467</v>
      </c>
      <c r="CF3" s="137" t="s">
        <v>462</v>
      </c>
      <c r="CG3" s="137" t="s">
        <v>466</v>
      </c>
      <c r="CH3" s="137" t="s">
        <v>469</v>
      </c>
      <c r="CI3" s="137" t="s">
        <v>468</v>
      </c>
      <c r="CJ3" s="278" t="s">
        <v>528</v>
      </c>
      <c r="CK3" s="142" t="s">
        <v>471</v>
      </c>
      <c r="CL3" s="137" t="s">
        <v>472</v>
      </c>
      <c r="CM3" s="142" t="s">
        <v>529</v>
      </c>
      <c r="CN3" s="267" t="s">
        <v>474</v>
      </c>
      <c r="CO3" s="267" t="s">
        <v>475</v>
      </c>
      <c r="CP3" s="142" t="s">
        <v>477</v>
      </c>
      <c r="CQ3" s="137" t="s">
        <v>358</v>
      </c>
      <c r="CR3" s="137" t="s">
        <v>476</v>
      </c>
      <c r="CS3" s="142" t="s">
        <v>530</v>
      </c>
      <c r="CT3" s="267" t="s">
        <v>479</v>
      </c>
      <c r="CU3" s="142" t="s">
        <v>485</v>
      </c>
      <c r="CV3" s="137" t="s">
        <v>483</v>
      </c>
      <c r="CW3" s="137" t="s">
        <v>484</v>
      </c>
      <c r="CX3" s="142" t="s">
        <v>533</v>
      </c>
      <c r="CY3" s="267" t="s">
        <v>486</v>
      </c>
      <c r="CZ3" s="267" t="s">
        <v>503</v>
      </c>
      <c r="DA3" s="142" t="s">
        <v>495</v>
      </c>
      <c r="DB3" s="137" t="s">
        <v>496</v>
      </c>
      <c r="DC3" s="137" t="s">
        <v>494</v>
      </c>
      <c r="DD3" s="142" t="s">
        <v>536</v>
      </c>
      <c r="DE3" s="482"/>
      <c r="DF3" s="480"/>
    </row>
    <row r="4" spans="2:110" x14ac:dyDescent="0.2">
      <c r="B4" s="248" t="s">
        <v>63</v>
      </c>
      <c r="C4" s="364"/>
      <c r="D4" s="373"/>
      <c r="E4" s="373"/>
      <c r="F4" s="365"/>
      <c r="G4" s="275"/>
      <c r="H4" s="273"/>
      <c r="I4" s="273"/>
      <c r="J4" s="273"/>
      <c r="K4" s="273"/>
      <c r="L4" s="273"/>
      <c r="M4" s="275"/>
      <c r="N4" s="271"/>
      <c r="O4" s="275">
        <v>148</v>
      </c>
      <c r="P4" s="273"/>
      <c r="Q4" s="273"/>
      <c r="R4" s="275">
        <v>148</v>
      </c>
      <c r="S4" s="274">
        <v>0</v>
      </c>
      <c r="T4" s="273"/>
      <c r="U4" s="273"/>
      <c r="V4" s="272">
        <v>0</v>
      </c>
      <c r="W4" s="275"/>
      <c r="X4" s="273"/>
      <c r="Y4" s="275"/>
      <c r="Z4" s="274"/>
      <c r="AA4" s="273"/>
      <c r="AB4" s="272"/>
      <c r="AC4" s="275">
        <v>4</v>
      </c>
      <c r="AD4" s="273"/>
      <c r="AE4" s="273"/>
      <c r="AF4" s="273"/>
      <c r="AG4" s="273"/>
      <c r="AH4" s="273"/>
      <c r="AI4" s="273"/>
      <c r="AJ4" s="275">
        <v>4</v>
      </c>
      <c r="AK4" s="271">
        <v>0</v>
      </c>
      <c r="AL4" s="271"/>
      <c r="AM4" s="274">
        <v>0</v>
      </c>
      <c r="AN4" s="273"/>
      <c r="AO4" s="273"/>
      <c r="AP4" s="273"/>
      <c r="AQ4" s="273"/>
      <c r="AR4" s="273"/>
      <c r="AS4" s="273"/>
      <c r="AT4" s="273"/>
      <c r="AU4" s="273"/>
      <c r="AV4" s="273"/>
      <c r="AW4" s="273"/>
      <c r="AX4" s="272">
        <v>0</v>
      </c>
      <c r="AY4" s="275">
        <v>0</v>
      </c>
      <c r="AZ4" s="273">
        <v>35</v>
      </c>
      <c r="BA4" s="273">
        <v>0</v>
      </c>
      <c r="BB4" s="273">
        <v>0</v>
      </c>
      <c r="BC4" s="273"/>
      <c r="BD4" s="273"/>
      <c r="BE4" s="273"/>
      <c r="BF4" s="273"/>
      <c r="BG4" s="275">
        <v>35</v>
      </c>
      <c r="BH4" s="274">
        <v>0</v>
      </c>
      <c r="BI4" s="273">
        <v>0</v>
      </c>
      <c r="BJ4" s="273">
        <v>20</v>
      </c>
      <c r="BK4" s="273"/>
      <c r="BL4" s="273"/>
      <c r="BM4" s="273"/>
      <c r="BN4" s="272">
        <v>20</v>
      </c>
      <c r="BO4" s="275"/>
      <c r="BP4" s="271">
        <v>0</v>
      </c>
      <c r="BQ4" s="271"/>
      <c r="BR4" s="275">
        <v>0</v>
      </c>
      <c r="BS4" s="273">
        <v>0</v>
      </c>
      <c r="BT4" s="273"/>
      <c r="BU4" s="273"/>
      <c r="BV4" s="273"/>
      <c r="BW4" s="273"/>
      <c r="BX4" s="275">
        <v>0</v>
      </c>
      <c r="BY4" s="274">
        <v>9</v>
      </c>
      <c r="BZ4" s="273">
        <v>0</v>
      </c>
      <c r="CA4" s="273">
        <v>3</v>
      </c>
      <c r="CB4" s="273">
        <v>0</v>
      </c>
      <c r="CC4" s="273">
        <v>0</v>
      </c>
      <c r="CD4" s="273"/>
      <c r="CE4" s="273"/>
      <c r="CF4" s="273"/>
      <c r="CG4" s="273"/>
      <c r="CH4" s="273"/>
      <c r="CI4" s="273"/>
      <c r="CJ4" s="272">
        <v>12</v>
      </c>
      <c r="CK4" s="275"/>
      <c r="CL4" s="273"/>
      <c r="CM4" s="275"/>
      <c r="CN4" s="271"/>
      <c r="CO4" s="271"/>
      <c r="CP4" s="275"/>
      <c r="CQ4" s="273"/>
      <c r="CR4" s="273"/>
      <c r="CS4" s="275"/>
      <c r="CT4" s="271"/>
      <c r="CU4" s="275">
        <v>117</v>
      </c>
      <c r="CV4" s="273"/>
      <c r="CW4" s="273"/>
      <c r="CX4" s="275">
        <v>117</v>
      </c>
      <c r="CY4" s="271"/>
      <c r="CZ4" s="271">
        <v>0</v>
      </c>
      <c r="DA4" s="275">
        <v>0</v>
      </c>
      <c r="DB4" s="273"/>
      <c r="DC4" s="273"/>
      <c r="DD4" s="275">
        <v>0</v>
      </c>
      <c r="DE4" s="271">
        <v>336</v>
      </c>
      <c r="DF4" s="354">
        <f>336/1534554</f>
        <v>2.1895612666611927E-4</v>
      </c>
    </row>
    <row r="5" spans="2:110" x14ac:dyDescent="0.2">
      <c r="B5" s="138" t="s">
        <v>85</v>
      </c>
      <c r="C5" s="366"/>
      <c r="D5" s="374"/>
      <c r="E5" s="374"/>
      <c r="F5" s="367"/>
      <c r="G5" s="143">
        <v>14</v>
      </c>
      <c r="H5" s="135">
        <v>0</v>
      </c>
      <c r="I5" s="135">
        <v>0</v>
      </c>
      <c r="J5" s="135"/>
      <c r="K5" s="135"/>
      <c r="L5" s="135"/>
      <c r="M5" s="143">
        <v>14</v>
      </c>
      <c r="N5" s="140"/>
      <c r="O5" s="143">
        <v>769</v>
      </c>
      <c r="P5" s="135"/>
      <c r="Q5" s="135"/>
      <c r="R5" s="143">
        <v>769</v>
      </c>
      <c r="S5" s="277">
        <v>0</v>
      </c>
      <c r="T5" s="135"/>
      <c r="U5" s="135"/>
      <c r="V5" s="276">
        <v>0</v>
      </c>
      <c r="W5" s="143"/>
      <c r="X5" s="135"/>
      <c r="Y5" s="143"/>
      <c r="Z5" s="277"/>
      <c r="AA5" s="135"/>
      <c r="AB5" s="276"/>
      <c r="AC5" s="143">
        <v>1</v>
      </c>
      <c r="AD5" s="135"/>
      <c r="AE5" s="135"/>
      <c r="AF5" s="135"/>
      <c r="AG5" s="135"/>
      <c r="AH5" s="135"/>
      <c r="AI5" s="135"/>
      <c r="AJ5" s="143">
        <v>1</v>
      </c>
      <c r="AK5" s="140"/>
      <c r="AL5" s="140"/>
      <c r="AM5" s="277"/>
      <c r="AN5" s="135"/>
      <c r="AO5" s="135"/>
      <c r="AP5" s="135"/>
      <c r="AQ5" s="135"/>
      <c r="AR5" s="135"/>
      <c r="AS5" s="135"/>
      <c r="AT5" s="135"/>
      <c r="AU5" s="135"/>
      <c r="AV5" s="135"/>
      <c r="AW5" s="135"/>
      <c r="AX5" s="276"/>
      <c r="AY5" s="143">
        <v>0</v>
      </c>
      <c r="AZ5" s="135">
        <v>235</v>
      </c>
      <c r="BA5" s="135">
        <v>0</v>
      </c>
      <c r="BB5" s="135">
        <v>0</v>
      </c>
      <c r="BC5" s="135">
        <v>0</v>
      </c>
      <c r="BD5" s="135"/>
      <c r="BE5" s="135"/>
      <c r="BF5" s="135"/>
      <c r="BG5" s="143">
        <v>235</v>
      </c>
      <c r="BH5" s="277">
        <v>0</v>
      </c>
      <c r="BI5" s="135">
        <v>1</v>
      </c>
      <c r="BJ5" s="135">
        <v>43</v>
      </c>
      <c r="BK5" s="135"/>
      <c r="BL5" s="135"/>
      <c r="BM5" s="135"/>
      <c r="BN5" s="276">
        <v>44</v>
      </c>
      <c r="BO5" s="143"/>
      <c r="BP5" s="140">
        <v>0</v>
      </c>
      <c r="BQ5" s="140"/>
      <c r="BR5" s="143">
        <v>0</v>
      </c>
      <c r="BS5" s="135">
        <v>0</v>
      </c>
      <c r="BT5" s="135"/>
      <c r="BU5" s="135"/>
      <c r="BV5" s="135"/>
      <c r="BW5" s="135"/>
      <c r="BX5" s="143">
        <v>0</v>
      </c>
      <c r="BY5" s="277">
        <v>22</v>
      </c>
      <c r="BZ5" s="135">
        <v>0</v>
      </c>
      <c r="CA5" s="135">
        <v>21</v>
      </c>
      <c r="CB5" s="135">
        <v>0</v>
      </c>
      <c r="CC5" s="135">
        <v>205</v>
      </c>
      <c r="CD5" s="135">
        <v>0</v>
      </c>
      <c r="CE5" s="135">
        <v>0</v>
      </c>
      <c r="CF5" s="135">
        <v>0</v>
      </c>
      <c r="CG5" s="135">
        <v>0</v>
      </c>
      <c r="CH5" s="135">
        <v>0</v>
      </c>
      <c r="CI5" s="135"/>
      <c r="CJ5" s="276">
        <v>248</v>
      </c>
      <c r="CK5" s="143"/>
      <c r="CL5" s="135"/>
      <c r="CM5" s="143"/>
      <c r="CN5" s="140"/>
      <c r="CO5" s="140"/>
      <c r="CP5" s="143"/>
      <c r="CQ5" s="135"/>
      <c r="CR5" s="135"/>
      <c r="CS5" s="143"/>
      <c r="CT5" s="140"/>
      <c r="CU5" s="143">
        <v>1</v>
      </c>
      <c r="CV5" s="135">
        <v>0</v>
      </c>
      <c r="CW5" s="135"/>
      <c r="CX5" s="143">
        <v>1</v>
      </c>
      <c r="CY5" s="140"/>
      <c r="CZ5" s="140">
        <v>0</v>
      </c>
      <c r="DA5" s="143">
        <v>0</v>
      </c>
      <c r="DB5" s="135">
        <v>0</v>
      </c>
      <c r="DC5" s="135"/>
      <c r="DD5" s="143">
        <v>0</v>
      </c>
      <c r="DE5" s="140">
        <v>1312</v>
      </c>
      <c r="DF5" s="356">
        <f>1312/1534554</f>
        <v>8.5497154222008475E-4</v>
      </c>
    </row>
    <row r="6" spans="2:110" x14ac:dyDescent="0.2">
      <c r="B6" s="138" t="s">
        <v>105</v>
      </c>
      <c r="C6" s="366"/>
      <c r="D6" s="374"/>
      <c r="E6" s="374"/>
      <c r="F6" s="367"/>
      <c r="G6" s="143">
        <v>251</v>
      </c>
      <c r="H6" s="135">
        <v>15</v>
      </c>
      <c r="I6" s="135">
        <v>0</v>
      </c>
      <c r="J6" s="135">
        <v>11</v>
      </c>
      <c r="K6" s="135">
        <v>0</v>
      </c>
      <c r="L6" s="135">
        <v>0</v>
      </c>
      <c r="M6" s="143">
        <v>277</v>
      </c>
      <c r="N6" s="140"/>
      <c r="O6" s="143">
        <v>1616</v>
      </c>
      <c r="P6" s="135">
        <v>0</v>
      </c>
      <c r="Q6" s="135"/>
      <c r="R6" s="143">
        <v>1616</v>
      </c>
      <c r="S6" s="277">
        <v>0</v>
      </c>
      <c r="T6" s="135"/>
      <c r="U6" s="135"/>
      <c r="V6" s="276">
        <v>0</v>
      </c>
      <c r="W6" s="143"/>
      <c r="X6" s="135"/>
      <c r="Y6" s="143"/>
      <c r="Z6" s="277">
        <v>0</v>
      </c>
      <c r="AA6" s="135"/>
      <c r="AB6" s="276">
        <v>0</v>
      </c>
      <c r="AC6" s="143">
        <v>20</v>
      </c>
      <c r="AD6" s="135">
        <v>0</v>
      </c>
      <c r="AE6" s="135">
        <v>227</v>
      </c>
      <c r="AF6" s="135"/>
      <c r="AG6" s="135"/>
      <c r="AH6" s="135"/>
      <c r="AI6" s="135"/>
      <c r="AJ6" s="143">
        <v>247</v>
      </c>
      <c r="AK6" s="140"/>
      <c r="AL6" s="140"/>
      <c r="AM6" s="277"/>
      <c r="AN6" s="135">
        <v>0</v>
      </c>
      <c r="AO6" s="135"/>
      <c r="AP6" s="135"/>
      <c r="AQ6" s="135"/>
      <c r="AR6" s="135"/>
      <c r="AS6" s="135"/>
      <c r="AT6" s="135"/>
      <c r="AU6" s="135"/>
      <c r="AV6" s="135"/>
      <c r="AW6" s="135"/>
      <c r="AX6" s="276">
        <v>0</v>
      </c>
      <c r="AY6" s="143">
        <v>0</v>
      </c>
      <c r="AZ6" s="135">
        <v>467</v>
      </c>
      <c r="BA6" s="135">
        <v>0</v>
      </c>
      <c r="BB6" s="135">
        <v>0</v>
      </c>
      <c r="BC6" s="135">
        <v>0</v>
      </c>
      <c r="BD6" s="135">
        <v>8</v>
      </c>
      <c r="BE6" s="135"/>
      <c r="BF6" s="135"/>
      <c r="BG6" s="143">
        <v>475</v>
      </c>
      <c r="BH6" s="277">
        <v>0</v>
      </c>
      <c r="BI6" s="135">
        <v>21</v>
      </c>
      <c r="BJ6" s="135">
        <v>145</v>
      </c>
      <c r="BK6" s="135">
        <v>7</v>
      </c>
      <c r="BL6" s="135">
        <v>0</v>
      </c>
      <c r="BM6" s="135"/>
      <c r="BN6" s="276">
        <v>173</v>
      </c>
      <c r="BO6" s="143"/>
      <c r="BP6" s="140">
        <v>0</v>
      </c>
      <c r="BQ6" s="140"/>
      <c r="BR6" s="143">
        <v>0</v>
      </c>
      <c r="BS6" s="135">
        <v>0</v>
      </c>
      <c r="BT6" s="135"/>
      <c r="BU6" s="135"/>
      <c r="BV6" s="135"/>
      <c r="BW6" s="135"/>
      <c r="BX6" s="143">
        <v>0</v>
      </c>
      <c r="BY6" s="277">
        <v>18</v>
      </c>
      <c r="BZ6" s="135">
        <v>0</v>
      </c>
      <c r="CA6" s="135">
        <v>112</v>
      </c>
      <c r="CB6" s="135">
        <v>0</v>
      </c>
      <c r="CC6" s="135">
        <v>290</v>
      </c>
      <c r="CD6" s="135">
        <v>0</v>
      </c>
      <c r="CE6" s="135">
        <v>0</v>
      </c>
      <c r="CF6" s="135">
        <v>0</v>
      </c>
      <c r="CG6" s="135"/>
      <c r="CH6" s="135">
        <v>0</v>
      </c>
      <c r="CI6" s="135">
        <v>0</v>
      </c>
      <c r="CJ6" s="276">
        <v>420</v>
      </c>
      <c r="CK6" s="143"/>
      <c r="CL6" s="135"/>
      <c r="CM6" s="143"/>
      <c r="CN6" s="140"/>
      <c r="CO6" s="140"/>
      <c r="CP6" s="143"/>
      <c r="CQ6" s="135"/>
      <c r="CR6" s="135"/>
      <c r="CS6" s="143"/>
      <c r="CT6" s="140"/>
      <c r="CU6" s="143">
        <v>0</v>
      </c>
      <c r="CV6" s="135">
        <v>0</v>
      </c>
      <c r="CW6" s="135"/>
      <c r="CX6" s="143">
        <v>0</v>
      </c>
      <c r="CY6" s="140"/>
      <c r="CZ6" s="140">
        <v>0</v>
      </c>
      <c r="DA6" s="143">
        <v>0</v>
      </c>
      <c r="DB6" s="135"/>
      <c r="DC6" s="135"/>
      <c r="DD6" s="143">
        <v>0</v>
      </c>
      <c r="DE6" s="140">
        <v>3208</v>
      </c>
      <c r="DF6" s="356">
        <f>3208/1534554</f>
        <v>2.0905096855503291E-3</v>
      </c>
    </row>
    <row r="7" spans="2:110" x14ac:dyDescent="0.2">
      <c r="B7" s="138" t="s">
        <v>155</v>
      </c>
      <c r="C7" s="366"/>
      <c r="D7" s="374"/>
      <c r="E7" s="374"/>
      <c r="F7" s="367"/>
      <c r="G7" s="143">
        <v>1</v>
      </c>
      <c r="H7" s="135"/>
      <c r="I7" s="135"/>
      <c r="J7" s="135"/>
      <c r="K7" s="135"/>
      <c r="L7" s="135"/>
      <c r="M7" s="143">
        <v>1</v>
      </c>
      <c r="N7" s="140"/>
      <c r="O7" s="143">
        <v>6</v>
      </c>
      <c r="P7" s="135"/>
      <c r="Q7" s="135"/>
      <c r="R7" s="143">
        <v>6</v>
      </c>
      <c r="S7" s="277">
        <v>0</v>
      </c>
      <c r="T7" s="135"/>
      <c r="U7" s="135"/>
      <c r="V7" s="276">
        <v>0</v>
      </c>
      <c r="W7" s="143"/>
      <c r="X7" s="135"/>
      <c r="Y7" s="143"/>
      <c r="Z7" s="277"/>
      <c r="AA7" s="135"/>
      <c r="AB7" s="276"/>
      <c r="AC7" s="143">
        <v>10</v>
      </c>
      <c r="AD7" s="135"/>
      <c r="AE7" s="135"/>
      <c r="AF7" s="135"/>
      <c r="AG7" s="135"/>
      <c r="AH7" s="135"/>
      <c r="AI7" s="135"/>
      <c r="AJ7" s="143">
        <v>10</v>
      </c>
      <c r="AK7" s="140"/>
      <c r="AL7" s="140"/>
      <c r="AM7" s="277"/>
      <c r="AN7" s="135"/>
      <c r="AO7" s="135">
        <v>0</v>
      </c>
      <c r="AP7" s="135"/>
      <c r="AQ7" s="135"/>
      <c r="AR7" s="135"/>
      <c r="AS7" s="135"/>
      <c r="AT7" s="135"/>
      <c r="AU7" s="135"/>
      <c r="AV7" s="135"/>
      <c r="AW7" s="135"/>
      <c r="AX7" s="276">
        <v>0</v>
      </c>
      <c r="AY7" s="143">
        <v>0</v>
      </c>
      <c r="AZ7" s="135">
        <v>0</v>
      </c>
      <c r="BA7" s="135">
        <v>0</v>
      </c>
      <c r="BB7" s="135">
        <v>0</v>
      </c>
      <c r="BC7" s="135"/>
      <c r="BD7" s="135"/>
      <c r="BE7" s="135"/>
      <c r="BF7" s="135"/>
      <c r="BG7" s="143">
        <v>0</v>
      </c>
      <c r="BH7" s="277">
        <v>0</v>
      </c>
      <c r="BI7" s="135">
        <v>0</v>
      </c>
      <c r="BJ7" s="135">
        <v>0</v>
      </c>
      <c r="BK7" s="135"/>
      <c r="BL7" s="135"/>
      <c r="BM7" s="135"/>
      <c r="BN7" s="276">
        <v>0</v>
      </c>
      <c r="BO7" s="143"/>
      <c r="BP7" s="140">
        <v>0</v>
      </c>
      <c r="BQ7" s="140"/>
      <c r="BR7" s="143"/>
      <c r="BS7" s="135">
        <v>0</v>
      </c>
      <c r="BT7" s="135"/>
      <c r="BU7" s="135"/>
      <c r="BV7" s="135"/>
      <c r="BW7" s="135"/>
      <c r="BX7" s="143">
        <v>0</v>
      </c>
      <c r="BY7" s="277">
        <v>0</v>
      </c>
      <c r="BZ7" s="135"/>
      <c r="CA7" s="135">
        <v>0</v>
      </c>
      <c r="CB7" s="135"/>
      <c r="CC7" s="135">
        <v>0</v>
      </c>
      <c r="CD7" s="135"/>
      <c r="CE7" s="135"/>
      <c r="CF7" s="135">
        <v>0</v>
      </c>
      <c r="CG7" s="135"/>
      <c r="CH7" s="135">
        <v>0</v>
      </c>
      <c r="CI7" s="135"/>
      <c r="CJ7" s="276">
        <v>0</v>
      </c>
      <c r="CK7" s="143"/>
      <c r="CL7" s="135"/>
      <c r="CM7" s="143"/>
      <c r="CN7" s="140"/>
      <c r="CO7" s="140"/>
      <c r="CP7" s="143"/>
      <c r="CQ7" s="135"/>
      <c r="CR7" s="135"/>
      <c r="CS7" s="143"/>
      <c r="CT7" s="140"/>
      <c r="CU7" s="143"/>
      <c r="CV7" s="135"/>
      <c r="CW7" s="135"/>
      <c r="CX7" s="143"/>
      <c r="CY7" s="140"/>
      <c r="CZ7" s="140"/>
      <c r="DA7" s="143"/>
      <c r="DB7" s="135"/>
      <c r="DC7" s="135"/>
      <c r="DD7" s="143"/>
      <c r="DE7" s="140">
        <v>17</v>
      </c>
      <c r="DF7" s="356">
        <f>17/1534554</f>
        <v>1.1078137361083416E-5</v>
      </c>
    </row>
    <row r="8" spans="2:110" x14ac:dyDescent="0.2">
      <c r="B8" s="138" t="s">
        <v>173</v>
      </c>
      <c r="C8" s="366">
        <v>0</v>
      </c>
      <c r="D8" s="374">
        <v>0</v>
      </c>
      <c r="E8" s="374">
        <v>0</v>
      </c>
      <c r="F8" s="367">
        <v>0</v>
      </c>
      <c r="G8" s="143">
        <v>549</v>
      </c>
      <c r="H8" s="135">
        <v>0</v>
      </c>
      <c r="I8" s="135"/>
      <c r="J8" s="135">
        <v>0</v>
      </c>
      <c r="K8" s="135">
        <v>0</v>
      </c>
      <c r="L8" s="135"/>
      <c r="M8" s="143">
        <v>549</v>
      </c>
      <c r="N8" s="140">
        <v>0</v>
      </c>
      <c r="O8" s="143">
        <v>193</v>
      </c>
      <c r="P8" s="135">
        <v>0</v>
      </c>
      <c r="Q8" s="135"/>
      <c r="R8" s="143">
        <v>193</v>
      </c>
      <c r="S8" s="277">
        <v>0</v>
      </c>
      <c r="T8" s="135">
        <v>0</v>
      </c>
      <c r="U8" s="135"/>
      <c r="V8" s="276">
        <v>0</v>
      </c>
      <c r="W8" s="143">
        <v>0</v>
      </c>
      <c r="X8" s="135"/>
      <c r="Y8" s="143">
        <v>0</v>
      </c>
      <c r="Z8" s="277">
        <v>72</v>
      </c>
      <c r="AA8" s="135"/>
      <c r="AB8" s="276">
        <v>72</v>
      </c>
      <c r="AC8" s="143">
        <v>0</v>
      </c>
      <c r="AD8" s="135"/>
      <c r="AE8" s="135"/>
      <c r="AF8" s="135">
        <v>5</v>
      </c>
      <c r="AG8" s="135">
        <v>3</v>
      </c>
      <c r="AH8" s="135"/>
      <c r="AI8" s="135"/>
      <c r="AJ8" s="143">
        <v>8</v>
      </c>
      <c r="AK8" s="140"/>
      <c r="AL8" s="140">
        <v>10</v>
      </c>
      <c r="AM8" s="277"/>
      <c r="AN8" s="135">
        <v>0</v>
      </c>
      <c r="AO8" s="135">
        <v>0</v>
      </c>
      <c r="AP8" s="135">
        <v>0</v>
      </c>
      <c r="AQ8" s="135">
        <v>0</v>
      </c>
      <c r="AR8" s="135">
        <v>0</v>
      </c>
      <c r="AS8" s="135">
        <v>0</v>
      </c>
      <c r="AT8" s="135">
        <v>0</v>
      </c>
      <c r="AU8" s="135">
        <v>0</v>
      </c>
      <c r="AV8" s="135"/>
      <c r="AW8" s="135"/>
      <c r="AX8" s="276">
        <v>0</v>
      </c>
      <c r="AY8" s="143">
        <v>0</v>
      </c>
      <c r="AZ8" s="135">
        <v>18</v>
      </c>
      <c r="BA8" s="135">
        <v>0</v>
      </c>
      <c r="BB8" s="135">
        <v>0</v>
      </c>
      <c r="BC8" s="135">
        <v>0</v>
      </c>
      <c r="BD8" s="135">
        <v>0</v>
      </c>
      <c r="BE8" s="135">
        <v>0</v>
      </c>
      <c r="BF8" s="135">
        <v>0</v>
      </c>
      <c r="BG8" s="143">
        <v>18</v>
      </c>
      <c r="BH8" s="277">
        <v>0</v>
      </c>
      <c r="BI8" s="135">
        <v>0</v>
      </c>
      <c r="BJ8" s="135">
        <v>6</v>
      </c>
      <c r="BK8" s="135">
        <v>0</v>
      </c>
      <c r="BL8" s="135"/>
      <c r="BM8" s="135"/>
      <c r="BN8" s="276">
        <v>6</v>
      </c>
      <c r="BO8" s="143">
        <v>0</v>
      </c>
      <c r="BP8" s="140">
        <v>0</v>
      </c>
      <c r="BQ8" s="140"/>
      <c r="BR8" s="143">
        <v>0</v>
      </c>
      <c r="BS8" s="135">
        <v>0</v>
      </c>
      <c r="BT8" s="135">
        <v>0</v>
      </c>
      <c r="BU8" s="135"/>
      <c r="BV8" s="135"/>
      <c r="BW8" s="135"/>
      <c r="BX8" s="143">
        <v>0</v>
      </c>
      <c r="BY8" s="277">
        <v>4</v>
      </c>
      <c r="BZ8" s="135">
        <v>0</v>
      </c>
      <c r="CA8" s="135">
        <v>0</v>
      </c>
      <c r="CB8" s="135">
        <v>0</v>
      </c>
      <c r="CC8" s="135">
        <v>23</v>
      </c>
      <c r="CD8" s="135">
        <v>0</v>
      </c>
      <c r="CE8" s="135"/>
      <c r="CF8" s="135">
        <v>0</v>
      </c>
      <c r="CG8" s="135">
        <v>0</v>
      </c>
      <c r="CH8" s="135">
        <v>0</v>
      </c>
      <c r="CI8" s="135"/>
      <c r="CJ8" s="276">
        <v>27</v>
      </c>
      <c r="CK8" s="143">
        <v>0</v>
      </c>
      <c r="CL8" s="135">
        <v>48</v>
      </c>
      <c r="CM8" s="143">
        <v>48</v>
      </c>
      <c r="CN8" s="140">
        <v>0</v>
      </c>
      <c r="CO8" s="140">
        <v>0</v>
      </c>
      <c r="CP8" s="143">
        <v>244</v>
      </c>
      <c r="CQ8" s="135">
        <v>12</v>
      </c>
      <c r="CR8" s="135">
        <v>114</v>
      </c>
      <c r="CS8" s="143">
        <v>370</v>
      </c>
      <c r="CT8" s="140"/>
      <c r="CU8" s="143">
        <v>263</v>
      </c>
      <c r="CV8" s="135">
        <v>0</v>
      </c>
      <c r="CW8" s="135">
        <v>0</v>
      </c>
      <c r="CX8" s="143">
        <v>263</v>
      </c>
      <c r="CY8" s="140">
        <v>0</v>
      </c>
      <c r="CZ8" s="140">
        <v>0</v>
      </c>
      <c r="DA8" s="143">
        <v>11</v>
      </c>
      <c r="DB8" s="135">
        <v>167</v>
      </c>
      <c r="DC8" s="135">
        <v>130</v>
      </c>
      <c r="DD8" s="143">
        <v>308</v>
      </c>
      <c r="DE8" s="140">
        <v>1872</v>
      </c>
      <c r="DF8" s="356">
        <f>1872/1534554</f>
        <v>1.2198984199969503E-3</v>
      </c>
    </row>
    <row r="9" spans="2:110" x14ac:dyDescent="0.2">
      <c r="B9" s="138" t="s">
        <v>227</v>
      </c>
      <c r="C9" s="366"/>
      <c r="D9" s="374"/>
      <c r="E9" s="374"/>
      <c r="F9" s="367"/>
      <c r="G9" s="143"/>
      <c r="H9" s="135"/>
      <c r="I9" s="135"/>
      <c r="J9" s="135"/>
      <c r="K9" s="135"/>
      <c r="L9" s="135"/>
      <c r="M9" s="143"/>
      <c r="N9" s="140"/>
      <c r="O9" s="143">
        <v>2</v>
      </c>
      <c r="P9" s="135"/>
      <c r="Q9" s="135"/>
      <c r="R9" s="143">
        <v>2</v>
      </c>
      <c r="S9" s="277"/>
      <c r="T9" s="135"/>
      <c r="U9" s="135"/>
      <c r="V9" s="276"/>
      <c r="W9" s="143"/>
      <c r="X9" s="135"/>
      <c r="Y9" s="143"/>
      <c r="Z9" s="277"/>
      <c r="AA9" s="135"/>
      <c r="AB9" s="276"/>
      <c r="AC9" s="143"/>
      <c r="AD9" s="135"/>
      <c r="AE9" s="135"/>
      <c r="AF9" s="135"/>
      <c r="AG9" s="135"/>
      <c r="AH9" s="135"/>
      <c r="AI9" s="135"/>
      <c r="AJ9" s="143"/>
      <c r="AK9" s="140"/>
      <c r="AL9" s="140"/>
      <c r="AM9" s="277"/>
      <c r="AN9" s="135"/>
      <c r="AO9" s="135"/>
      <c r="AP9" s="135"/>
      <c r="AQ9" s="135"/>
      <c r="AR9" s="135"/>
      <c r="AS9" s="135"/>
      <c r="AT9" s="135">
        <v>0</v>
      </c>
      <c r="AU9" s="135"/>
      <c r="AV9" s="135"/>
      <c r="AW9" s="135"/>
      <c r="AX9" s="276">
        <v>0</v>
      </c>
      <c r="AY9" s="143">
        <v>0</v>
      </c>
      <c r="AZ9" s="135">
        <v>1</v>
      </c>
      <c r="BA9" s="135">
        <v>0</v>
      </c>
      <c r="BB9" s="135">
        <v>0</v>
      </c>
      <c r="BC9" s="135"/>
      <c r="BD9" s="135"/>
      <c r="BE9" s="135"/>
      <c r="BF9" s="135"/>
      <c r="BG9" s="143">
        <v>1</v>
      </c>
      <c r="BH9" s="277"/>
      <c r="BI9" s="135"/>
      <c r="BJ9" s="135">
        <v>1</v>
      </c>
      <c r="BK9" s="135"/>
      <c r="BL9" s="135"/>
      <c r="BM9" s="135"/>
      <c r="BN9" s="276">
        <v>1</v>
      </c>
      <c r="BO9" s="143"/>
      <c r="BP9" s="140"/>
      <c r="BQ9" s="140"/>
      <c r="BR9" s="143">
        <v>0</v>
      </c>
      <c r="BS9" s="135">
        <v>0</v>
      </c>
      <c r="BT9" s="135"/>
      <c r="BU9" s="135"/>
      <c r="BV9" s="135"/>
      <c r="BW9" s="135"/>
      <c r="BX9" s="143">
        <v>0</v>
      </c>
      <c r="BY9" s="277"/>
      <c r="BZ9" s="135"/>
      <c r="CA9" s="135">
        <v>1</v>
      </c>
      <c r="CB9" s="135"/>
      <c r="CC9" s="135"/>
      <c r="CD9" s="135"/>
      <c r="CE9" s="135"/>
      <c r="CF9" s="135"/>
      <c r="CG9" s="135"/>
      <c r="CH9" s="135">
        <v>0</v>
      </c>
      <c r="CI9" s="135"/>
      <c r="CJ9" s="276">
        <v>1</v>
      </c>
      <c r="CK9" s="143"/>
      <c r="CL9" s="135"/>
      <c r="CM9" s="143"/>
      <c r="CN9" s="140"/>
      <c r="CO9" s="140"/>
      <c r="CP9" s="143">
        <v>1</v>
      </c>
      <c r="CQ9" s="135"/>
      <c r="CR9" s="135">
        <v>1</v>
      </c>
      <c r="CS9" s="143">
        <v>2</v>
      </c>
      <c r="CT9" s="140"/>
      <c r="CU9" s="143"/>
      <c r="CV9" s="135"/>
      <c r="CW9" s="135"/>
      <c r="CX9" s="143"/>
      <c r="CY9" s="140"/>
      <c r="CZ9" s="140">
        <v>0</v>
      </c>
      <c r="DA9" s="143"/>
      <c r="DB9" s="135"/>
      <c r="DC9" s="135"/>
      <c r="DD9" s="143"/>
      <c r="DE9" s="140">
        <v>7</v>
      </c>
      <c r="DF9" s="356">
        <f>7/1534554</f>
        <v>4.561585972210818E-6</v>
      </c>
    </row>
    <row r="10" spans="2:110" ht="13.5" thickBot="1" x14ac:dyDescent="0.25">
      <c r="B10" s="248" t="s">
        <v>243</v>
      </c>
      <c r="C10" s="364"/>
      <c r="D10" s="373"/>
      <c r="E10" s="373"/>
      <c r="F10" s="365"/>
      <c r="G10" s="275">
        <v>126</v>
      </c>
      <c r="H10" s="273">
        <v>0</v>
      </c>
      <c r="I10" s="273"/>
      <c r="J10" s="273">
        <v>0</v>
      </c>
      <c r="K10" s="273"/>
      <c r="L10" s="273"/>
      <c r="M10" s="275">
        <v>126</v>
      </c>
      <c r="N10" s="271"/>
      <c r="O10" s="275">
        <v>91</v>
      </c>
      <c r="P10" s="273"/>
      <c r="Q10" s="273"/>
      <c r="R10" s="275">
        <v>91</v>
      </c>
      <c r="S10" s="274">
        <v>0</v>
      </c>
      <c r="T10" s="273"/>
      <c r="U10" s="273"/>
      <c r="V10" s="272">
        <v>0</v>
      </c>
      <c r="W10" s="275"/>
      <c r="X10" s="273"/>
      <c r="Y10" s="275"/>
      <c r="Z10" s="274"/>
      <c r="AA10" s="273"/>
      <c r="AB10" s="272"/>
      <c r="AC10" s="275">
        <v>2</v>
      </c>
      <c r="AD10" s="273"/>
      <c r="AE10" s="273">
        <v>17</v>
      </c>
      <c r="AF10" s="273"/>
      <c r="AG10" s="273"/>
      <c r="AH10" s="273"/>
      <c r="AI10" s="273"/>
      <c r="AJ10" s="275">
        <v>19</v>
      </c>
      <c r="AK10" s="271"/>
      <c r="AL10" s="271"/>
      <c r="AM10" s="274"/>
      <c r="AN10" s="273"/>
      <c r="AO10" s="273"/>
      <c r="AP10" s="273"/>
      <c r="AQ10" s="273"/>
      <c r="AR10" s="273"/>
      <c r="AS10" s="273"/>
      <c r="AT10" s="273"/>
      <c r="AU10" s="273"/>
      <c r="AV10" s="273"/>
      <c r="AW10" s="273"/>
      <c r="AX10" s="272"/>
      <c r="AY10" s="275">
        <v>0</v>
      </c>
      <c r="AZ10" s="273">
        <v>45</v>
      </c>
      <c r="BA10" s="273">
        <v>0</v>
      </c>
      <c r="BB10" s="273">
        <v>0</v>
      </c>
      <c r="BC10" s="273">
        <v>0</v>
      </c>
      <c r="BD10" s="273">
        <v>0</v>
      </c>
      <c r="BE10" s="273"/>
      <c r="BF10" s="273"/>
      <c r="BG10" s="275">
        <v>45</v>
      </c>
      <c r="BH10" s="274"/>
      <c r="BI10" s="273">
        <v>0</v>
      </c>
      <c r="BJ10" s="273">
        <v>32</v>
      </c>
      <c r="BK10" s="273"/>
      <c r="BL10" s="273"/>
      <c r="BM10" s="273"/>
      <c r="BN10" s="272">
        <v>32</v>
      </c>
      <c r="BO10" s="275"/>
      <c r="BP10" s="271">
        <v>0</v>
      </c>
      <c r="BQ10" s="271"/>
      <c r="BR10" s="275">
        <v>0</v>
      </c>
      <c r="BS10" s="273">
        <v>0</v>
      </c>
      <c r="BT10" s="273"/>
      <c r="BU10" s="273"/>
      <c r="BV10" s="273"/>
      <c r="BW10" s="273"/>
      <c r="BX10" s="275">
        <v>0</v>
      </c>
      <c r="BY10" s="274">
        <v>19</v>
      </c>
      <c r="BZ10" s="273">
        <v>0</v>
      </c>
      <c r="CA10" s="273">
        <v>5</v>
      </c>
      <c r="CB10" s="273">
        <v>0</v>
      </c>
      <c r="CC10" s="273">
        <v>6</v>
      </c>
      <c r="CD10" s="273"/>
      <c r="CE10" s="273">
        <v>0</v>
      </c>
      <c r="CF10" s="273">
        <v>0</v>
      </c>
      <c r="CG10" s="273"/>
      <c r="CH10" s="273">
        <v>0</v>
      </c>
      <c r="CI10" s="273"/>
      <c r="CJ10" s="272">
        <v>30</v>
      </c>
      <c r="CK10" s="275"/>
      <c r="CL10" s="273"/>
      <c r="CM10" s="275"/>
      <c r="CN10" s="271"/>
      <c r="CO10" s="271"/>
      <c r="CP10" s="275">
        <v>0</v>
      </c>
      <c r="CQ10" s="273"/>
      <c r="CR10" s="273"/>
      <c r="CS10" s="275">
        <v>0</v>
      </c>
      <c r="CT10" s="271"/>
      <c r="CU10" s="275"/>
      <c r="CV10" s="273"/>
      <c r="CW10" s="273"/>
      <c r="CX10" s="275"/>
      <c r="CY10" s="271"/>
      <c r="CZ10" s="271">
        <v>0</v>
      </c>
      <c r="DA10" s="275">
        <v>0</v>
      </c>
      <c r="DB10" s="273"/>
      <c r="DC10" s="273"/>
      <c r="DD10" s="275">
        <v>0</v>
      </c>
      <c r="DE10" s="271">
        <v>343</v>
      </c>
      <c r="DF10" s="354">
        <f>343/1534554</f>
        <v>2.2351771263833008E-4</v>
      </c>
    </row>
    <row r="11" spans="2:110" ht="13.5" thickBot="1" x14ac:dyDescent="0.25">
      <c r="B11" s="139" t="s">
        <v>554</v>
      </c>
      <c r="C11" s="368"/>
      <c r="D11" s="375"/>
      <c r="E11" s="375">
        <v>0</v>
      </c>
      <c r="F11" s="369">
        <v>0</v>
      </c>
      <c r="G11" s="144">
        <v>402</v>
      </c>
      <c r="H11" s="136">
        <v>7</v>
      </c>
      <c r="I11" s="136">
        <v>0</v>
      </c>
      <c r="J11" s="136">
        <v>3</v>
      </c>
      <c r="K11" s="136"/>
      <c r="L11" s="136"/>
      <c r="M11" s="144">
        <v>412</v>
      </c>
      <c r="N11" s="141"/>
      <c r="O11" s="144">
        <v>630</v>
      </c>
      <c r="P11" s="136"/>
      <c r="Q11" s="136"/>
      <c r="R11" s="144">
        <v>630</v>
      </c>
      <c r="S11" s="270">
        <v>0</v>
      </c>
      <c r="T11" s="136">
        <v>0</v>
      </c>
      <c r="U11" s="136"/>
      <c r="V11" s="269">
        <v>0</v>
      </c>
      <c r="W11" s="144">
        <v>0</v>
      </c>
      <c r="X11" s="136"/>
      <c r="Y11" s="144">
        <v>0</v>
      </c>
      <c r="Z11" s="270">
        <v>0</v>
      </c>
      <c r="AA11" s="136"/>
      <c r="AB11" s="269">
        <v>0</v>
      </c>
      <c r="AC11" s="144">
        <v>1</v>
      </c>
      <c r="AD11" s="136"/>
      <c r="AE11" s="136">
        <v>233</v>
      </c>
      <c r="AF11" s="136">
        <v>2</v>
      </c>
      <c r="AG11" s="136"/>
      <c r="AH11" s="136"/>
      <c r="AI11" s="136"/>
      <c r="AJ11" s="144">
        <v>236</v>
      </c>
      <c r="AK11" s="141"/>
      <c r="AL11" s="141"/>
      <c r="AM11" s="270">
        <v>0</v>
      </c>
      <c r="AN11" s="136">
        <v>0</v>
      </c>
      <c r="AO11" s="136"/>
      <c r="AP11" s="136"/>
      <c r="AQ11" s="136"/>
      <c r="AR11" s="136"/>
      <c r="AS11" s="136"/>
      <c r="AT11" s="136"/>
      <c r="AU11" s="136"/>
      <c r="AV11" s="136">
        <v>0</v>
      </c>
      <c r="AW11" s="136">
        <v>0</v>
      </c>
      <c r="AX11" s="269">
        <v>0</v>
      </c>
      <c r="AY11" s="144">
        <v>0</v>
      </c>
      <c r="AZ11" s="136">
        <v>171</v>
      </c>
      <c r="BA11" s="136">
        <v>0</v>
      </c>
      <c r="BB11" s="136">
        <v>0</v>
      </c>
      <c r="BC11" s="136">
        <v>0</v>
      </c>
      <c r="BD11" s="136">
        <v>0</v>
      </c>
      <c r="BE11" s="136"/>
      <c r="BF11" s="136"/>
      <c r="BG11" s="144">
        <v>171</v>
      </c>
      <c r="BH11" s="270">
        <v>0</v>
      </c>
      <c r="BI11" s="136">
        <v>4</v>
      </c>
      <c r="BJ11" s="136">
        <v>90</v>
      </c>
      <c r="BK11" s="136">
        <v>0</v>
      </c>
      <c r="BL11" s="136"/>
      <c r="BM11" s="136"/>
      <c r="BN11" s="269">
        <v>94</v>
      </c>
      <c r="BO11" s="144"/>
      <c r="BP11" s="141">
        <v>0</v>
      </c>
      <c r="BQ11" s="141"/>
      <c r="BR11" s="144">
        <v>0</v>
      </c>
      <c r="BS11" s="136">
        <v>0</v>
      </c>
      <c r="BT11" s="136"/>
      <c r="BU11" s="136"/>
      <c r="BV11" s="136"/>
      <c r="BW11" s="136"/>
      <c r="BX11" s="144">
        <v>0</v>
      </c>
      <c r="BY11" s="270">
        <v>7</v>
      </c>
      <c r="BZ11" s="136">
        <v>0</v>
      </c>
      <c r="CA11" s="136">
        <v>64</v>
      </c>
      <c r="CB11" s="136">
        <v>0</v>
      </c>
      <c r="CC11" s="136">
        <v>36</v>
      </c>
      <c r="CD11" s="136">
        <v>0</v>
      </c>
      <c r="CE11" s="136"/>
      <c r="CF11" s="136">
        <v>0</v>
      </c>
      <c r="CG11" s="136"/>
      <c r="CH11" s="136">
        <v>0</v>
      </c>
      <c r="CI11" s="136"/>
      <c r="CJ11" s="269">
        <v>107</v>
      </c>
      <c r="CK11" s="144">
        <v>0</v>
      </c>
      <c r="CL11" s="136">
        <v>0</v>
      </c>
      <c r="CM11" s="144">
        <v>0</v>
      </c>
      <c r="CN11" s="141"/>
      <c r="CO11" s="141"/>
      <c r="CP11" s="144"/>
      <c r="CQ11" s="136"/>
      <c r="CR11" s="136"/>
      <c r="CS11" s="144"/>
      <c r="CT11" s="141"/>
      <c r="CU11" s="144">
        <v>7</v>
      </c>
      <c r="CV11" s="136">
        <v>0</v>
      </c>
      <c r="CW11" s="136"/>
      <c r="CX11" s="144">
        <v>7</v>
      </c>
      <c r="CY11" s="141"/>
      <c r="CZ11" s="141">
        <v>0</v>
      </c>
      <c r="DA11" s="144">
        <v>2</v>
      </c>
      <c r="DB11" s="136">
        <v>1</v>
      </c>
      <c r="DC11" s="136"/>
      <c r="DD11" s="144">
        <v>3</v>
      </c>
      <c r="DE11" s="141">
        <v>1660</v>
      </c>
      <c r="DF11" s="355">
        <f>1660/1534554</f>
        <v>1.0817475305528511E-3</v>
      </c>
    </row>
    <row r="12" spans="2:110" ht="13.5" thickBot="1" x14ac:dyDescent="0.25">
      <c r="B12" s="139" t="s">
        <v>539</v>
      </c>
      <c r="C12" s="368">
        <v>0</v>
      </c>
      <c r="D12" s="375">
        <v>0</v>
      </c>
      <c r="E12" s="375">
        <v>0</v>
      </c>
      <c r="F12" s="369">
        <v>0</v>
      </c>
      <c r="G12" s="144">
        <v>1343</v>
      </c>
      <c r="H12" s="136">
        <v>22</v>
      </c>
      <c r="I12" s="136">
        <v>0</v>
      </c>
      <c r="J12" s="136">
        <v>14</v>
      </c>
      <c r="K12" s="136">
        <v>0</v>
      </c>
      <c r="L12" s="136">
        <v>0</v>
      </c>
      <c r="M12" s="144">
        <v>1379</v>
      </c>
      <c r="N12" s="141">
        <v>0</v>
      </c>
      <c r="O12" s="144">
        <v>3455</v>
      </c>
      <c r="P12" s="136">
        <v>0</v>
      </c>
      <c r="Q12" s="136"/>
      <c r="R12" s="144">
        <v>3455</v>
      </c>
      <c r="S12" s="270">
        <v>0</v>
      </c>
      <c r="T12" s="136">
        <v>0</v>
      </c>
      <c r="U12" s="136"/>
      <c r="V12" s="269">
        <v>0</v>
      </c>
      <c r="W12" s="144">
        <v>0</v>
      </c>
      <c r="X12" s="136"/>
      <c r="Y12" s="144">
        <v>0</v>
      </c>
      <c r="Z12" s="270">
        <v>72</v>
      </c>
      <c r="AA12" s="136"/>
      <c r="AB12" s="269">
        <v>72</v>
      </c>
      <c r="AC12" s="144">
        <v>38</v>
      </c>
      <c r="AD12" s="136">
        <v>0</v>
      </c>
      <c r="AE12" s="136">
        <v>477</v>
      </c>
      <c r="AF12" s="136">
        <v>7</v>
      </c>
      <c r="AG12" s="136">
        <v>3</v>
      </c>
      <c r="AH12" s="136"/>
      <c r="AI12" s="136"/>
      <c r="AJ12" s="144">
        <v>525</v>
      </c>
      <c r="AK12" s="141">
        <v>0</v>
      </c>
      <c r="AL12" s="141">
        <v>10</v>
      </c>
      <c r="AM12" s="270">
        <v>0</v>
      </c>
      <c r="AN12" s="136">
        <v>0</v>
      </c>
      <c r="AO12" s="136">
        <v>0</v>
      </c>
      <c r="AP12" s="136">
        <v>0</v>
      </c>
      <c r="AQ12" s="136">
        <v>0</v>
      </c>
      <c r="AR12" s="136">
        <v>0</v>
      </c>
      <c r="AS12" s="136">
        <v>0</v>
      </c>
      <c r="AT12" s="136">
        <v>0</v>
      </c>
      <c r="AU12" s="136">
        <v>0</v>
      </c>
      <c r="AV12" s="136">
        <v>0</v>
      </c>
      <c r="AW12" s="136">
        <v>0</v>
      </c>
      <c r="AX12" s="269">
        <v>0</v>
      </c>
      <c r="AY12" s="144">
        <v>0</v>
      </c>
      <c r="AZ12" s="136">
        <v>972</v>
      </c>
      <c r="BA12" s="136">
        <v>0</v>
      </c>
      <c r="BB12" s="136">
        <v>0</v>
      </c>
      <c r="BC12" s="136">
        <v>0</v>
      </c>
      <c r="BD12" s="136">
        <v>8</v>
      </c>
      <c r="BE12" s="136">
        <v>0</v>
      </c>
      <c r="BF12" s="136">
        <v>0</v>
      </c>
      <c r="BG12" s="144">
        <v>980</v>
      </c>
      <c r="BH12" s="270">
        <v>0</v>
      </c>
      <c r="BI12" s="136">
        <v>26</v>
      </c>
      <c r="BJ12" s="136">
        <v>337</v>
      </c>
      <c r="BK12" s="136">
        <v>7</v>
      </c>
      <c r="BL12" s="136">
        <v>0</v>
      </c>
      <c r="BM12" s="136"/>
      <c r="BN12" s="269">
        <v>370</v>
      </c>
      <c r="BO12" s="144">
        <v>0</v>
      </c>
      <c r="BP12" s="141">
        <v>0</v>
      </c>
      <c r="BQ12" s="141"/>
      <c r="BR12" s="144">
        <v>0</v>
      </c>
      <c r="BS12" s="136">
        <v>0</v>
      </c>
      <c r="BT12" s="136">
        <v>0</v>
      </c>
      <c r="BU12" s="136"/>
      <c r="BV12" s="136"/>
      <c r="BW12" s="136"/>
      <c r="BX12" s="144">
        <v>0</v>
      </c>
      <c r="BY12" s="270">
        <v>79</v>
      </c>
      <c r="BZ12" s="136">
        <v>0</v>
      </c>
      <c r="CA12" s="136">
        <v>206</v>
      </c>
      <c r="CB12" s="136">
        <v>0</v>
      </c>
      <c r="CC12" s="136">
        <v>560</v>
      </c>
      <c r="CD12" s="136">
        <v>0</v>
      </c>
      <c r="CE12" s="136">
        <v>0</v>
      </c>
      <c r="CF12" s="136">
        <v>0</v>
      </c>
      <c r="CG12" s="136">
        <v>0</v>
      </c>
      <c r="CH12" s="136">
        <v>0</v>
      </c>
      <c r="CI12" s="136">
        <v>0</v>
      </c>
      <c r="CJ12" s="269">
        <v>845</v>
      </c>
      <c r="CK12" s="144">
        <v>0</v>
      </c>
      <c r="CL12" s="136">
        <v>48</v>
      </c>
      <c r="CM12" s="144">
        <v>48</v>
      </c>
      <c r="CN12" s="141">
        <v>0</v>
      </c>
      <c r="CO12" s="141">
        <v>0</v>
      </c>
      <c r="CP12" s="144">
        <v>245</v>
      </c>
      <c r="CQ12" s="136">
        <v>12</v>
      </c>
      <c r="CR12" s="136">
        <v>115</v>
      </c>
      <c r="CS12" s="144">
        <v>372</v>
      </c>
      <c r="CT12" s="141"/>
      <c r="CU12" s="144">
        <v>388</v>
      </c>
      <c r="CV12" s="136">
        <v>0</v>
      </c>
      <c r="CW12" s="136">
        <v>0</v>
      </c>
      <c r="CX12" s="144">
        <v>388</v>
      </c>
      <c r="CY12" s="141">
        <v>0</v>
      </c>
      <c r="CZ12" s="141">
        <v>0</v>
      </c>
      <c r="DA12" s="144">
        <v>13</v>
      </c>
      <c r="DB12" s="136">
        <v>168</v>
      </c>
      <c r="DC12" s="136">
        <v>130</v>
      </c>
      <c r="DD12" s="144">
        <v>311</v>
      </c>
      <c r="DE12" s="141">
        <v>8755</v>
      </c>
      <c r="DF12" s="355">
        <f>8755/1534554</f>
        <v>5.7052407409579594E-3</v>
      </c>
    </row>
    <row r="13" spans="2:110" x14ac:dyDescent="0.2">
      <c r="B13" s="248" t="s">
        <v>29</v>
      </c>
      <c r="C13" s="364"/>
      <c r="D13" s="373"/>
      <c r="E13" s="373"/>
      <c r="F13" s="365"/>
      <c r="G13" s="275">
        <v>86</v>
      </c>
      <c r="H13" s="273">
        <v>4</v>
      </c>
      <c r="I13" s="273">
        <v>0</v>
      </c>
      <c r="J13" s="273">
        <v>21</v>
      </c>
      <c r="K13" s="273">
        <v>0</v>
      </c>
      <c r="L13" s="273"/>
      <c r="M13" s="275">
        <v>111</v>
      </c>
      <c r="N13" s="271"/>
      <c r="O13" s="275">
        <v>3804</v>
      </c>
      <c r="P13" s="273"/>
      <c r="Q13" s="273"/>
      <c r="R13" s="275">
        <v>3804</v>
      </c>
      <c r="S13" s="274">
        <v>0</v>
      </c>
      <c r="T13" s="273"/>
      <c r="U13" s="273"/>
      <c r="V13" s="272">
        <v>0</v>
      </c>
      <c r="W13" s="275"/>
      <c r="X13" s="273"/>
      <c r="Y13" s="275"/>
      <c r="Z13" s="274"/>
      <c r="AA13" s="273"/>
      <c r="AB13" s="272"/>
      <c r="AC13" s="275">
        <v>20</v>
      </c>
      <c r="AD13" s="273"/>
      <c r="AE13" s="273">
        <v>29</v>
      </c>
      <c r="AF13" s="273"/>
      <c r="AG13" s="273"/>
      <c r="AH13" s="273"/>
      <c r="AI13" s="273"/>
      <c r="AJ13" s="275">
        <v>49</v>
      </c>
      <c r="AK13" s="271"/>
      <c r="AL13" s="271"/>
      <c r="AM13" s="274"/>
      <c r="AN13" s="273"/>
      <c r="AO13" s="273"/>
      <c r="AP13" s="273"/>
      <c r="AQ13" s="273"/>
      <c r="AR13" s="273"/>
      <c r="AS13" s="273"/>
      <c r="AT13" s="273"/>
      <c r="AU13" s="273"/>
      <c r="AV13" s="273"/>
      <c r="AW13" s="273"/>
      <c r="AX13" s="272"/>
      <c r="AY13" s="275"/>
      <c r="AZ13" s="273">
        <v>1192</v>
      </c>
      <c r="BA13" s="273">
        <v>0</v>
      </c>
      <c r="BB13" s="273">
        <v>0</v>
      </c>
      <c r="BC13" s="273"/>
      <c r="BD13" s="273">
        <v>7</v>
      </c>
      <c r="BE13" s="273"/>
      <c r="BF13" s="273"/>
      <c r="BG13" s="275">
        <v>1199</v>
      </c>
      <c r="BH13" s="274"/>
      <c r="BI13" s="273">
        <v>26</v>
      </c>
      <c r="BJ13" s="273">
        <v>186</v>
      </c>
      <c r="BK13" s="273">
        <v>11</v>
      </c>
      <c r="BL13" s="273"/>
      <c r="BM13" s="273">
        <v>0</v>
      </c>
      <c r="BN13" s="272">
        <v>223</v>
      </c>
      <c r="BO13" s="275"/>
      <c r="BP13" s="271"/>
      <c r="BQ13" s="271"/>
      <c r="BR13" s="275">
        <v>0</v>
      </c>
      <c r="BS13" s="273">
        <v>0</v>
      </c>
      <c r="BT13" s="273"/>
      <c r="BU13" s="273"/>
      <c r="BV13" s="273"/>
      <c r="BW13" s="273"/>
      <c r="BX13" s="275">
        <v>0</v>
      </c>
      <c r="BY13" s="274">
        <v>14</v>
      </c>
      <c r="BZ13" s="273">
        <v>0</v>
      </c>
      <c r="CA13" s="273">
        <v>44</v>
      </c>
      <c r="CB13" s="273">
        <v>0</v>
      </c>
      <c r="CC13" s="273">
        <v>135</v>
      </c>
      <c r="CD13" s="273">
        <v>0</v>
      </c>
      <c r="CE13" s="273">
        <v>0</v>
      </c>
      <c r="CF13" s="273">
        <v>0</v>
      </c>
      <c r="CG13" s="273"/>
      <c r="CH13" s="273">
        <v>0</v>
      </c>
      <c r="CI13" s="273"/>
      <c r="CJ13" s="272">
        <v>193</v>
      </c>
      <c r="CK13" s="275"/>
      <c r="CL13" s="273"/>
      <c r="CM13" s="275"/>
      <c r="CN13" s="271"/>
      <c r="CO13" s="271"/>
      <c r="CP13" s="275"/>
      <c r="CQ13" s="273"/>
      <c r="CR13" s="273"/>
      <c r="CS13" s="275"/>
      <c r="CT13" s="271"/>
      <c r="CU13" s="275"/>
      <c r="CV13" s="273"/>
      <c r="CW13" s="273"/>
      <c r="CX13" s="275"/>
      <c r="CY13" s="271"/>
      <c r="CZ13" s="271"/>
      <c r="DA13" s="275">
        <v>0</v>
      </c>
      <c r="DB13" s="273"/>
      <c r="DC13" s="273"/>
      <c r="DD13" s="275">
        <v>0</v>
      </c>
      <c r="DE13" s="271">
        <v>5579</v>
      </c>
      <c r="DF13" s="354">
        <f>5579/1534554</f>
        <v>3.6355840198520222E-3</v>
      </c>
    </row>
    <row r="14" spans="2:110" x14ac:dyDescent="0.2">
      <c r="B14" s="138" t="s">
        <v>56</v>
      </c>
      <c r="C14" s="366"/>
      <c r="D14" s="374"/>
      <c r="E14" s="374"/>
      <c r="F14" s="367"/>
      <c r="G14" s="143">
        <v>464</v>
      </c>
      <c r="H14" s="135">
        <v>15</v>
      </c>
      <c r="I14" s="135">
        <v>0</v>
      </c>
      <c r="J14" s="135">
        <v>76</v>
      </c>
      <c r="K14" s="135">
        <v>0</v>
      </c>
      <c r="L14" s="135"/>
      <c r="M14" s="143">
        <v>555</v>
      </c>
      <c r="N14" s="140"/>
      <c r="O14" s="143">
        <v>10103</v>
      </c>
      <c r="P14" s="135">
        <v>0</v>
      </c>
      <c r="Q14" s="135"/>
      <c r="R14" s="143">
        <v>10103</v>
      </c>
      <c r="S14" s="277">
        <v>0</v>
      </c>
      <c r="T14" s="135">
        <v>0</v>
      </c>
      <c r="U14" s="135"/>
      <c r="V14" s="276">
        <v>0</v>
      </c>
      <c r="W14" s="143"/>
      <c r="X14" s="135"/>
      <c r="Y14" s="143"/>
      <c r="Z14" s="277">
        <v>0</v>
      </c>
      <c r="AA14" s="135"/>
      <c r="AB14" s="276">
        <v>0</v>
      </c>
      <c r="AC14" s="143">
        <v>61</v>
      </c>
      <c r="AD14" s="135"/>
      <c r="AE14" s="135">
        <v>157</v>
      </c>
      <c r="AF14" s="135"/>
      <c r="AG14" s="135"/>
      <c r="AH14" s="135"/>
      <c r="AI14" s="135"/>
      <c r="AJ14" s="143">
        <v>218</v>
      </c>
      <c r="AK14" s="140"/>
      <c r="AL14" s="140"/>
      <c r="AM14" s="277"/>
      <c r="AN14" s="135">
        <v>0</v>
      </c>
      <c r="AO14" s="135"/>
      <c r="AP14" s="135"/>
      <c r="AQ14" s="135"/>
      <c r="AR14" s="135"/>
      <c r="AS14" s="135"/>
      <c r="AT14" s="135"/>
      <c r="AU14" s="135"/>
      <c r="AV14" s="135"/>
      <c r="AW14" s="135">
        <v>0</v>
      </c>
      <c r="AX14" s="276">
        <v>0</v>
      </c>
      <c r="AY14" s="143">
        <v>0</v>
      </c>
      <c r="AZ14" s="135">
        <v>3745</v>
      </c>
      <c r="BA14" s="135"/>
      <c r="BB14" s="135">
        <v>0</v>
      </c>
      <c r="BC14" s="135"/>
      <c r="BD14" s="135">
        <v>0</v>
      </c>
      <c r="BE14" s="135"/>
      <c r="BF14" s="135"/>
      <c r="BG14" s="143">
        <v>3745</v>
      </c>
      <c r="BH14" s="277"/>
      <c r="BI14" s="135">
        <v>56</v>
      </c>
      <c r="BJ14" s="135">
        <v>503</v>
      </c>
      <c r="BK14" s="135">
        <v>28</v>
      </c>
      <c r="BL14" s="135"/>
      <c r="BM14" s="135">
        <v>0</v>
      </c>
      <c r="BN14" s="276">
        <v>587</v>
      </c>
      <c r="BO14" s="143"/>
      <c r="BP14" s="140">
        <v>0</v>
      </c>
      <c r="BQ14" s="140"/>
      <c r="BR14" s="143">
        <v>0</v>
      </c>
      <c r="BS14" s="135">
        <v>0</v>
      </c>
      <c r="BT14" s="135"/>
      <c r="BU14" s="135"/>
      <c r="BV14" s="135"/>
      <c r="BW14" s="135"/>
      <c r="BX14" s="143">
        <v>0</v>
      </c>
      <c r="BY14" s="277">
        <v>75</v>
      </c>
      <c r="BZ14" s="135">
        <v>0</v>
      </c>
      <c r="CA14" s="135">
        <v>286</v>
      </c>
      <c r="CB14" s="135">
        <v>0</v>
      </c>
      <c r="CC14" s="135">
        <v>1379</v>
      </c>
      <c r="CD14" s="135">
        <v>0</v>
      </c>
      <c r="CE14" s="135">
        <v>0</v>
      </c>
      <c r="CF14" s="135">
        <v>0</v>
      </c>
      <c r="CG14" s="135"/>
      <c r="CH14" s="135">
        <v>0</v>
      </c>
      <c r="CI14" s="135"/>
      <c r="CJ14" s="276">
        <v>1740</v>
      </c>
      <c r="CK14" s="143"/>
      <c r="CL14" s="135"/>
      <c r="CM14" s="143"/>
      <c r="CN14" s="140"/>
      <c r="CO14" s="140"/>
      <c r="CP14" s="143"/>
      <c r="CQ14" s="135"/>
      <c r="CR14" s="135"/>
      <c r="CS14" s="143"/>
      <c r="CT14" s="140"/>
      <c r="CU14" s="143"/>
      <c r="CV14" s="135"/>
      <c r="CW14" s="135"/>
      <c r="CX14" s="143"/>
      <c r="CY14" s="140"/>
      <c r="CZ14" s="140">
        <v>0</v>
      </c>
      <c r="DA14" s="143">
        <v>2</v>
      </c>
      <c r="DB14" s="135"/>
      <c r="DC14" s="135"/>
      <c r="DD14" s="143">
        <v>2</v>
      </c>
      <c r="DE14" s="140">
        <v>16950</v>
      </c>
      <c r="DF14" s="356">
        <f>16950/1534554</f>
        <v>1.1045554604139052E-2</v>
      </c>
    </row>
    <row r="15" spans="2:110" x14ac:dyDescent="0.2">
      <c r="B15" s="138" t="s">
        <v>140</v>
      </c>
      <c r="C15" s="366"/>
      <c r="D15" s="374"/>
      <c r="E15" s="374"/>
      <c r="F15" s="367"/>
      <c r="G15" s="143">
        <v>70</v>
      </c>
      <c r="H15" s="135">
        <v>0</v>
      </c>
      <c r="I15" s="135"/>
      <c r="J15" s="135">
        <v>15</v>
      </c>
      <c r="K15" s="135"/>
      <c r="L15" s="135"/>
      <c r="M15" s="143">
        <v>85</v>
      </c>
      <c r="N15" s="140"/>
      <c r="O15" s="143">
        <v>3465</v>
      </c>
      <c r="P15" s="135"/>
      <c r="Q15" s="135"/>
      <c r="R15" s="143">
        <v>3465</v>
      </c>
      <c r="S15" s="277">
        <v>0</v>
      </c>
      <c r="T15" s="135"/>
      <c r="U15" s="135"/>
      <c r="V15" s="276">
        <v>0</v>
      </c>
      <c r="W15" s="143"/>
      <c r="X15" s="135">
        <v>0</v>
      </c>
      <c r="Y15" s="143">
        <v>0</v>
      </c>
      <c r="Z15" s="277"/>
      <c r="AA15" s="135"/>
      <c r="AB15" s="276"/>
      <c r="AC15" s="143">
        <v>6</v>
      </c>
      <c r="AD15" s="135">
        <v>0</v>
      </c>
      <c r="AE15" s="135">
        <v>9</v>
      </c>
      <c r="AF15" s="135"/>
      <c r="AG15" s="135"/>
      <c r="AH15" s="135"/>
      <c r="AI15" s="135"/>
      <c r="AJ15" s="143">
        <v>15</v>
      </c>
      <c r="AK15" s="140"/>
      <c r="AL15" s="140"/>
      <c r="AM15" s="277"/>
      <c r="AN15" s="135"/>
      <c r="AO15" s="135">
        <v>0</v>
      </c>
      <c r="AP15" s="135"/>
      <c r="AQ15" s="135"/>
      <c r="AR15" s="135"/>
      <c r="AS15" s="135"/>
      <c r="AT15" s="135"/>
      <c r="AU15" s="135"/>
      <c r="AV15" s="135"/>
      <c r="AW15" s="135"/>
      <c r="AX15" s="276">
        <v>0</v>
      </c>
      <c r="AY15" s="143">
        <v>0</v>
      </c>
      <c r="AZ15" s="135">
        <v>1235</v>
      </c>
      <c r="BA15" s="135">
        <v>0</v>
      </c>
      <c r="BB15" s="135">
        <v>0</v>
      </c>
      <c r="BC15" s="135"/>
      <c r="BD15" s="135">
        <v>3</v>
      </c>
      <c r="BE15" s="135"/>
      <c r="BF15" s="135"/>
      <c r="BG15" s="143">
        <v>1238</v>
      </c>
      <c r="BH15" s="277">
        <v>0</v>
      </c>
      <c r="BI15" s="135">
        <v>27</v>
      </c>
      <c r="BJ15" s="135">
        <v>153</v>
      </c>
      <c r="BK15" s="135"/>
      <c r="BL15" s="135"/>
      <c r="BM15" s="135"/>
      <c r="BN15" s="276">
        <v>180</v>
      </c>
      <c r="BO15" s="143"/>
      <c r="BP15" s="140">
        <v>0</v>
      </c>
      <c r="BQ15" s="140"/>
      <c r="BR15" s="143"/>
      <c r="BS15" s="135">
        <v>0</v>
      </c>
      <c r="BT15" s="135"/>
      <c r="BU15" s="135"/>
      <c r="BV15" s="135"/>
      <c r="BW15" s="135"/>
      <c r="BX15" s="143">
        <v>0</v>
      </c>
      <c r="BY15" s="277">
        <v>13</v>
      </c>
      <c r="BZ15" s="135">
        <v>0</v>
      </c>
      <c r="CA15" s="135">
        <v>57</v>
      </c>
      <c r="CB15" s="135">
        <v>0</v>
      </c>
      <c r="CC15" s="135">
        <v>301</v>
      </c>
      <c r="CD15" s="135">
        <v>0</v>
      </c>
      <c r="CE15" s="135">
        <v>0</v>
      </c>
      <c r="CF15" s="135">
        <v>0</v>
      </c>
      <c r="CG15" s="135"/>
      <c r="CH15" s="135">
        <v>0</v>
      </c>
      <c r="CI15" s="135"/>
      <c r="CJ15" s="276">
        <v>371</v>
      </c>
      <c r="CK15" s="143"/>
      <c r="CL15" s="135">
        <v>0</v>
      </c>
      <c r="CM15" s="143">
        <v>0</v>
      </c>
      <c r="CN15" s="140"/>
      <c r="CO15" s="140"/>
      <c r="CP15" s="143"/>
      <c r="CQ15" s="135"/>
      <c r="CR15" s="135"/>
      <c r="CS15" s="143"/>
      <c r="CT15" s="140">
        <v>29</v>
      </c>
      <c r="CU15" s="143"/>
      <c r="CV15" s="135"/>
      <c r="CW15" s="135"/>
      <c r="CX15" s="143"/>
      <c r="CY15" s="140"/>
      <c r="CZ15" s="140">
        <v>0</v>
      </c>
      <c r="DA15" s="143">
        <v>0</v>
      </c>
      <c r="DB15" s="135"/>
      <c r="DC15" s="135"/>
      <c r="DD15" s="143">
        <v>0</v>
      </c>
      <c r="DE15" s="140">
        <v>5383</v>
      </c>
      <c r="DF15" s="356">
        <f>5383/1534554</f>
        <v>3.5078596126301193E-3</v>
      </c>
    </row>
    <row r="16" spans="2:110" x14ac:dyDescent="0.2">
      <c r="B16" s="138" t="s">
        <v>233</v>
      </c>
      <c r="C16" s="366"/>
      <c r="D16" s="374"/>
      <c r="E16" s="374"/>
      <c r="F16" s="367"/>
      <c r="G16" s="143">
        <v>37</v>
      </c>
      <c r="H16" s="135">
        <v>1</v>
      </c>
      <c r="I16" s="135">
        <v>0</v>
      </c>
      <c r="J16" s="135">
        <v>35</v>
      </c>
      <c r="K16" s="135">
        <v>0</v>
      </c>
      <c r="L16" s="135"/>
      <c r="M16" s="143">
        <v>73</v>
      </c>
      <c r="N16" s="140"/>
      <c r="O16" s="143">
        <v>3855</v>
      </c>
      <c r="P16" s="135">
        <v>0</v>
      </c>
      <c r="Q16" s="135"/>
      <c r="R16" s="143">
        <v>3855</v>
      </c>
      <c r="S16" s="277">
        <v>0</v>
      </c>
      <c r="T16" s="135"/>
      <c r="U16" s="135"/>
      <c r="V16" s="276">
        <v>0</v>
      </c>
      <c r="W16" s="143"/>
      <c r="X16" s="135"/>
      <c r="Y16" s="143"/>
      <c r="Z16" s="277"/>
      <c r="AA16" s="135"/>
      <c r="AB16" s="276"/>
      <c r="AC16" s="143">
        <v>32</v>
      </c>
      <c r="AD16" s="135"/>
      <c r="AE16" s="135">
        <v>1</v>
      </c>
      <c r="AF16" s="135"/>
      <c r="AG16" s="135"/>
      <c r="AH16" s="135"/>
      <c r="AI16" s="135"/>
      <c r="AJ16" s="143">
        <v>33</v>
      </c>
      <c r="AK16" s="140"/>
      <c r="AL16" s="140"/>
      <c r="AM16" s="277"/>
      <c r="AN16" s="135">
        <v>0</v>
      </c>
      <c r="AO16" s="135"/>
      <c r="AP16" s="135"/>
      <c r="AQ16" s="135"/>
      <c r="AR16" s="135"/>
      <c r="AS16" s="135"/>
      <c r="AT16" s="135"/>
      <c r="AU16" s="135"/>
      <c r="AV16" s="135"/>
      <c r="AW16" s="135"/>
      <c r="AX16" s="276">
        <v>0</v>
      </c>
      <c r="AY16" s="143">
        <v>0</v>
      </c>
      <c r="AZ16" s="135">
        <v>1947</v>
      </c>
      <c r="BA16" s="135">
        <v>0</v>
      </c>
      <c r="BB16" s="135"/>
      <c r="BC16" s="135">
        <v>0</v>
      </c>
      <c r="BD16" s="135">
        <v>23</v>
      </c>
      <c r="BE16" s="135"/>
      <c r="BF16" s="135"/>
      <c r="BG16" s="143">
        <v>1970</v>
      </c>
      <c r="BH16" s="277"/>
      <c r="BI16" s="135">
        <v>28</v>
      </c>
      <c r="BJ16" s="135">
        <v>310</v>
      </c>
      <c r="BK16" s="135">
        <v>14</v>
      </c>
      <c r="BL16" s="135"/>
      <c r="BM16" s="135"/>
      <c r="BN16" s="276">
        <v>352</v>
      </c>
      <c r="BO16" s="143"/>
      <c r="BP16" s="140">
        <v>0</v>
      </c>
      <c r="BQ16" s="140"/>
      <c r="BR16" s="143">
        <v>0</v>
      </c>
      <c r="BS16" s="135">
        <v>0</v>
      </c>
      <c r="BT16" s="135"/>
      <c r="BU16" s="135"/>
      <c r="BV16" s="135"/>
      <c r="BW16" s="135"/>
      <c r="BX16" s="143">
        <v>0</v>
      </c>
      <c r="BY16" s="277">
        <v>11</v>
      </c>
      <c r="BZ16" s="135">
        <v>0</v>
      </c>
      <c r="CA16" s="135">
        <v>64</v>
      </c>
      <c r="CB16" s="135">
        <v>0</v>
      </c>
      <c r="CC16" s="135">
        <v>149</v>
      </c>
      <c r="CD16" s="135">
        <v>0</v>
      </c>
      <c r="CE16" s="135">
        <v>0</v>
      </c>
      <c r="CF16" s="135">
        <v>0</v>
      </c>
      <c r="CG16" s="135"/>
      <c r="CH16" s="135">
        <v>0</v>
      </c>
      <c r="CI16" s="135"/>
      <c r="CJ16" s="276">
        <v>224</v>
      </c>
      <c r="CK16" s="143"/>
      <c r="CL16" s="135"/>
      <c r="CM16" s="143"/>
      <c r="CN16" s="140"/>
      <c r="CO16" s="140"/>
      <c r="CP16" s="143"/>
      <c r="CQ16" s="135"/>
      <c r="CR16" s="135"/>
      <c r="CS16" s="143"/>
      <c r="CT16" s="140"/>
      <c r="CU16" s="143"/>
      <c r="CV16" s="135"/>
      <c r="CW16" s="135"/>
      <c r="CX16" s="143"/>
      <c r="CY16" s="140"/>
      <c r="CZ16" s="140">
        <v>0</v>
      </c>
      <c r="DA16" s="143"/>
      <c r="DB16" s="135"/>
      <c r="DC16" s="135"/>
      <c r="DD16" s="143"/>
      <c r="DE16" s="140">
        <v>6507</v>
      </c>
      <c r="DF16" s="356">
        <f>6507/1534554</f>
        <v>4.2403199887393996E-3</v>
      </c>
    </row>
    <row r="17" spans="2:110" x14ac:dyDescent="0.2">
      <c r="B17" s="138" t="s">
        <v>253</v>
      </c>
      <c r="C17" s="366"/>
      <c r="D17" s="374"/>
      <c r="E17" s="374"/>
      <c r="F17" s="367"/>
      <c r="G17" s="143">
        <v>15</v>
      </c>
      <c r="H17" s="135">
        <v>2</v>
      </c>
      <c r="I17" s="135">
        <v>0</v>
      </c>
      <c r="J17" s="135">
        <v>1</v>
      </c>
      <c r="K17" s="135">
        <v>0</v>
      </c>
      <c r="L17" s="135"/>
      <c r="M17" s="143">
        <v>18</v>
      </c>
      <c r="N17" s="140"/>
      <c r="O17" s="143">
        <v>692</v>
      </c>
      <c r="P17" s="135"/>
      <c r="Q17" s="135"/>
      <c r="R17" s="143">
        <v>692</v>
      </c>
      <c r="S17" s="277">
        <v>0</v>
      </c>
      <c r="T17" s="135"/>
      <c r="U17" s="135"/>
      <c r="V17" s="276">
        <v>0</v>
      </c>
      <c r="W17" s="143"/>
      <c r="X17" s="135"/>
      <c r="Y17" s="143"/>
      <c r="Z17" s="277"/>
      <c r="AA17" s="135"/>
      <c r="AB17" s="276"/>
      <c r="AC17" s="143">
        <v>3</v>
      </c>
      <c r="AD17" s="135"/>
      <c r="AE17" s="135"/>
      <c r="AF17" s="135"/>
      <c r="AG17" s="135"/>
      <c r="AH17" s="135"/>
      <c r="AI17" s="135"/>
      <c r="AJ17" s="143">
        <v>3</v>
      </c>
      <c r="AK17" s="140"/>
      <c r="AL17" s="140">
        <v>0</v>
      </c>
      <c r="AM17" s="277"/>
      <c r="AN17" s="135"/>
      <c r="AO17" s="135"/>
      <c r="AP17" s="135"/>
      <c r="AQ17" s="135"/>
      <c r="AR17" s="135"/>
      <c r="AS17" s="135"/>
      <c r="AT17" s="135"/>
      <c r="AU17" s="135"/>
      <c r="AV17" s="135"/>
      <c r="AW17" s="135"/>
      <c r="AX17" s="276"/>
      <c r="AY17" s="143"/>
      <c r="AZ17" s="135">
        <v>212</v>
      </c>
      <c r="BA17" s="135">
        <v>0</v>
      </c>
      <c r="BB17" s="135">
        <v>0</v>
      </c>
      <c r="BC17" s="135">
        <v>0</v>
      </c>
      <c r="BD17" s="135">
        <v>0</v>
      </c>
      <c r="BE17" s="135"/>
      <c r="BF17" s="135"/>
      <c r="BG17" s="143">
        <v>212</v>
      </c>
      <c r="BH17" s="277">
        <v>0</v>
      </c>
      <c r="BI17" s="135">
        <v>6</v>
      </c>
      <c r="BJ17" s="135">
        <v>7</v>
      </c>
      <c r="BK17" s="135"/>
      <c r="BL17" s="135"/>
      <c r="BM17" s="135"/>
      <c r="BN17" s="276">
        <v>13</v>
      </c>
      <c r="BO17" s="143"/>
      <c r="BP17" s="140">
        <v>0</v>
      </c>
      <c r="BQ17" s="140"/>
      <c r="BR17" s="143">
        <v>0</v>
      </c>
      <c r="BS17" s="135">
        <v>0</v>
      </c>
      <c r="BT17" s="135"/>
      <c r="BU17" s="135"/>
      <c r="BV17" s="135"/>
      <c r="BW17" s="135"/>
      <c r="BX17" s="143">
        <v>0</v>
      </c>
      <c r="BY17" s="277">
        <v>8</v>
      </c>
      <c r="BZ17" s="135">
        <v>0</v>
      </c>
      <c r="CA17" s="135">
        <v>5</v>
      </c>
      <c r="CB17" s="135">
        <v>0</v>
      </c>
      <c r="CC17" s="135">
        <v>74</v>
      </c>
      <c r="CD17" s="135"/>
      <c r="CE17" s="135"/>
      <c r="CF17" s="135"/>
      <c r="CG17" s="135"/>
      <c r="CH17" s="135">
        <v>0</v>
      </c>
      <c r="CI17" s="135"/>
      <c r="CJ17" s="276">
        <v>87</v>
      </c>
      <c r="CK17" s="143"/>
      <c r="CL17" s="135"/>
      <c r="CM17" s="143"/>
      <c r="CN17" s="140"/>
      <c r="CO17" s="140"/>
      <c r="CP17" s="143">
        <v>94</v>
      </c>
      <c r="CQ17" s="135"/>
      <c r="CR17" s="135"/>
      <c r="CS17" s="143">
        <v>94</v>
      </c>
      <c r="CT17" s="140"/>
      <c r="CU17" s="143">
        <v>6</v>
      </c>
      <c r="CV17" s="135"/>
      <c r="CW17" s="135"/>
      <c r="CX17" s="143">
        <v>6</v>
      </c>
      <c r="CY17" s="140"/>
      <c r="CZ17" s="140">
        <v>0</v>
      </c>
      <c r="DA17" s="143">
        <v>0</v>
      </c>
      <c r="DB17" s="135"/>
      <c r="DC17" s="135"/>
      <c r="DD17" s="143">
        <v>0</v>
      </c>
      <c r="DE17" s="140">
        <v>1125</v>
      </c>
      <c r="DF17" s="356">
        <f>1125/1534554</f>
        <v>7.331120312481672E-4</v>
      </c>
    </row>
    <row r="18" spans="2:110" ht="13.5" thickBot="1" x14ac:dyDescent="0.25">
      <c r="B18" s="248" t="s">
        <v>554</v>
      </c>
      <c r="C18" s="364"/>
      <c r="D18" s="373">
        <v>0</v>
      </c>
      <c r="E18" s="373">
        <v>0</v>
      </c>
      <c r="F18" s="365">
        <v>0</v>
      </c>
      <c r="G18" s="275">
        <v>166</v>
      </c>
      <c r="H18" s="273">
        <v>7</v>
      </c>
      <c r="I18" s="273"/>
      <c r="J18" s="273">
        <v>20</v>
      </c>
      <c r="K18" s="273"/>
      <c r="L18" s="273"/>
      <c r="M18" s="275">
        <v>193</v>
      </c>
      <c r="N18" s="271"/>
      <c r="O18" s="275">
        <v>3203</v>
      </c>
      <c r="P18" s="273">
        <v>0</v>
      </c>
      <c r="Q18" s="273"/>
      <c r="R18" s="275">
        <v>3203</v>
      </c>
      <c r="S18" s="274">
        <v>0</v>
      </c>
      <c r="T18" s="273">
        <v>0</v>
      </c>
      <c r="U18" s="273"/>
      <c r="V18" s="272">
        <v>0</v>
      </c>
      <c r="W18" s="275">
        <v>0</v>
      </c>
      <c r="X18" s="273"/>
      <c r="Y18" s="275">
        <v>0</v>
      </c>
      <c r="Z18" s="274">
        <v>0</v>
      </c>
      <c r="AA18" s="273"/>
      <c r="AB18" s="272">
        <v>0</v>
      </c>
      <c r="AC18" s="275">
        <v>26</v>
      </c>
      <c r="AD18" s="273"/>
      <c r="AE18" s="273">
        <v>87</v>
      </c>
      <c r="AF18" s="273"/>
      <c r="AG18" s="273"/>
      <c r="AH18" s="273"/>
      <c r="AI18" s="273"/>
      <c r="AJ18" s="275">
        <v>113</v>
      </c>
      <c r="AK18" s="271"/>
      <c r="AL18" s="271"/>
      <c r="AM18" s="274"/>
      <c r="AN18" s="273"/>
      <c r="AO18" s="273"/>
      <c r="AP18" s="273"/>
      <c r="AQ18" s="273"/>
      <c r="AR18" s="273"/>
      <c r="AS18" s="273"/>
      <c r="AT18" s="273"/>
      <c r="AU18" s="273"/>
      <c r="AV18" s="273"/>
      <c r="AW18" s="273"/>
      <c r="AX18" s="272"/>
      <c r="AY18" s="275">
        <v>0</v>
      </c>
      <c r="AZ18" s="273">
        <v>1358</v>
      </c>
      <c r="BA18" s="273">
        <v>0</v>
      </c>
      <c r="BB18" s="273">
        <v>0</v>
      </c>
      <c r="BC18" s="273">
        <v>0</v>
      </c>
      <c r="BD18" s="273">
        <v>2</v>
      </c>
      <c r="BE18" s="273"/>
      <c r="BF18" s="273">
        <v>0</v>
      </c>
      <c r="BG18" s="275">
        <v>1360</v>
      </c>
      <c r="BH18" s="274">
        <v>0</v>
      </c>
      <c r="BI18" s="273">
        <v>17</v>
      </c>
      <c r="BJ18" s="273">
        <v>146</v>
      </c>
      <c r="BK18" s="273">
        <v>24</v>
      </c>
      <c r="BL18" s="273"/>
      <c r="BM18" s="273"/>
      <c r="BN18" s="272">
        <v>187</v>
      </c>
      <c r="BO18" s="275"/>
      <c r="BP18" s="271">
        <v>0</v>
      </c>
      <c r="BQ18" s="271"/>
      <c r="BR18" s="275">
        <v>0</v>
      </c>
      <c r="BS18" s="273">
        <v>0</v>
      </c>
      <c r="BT18" s="273"/>
      <c r="BU18" s="273"/>
      <c r="BV18" s="273"/>
      <c r="BW18" s="273"/>
      <c r="BX18" s="275">
        <v>0</v>
      </c>
      <c r="BY18" s="274">
        <v>30</v>
      </c>
      <c r="BZ18" s="273">
        <v>0</v>
      </c>
      <c r="CA18" s="273">
        <v>53</v>
      </c>
      <c r="CB18" s="273">
        <v>0</v>
      </c>
      <c r="CC18" s="273">
        <v>144</v>
      </c>
      <c r="CD18" s="273">
        <v>0</v>
      </c>
      <c r="CE18" s="273">
        <v>0</v>
      </c>
      <c r="CF18" s="273">
        <v>0</v>
      </c>
      <c r="CG18" s="273"/>
      <c r="CH18" s="273">
        <v>0</v>
      </c>
      <c r="CI18" s="273"/>
      <c r="CJ18" s="272">
        <v>227</v>
      </c>
      <c r="CK18" s="275"/>
      <c r="CL18" s="273"/>
      <c r="CM18" s="275"/>
      <c r="CN18" s="271"/>
      <c r="CO18" s="271"/>
      <c r="CP18" s="275"/>
      <c r="CQ18" s="273"/>
      <c r="CR18" s="273"/>
      <c r="CS18" s="275"/>
      <c r="CT18" s="271"/>
      <c r="CU18" s="275">
        <v>1</v>
      </c>
      <c r="CV18" s="273"/>
      <c r="CW18" s="273"/>
      <c r="CX18" s="275">
        <v>1</v>
      </c>
      <c r="CY18" s="271"/>
      <c r="CZ18" s="271"/>
      <c r="DA18" s="275"/>
      <c r="DB18" s="273">
        <v>16</v>
      </c>
      <c r="DC18" s="273"/>
      <c r="DD18" s="275">
        <v>16</v>
      </c>
      <c r="DE18" s="271">
        <v>5300</v>
      </c>
      <c r="DF18" s="354">
        <f>5300/1534554</f>
        <v>3.4537722361024769E-3</v>
      </c>
    </row>
    <row r="19" spans="2:110" ht="13.5" thickBot="1" x14ac:dyDescent="0.25">
      <c r="B19" s="139" t="s">
        <v>540</v>
      </c>
      <c r="C19" s="368"/>
      <c r="D19" s="375">
        <v>0</v>
      </c>
      <c r="E19" s="375">
        <v>0</v>
      </c>
      <c r="F19" s="369">
        <v>0</v>
      </c>
      <c r="G19" s="144">
        <v>838</v>
      </c>
      <c r="H19" s="136">
        <v>29</v>
      </c>
      <c r="I19" s="136">
        <v>0</v>
      </c>
      <c r="J19" s="136">
        <v>168</v>
      </c>
      <c r="K19" s="136">
        <v>0</v>
      </c>
      <c r="L19" s="136"/>
      <c r="M19" s="144">
        <v>1035</v>
      </c>
      <c r="N19" s="141"/>
      <c r="O19" s="144">
        <v>25122</v>
      </c>
      <c r="P19" s="136">
        <v>0</v>
      </c>
      <c r="Q19" s="136"/>
      <c r="R19" s="144">
        <v>25122</v>
      </c>
      <c r="S19" s="270">
        <v>0</v>
      </c>
      <c r="T19" s="136">
        <v>0</v>
      </c>
      <c r="U19" s="136"/>
      <c r="V19" s="269">
        <v>0</v>
      </c>
      <c r="W19" s="144">
        <v>0</v>
      </c>
      <c r="X19" s="136">
        <v>0</v>
      </c>
      <c r="Y19" s="144">
        <v>0</v>
      </c>
      <c r="Z19" s="270">
        <v>0</v>
      </c>
      <c r="AA19" s="136"/>
      <c r="AB19" s="269">
        <v>0</v>
      </c>
      <c r="AC19" s="144">
        <v>148</v>
      </c>
      <c r="AD19" s="136">
        <v>0</v>
      </c>
      <c r="AE19" s="136">
        <v>283</v>
      </c>
      <c r="AF19" s="136"/>
      <c r="AG19" s="136"/>
      <c r="AH19" s="136"/>
      <c r="AI19" s="136"/>
      <c r="AJ19" s="144">
        <v>431</v>
      </c>
      <c r="AK19" s="141"/>
      <c r="AL19" s="141">
        <v>0</v>
      </c>
      <c r="AM19" s="270"/>
      <c r="AN19" s="136">
        <v>0</v>
      </c>
      <c r="AO19" s="136">
        <v>0</v>
      </c>
      <c r="AP19" s="136"/>
      <c r="AQ19" s="136"/>
      <c r="AR19" s="136"/>
      <c r="AS19" s="136"/>
      <c r="AT19" s="136"/>
      <c r="AU19" s="136"/>
      <c r="AV19" s="136"/>
      <c r="AW19" s="136">
        <v>0</v>
      </c>
      <c r="AX19" s="269">
        <v>0</v>
      </c>
      <c r="AY19" s="144">
        <v>0</v>
      </c>
      <c r="AZ19" s="136">
        <v>9689</v>
      </c>
      <c r="BA19" s="136">
        <v>0</v>
      </c>
      <c r="BB19" s="136">
        <v>0</v>
      </c>
      <c r="BC19" s="136">
        <v>0</v>
      </c>
      <c r="BD19" s="136">
        <v>35</v>
      </c>
      <c r="BE19" s="136"/>
      <c r="BF19" s="136">
        <v>0</v>
      </c>
      <c r="BG19" s="144">
        <v>9724</v>
      </c>
      <c r="BH19" s="270">
        <v>0</v>
      </c>
      <c r="BI19" s="136">
        <v>160</v>
      </c>
      <c r="BJ19" s="136">
        <v>1305</v>
      </c>
      <c r="BK19" s="136">
        <v>77</v>
      </c>
      <c r="BL19" s="136"/>
      <c r="BM19" s="136">
        <v>0</v>
      </c>
      <c r="BN19" s="269">
        <v>1542</v>
      </c>
      <c r="BO19" s="144"/>
      <c r="BP19" s="141">
        <v>0</v>
      </c>
      <c r="BQ19" s="141"/>
      <c r="BR19" s="144">
        <v>0</v>
      </c>
      <c r="BS19" s="136">
        <v>0</v>
      </c>
      <c r="BT19" s="136"/>
      <c r="BU19" s="136"/>
      <c r="BV19" s="136"/>
      <c r="BW19" s="136"/>
      <c r="BX19" s="144">
        <v>0</v>
      </c>
      <c r="BY19" s="270">
        <v>151</v>
      </c>
      <c r="BZ19" s="136">
        <v>0</v>
      </c>
      <c r="CA19" s="136">
        <v>509</v>
      </c>
      <c r="CB19" s="136">
        <v>0</v>
      </c>
      <c r="CC19" s="136">
        <v>2182</v>
      </c>
      <c r="CD19" s="136">
        <v>0</v>
      </c>
      <c r="CE19" s="136">
        <v>0</v>
      </c>
      <c r="CF19" s="136">
        <v>0</v>
      </c>
      <c r="CG19" s="136"/>
      <c r="CH19" s="136">
        <v>0</v>
      </c>
      <c r="CI19" s="136"/>
      <c r="CJ19" s="269">
        <v>2842</v>
      </c>
      <c r="CK19" s="144"/>
      <c r="CL19" s="136">
        <v>0</v>
      </c>
      <c r="CM19" s="144">
        <v>0</v>
      </c>
      <c r="CN19" s="141"/>
      <c r="CO19" s="141"/>
      <c r="CP19" s="144">
        <v>94</v>
      </c>
      <c r="CQ19" s="136"/>
      <c r="CR19" s="136"/>
      <c r="CS19" s="144">
        <v>94</v>
      </c>
      <c r="CT19" s="141">
        <v>29</v>
      </c>
      <c r="CU19" s="144">
        <v>7</v>
      </c>
      <c r="CV19" s="136"/>
      <c r="CW19" s="136"/>
      <c r="CX19" s="144">
        <v>7</v>
      </c>
      <c r="CY19" s="141"/>
      <c r="CZ19" s="141">
        <v>0</v>
      </c>
      <c r="DA19" s="144">
        <v>2</v>
      </c>
      <c r="DB19" s="136">
        <v>16</v>
      </c>
      <c r="DC19" s="136"/>
      <c r="DD19" s="144">
        <v>18</v>
      </c>
      <c r="DE19" s="141">
        <v>40844</v>
      </c>
      <c r="DF19" s="355">
        <f>40844/1534554</f>
        <v>2.6616202492711238E-2</v>
      </c>
    </row>
    <row r="20" spans="2:110" ht="13.5" thickBot="1" x14ac:dyDescent="0.25">
      <c r="B20" s="139" t="s">
        <v>541</v>
      </c>
      <c r="C20" s="368">
        <v>0</v>
      </c>
      <c r="D20" s="375"/>
      <c r="E20" s="375">
        <v>0</v>
      </c>
      <c r="F20" s="369">
        <v>0</v>
      </c>
      <c r="G20" s="144">
        <v>105</v>
      </c>
      <c r="H20" s="136">
        <v>2</v>
      </c>
      <c r="I20" s="136">
        <v>0</v>
      </c>
      <c r="J20" s="136">
        <v>15</v>
      </c>
      <c r="K20" s="136"/>
      <c r="L20" s="136"/>
      <c r="M20" s="144">
        <v>122</v>
      </c>
      <c r="N20" s="141"/>
      <c r="O20" s="144">
        <v>1561</v>
      </c>
      <c r="P20" s="136">
        <v>0</v>
      </c>
      <c r="Q20" s="136"/>
      <c r="R20" s="144">
        <v>1561</v>
      </c>
      <c r="S20" s="270">
        <v>0</v>
      </c>
      <c r="T20" s="136"/>
      <c r="U20" s="136"/>
      <c r="V20" s="269">
        <v>0</v>
      </c>
      <c r="W20" s="144"/>
      <c r="X20" s="136"/>
      <c r="Y20" s="144"/>
      <c r="Z20" s="270"/>
      <c r="AA20" s="136"/>
      <c r="AB20" s="269"/>
      <c r="AC20" s="144">
        <v>5</v>
      </c>
      <c r="AD20" s="136"/>
      <c r="AE20" s="136">
        <v>4</v>
      </c>
      <c r="AF20" s="136"/>
      <c r="AG20" s="136"/>
      <c r="AH20" s="136"/>
      <c r="AI20" s="136"/>
      <c r="AJ20" s="144">
        <v>9</v>
      </c>
      <c r="AK20" s="141"/>
      <c r="AL20" s="141"/>
      <c r="AM20" s="270"/>
      <c r="AN20" s="136"/>
      <c r="AO20" s="136">
        <v>0</v>
      </c>
      <c r="AP20" s="136"/>
      <c r="AQ20" s="136"/>
      <c r="AR20" s="136"/>
      <c r="AS20" s="136"/>
      <c r="AT20" s="136"/>
      <c r="AU20" s="136"/>
      <c r="AV20" s="136">
        <v>0</v>
      </c>
      <c r="AW20" s="136"/>
      <c r="AX20" s="269">
        <v>0</v>
      </c>
      <c r="AY20" s="144">
        <v>0</v>
      </c>
      <c r="AZ20" s="136">
        <v>479</v>
      </c>
      <c r="BA20" s="136">
        <v>0</v>
      </c>
      <c r="BB20" s="136">
        <v>0</v>
      </c>
      <c r="BC20" s="136"/>
      <c r="BD20" s="136">
        <v>0</v>
      </c>
      <c r="BE20" s="136"/>
      <c r="BF20" s="136"/>
      <c r="BG20" s="144">
        <v>479</v>
      </c>
      <c r="BH20" s="270">
        <v>0</v>
      </c>
      <c r="BI20" s="136">
        <v>2</v>
      </c>
      <c r="BJ20" s="136">
        <v>16</v>
      </c>
      <c r="BK20" s="136">
        <v>1</v>
      </c>
      <c r="BL20" s="136"/>
      <c r="BM20" s="136"/>
      <c r="BN20" s="269">
        <v>19</v>
      </c>
      <c r="BO20" s="144"/>
      <c r="BP20" s="141">
        <v>0</v>
      </c>
      <c r="BQ20" s="141"/>
      <c r="BR20" s="144">
        <v>0</v>
      </c>
      <c r="BS20" s="136">
        <v>0</v>
      </c>
      <c r="BT20" s="136"/>
      <c r="BU20" s="136"/>
      <c r="BV20" s="136"/>
      <c r="BW20" s="136"/>
      <c r="BX20" s="144">
        <v>0</v>
      </c>
      <c r="BY20" s="270">
        <v>11</v>
      </c>
      <c r="BZ20" s="136">
        <v>0</v>
      </c>
      <c r="CA20" s="136">
        <v>14</v>
      </c>
      <c r="CB20" s="136">
        <v>0</v>
      </c>
      <c r="CC20" s="136">
        <v>86</v>
      </c>
      <c r="CD20" s="136">
        <v>0</v>
      </c>
      <c r="CE20" s="136">
        <v>0</v>
      </c>
      <c r="CF20" s="136">
        <v>0</v>
      </c>
      <c r="CG20" s="136"/>
      <c r="CH20" s="136">
        <v>0</v>
      </c>
      <c r="CI20" s="136"/>
      <c r="CJ20" s="269">
        <v>111</v>
      </c>
      <c r="CK20" s="144"/>
      <c r="CL20" s="136"/>
      <c r="CM20" s="144"/>
      <c r="CN20" s="141"/>
      <c r="CO20" s="141"/>
      <c r="CP20" s="144"/>
      <c r="CQ20" s="136"/>
      <c r="CR20" s="136"/>
      <c r="CS20" s="144"/>
      <c r="CT20" s="141"/>
      <c r="CU20" s="144"/>
      <c r="CV20" s="136"/>
      <c r="CW20" s="136"/>
      <c r="CX20" s="144"/>
      <c r="CY20" s="141"/>
      <c r="CZ20" s="141">
        <v>0</v>
      </c>
      <c r="DA20" s="144">
        <v>0</v>
      </c>
      <c r="DB20" s="136"/>
      <c r="DC20" s="136"/>
      <c r="DD20" s="144">
        <v>0</v>
      </c>
      <c r="DE20" s="141">
        <v>2301</v>
      </c>
      <c r="DF20" s="355">
        <f>2301/1534554</f>
        <v>1.4994584745795848E-3</v>
      </c>
    </row>
    <row r="21" spans="2:110" ht="13.5" thickBot="1" x14ac:dyDescent="0.25">
      <c r="B21" s="139" t="s">
        <v>542</v>
      </c>
      <c r="C21" s="368"/>
      <c r="D21" s="375"/>
      <c r="E21" s="375"/>
      <c r="F21" s="369"/>
      <c r="G21" s="144">
        <v>353</v>
      </c>
      <c r="H21" s="136">
        <v>2</v>
      </c>
      <c r="I21" s="136"/>
      <c r="J21" s="136">
        <v>33</v>
      </c>
      <c r="K21" s="136"/>
      <c r="L21" s="136"/>
      <c r="M21" s="144">
        <v>388</v>
      </c>
      <c r="N21" s="141"/>
      <c r="O21" s="144">
        <v>3246</v>
      </c>
      <c r="P21" s="136"/>
      <c r="Q21" s="136"/>
      <c r="R21" s="144">
        <v>3246</v>
      </c>
      <c r="S21" s="270">
        <v>0</v>
      </c>
      <c r="T21" s="136"/>
      <c r="U21" s="136"/>
      <c r="V21" s="269">
        <v>0</v>
      </c>
      <c r="W21" s="144">
        <v>0</v>
      </c>
      <c r="X21" s="136"/>
      <c r="Y21" s="144">
        <v>0</v>
      </c>
      <c r="Z21" s="270">
        <v>0</v>
      </c>
      <c r="AA21" s="136"/>
      <c r="AB21" s="269">
        <v>0</v>
      </c>
      <c r="AC21" s="144">
        <v>17</v>
      </c>
      <c r="AD21" s="136"/>
      <c r="AE21" s="136">
        <v>24</v>
      </c>
      <c r="AF21" s="136"/>
      <c r="AG21" s="136"/>
      <c r="AH21" s="136"/>
      <c r="AI21" s="136"/>
      <c r="AJ21" s="144">
        <v>41</v>
      </c>
      <c r="AK21" s="141"/>
      <c r="AL21" s="141"/>
      <c r="AM21" s="270"/>
      <c r="AN21" s="136"/>
      <c r="AO21" s="136">
        <v>0</v>
      </c>
      <c r="AP21" s="136"/>
      <c r="AQ21" s="136"/>
      <c r="AR21" s="136"/>
      <c r="AS21" s="136"/>
      <c r="AT21" s="136"/>
      <c r="AU21" s="136"/>
      <c r="AV21" s="136"/>
      <c r="AW21" s="136"/>
      <c r="AX21" s="269">
        <v>0</v>
      </c>
      <c r="AY21" s="144">
        <v>0</v>
      </c>
      <c r="AZ21" s="136">
        <v>1574</v>
      </c>
      <c r="BA21" s="136">
        <v>0</v>
      </c>
      <c r="BB21" s="136">
        <v>0</v>
      </c>
      <c r="BC21" s="136">
        <v>0</v>
      </c>
      <c r="BD21" s="136">
        <v>3</v>
      </c>
      <c r="BE21" s="136"/>
      <c r="BF21" s="136">
        <v>0</v>
      </c>
      <c r="BG21" s="144">
        <v>1577</v>
      </c>
      <c r="BH21" s="270">
        <v>0</v>
      </c>
      <c r="BI21" s="136">
        <v>6</v>
      </c>
      <c r="BJ21" s="136">
        <v>115</v>
      </c>
      <c r="BK21" s="136">
        <v>5</v>
      </c>
      <c r="BL21" s="136"/>
      <c r="BM21" s="136"/>
      <c r="BN21" s="269">
        <v>126</v>
      </c>
      <c r="BO21" s="144"/>
      <c r="BP21" s="141">
        <v>0</v>
      </c>
      <c r="BQ21" s="141"/>
      <c r="BR21" s="144">
        <v>0</v>
      </c>
      <c r="BS21" s="136">
        <v>0</v>
      </c>
      <c r="BT21" s="136"/>
      <c r="BU21" s="136"/>
      <c r="BV21" s="136"/>
      <c r="BW21" s="136"/>
      <c r="BX21" s="144">
        <v>0</v>
      </c>
      <c r="BY21" s="270">
        <v>12</v>
      </c>
      <c r="BZ21" s="136">
        <v>0</v>
      </c>
      <c r="CA21" s="136">
        <v>27</v>
      </c>
      <c r="CB21" s="136">
        <v>0</v>
      </c>
      <c r="CC21" s="136">
        <v>169</v>
      </c>
      <c r="CD21" s="136">
        <v>0</v>
      </c>
      <c r="CE21" s="136"/>
      <c r="CF21" s="136">
        <v>0</v>
      </c>
      <c r="CG21" s="136"/>
      <c r="CH21" s="136">
        <v>0</v>
      </c>
      <c r="CI21" s="136"/>
      <c r="CJ21" s="269">
        <v>208</v>
      </c>
      <c r="CK21" s="144"/>
      <c r="CL21" s="136"/>
      <c r="CM21" s="144"/>
      <c r="CN21" s="141"/>
      <c r="CO21" s="141"/>
      <c r="CP21" s="144">
        <v>0</v>
      </c>
      <c r="CQ21" s="136"/>
      <c r="CR21" s="136"/>
      <c r="CS21" s="144">
        <v>0</v>
      </c>
      <c r="CT21" s="141"/>
      <c r="CU21" s="144">
        <v>4</v>
      </c>
      <c r="CV21" s="136"/>
      <c r="CW21" s="136"/>
      <c r="CX21" s="144">
        <v>4</v>
      </c>
      <c r="CY21" s="141"/>
      <c r="CZ21" s="141">
        <v>0</v>
      </c>
      <c r="DA21" s="144">
        <v>0</v>
      </c>
      <c r="DB21" s="136">
        <v>5</v>
      </c>
      <c r="DC21" s="136"/>
      <c r="DD21" s="144">
        <v>5</v>
      </c>
      <c r="DE21" s="141">
        <v>5595</v>
      </c>
      <c r="DF21" s="355">
        <f>5595/1534554</f>
        <v>3.6460105020742184E-3</v>
      </c>
    </row>
    <row r="22" spans="2:110" ht="13.5" thickBot="1" x14ac:dyDescent="0.25">
      <c r="B22" s="139" t="s">
        <v>543</v>
      </c>
      <c r="C22" s="368">
        <v>0</v>
      </c>
      <c r="D22" s="375">
        <v>0</v>
      </c>
      <c r="E22" s="375">
        <v>0</v>
      </c>
      <c r="F22" s="369">
        <v>0</v>
      </c>
      <c r="G22" s="144">
        <v>1296</v>
      </c>
      <c r="H22" s="136">
        <v>33</v>
      </c>
      <c r="I22" s="136">
        <v>0</v>
      </c>
      <c r="J22" s="136">
        <v>216</v>
      </c>
      <c r="K22" s="136">
        <v>0</v>
      </c>
      <c r="L22" s="136"/>
      <c r="M22" s="144">
        <v>1545</v>
      </c>
      <c r="N22" s="141"/>
      <c r="O22" s="144">
        <v>29929</v>
      </c>
      <c r="P22" s="136">
        <v>0</v>
      </c>
      <c r="Q22" s="136"/>
      <c r="R22" s="144">
        <v>29929</v>
      </c>
      <c r="S22" s="270">
        <v>0</v>
      </c>
      <c r="T22" s="136">
        <v>0</v>
      </c>
      <c r="U22" s="136"/>
      <c r="V22" s="269">
        <v>0</v>
      </c>
      <c r="W22" s="144">
        <v>0</v>
      </c>
      <c r="X22" s="136">
        <v>0</v>
      </c>
      <c r="Y22" s="144">
        <v>0</v>
      </c>
      <c r="Z22" s="270">
        <v>0</v>
      </c>
      <c r="AA22" s="136"/>
      <c r="AB22" s="269">
        <v>0</v>
      </c>
      <c r="AC22" s="144">
        <v>170</v>
      </c>
      <c r="AD22" s="136">
        <v>0</v>
      </c>
      <c r="AE22" s="136">
        <v>311</v>
      </c>
      <c r="AF22" s="136"/>
      <c r="AG22" s="136"/>
      <c r="AH22" s="136"/>
      <c r="AI22" s="136"/>
      <c r="AJ22" s="144">
        <v>481</v>
      </c>
      <c r="AK22" s="141"/>
      <c r="AL22" s="141">
        <v>0</v>
      </c>
      <c r="AM22" s="270"/>
      <c r="AN22" s="136">
        <v>0</v>
      </c>
      <c r="AO22" s="136">
        <v>0</v>
      </c>
      <c r="AP22" s="136"/>
      <c r="AQ22" s="136"/>
      <c r="AR22" s="136"/>
      <c r="AS22" s="136"/>
      <c r="AT22" s="136"/>
      <c r="AU22" s="136"/>
      <c r="AV22" s="136">
        <v>0</v>
      </c>
      <c r="AW22" s="136">
        <v>0</v>
      </c>
      <c r="AX22" s="269">
        <v>0</v>
      </c>
      <c r="AY22" s="144">
        <v>0</v>
      </c>
      <c r="AZ22" s="136">
        <v>11742</v>
      </c>
      <c r="BA22" s="136">
        <v>0</v>
      </c>
      <c r="BB22" s="136">
        <v>0</v>
      </c>
      <c r="BC22" s="136">
        <v>0</v>
      </c>
      <c r="BD22" s="136">
        <v>38</v>
      </c>
      <c r="BE22" s="136"/>
      <c r="BF22" s="136">
        <v>0</v>
      </c>
      <c r="BG22" s="144">
        <v>11780</v>
      </c>
      <c r="BH22" s="270">
        <v>0</v>
      </c>
      <c r="BI22" s="136">
        <v>168</v>
      </c>
      <c r="BJ22" s="136">
        <v>1436</v>
      </c>
      <c r="BK22" s="136">
        <v>83</v>
      </c>
      <c r="BL22" s="136"/>
      <c r="BM22" s="136">
        <v>0</v>
      </c>
      <c r="BN22" s="269">
        <v>1687</v>
      </c>
      <c r="BO22" s="144"/>
      <c r="BP22" s="141">
        <v>0</v>
      </c>
      <c r="BQ22" s="141"/>
      <c r="BR22" s="144">
        <v>0</v>
      </c>
      <c r="BS22" s="136">
        <v>0</v>
      </c>
      <c r="BT22" s="136"/>
      <c r="BU22" s="136"/>
      <c r="BV22" s="136"/>
      <c r="BW22" s="136"/>
      <c r="BX22" s="144">
        <v>0</v>
      </c>
      <c r="BY22" s="270">
        <v>174</v>
      </c>
      <c r="BZ22" s="136">
        <v>0</v>
      </c>
      <c r="CA22" s="136">
        <v>550</v>
      </c>
      <c r="CB22" s="136">
        <v>0</v>
      </c>
      <c r="CC22" s="136">
        <v>2437</v>
      </c>
      <c r="CD22" s="136">
        <v>0</v>
      </c>
      <c r="CE22" s="136">
        <v>0</v>
      </c>
      <c r="CF22" s="136">
        <v>0</v>
      </c>
      <c r="CG22" s="136"/>
      <c r="CH22" s="136">
        <v>0</v>
      </c>
      <c r="CI22" s="136"/>
      <c r="CJ22" s="269">
        <v>3161</v>
      </c>
      <c r="CK22" s="144"/>
      <c r="CL22" s="136">
        <v>0</v>
      </c>
      <c r="CM22" s="144">
        <v>0</v>
      </c>
      <c r="CN22" s="141"/>
      <c r="CO22" s="141"/>
      <c r="CP22" s="144">
        <v>94</v>
      </c>
      <c r="CQ22" s="136"/>
      <c r="CR22" s="136"/>
      <c r="CS22" s="144">
        <v>94</v>
      </c>
      <c r="CT22" s="141">
        <v>29</v>
      </c>
      <c r="CU22" s="144">
        <v>11</v>
      </c>
      <c r="CV22" s="136"/>
      <c r="CW22" s="136"/>
      <c r="CX22" s="144">
        <v>11</v>
      </c>
      <c r="CY22" s="141"/>
      <c r="CZ22" s="141">
        <v>0</v>
      </c>
      <c r="DA22" s="144">
        <v>2</v>
      </c>
      <c r="DB22" s="136">
        <v>21</v>
      </c>
      <c r="DC22" s="136"/>
      <c r="DD22" s="144">
        <v>23</v>
      </c>
      <c r="DE22" s="141">
        <v>48740</v>
      </c>
      <c r="DF22" s="355">
        <f>48740/1534554</f>
        <v>3.1761671469365038E-2</v>
      </c>
    </row>
    <row r="23" spans="2:110" x14ac:dyDescent="0.2">
      <c r="B23" s="248" t="s">
        <v>37</v>
      </c>
      <c r="C23" s="364"/>
      <c r="D23" s="373"/>
      <c r="E23" s="373"/>
      <c r="F23" s="365"/>
      <c r="G23" s="275"/>
      <c r="H23" s="273"/>
      <c r="I23" s="273">
        <v>0</v>
      </c>
      <c r="J23" s="273"/>
      <c r="K23" s="273"/>
      <c r="L23" s="273"/>
      <c r="M23" s="275">
        <v>0</v>
      </c>
      <c r="N23" s="271"/>
      <c r="O23" s="275">
        <v>257</v>
      </c>
      <c r="P23" s="273"/>
      <c r="Q23" s="273"/>
      <c r="R23" s="275">
        <v>257</v>
      </c>
      <c r="S23" s="274"/>
      <c r="T23" s="273"/>
      <c r="U23" s="273"/>
      <c r="V23" s="272"/>
      <c r="W23" s="275"/>
      <c r="X23" s="273"/>
      <c r="Y23" s="275"/>
      <c r="Z23" s="274"/>
      <c r="AA23" s="273"/>
      <c r="AB23" s="272"/>
      <c r="AC23" s="275"/>
      <c r="AD23" s="273"/>
      <c r="AE23" s="273"/>
      <c r="AF23" s="273"/>
      <c r="AG23" s="273"/>
      <c r="AH23" s="273"/>
      <c r="AI23" s="273"/>
      <c r="AJ23" s="275"/>
      <c r="AK23" s="271"/>
      <c r="AL23" s="271"/>
      <c r="AM23" s="274"/>
      <c r="AN23" s="273"/>
      <c r="AO23" s="273"/>
      <c r="AP23" s="273"/>
      <c r="AQ23" s="273"/>
      <c r="AR23" s="273"/>
      <c r="AS23" s="273"/>
      <c r="AT23" s="273"/>
      <c r="AU23" s="273"/>
      <c r="AV23" s="273"/>
      <c r="AW23" s="273"/>
      <c r="AX23" s="272"/>
      <c r="AY23" s="275"/>
      <c r="AZ23" s="273">
        <v>8</v>
      </c>
      <c r="BA23" s="273"/>
      <c r="BB23" s="273"/>
      <c r="BC23" s="273"/>
      <c r="BD23" s="273">
        <v>0</v>
      </c>
      <c r="BE23" s="273"/>
      <c r="BF23" s="273"/>
      <c r="BG23" s="275">
        <v>8</v>
      </c>
      <c r="BH23" s="274"/>
      <c r="BI23" s="273"/>
      <c r="BJ23" s="273">
        <v>6</v>
      </c>
      <c r="BK23" s="273"/>
      <c r="BL23" s="273"/>
      <c r="BM23" s="273"/>
      <c r="BN23" s="272">
        <v>6</v>
      </c>
      <c r="BO23" s="275"/>
      <c r="BP23" s="271"/>
      <c r="BQ23" s="271"/>
      <c r="BR23" s="275"/>
      <c r="BS23" s="273"/>
      <c r="BT23" s="273"/>
      <c r="BU23" s="273"/>
      <c r="BV23" s="273"/>
      <c r="BW23" s="273"/>
      <c r="BX23" s="275"/>
      <c r="BY23" s="274">
        <v>0</v>
      </c>
      <c r="BZ23" s="273"/>
      <c r="CA23" s="273">
        <v>2</v>
      </c>
      <c r="CB23" s="273">
        <v>0</v>
      </c>
      <c r="CC23" s="273">
        <v>0</v>
      </c>
      <c r="CD23" s="273"/>
      <c r="CE23" s="273">
        <v>0</v>
      </c>
      <c r="CF23" s="273">
        <v>0</v>
      </c>
      <c r="CG23" s="273"/>
      <c r="CH23" s="273">
        <v>0</v>
      </c>
      <c r="CI23" s="273"/>
      <c r="CJ23" s="272">
        <v>2</v>
      </c>
      <c r="CK23" s="275"/>
      <c r="CL23" s="273"/>
      <c r="CM23" s="275"/>
      <c r="CN23" s="271"/>
      <c r="CO23" s="271"/>
      <c r="CP23" s="275"/>
      <c r="CQ23" s="273"/>
      <c r="CR23" s="273"/>
      <c r="CS23" s="275"/>
      <c r="CT23" s="271"/>
      <c r="CU23" s="275"/>
      <c r="CV23" s="273"/>
      <c r="CW23" s="273"/>
      <c r="CX23" s="275"/>
      <c r="CY23" s="271"/>
      <c r="CZ23" s="271"/>
      <c r="DA23" s="275"/>
      <c r="DB23" s="273"/>
      <c r="DC23" s="273"/>
      <c r="DD23" s="275"/>
      <c r="DE23" s="271">
        <v>273</v>
      </c>
      <c r="DF23" s="354">
        <f>273/1534554</f>
        <v>1.7790185291622192E-4</v>
      </c>
    </row>
    <row r="24" spans="2:110" x14ac:dyDescent="0.2">
      <c r="B24" s="138" t="s">
        <v>49</v>
      </c>
      <c r="C24" s="366"/>
      <c r="D24" s="374">
        <v>0</v>
      </c>
      <c r="E24" s="374"/>
      <c r="F24" s="367">
        <v>0</v>
      </c>
      <c r="G24" s="143"/>
      <c r="H24" s="135"/>
      <c r="I24" s="135"/>
      <c r="J24" s="135"/>
      <c r="K24" s="135"/>
      <c r="L24" s="135">
        <v>0</v>
      </c>
      <c r="M24" s="143">
        <v>0</v>
      </c>
      <c r="N24" s="140"/>
      <c r="O24" s="143">
        <v>170</v>
      </c>
      <c r="P24" s="135"/>
      <c r="Q24" s="135"/>
      <c r="R24" s="143">
        <v>170</v>
      </c>
      <c r="S24" s="277"/>
      <c r="T24" s="135"/>
      <c r="U24" s="135"/>
      <c r="V24" s="276"/>
      <c r="W24" s="143"/>
      <c r="X24" s="135"/>
      <c r="Y24" s="143"/>
      <c r="Z24" s="277"/>
      <c r="AA24" s="135"/>
      <c r="AB24" s="276"/>
      <c r="AC24" s="143"/>
      <c r="AD24" s="135"/>
      <c r="AE24" s="135"/>
      <c r="AF24" s="135"/>
      <c r="AG24" s="135"/>
      <c r="AH24" s="135"/>
      <c r="AI24" s="135"/>
      <c r="AJ24" s="143"/>
      <c r="AK24" s="140"/>
      <c r="AL24" s="140"/>
      <c r="AM24" s="277"/>
      <c r="AN24" s="135"/>
      <c r="AO24" s="135"/>
      <c r="AP24" s="135"/>
      <c r="AQ24" s="135"/>
      <c r="AR24" s="135"/>
      <c r="AS24" s="135"/>
      <c r="AT24" s="135"/>
      <c r="AU24" s="135"/>
      <c r="AV24" s="135"/>
      <c r="AW24" s="135"/>
      <c r="AX24" s="276"/>
      <c r="AY24" s="143"/>
      <c r="AZ24" s="135">
        <v>45</v>
      </c>
      <c r="BA24" s="135"/>
      <c r="BB24" s="135">
        <v>0</v>
      </c>
      <c r="BC24" s="135"/>
      <c r="BD24" s="135"/>
      <c r="BE24" s="135"/>
      <c r="BF24" s="135"/>
      <c r="BG24" s="143">
        <v>45</v>
      </c>
      <c r="BH24" s="277">
        <v>0</v>
      </c>
      <c r="BI24" s="135">
        <v>0</v>
      </c>
      <c r="BJ24" s="135">
        <v>3</v>
      </c>
      <c r="BK24" s="135"/>
      <c r="BL24" s="135"/>
      <c r="BM24" s="135"/>
      <c r="BN24" s="276">
        <v>3</v>
      </c>
      <c r="BO24" s="143"/>
      <c r="BP24" s="140"/>
      <c r="BQ24" s="140"/>
      <c r="BR24" s="143">
        <v>0</v>
      </c>
      <c r="BS24" s="135"/>
      <c r="BT24" s="135"/>
      <c r="BU24" s="135"/>
      <c r="BV24" s="135"/>
      <c r="BW24" s="135"/>
      <c r="BX24" s="143">
        <v>0</v>
      </c>
      <c r="BY24" s="277">
        <v>1</v>
      </c>
      <c r="BZ24" s="135">
        <v>0</v>
      </c>
      <c r="CA24" s="135">
        <v>1</v>
      </c>
      <c r="CB24" s="135">
        <v>0</v>
      </c>
      <c r="CC24" s="135">
        <v>0</v>
      </c>
      <c r="CD24" s="135">
        <v>0</v>
      </c>
      <c r="CE24" s="135">
        <v>0</v>
      </c>
      <c r="CF24" s="135">
        <v>0</v>
      </c>
      <c r="CG24" s="135"/>
      <c r="CH24" s="135">
        <v>0</v>
      </c>
      <c r="CI24" s="135"/>
      <c r="CJ24" s="276">
        <v>2</v>
      </c>
      <c r="CK24" s="143"/>
      <c r="CL24" s="135"/>
      <c r="CM24" s="143"/>
      <c r="CN24" s="140"/>
      <c r="CO24" s="140"/>
      <c r="CP24" s="143"/>
      <c r="CQ24" s="135"/>
      <c r="CR24" s="135"/>
      <c r="CS24" s="143"/>
      <c r="CT24" s="140"/>
      <c r="CU24" s="143"/>
      <c r="CV24" s="135"/>
      <c r="CW24" s="135"/>
      <c r="CX24" s="143"/>
      <c r="CY24" s="140"/>
      <c r="CZ24" s="140"/>
      <c r="DA24" s="143"/>
      <c r="DB24" s="135"/>
      <c r="DC24" s="135"/>
      <c r="DD24" s="143"/>
      <c r="DE24" s="140">
        <v>220</v>
      </c>
      <c r="DF24" s="356">
        <f>220/1534554</f>
        <v>1.4336413055519715E-4</v>
      </c>
    </row>
    <row r="25" spans="2:110" x14ac:dyDescent="0.2">
      <c r="B25" s="138" t="s">
        <v>116</v>
      </c>
      <c r="C25" s="366"/>
      <c r="D25" s="374"/>
      <c r="E25" s="374">
        <v>0</v>
      </c>
      <c r="F25" s="367">
        <v>0</v>
      </c>
      <c r="G25" s="143"/>
      <c r="H25" s="135">
        <v>0</v>
      </c>
      <c r="I25" s="135"/>
      <c r="J25" s="135"/>
      <c r="K25" s="135"/>
      <c r="L25" s="135"/>
      <c r="M25" s="143">
        <v>0</v>
      </c>
      <c r="N25" s="140"/>
      <c r="O25" s="143">
        <v>14</v>
      </c>
      <c r="P25" s="135"/>
      <c r="Q25" s="135"/>
      <c r="R25" s="143">
        <v>14</v>
      </c>
      <c r="S25" s="277">
        <v>0</v>
      </c>
      <c r="T25" s="135">
        <v>0</v>
      </c>
      <c r="U25" s="135">
        <v>0</v>
      </c>
      <c r="V25" s="276">
        <v>0</v>
      </c>
      <c r="W25" s="143"/>
      <c r="X25" s="135"/>
      <c r="Y25" s="143"/>
      <c r="Z25" s="277"/>
      <c r="AA25" s="135"/>
      <c r="AB25" s="276"/>
      <c r="AC25" s="143"/>
      <c r="AD25" s="135"/>
      <c r="AE25" s="135"/>
      <c r="AF25" s="135"/>
      <c r="AG25" s="135"/>
      <c r="AH25" s="135"/>
      <c r="AI25" s="135"/>
      <c r="AJ25" s="143"/>
      <c r="AK25" s="140"/>
      <c r="AL25" s="140"/>
      <c r="AM25" s="277"/>
      <c r="AN25" s="135"/>
      <c r="AO25" s="135"/>
      <c r="AP25" s="135"/>
      <c r="AQ25" s="135"/>
      <c r="AR25" s="135"/>
      <c r="AS25" s="135"/>
      <c r="AT25" s="135"/>
      <c r="AU25" s="135">
        <v>0</v>
      </c>
      <c r="AV25" s="135"/>
      <c r="AW25" s="135"/>
      <c r="AX25" s="276">
        <v>0</v>
      </c>
      <c r="AY25" s="143">
        <v>0</v>
      </c>
      <c r="AZ25" s="135">
        <v>0</v>
      </c>
      <c r="BA25" s="135">
        <v>0</v>
      </c>
      <c r="BB25" s="135">
        <v>0</v>
      </c>
      <c r="BC25" s="135">
        <v>0</v>
      </c>
      <c r="BD25" s="135"/>
      <c r="BE25" s="135"/>
      <c r="BF25" s="135"/>
      <c r="BG25" s="143">
        <v>0</v>
      </c>
      <c r="BH25" s="277">
        <v>0</v>
      </c>
      <c r="BI25" s="135">
        <v>3</v>
      </c>
      <c r="BJ25" s="135">
        <v>0</v>
      </c>
      <c r="BK25" s="135"/>
      <c r="BL25" s="135"/>
      <c r="BM25" s="135"/>
      <c r="BN25" s="276">
        <v>3</v>
      </c>
      <c r="BO25" s="143"/>
      <c r="BP25" s="140">
        <v>0</v>
      </c>
      <c r="BQ25" s="140"/>
      <c r="BR25" s="143">
        <v>0</v>
      </c>
      <c r="BS25" s="135">
        <v>0</v>
      </c>
      <c r="BT25" s="135"/>
      <c r="BU25" s="135"/>
      <c r="BV25" s="135"/>
      <c r="BW25" s="135"/>
      <c r="BX25" s="143">
        <v>0</v>
      </c>
      <c r="BY25" s="277">
        <v>3</v>
      </c>
      <c r="BZ25" s="135">
        <v>0</v>
      </c>
      <c r="CA25" s="135">
        <v>1</v>
      </c>
      <c r="CB25" s="135">
        <v>0</v>
      </c>
      <c r="CC25" s="135">
        <v>5</v>
      </c>
      <c r="CD25" s="135"/>
      <c r="CE25" s="135"/>
      <c r="CF25" s="135"/>
      <c r="CG25" s="135"/>
      <c r="CH25" s="135"/>
      <c r="CI25" s="135"/>
      <c r="CJ25" s="276">
        <v>9</v>
      </c>
      <c r="CK25" s="143"/>
      <c r="CL25" s="135"/>
      <c r="CM25" s="143"/>
      <c r="CN25" s="140"/>
      <c r="CO25" s="140">
        <v>0</v>
      </c>
      <c r="CP25" s="143">
        <v>0</v>
      </c>
      <c r="CQ25" s="135"/>
      <c r="CR25" s="135"/>
      <c r="CS25" s="143">
        <v>0</v>
      </c>
      <c r="CT25" s="140"/>
      <c r="CU25" s="143">
        <v>1</v>
      </c>
      <c r="CV25" s="135">
        <v>0</v>
      </c>
      <c r="CW25" s="135">
        <v>0</v>
      </c>
      <c r="CX25" s="143">
        <v>1</v>
      </c>
      <c r="CY25" s="140"/>
      <c r="CZ25" s="140">
        <v>0</v>
      </c>
      <c r="DA25" s="143"/>
      <c r="DB25" s="135">
        <v>1</v>
      </c>
      <c r="DC25" s="135"/>
      <c r="DD25" s="143">
        <v>1</v>
      </c>
      <c r="DE25" s="140">
        <v>28</v>
      </c>
      <c r="DF25" s="356">
        <f>28/1534554</f>
        <v>1.8246343888843272E-5</v>
      </c>
    </row>
    <row r="26" spans="2:110" x14ac:dyDescent="0.2">
      <c r="B26" s="138" t="s">
        <v>122</v>
      </c>
      <c r="C26" s="366"/>
      <c r="D26" s="374"/>
      <c r="E26" s="374"/>
      <c r="F26" s="367"/>
      <c r="G26" s="143">
        <v>24</v>
      </c>
      <c r="H26" s="135">
        <v>0</v>
      </c>
      <c r="I26" s="135">
        <v>0</v>
      </c>
      <c r="J26" s="135">
        <v>8097</v>
      </c>
      <c r="K26" s="135">
        <v>0</v>
      </c>
      <c r="L26" s="135">
        <v>0</v>
      </c>
      <c r="M26" s="143">
        <v>8121</v>
      </c>
      <c r="N26" s="140"/>
      <c r="O26" s="143">
        <v>26697</v>
      </c>
      <c r="P26" s="135">
        <v>0</v>
      </c>
      <c r="Q26" s="135"/>
      <c r="R26" s="143">
        <v>26697</v>
      </c>
      <c r="S26" s="277">
        <v>0</v>
      </c>
      <c r="T26" s="135"/>
      <c r="U26" s="135"/>
      <c r="V26" s="276">
        <v>0</v>
      </c>
      <c r="W26" s="143"/>
      <c r="X26" s="135">
        <v>40</v>
      </c>
      <c r="Y26" s="143">
        <v>40</v>
      </c>
      <c r="Z26" s="277">
        <v>0</v>
      </c>
      <c r="AA26" s="135"/>
      <c r="AB26" s="276">
        <v>0</v>
      </c>
      <c r="AC26" s="143">
        <v>17</v>
      </c>
      <c r="AD26" s="135">
        <v>0</v>
      </c>
      <c r="AE26" s="135">
        <v>2</v>
      </c>
      <c r="AF26" s="135"/>
      <c r="AG26" s="135"/>
      <c r="AH26" s="135"/>
      <c r="AI26" s="135"/>
      <c r="AJ26" s="143">
        <v>19</v>
      </c>
      <c r="AK26" s="140"/>
      <c r="AL26" s="140"/>
      <c r="AM26" s="277"/>
      <c r="AN26" s="135"/>
      <c r="AO26" s="135">
        <v>0</v>
      </c>
      <c r="AP26" s="135"/>
      <c r="AQ26" s="135"/>
      <c r="AR26" s="135"/>
      <c r="AS26" s="135"/>
      <c r="AT26" s="135"/>
      <c r="AU26" s="135">
        <v>0</v>
      </c>
      <c r="AV26" s="135"/>
      <c r="AW26" s="135"/>
      <c r="AX26" s="276">
        <v>0</v>
      </c>
      <c r="AY26" s="143">
        <v>0</v>
      </c>
      <c r="AZ26" s="135">
        <v>471</v>
      </c>
      <c r="BA26" s="135">
        <v>0</v>
      </c>
      <c r="BB26" s="135"/>
      <c r="BC26" s="135">
        <v>0</v>
      </c>
      <c r="BD26" s="135">
        <v>4</v>
      </c>
      <c r="BE26" s="135"/>
      <c r="BF26" s="135"/>
      <c r="BG26" s="143">
        <v>475</v>
      </c>
      <c r="BH26" s="277">
        <v>0</v>
      </c>
      <c r="BI26" s="135">
        <v>3</v>
      </c>
      <c r="BJ26" s="135">
        <v>37</v>
      </c>
      <c r="BK26" s="135">
        <v>3</v>
      </c>
      <c r="BL26" s="135">
        <v>0</v>
      </c>
      <c r="BM26" s="135"/>
      <c r="BN26" s="276">
        <v>43</v>
      </c>
      <c r="BO26" s="143"/>
      <c r="BP26" s="140"/>
      <c r="BQ26" s="140"/>
      <c r="BR26" s="143">
        <v>0</v>
      </c>
      <c r="BS26" s="135">
        <v>0</v>
      </c>
      <c r="BT26" s="135"/>
      <c r="BU26" s="135"/>
      <c r="BV26" s="135"/>
      <c r="BW26" s="135"/>
      <c r="BX26" s="143">
        <v>0</v>
      </c>
      <c r="BY26" s="277">
        <v>745</v>
      </c>
      <c r="BZ26" s="135">
        <v>0</v>
      </c>
      <c r="CA26" s="135">
        <v>6714</v>
      </c>
      <c r="CB26" s="135">
        <v>0</v>
      </c>
      <c r="CC26" s="135">
        <v>1616</v>
      </c>
      <c r="CD26" s="135">
        <v>0</v>
      </c>
      <c r="CE26" s="135">
        <v>0</v>
      </c>
      <c r="CF26" s="135">
        <v>0</v>
      </c>
      <c r="CG26" s="135"/>
      <c r="CH26" s="135">
        <v>0</v>
      </c>
      <c r="CI26" s="135"/>
      <c r="CJ26" s="276">
        <v>9075</v>
      </c>
      <c r="CK26" s="143"/>
      <c r="CL26" s="135"/>
      <c r="CM26" s="143"/>
      <c r="CN26" s="140"/>
      <c r="CO26" s="140"/>
      <c r="CP26" s="143"/>
      <c r="CQ26" s="135"/>
      <c r="CR26" s="135"/>
      <c r="CS26" s="143"/>
      <c r="CT26" s="140">
        <v>42</v>
      </c>
      <c r="CU26" s="143"/>
      <c r="CV26" s="135"/>
      <c r="CW26" s="135"/>
      <c r="CX26" s="143"/>
      <c r="CY26" s="140">
        <v>1</v>
      </c>
      <c r="CZ26" s="140"/>
      <c r="DA26" s="143"/>
      <c r="DB26" s="135"/>
      <c r="DC26" s="135"/>
      <c r="DD26" s="143"/>
      <c r="DE26" s="140">
        <v>44513</v>
      </c>
      <c r="DF26" s="356">
        <f>44513/1534554</f>
        <v>2.9007125197288593E-2</v>
      </c>
    </row>
    <row r="27" spans="2:110" x14ac:dyDescent="0.2">
      <c r="B27" s="138" t="s">
        <v>134</v>
      </c>
      <c r="C27" s="366"/>
      <c r="D27" s="374"/>
      <c r="E27" s="374"/>
      <c r="F27" s="367"/>
      <c r="G27" s="143"/>
      <c r="H27" s="135">
        <v>0</v>
      </c>
      <c r="I27" s="135">
        <v>0</v>
      </c>
      <c r="J27" s="135"/>
      <c r="K27" s="135"/>
      <c r="L27" s="135"/>
      <c r="M27" s="143">
        <v>0</v>
      </c>
      <c r="N27" s="140"/>
      <c r="O27" s="143">
        <v>62</v>
      </c>
      <c r="P27" s="135">
        <v>0</v>
      </c>
      <c r="Q27" s="135"/>
      <c r="R27" s="143">
        <v>62</v>
      </c>
      <c r="S27" s="277">
        <v>0</v>
      </c>
      <c r="T27" s="135"/>
      <c r="U27" s="135"/>
      <c r="V27" s="276">
        <v>0</v>
      </c>
      <c r="W27" s="143"/>
      <c r="X27" s="135"/>
      <c r="Y27" s="143"/>
      <c r="Z27" s="277"/>
      <c r="AA27" s="135"/>
      <c r="AB27" s="276"/>
      <c r="AC27" s="143"/>
      <c r="AD27" s="135"/>
      <c r="AE27" s="135"/>
      <c r="AF27" s="135"/>
      <c r="AG27" s="135"/>
      <c r="AH27" s="135"/>
      <c r="AI27" s="135"/>
      <c r="AJ27" s="143"/>
      <c r="AK27" s="140"/>
      <c r="AL27" s="140"/>
      <c r="AM27" s="277"/>
      <c r="AN27" s="135"/>
      <c r="AO27" s="135"/>
      <c r="AP27" s="135"/>
      <c r="AQ27" s="135"/>
      <c r="AR27" s="135"/>
      <c r="AS27" s="135"/>
      <c r="AT27" s="135"/>
      <c r="AU27" s="135"/>
      <c r="AV27" s="135"/>
      <c r="AW27" s="135"/>
      <c r="AX27" s="276"/>
      <c r="AY27" s="143"/>
      <c r="AZ27" s="135">
        <v>9</v>
      </c>
      <c r="BA27" s="135"/>
      <c r="BB27" s="135"/>
      <c r="BC27" s="135"/>
      <c r="BD27" s="135"/>
      <c r="BE27" s="135"/>
      <c r="BF27" s="135"/>
      <c r="BG27" s="143">
        <v>9</v>
      </c>
      <c r="BH27" s="277"/>
      <c r="BI27" s="135">
        <v>0</v>
      </c>
      <c r="BJ27" s="135">
        <v>14</v>
      </c>
      <c r="BK27" s="135"/>
      <c r="BL27" s="135"/>
      <c r="BM27" s="135"/>
      <c r="BN27" s="276">
        <v>14</v>
      </c>
      <c r="BO27" s="143"/>
      <c r="BP27" s="140"/>
      <c r="BQ27" s="140"/>
      <c r="BR27" s="143"/>
      <c r="BS27" s="135"/>
      <c r="BT27" s="135"/>
      <c r="BU27" s="135"/>
      <c r="BV27" s="135"/>
      <c r="BW27" s="135"/>
      <c r="BX27" s="143"/>
      <c r="BY27" s="277">
        <v>0</v>
      </c>
      <c r="BZ27" s="135">
        <v>0</v>
      </c>
      <c r="CA27" s="135">
        <v>0</v>
      </c>
      <c r="CB27" s="135">
        <v>0</v>
      </c>
      <c r="CC27" s="135"/>
      <c r="CD27" s="135">
        <v>0</v>
      </c>
      <c r="CE27" s="135">
        <v>0</v>
      </c>
      <c r="CF27" s="135"/>
      <c r="CG27" s="135"/>
      <c r="CH27" s="135">
        <v>0</v>
      </c>
      <c r="CI27" s="135"/>
      <c r="CJ27" s="276">
        <v>0</v>
      </c>
      <c r="CK27" s="143"/>
      <c r="CL27" s="135"/>
      <c r="CM27" s="143"/>
      <c r="CN27" s="140"/>
      <c r="CO27" s="140"/>
      <c r="CP27" s="143"/>
      <c r="CQ27" s="135"/>
      <c r="CR27" s="135"/>
      <c r="CS27" s="143"/>
      <c r="CT27" s="140"/>
      <c r="CU27" s="143"/>
      <c r="CV27" s="135"/>
      <c r="CW27" s="135"/>
      <c r="CX27" s="143"/>
      <c r="CY27" s="140"/>
      <c r="CZ27" s="140"/>
      <c r="DA27" s="143"/>
      <c r="DB27" s="135"/>
      <c r="DC27" s="135"/>
      <c r="DD27" s="143"/>
      <c r="DE27" s="140">
        <v>85</v>
      </c>
      <c r="DF27" s="356">
        <f>85/1534554</f>
        <v>5.539068680541708E-5</v>
      </c>
    </row>
    <row r="28" spans="2:110" x14ac:dyDescent="0.2">
      <c r="B28" s="138" t="s">
        <v>145</v>
      </c>
      <c r="C28" s="366"/>
      <c r="D28" s="374"/>
      <c r="E28" s="374"/>
      <c r="F28" s="367"/>
      <c r="G28" s="143"/>
      <c r="H28" s="135">
        <v>0</v>
      </c>
      <c r="I28" s="135"/>
      <c r="J28" s="135"/>
      <c r="K28" s="135"/>
      <c r="L28" s="135"/>
      <c r="M28" s="143">
        <v>0</v>
      </c>
      <c r="N28" s="140"/>
      <c r="O28" s="143">
        <v>489</v>
      </c>
      <c r="P28" s="135"/>
      <c r="Q28" s="135"/>
      <c r="R28" s="143">
        <v>489</v>
      </c>
      <c r="S28" s="277"/>
      <c r="T28" s="135"/>
      <c r="U28" s="135"/>
      <c r="V28" s="276"/>
      <c r="W28" s="143"/>
      <c r="X28" s="135"/>
      <c r="Y28" s="143"/>
      <c r="Z28" s="277"/>
      <c r="AA28" s="135"/>
      <c r="AB28" s="276"/>
      <c r="AC28" s="143">
        <v>1</v>
      </c>
      <c r="AD28" s="135"/>
      <c r="AE28" s="135"/>
      <c r="AF28" s="135"/>
      <c r="AG28" s="135"/>
      <c r="AH28" s="135"/>
      <c r="AI28" s="135"/>
      <c r="AJ28" s="143">
        <v>1</v>
      </c>
      <c r="AK28" s="140"/>
      <c r="AL28" s="140"/>
      <c r="AM28" s="277"/>
      <c r="AN28" s="135"/>
      <c r="AO28" s="135"/>
      <c r="AP28" s="135"/>
      <c r="AQ28" s="135"/>
      <c r="AR28" s="135"/>
      <c r="AS28" s="135"/>
      <c r="AT28" s="135"/>
      <c r="AU28" s="135"/>
      <c r="AV28" s="135"/>
      <c r="AW28" s="135"/>
      <c r="AX28" s="276"/>
      <c r="AY28" s="143"/>
      <c r="AZ28" s="135">
        <v>38</v>
      </c>
      <c r="BA28" s="135"/>
      <c r="BB28" s="135"/>
      <c r="BC28" s="135"/>
      <c r="BD28" s="135"/>
      <c r="BE28" s="135"/>
      <c r="BF28" s="135"/>
      <c r="BG28" s="143">
        <v>38</v>
      </c>
      <c r="BH28" s="277"/>
      <c r="BI28" s="135">
        <v>0</v>
      </c>
      <c r="BJ28" s="135">
        <v>2</v>
      </c>
      <c r="BK28" s="135"/>
      <c r="BL28" s="135"/>
      <c r="BM28" s="135"/>
      <c r="BN28" s="276">
        <v>2</v>
      </c>
      <c r="BO28" s="143"/>
      <c r="BP28" s="140"/>
      <c r="BQ28" s="140"/>
      <c r="BR28" s="143"/>
      <c r="BS28" s="135">
        <v>0</v>
      </c>
      <c r="BT28" s="135"/>
      <c r="BU28" s="135"/>
      <c r="BV28" s="135"/>
      <c r="BW28" s="135"/>
      <c r="BX28" s="143">
        <v>0</v>
      </c>
      <c r="BY28" s="277">
        <v>1</v>
      </c>
      <c r="BZ28" s="135">
        <v>0</v>
      </c>
      <c r="CA28" s="135">
        <v>0</v>
      </c>
      <c r="CB28" s="135">
        <v>0</v>
      </c>
      <c r="CC28" s="135">
        <v>11</v>
      </c>
      <c r="CD28" s="135"/>
      <c r="CE28" s="135">
        <v>0</v>
      </c>
      <c r="CF28" s="135">
        <v>0</v>
      </c>
      <c r="CG28" s="135"/>
      <c r="CH28" s="135">
        <v>0</v>
      </c>
      <c r="CI28" s="135"/>
      <c r="CJ28" s="276">
        <v>12</v>
      </c>
      <c r="CK28" s="143"/>
      <c r="CL28" s="135"/>
      <c r="CM28" s="143"/>
      <c r="CN28" s="140"/>
      <c r="CO28" s="140"/>
      <c r="CP28" s="143"/>
      <c r="CQ28" s="135"/>
      <c r="CR28" s="135"/>
      <c r="CS28" s="143"/>
      <c r="CT28" s="140"/>
      <c r="CU28" s="143"/>
      <c r="CV28" s="135"/>
      <c r="CW28" s="135"/>
      <c r="CX28" s="143"/>
      <c r="CY28" s="140"/>
      <c r="CZ28" s="140"/>
      <c r="DA28" s="143"/>
      <c r="DB28" s="135"/>
      <c r="DC28" s="135"/>
      <c r="DD28" s="143"/>
      <c r="DE28" s="140">
        <v>542</v>
      </c>
      <c r="DF28" s="356">
        <f>542/1534554</f>
        <v>3.5319708527689478E-4</v>
      </c>
    </row>
    <row r="29" spans="2:110" x14ac:dyDescent="0.2">
      <c r="B29" s="138" t="s">
        <v>146</v>
      </c>
      <c r="C29" s="366"/>
      <c r="D29" s="374"/>
      <c r="E29" s="374"/>
      <c r="F29" s="367"/>
      <c r="G29" s="143">
        <v>0</v>
      </c>
      <c r="H29" s="135">
        <v>0</v>
      </c>
      <c r="I29" s="135">
        <v>0</v>
      </c>
      <c r="J29" s="135">
        <v>0</v>
      </c>
      <c r="K29" s="135">
        <v>0</v>
      </c>
      <c r="L29" s="135">
        <v>0</v>
      </c>
      <c r="M29" s="143">
        <v>0</v>
      </c>
      <c r="N29" s="140"/>
      <c r="O29" s="143">
        <v>35</v>
      </c>
      <c r="P29" s="135"/>
      <c r="Q29" s="135"/>
      <c r="R29" s="143">
        <v>35</v>
      </c>
      <c r="S29" s="277">
        <v>0</v>
      </c>
      <c r="T29" s="135"/>
      <c r="U29" s="135"/>
      <c r="V29" s="276">
        <v>0</v>
      </c>
      <c r="W29" s="143"/>
      <c r="X29" s="135"/>
      <c r="Y29" s="143"/>
      <c r="Z29" s="277"/>
      <c r="AA29" s="135"/>
      <c r="AB29" s="276"/>
      <c r="AC29" s="143"/>
      <c r="AD29" s="135"/>
      <c r="AE29" s="135"/>
      <c r="AF29" s="135"/>
      <c r="AG29" s="135"/>
      <c r="AH29" s="135"/>
      <c r="AI29" s="135"/>
      <c r="AJ29" s="143"/>
      <c r="AK29" s="140"/>
      <c r="AL29" s="140"/>
      <c r="AM29" s="277"/>
      <c r="AN29" s="135">
        <v>0</v>
      </c>
      <c r="AO29" s="135"/>
      <c r="AP29" s="135"/>
      <c r="AQ29" s="135"/>
      <c r="AR29" s="135"/>
      <c r="AS29" s="135"/>
      <c r="AT29" s="135"/>
      <c r="AU29" s="135"/>
      <c r="AV29" s="135"/>
      <c r="AW29" s="135"/>
      <c r="AX29" s="276">
        <v>0</v>
      </c>
      <c r="AY29" s="143"/>
      <c r="AZ29" s="135">
        <v>0</v>
      </c>
      <c r="BA29" s="135"/>
      <c r="BB29" s="135"/>
      <c r="BC29" s="135"/>
      <c r="BD29" s="135"/>
      <c r="BE29" s="135"/>
      <c r="BF29" s="135"/>
      <c r="BG29" s="143">
        <v>0</v>
      </c>
      <c r="BH29" s="277"/>
      <c r="BI29" s="135">
        <v>1</v>
      </c>
      <c r="BJ29" s="135">
        <v>0</v>
      </c>
      <c r="BK29" s="135">
        <v>47</v>
      </c>
      <c r="BL29" s="135"/>
      <c r="BM29" s="135"/>
      <c r="BN29" s="276">
        <v>48</v>
      </c>
      <c r="BO29" s="143"/>
      <c r="BP29" s="140">
        <v>0</v>
      </c>
      <c r="BQ29" s="140"/>
      <c r="BR29" s="143">
        <v>0</v>
      </c>
      <c r="BS29" s="135">
        <v>0</v>
      </c>
      <c r="BT29" s="135">
        <v>0</v>
      </c>
      <c r="BU29" s="135">
        <v>0</v>
      </c>
      <c r="BV29" s="135">
        <v>0</v>
      </c>
      <c r="BW29" s="135">
        <v>0</v>
      </c>
      <c r="BX29" s="143">
        <v>0</v>
      </c>
      <c r="BY29" s="277">
        <v>0</v>
      </c>
      <c r="BZ29" s="135">
        <v>0</v>
      </c>
      <c r="CA29" s="135">
        <v>1</v>
      </c>
      <c r="CB29" s="135">
        <v>0</v>
      </c>
      <c r="CC29" s="135">
        <v>0</v>
      </c>
      <c r="CD29" s="135">
        <v>0</v>
      </c>
      <c r="CE29" s="135">
        <v>0</v>
      </c>
      <c r="CF29" s="135">
        <v>0</v>
      </c>
      <c r="CG29" s="135"/>
      <c r="CH29" s="135">
        <v>0</v>
      </c>
      <c r="CI29" s="135"/>
      <c r="CJ29" s="276">
        <v>1</v>
      </c>
      <c r="CK29" s="143"/>
      <c r="CL29" s="135"/>
      <c r="CM29" s="143"/>
      <c r="CN29" s="140"/>
      <c r="CO29" s="140"/>
      <c r="CP29" s="143"/>
      <c r="CQ29" s="135"/>
      <c r="CR29" s="135"/>
      <c r="CS29" s="143"/>
      <c r="CT29" s="140"/>
      <c r="CU29" s="143"/>
      <c r="CV29" s="135"/>
      <c r="CW29" s="135"/>
      <c r="CX29" s="143"/>
      <c r="CY29" s="140"/>
      <c r="CZ29" s="140"/>
      <c r="DA29" s="143"/>
      <c r="DB29" s="135"/>
      <c r="DC29" s="135"/>
      <c r="DD29" s="143"/>
      <c r="DE29" s="140">
        <v>84</v>
      </c>
      <c r="DF29" s="356">
        <f>84/1534554</f>
        <v>5.4739031666529817E-5</v>
      </c>
    </row>
    <row r="30" spans="2:110" x14ac:dyDescent="0.2">
      <c r="B30" s="138" t="s">
        <v>158</v>
      </c>
      <c r="C30" s="366">
        <v>0</v>
      </c>
      <c r="D30" s="374"/>
      <c r="E30" s="374"/>
      <c r="F30" s="367">
        <v>0</v>
      </c>
      <c r="G30" s="143">
        <v>9</v>
      </c>
      <c r="H30" s="135">
        <v>0</v>
      </c>
      <c r="I30" s="135">
        <v>0</v>
      </c>
      <c r="J30" s="135">
        <v>0</v>
      </c>
      <c r="K30" s="135">
        <v>0</v>
      </c>
      <c r="L30" s="135"/>
      <c r="M30" s="143">
        <v>9</v>
      </c>
      <c r="N30" s="140"/>
      <c r="O30" s="143">
        <v>195</v>
      </c>
      <c r="P30" s="135">
        <v>0</v>
      </c>
      <c r="Q30" s="135"/>
      <c r="R30" s="143">
        <v>195</v>
      </c>
      <c r="S30" s="277">
        <v>0</v>
      </c>
      <c r="T30" s="135">
        <v>0</v>
      </c>
      <c r="U30" s="135"/>
      <c r="V30" s="276">
        <v>0</v>
      </c>
      <c r="W30" s="143">
        <v>0</v>
      </c>
      <c r="X30" s="135">
        <v>1</v>
      </c>
      <c r="Y30" s="143">
        <v>1</v>
      </c>
      <c r="Z30" s="277">
        <v>1</v>
      </c>
      <c r="AA30" s="135"/>
      <c r="AB30" s="276">
        <v>1</v>
      </c>
      <c r="AC30" s="143">
        <v>2</v>
      </c>
      <c r="AD30" s="135">
        <v>0</v>
      </c>
      <c r="AE30" s="135"/>
      <c r="AF30" s="135">
        <v>1</v>
      </c>
      <c r="AG30" s="135"/>
      <c r="AH30" s="135"/>
      <c r="AI30" s="135"/>
      <c r="AJ30" s="143">
        <v>3</v>
      </c>
      <c r="AK30" s="140"/>
      <c r="AL30" s="140">
        <v>0</v>
      </c>
      <c r="AM30" s="277"/>
      <c r="AN30" s="135"/>
      <c r="AO30" s="135">
        <v>0</v>
      </c>
      <c r="AP30" s="135"/>
      <c r="AQ30" s="135">
        <v>0</v>
      </c>
      <c r="AR30" s="135"/>
      <c r="AS30" s="135">
        <v>0</v>
      </c>
      <c r="AT30" s="135">
        <v>0</v>
      </c>
      <c r="AU30" s="135">
        <v>0</v>
      </c>
      <c r="AV30" s="135">
        <v>0</v>
      </c>
      <c r="AW30" s="135">
        <v>0</v>
      </c>
      <c r="AX30" s="276">
        <v>0</v>
      </c>
      <c r="AY30" s="143"/>
      <c r="AZ30" s="135">
        <v>5</v>
      </c>
      <c r="BA30" s="135">
        <v>0</v>
      </c>
      <c r="BB30" s="135">
        <v>0</v>
      </c>
      <c r="BC30" s="135">
        <v>0</v>
      </c>
      <c r="BD30" s="135">
        <v>1</v>
      </c>
      <c r="BE30" s="135"/>
      <c r="BF30" s="135"/>
      <c r="BG30" s="143">
        <v>6</v>
      </c>
      <c r="BH30" s="277">
        <v>0</v>
      </c>
      <c r="BI30" s="135">
        <v>1</v>
      </c>
      <c r="BJ30" s="135">
        <v>4</v>
      </c>
      <c r="BK30" s="135">
        <v>0</v>
      </c>
      <c r="BL30" s="135"/>
      <c r="BM30" s="135"/>
      <c r="BN30" s="276">
        <v>5</v>
      </c>
      <c r="BO30" s="143"/>
      <c r="BP30" s="140">
        <v>0</v>
      </c>
      <c r="BQ30" s="140"/>
      <c r="BR30" s="143">
        <v>0</v>
      </c>
      <c r="BS30" s="135">
        <v>0</v>
      </c>
      <c r="BT30" s="135">
        <v>0</v>
      </c>
      <c r="BU30" s="135"/>
      <c r="BV30" s="135"/>
      <c r="BW30" s="135">
        <v>0</v>
      </c>
      <c r="BX30" s="143">
        <v>0</v>
      </c>
      <c r="BY30" s="277">
        <v>14</v>
      </c>
      <c r="BZ30" s="135">
        <v>0</v>
      </c>
      <c r="CA30" s="135">
        <v>24</v>
      </c>
      <c r="CB30" s="135">
        <v>0</v>
      </c>
      <c r="CC30" s="135">
        <v>166</v>
      </c>
      <c r="CD30" s="135">
        <v>0</v>
      </c>
      <c r="CE30" s="135">
        <v>0</v>
      </c>
      <c r="CF30" s="135">
        <v>0</v>
      </c>
      <c r="CG30" s="135">
        <v>0</v>
      </c>
      <c r="CH30" s="135">
        <v>0</v>
      </c>
      <c r="CI30" s="135"/>
      <c r="CJ30" s="276">
        <v>204</v>
      </c>
      <c r="CK30" s="143"/>
      <c r="CL30" s="135"/>
      <c r="CM30" s="143"/>
      <c r="CN30" s="140"/>
      <c r="CO30" s="140"/>
      <c r="CP30" s="143">
        <v>6</v>
      </c>
      <c r="CQ30" s="135">
        <v>6</v>
      </c>
      <c r="CR30" s="135">
        <v>11</v>
      </c>
      <c r="CS30" s="143">
        <v>23</v>
      </c>
      <c r="CT30" s="140"/>
      <c r="CU30" s="143">
        <v>9</v>
      </c>
      <c r="CV30" s="135"/>
      <c r="CW30" s="135"/>
      <c r="CX30" s="143">
        <v>9</v>
      </c>
      <c r="CY30" s="140">
        <v>0</v>
      </c>
      <c r="CZ30" s="140">
        <v>0</v>
      </c>
      <c r="DA30" s="143"/>
      <c r="DB30" s="135">
        <v>14</v>
      </c>
      <c r="DC30" s="135">
        <v>0</v>
      </c>
      <c r="DD30" s="143">
        <v>14</v>
      </c>
      <c r="DE30" s="140">
        <v>470</v>
      </c>
      <c r="DF30" s="356">
        <f>470/1534554</f>
        <v>3.0627791527701209E-4</v>
      </c>
    </row>
    <row r="31" spans="2:110" x14ac:dyDescent="0.2">
      <c r="B31" s="138" t="s">
        <v>230</v>
      </c>
      <c r="C31" s="366"/>
      <c r="D31" s="374"/>
      <c r="E31" s="374"/>
      <c r="F31" s="367"/>
      <c r="G31" s="143"/>
      <c r="H31" s="135">
        <v>0</v>
      </c>
      <c r="I31" s="135"/>
      <c r="J31" s="135"/>
      <c r="K31" s="135"/>
      <c r="L31" s="135"/>
      <c r="M31" s="143">
        <v>0</v>
      </c>
      <c r="N31" s="140"/>
      <c r="O31" s="143">
        <v>960</v>
      </c>
      <c r="P31" s="135">
        <v>0</v>
      </c>
      <c r="Q31" s="135"/>
      <c r="R31" s="143">
        <v>960</v>
      </c>
      <c r="S31" s="277"/>
      <c r="T31" s="135"/>
      <c r="U31" s="135"/>
      <c r="V31" s="276"/>
      <c r="W31" s="143"/>
      <c r="X31" s="135"/>
      <c r="Y31" s="143"/>
      <c r="Z31" s="277"/>
      <c r="AA31" s="135"/>
      <c r="AB31" s="276"/>
      <c r="AC31" s="143">
        <v>3</v>
      </c>
      <c r="AD31" s="135"/>
      <c r="AE31" s="135"/>
      <c r="AF31" s="135"/>
      <c r="AG31" s="135"/>
      <c r="AH31" s="135"/>
      <c r="AI31" s="135"/>
      <c r="AJ31" s="143">
        <v>3</v>
      </c>
      <c r="AK31" s="140"/>
      <c r="AL31" s="140"/>
      <c r="AM31" s="277"/>
      <c r="AN31" s="135"/>
      <c r="AO31" s="135"/>
      <c r="AP31" s="135"/>
      <c r="AQ31" s="135"/>
      <c r="AR31" s="135"/>
      <c r="AS31" s="135"/>
      <c r="AT31" s="135"/>
      <c r="AU31" s="135"/>
      <c r="AV31" s="135"/>
      <c r="AW31" s="135"/>
      <c r="AX31" s="276"/>
      <c r="AY31" s="143"/>
      <c r="AZ31" s="135">
        <v>67</v>
      </c>
      <c r="BA31" s="135"/>
      <c r="BB31" s="135">
        <v>0</v>
      </c>
      <c r="BC31" s="135"/>
      <c r="BD31" s="135"/>
      <c r="BE31" s="135"/>
      <c r="BF31" s="135"/>
      <c r="BG31" s="143">
        <v>67</v>
      </c>
      <c r="BH31" s="277"/>
      <c r="BI31" s="135">
        <v>0</v>
      </c>
      <c r="BJ31" s="135">
        <v>3</v>
      </c>
      <c r="BK31" s="135"/>
      <c r="BL31" s="135"/>
      <c r="BM31" s="135"/>
      <c r="BN31" s="276">
        <v>3</v>
      </c>
      <c r="BO31" s="143"/>
      <c r="BP31" s="140"/>
      <c r="BQ31" s="140"/>
      <c r="BR31" s="143">
        <v>0</v>
      </c>
      <c r="BS31" s="135">
        <v>0</v>
      </c>
      <c r="BT31" s="135"/>
      <c r="BU31" s="135"/>
      <c r="BV31" s="135"/>
      <c r="BW31" s="135"/>
      <c r="BX31" s="143">
        <v>0</v>
      </c>
      <c r="BY31" s="277">
        <v>4</v>
      </c>
      <c r="BZ31" s="135">
        <v>0</v>
      </c>
      <c r="CA31" s="135">
        <v>3</v>
      </c>
      <c r="CB31" s="135">
        <v>0</v>
      </c>
      <c r="CC31" s="135">
        <v>16</v>
      </c>
      <c r="CD31" s="135">
        <v>0</v>
      </c>
      <c r="CE31" s="135">
        <v>0</v>
      </c>
      <c r="CF31" s="135"/>
      <c r="CG31" s="135"/>
      <c r="CH31" s="135">
        <v>0</v>
      </c>
      <c r="CI31" s="135"/>
      <c r="CJ31" s="276">
        <v>23</v>
      </c>
      <c r="CK31" s="143"/>
      <c r="CL31" s="135"/>
      <c r="CM31" s="143"/>
      <c r="CN31" s="140"/>
      <c r="CO31" s="140"/>
      <c r="CP31" s="143"/>
      <c r="CQ31" s="135"/>
      <c r="CR31" s="135"/>
      <c r="CS31" s="143"/>
      <c r="CT31" s="140"/>
      <c r="CU31" s="143"/>
      <c r="CV31" s="135"/>
      <c r="CW31" s="135"/>
      <c r="CX31" s="143"/>
      <c r="CY31" s="140"/>
      <c r="CZ31" s="140"/>
      <c r="DA31" s="143"/>
      <c r="DB31" s="135"/>
      <c r="DC31" s="135"/>
      <c r="DD31" s="143"/>
      <c r="DE31" s="140">
        <v>1056</v>
      </c>
      <c r="DF31" s="356">
        <f>1056/1534554</f>
        <v>6.881478266649463E-4</v>
      </c>
    </row>
    <row r="32" spans="2:110" x14ac:dyDescent="0.2">
      <c r="B32" s="138" t="s">
        <v>250</v>
      </c>
      <c r="C32" s="366"/>
      <c r="D32" s="374"/>
      <c r="E32" s="374"/>
      <c r="F32" s="367"/>
      <c r="G32" s="143"/>
      <c r="H32" s="135">
        <v>0</v>
      </c>
      <c r="I32" s="135"/>
      <c r="J32" s="135">
        <v>26</v>
      </c>
      <c r="K32" s="135">
        <v>0</v>
      </c>
      <c r="L32" s="135"/>
      <c r="M32" s="143">
        <v>26</v>
      </c>
      <c r="N32" s="140"/>
      <c r="O32" s="143">
        <v>80</v>
      </c>
      <c r="P32" s="135"/>
      <c r="Q32" s="135"/>
      <c r="R32" s="143">
        <v>80</v>
      </c>
      <c r="S32" s="277">
        <v>0</v>
      </c>
      <c r="T32" s="135">
        <v>0</v>
      </c>
      <c r="U32" s="135"/>
      <c r="V32" s="276">
        <v>0</v>
      </c>
      <c r="W32" s="143">
        <v>0</v>
      </c>
      <c r="X32" s="135"/>
      <c r="Y32" s="143">
        <v>0</v>
      </c>
      <c r="Z32" s="277">
        <v>0</v>
      </c>
      <c r="AA32" s="135"/>
      <c r="AB32" s="276">
        <v>0</v>
      </c>
      <c r="AC32" s="143">
        <v>0</v>
      </c>
      <c r="AD32" s="135"/>
      <c r="AE32" s="135"/>
      <c r="AF32" s="135"/>
      <c r="AG32" s="135"/>
      <c r="AH32" s="135"/>
      <c r="AI32" s="135"/>
      <c r="AJ32" s="143">
        <v>0</v>
      </c>
      <c r="AK32" s="140"/>
      <c r="AL32" s="140"/>
      <c r="AM32" s="277"/>
      <c r="AN32" s="135">
        <v>0</v>
      </c>
      <c r="AO32" s="135">
        <v>0</v>
      </c>
      <c r="AP32" s="135"/>
      <c r="AQ32" s="135"/>
      <c r="AR32" s="135"/>
      <c r="AS32" s="135"/>
      <c r="AT32" s="135">
        <v>0</v>
      </c>
      <c r="AU32" s="135"/>
      <c r="AV32" s="135"/>
      <c r="AW32" s="135"/>
      <c r="AX32" s="276">
        <v>0</v>
      </c>
      <c r="AY32" s="143">
        <v>0</v>
      </c>
      <c r="AZ32" s="135">
        <v>5</v>
      </c>
      <c r="BA32" s="135">
        <v>0</v>
      </c>
      <c r="BB32" s="135">
        <v>0</v>
      </c>
      <c r="BC32" s="135">
        <v>0</v>
      </c>
      <c r="BD32" s="135"/>
      <c r="BE32" s="135"/>
      <c r="BF32" s="135">
        <v>0</v>
      </c>
      <c r="BG32" s="143">
        <v>5</v>
      </c>
      <c r="BH32" s="277">
        <v>0</v>
      </c>
      <c r="BI32" s="135">
        <v>0</v>
      </c>
      <c r="BJ32" s="135">
        <v>0</v>
      </c>
      <c r="BK32" s="135"/>
      <c r="BL32" s="135"/>
      <c r="BM32" s="135"/>
      <c r="BN32" s="276">
        <v>0</v>
      </c>
      <c r="BO32" s="143"/>
      <c r="BP32" s="140">
        <v>0</v>
      </c>
      <c r="BQ32" s="140"/>
      <c r="BR32" s="143">
        <v>0</v>
      </c>
      <c r="BS32" s="135">
        <v>0</v>
      </c>
      <c r="BT32" s="135"/>
      <c r="BU32" s="135"/>
      <c r="BV32" s="135"/>
      <c r="BW32" s="135"/>
      <c r="BX32" s="143">
        <v>0</v>
      </c>
      <c r="BY32" s="277">
        <v>3</v>
      </c>
      <c r="BZ32" s="135">
        <v>0</v>
      </c>
      <c r="CA32" s="135">
        <v>8</v>
      </c>
      <c r="CB32" s="135">
        <v>0</v>
      </c>
      <c r="CC32" s="135">
        <v>16</v>
      </c>
      <c r="CD32" s="135">
        <v>0</v>
      </c>
      <c r="CE32" s="135"/>
      <c r="CF32" s="135"/>
      <c r="CG32" s="135"/>
      <c r="CH32" s="135">
        <v>0</v>
      </c>
      <c r="CI32" s="135"/>
      <c r="CJ32" s="276">
        <v>27</v>
      </c>
      <c r="CK32" s="143"/>
      <c r="CL32" s="135"/>
      <c r="CM32" s="143"/>
      <c r="CN32" s="140"/>
      <c r="CO32" s="140"/>
      <c r="CP32" s="143">
        <v>5</v>
      </c>
      <c r="CQ32" s="135"/>
      <c r="CR32" s="135"/>
      <c r="CS32" s="143">
        <v>5</v>
      </c>
      <c r="CT32" s="140"/>
      <c r="CU32" s="143">
        <v>4</v>
      </c>
      <c r="CV32" s="135"/>
      <c r="CW32" s="135">
        <v>0</v>
      </c>
      <c r="CX32" s="143">
        <v>4</v>
      </c>
      <c r="CY32" s="140"/>
      <c r="CZ32" s="140">
        <v>0</v>
      </c>
      <c r="DA32" s="143"/>
      <c r="DB32" s="135">
        <v>1</v>
      </c>
      <c r="DC32" s="135"/>
      <c r="DD32" s="143">
        <v>1</v>
      </c>
      <c r="DE32" s="140">
        <v>148</v>
      </c>
      <c r="DF32" s="356">
        <f>148/1534554</f>
        <v>9.6444960555314447E-5</v>
      </c>
    </row>
    <row r="33" spans="2:110" x14ac:dyDescent="0.2">
      <c r="B33" s="138" t="s">
        <v>257</v>
      </c>
      <c r="C33" s="366"/>
      <c r="D33" s="374"/>
      <c r="E33" s="374"/>
      <c r="F33" s="367"/>
      <c r="G33" s="143"/>
      <c r="H33" s="135"/>
      <c r="I33" s="135"/>
      <c r="J33" s="135"/>
      <c r="K33" s="135"/>
      <c r="L33" s="135"/>
      <c r="M33" s="143"/>
      <c r="N33" s="140"/>
      <c r="O33" s="143">
        <v>9</v>
      </c>
      <c r="P33" s="135"/>
      <c r="Q33" s="135"/>
      <c r="R33" s="143">
        <v>9</v>
      </c>
      <c r="S33" s="277"/>
      <c r="T33" s="135"/>
      <c r="U33" s="135"/>
      <c r="V33" s="276"/>
      <c r="W33" s="143"/>
      <c r="X33" s="135"/>
      <c r="Y33" s="143"/>
      <c r="Z33" s="277"/>
      <c r="AA33" s="135"/>
      <c r="AB33" s="276"/>
      <c r="AC33" s="143"/>
      <c r="AD33" s="135"/>
      <c r="AE33" s="135"/>
      <c r="AF33" s="135"/>
      <c r="AG33" s="135"/>
      <c r="AH33" s="135"/>
      <c r="AI33" s="135"/>
      <c r="AJ33" s="143"/>
      <c r="AK33" s="140"/>
      <c r="AL33" s="140"/>
      <c r="AM33" s="277"/>
      <c r="AN33" s="135"/>
      <c r="AO33" s="135"/>
      <c r="AP33" s="135"/>
      <c r="AQ33" s="135"/>
      <c r="AR33" s="135"/>
      <c r="AS33" s="135"/>
      <c r="AT33" s="135"/>
      <c r="AU33" s="135"/>
      <c r="AV33" s="135"/>
      <c r="AW33" s="135"/>
      <c r="AX33" s="276"/>
      <c r="AY33" s="143"/>
      <c r="AZ33" s="135">
        <v>1</v>
      </c>
      <c r="BA33" s="135">
        <v>0</v>
      </c>
      <c r="BB33" s="135">
        <v>0</v>
      </c>
      <c r="BC33" s="135"/>
      <c r="BD33" s="135"/>
      <c r="BE33" s="135"/>
      <c r="BF33" s="135"/>
      <c r="BG33" s="143">
        <v>1</v>
      </c>
      <c r="BH33" s="277"/>
      <c r="BI33" s="135"/>
      <c r="BJ33" s="135"/>
      <c r="BK33" s="135"/>
      <c r="BL33" s="135"/>
      <c r="BM33" s="135"/>
      <c r="BN33" s="276"/>
      <c r="BO33" s="143"/>
      <c r="BP33" s="140"/>
      <c r="BQ33" s="140"/>
      <c r="BR33" s="143">
        <v>0</v>
      </c>
      <c r="BS33" s="135">
        <v>0</v>
      </c>
      <c r="BT33" s="135"/>
      <c r="BU33" s="135"/>
      <c r="BV33" s="135"/>
      <c r="BW33" s="135"/>
      <c r="BX33" s="143">
        <v>0</v>
      </c>
      <c r="BY33" s="277">
        <v>0</v>
      </c>
      <c r="BZ33" s="135"/>
      <c r="CA33" s="135"/>
      <c r="CB33" s="135"/>
      <c r="CC33" s="135"/>
      <c r="CD33" s="135"/>
      <c r="CE33" s="135"/>
      <c r="CF33" s="135"/>
      <c r="CG33" s="135"/>
      <c r="CH33" s="135"/>
      <c r="CI33" s="135"/>
      <c r="CJ33" s="276">
        <v>0</v>
      </c>
      <c r="CK33" s="143"/>
      <c r="CL33" s="135"/>
      <c r="CM33" s="143"/>
      <c r="CN33" s="140"/>
      <c r="CO33" s="140"/>
      <c r="CP33" s="143"/>
      <c r="CQ33" s="135"/>
      <c r="CR33" s="135">
        <v>5</v>
      </c>
      <c r="CS33" s="143">
        <v>5</v>
      </c>
      <c r="CT33" s="140"/>
      <c r="CU33" s="143"/>
      <c r="CV33" s="135"/>
      <c r="CW33" s="135"/>
      <c r="CX33" s="143"/>
      <c r="CY33" s="140">
        <v>0</v>
      </c>
      <c r="CZ33" s="140">
        <v>0</v>
      </c>
      <c r="DA33" s="143">
        <v>0</v>
      </c>
      <c r="DB33" s="135"/>
      <c r="DC33" s="135"/>
      <c r="DD33" s="143">
        <v>0</v>
      </c>
      <c r="DE33" s="140">
        <v>15</v>
      </c>
      <c r="DF33" s="356">
        <f>15/1534554</f>
        <v>9.7748270833088961E-6</v>
      </c>
    </row>
    <row r="34" spans="2:110" ht="13.5" thickBot="1" x14ac:dyDescent="0.25">
      <c r="B34" s="248" t="s">
        <v>554</v>
      </c>
      <c r="C34" s="364">
        <v>0</v>
      </c>
      <c r="D34" s="373"/>
      <c r="E34" s="373">
        <v>0</v>
      </c>
      <c r="F34" s="365">
        <v>0</v>
      </c>
      <c r="G34" s="275">
        <v>158</v>
      </c>
      <c r="H34" s="273">
        <v>0</v>
      </c>
      <c r="I34" s="273">
        <v>0</v>
      </c>
      <c r="J34" s="273">
        <v>0</v>
      </c>
      <c r="K34" s="273">
        <v>0</v>
      </c>
      <c r="L34" s="273"/>
      <c r="M34" s="275">
        <v>158</v>
      </c>
      <c r="N34" s="271">
        <v>0</v>
      </c>
      <c r="O34" s="275">
        <v>89</v>
      </c>
      <c r="P34" s="273"/>
      <c r="Q34" s="273"/>
      <c r="R34" s="275">
        <v>89</v>
      </c>
      <c r="S34" s="274"/>
      <c r="T34" s="273">
        <v>0</v>
      </c>
      <c r="U34" s="273"/>
      <c r="V34" s="272">
        <v>0</v>
      </c>
      <c r="W34" s="275">
        <v>0</v>
      </c>
      <c r="X34" s="273"/>
      <c r="Y34" s="275">
        <v>0</v>
      </c>
      <c r="Z34" s="274">
        <v>76</v>
      </c>
      <c r="AA34" s="273"/>
      <c r="AB34" s="272">
        <v>76</v>
      </c>
      <c r="AC34" s="275">
        <v>0</v>
      </c>
      <c r="AD34" s="273"/>
      <c r="AE34" s="273"/>
      <c r="AF34" s="273">
        <v>7</v>
      </c>
      <c r="AG34" s="273"/>
      <c r="AH34" s="273"/>
      <c r="AI34" s="273"/>
      <c r="AJ34" s="275">
        <v>7</v>
      </c>
      <c r="AK34" s="271"/>
      <c r="AL34" s="271">
        <v>0</v>
      </c>
      <c r="AM34" s="274"/>
      <c r="AN34" s="273">
        <v>0</v>
      </c>
      <c r="AO34" s="273">
        <v>0</v>
      </c>
      <c r="AP34" s="273">
        <v>0</v>
      </c>
      <c r="AQ34" s="273"/>
      <c r="AR34" s="273"/>
      <c r="AS34" s="273">
        <v>0</v>
      </c>
      <c r="AT34" s="273">
        <v>0</v>
      </c>
      <c r="AU34" s="273">
        <v>0</v>
      </c>
      <c r="AV34" s="273"/>
      <c r="AW34" s="273">
        <v>0</v>
      </c>
      <c r="AX34" s="272">
        <v>0</v>
      </c>
      <c r="AY34" s="275">
        <v>0</v>
      </c>
      <c r="AZ34" s="273">
        <v>20</v>
      </c>
      <c r="BA34" s="273">
        <v>0</v>
      </c>
      <c r="BB34" s="273">
        <v>0</v>
      </c>
      <c r="BC34" s="273">
        <v>0</v>
      </c>
      <c r="BD34" s="273"/>
      <c r="BE34" s="273"/>
      <c r="BF34" s="273">
        <v>0</v>
      </c>
      <c r="BG34" s="275">
        <v>20</v>
      </c>
      <c r="BH34" s="274">
        <v>0</v>
      </c>
      <c r="BI34" s="273">
        <v>0</v>
      </c>
      <c r="BJ34" s="273">
        <v>31</v>
      </c>
      <c r="BK34" s="273">
        <v>0</v>
      </c>
      <c r="BL34" s="273"/>
      <c r="BM34" s="273"/>
      <c r="BN34" s="272">
        <v>31</v>
      </c>
      <c r="BO34" s="275"/>
      <c r="BP34" s="271">
        <v>0</v>
      </c>
      <c r="BQ34" s="271"/>
      <c r="BR34" s="275">
        <v>0</v>
      </c>
      <c r="BS34" s="273">
        <v>0</v>
      </c>
      <c r="BT34" s="273">
        <v>0</v>
      </c>
      <c r="BU34" s="273"/>
      <c r="BV34" s="273"/>
      <c r="BW34" s="273"/>
      <c r="BX34" s="275">
        <v>0</v>
      </c>
      <c r="BY34" s="274">
        <v>0</v>
      </c>
      <c r="BZ34" s="273">
        <v>0</v>
      </c>
      <c r="CA34" s="273">
        <v>0</v>
      </c>
      <c r="CB34" s="273"/>
      <c r="CC34" s="273">
        <v>33</v>
      </c>
      <c r="CD34" s="273">
        <v>0</v>
      </c>
      <c r="CE34" s="273"/>
      <c r="CF34" s="273"/>
      <c r="CG34" s="273"/>
      <c r="CH34" s="273">
        <v>0</v>
      </c>
      <c r="CI34" s="273"/>
      <c r="CJ34" s="272">
        <v>33</v>
      </c>
      <c r="CK34" s="275"/>
      <c r="CL34" s="273">
        <v>0</v>
      </c>
      <c r="CM34" s="275">
        <v>0</v>
      </c>
      <c r="CN34" s="271"/>
      <c r="CO34" s="271">
        <v>0</v>
      </c>
      <c r="CP34" s="275">
        <v>647</v>
      </c>
      <c r="CQ34" s="273">
        <v>125</v>
      </c>
      <c r="CR34" s="273">
        <v>462</v>
      </c>
      <c r="CS34" s="275">
        <v>1234</v>
      </c>
      <c r="CT34" s="271">
        <v>0</v>
      </c>
      <c r="CU34" s="275">
        <v>158</v>
      </c>
      <c r="CV34" s="273">
        <v>0</v>
      </c>
      <c r="CW34" s="273">
        <v>0</v>
      </c>
      <c r="CX34" s="275">
        <v>158</v>
      </c>
      <c r="CY34" s="271">
        <v>0</v>
      </c>
      <c r="CZ34" s="271">
        <v>0</v>
      </c>
      <c r="DA34" s="275">
        <v>0</v>
      </c>
      <c r="DB34" s="273">
        <v>109</v>
      </c>
      <c r="DC34" s="273">
        <v>8</v>
      </c>
      <c r="DD34" s="275">
        <v>117</v>
      </c>
      <c r="DE34" s="271">
        <v>1923</v>
      </c>
      <c r="DF34" s="354">
        <f>1923/1534554</f>
        <v>1.2531328320802004E-3</v>
      </c>
    </row>
    <row r="35" spans="2:110" ht="13.5" thickBot="1" x14ac:dyDescent="0.25">
      <c r="B35" s="139" t="s">
        <v>544</v>
      </c>
      <c r="C35" s="368">
        <v>0</v>
      </c>
      <c r="D35" s="375">
        <v>0</v>
      </c>
      <c r="E35" s="375">
        <v>0</v>
      </c>
      <c r="F35" s="369">
        <v>0</v>
      </c>
      <c r="G35" s="144">
        <v>191</v>
      </c>
      <c r="H35" s="136">
        <v>0</v>
      </c>
      <c r="I35" s="136">
        <v>0</v>
      </c>
      <c r="J35" s="136">
        <v>8123</v>
      </c>
      <c r="K35" s="136">
        <v>0</v>
      </c>
      <c r="L35" s="136">
        <v>0</v>
      </c>
      <c r="M35" s="144">
        <v>8314</v>
      </c>
      <c r="N35" s="141">
        <v>0</v>
      </c>
      <c r="O35" s="144">
        <v>29057</v>
      </c>
      <c r="P35" s="136">
        <v>0</v>
      </c>
      <c r="Q35" s="136"/>
      <c r="R35" s="144">
        <v>29057</v>
      </c>
      <c r="S35" s="270">
        <v>0</v>
      </c>
      <c r="T35" s="136">
        <v>0</v>
      </c>
      <c r="U35" s="136">
        <v>0</v>
      </c>
      <c r="V35" s="269">
        <v>0</v>
      </c>
      <c r="W35" s="144">
        <v>0</v>
      </c>
      <c r="X35" s="136">
        <v>41</v>
      </c>
      <c r="Y35" s="144">
        <v>41</v>
      </c>
      <c r="Z35" s="270">
        <v>77</v>
      </c>
      <c r="AA35" s="136"/>
      <c r="AB35" s="269">
        <v>77</v>
      </c>
      <c r="AC35" s="144">
        <v>23</v>
      </c>
      <c r="AD35" s="136">
        <v>0</v>
      </c>
      <c r="AE35" s="136">
        <v>2</v>
      </c>
      <c r="AF35" s="136">
        <v>8</v>
      </c>
      <c r="AG35" s="136"/>
      <c r="AH35" s="136"/>
      <c r="AI35" s="136"/>
      <c r="AJ35" s="144">
        <v>33</v>
      </c>
      <c r="AK35" s="141"/>
      <c r="AL35" s="141">
        <v>0</v>
      </c>
      <c r="AM35" s="270"/>
      <c r="AN35" s="136">
        <v>0</v>
      </c>
      <c r="AO35" s="136">
        <v>0</v>
      </c>
      <c r="AP35" s="136">
        <v>0</v>
      </c>
      <c r="AQ35" s="136">
        <v>0</v>
      </c>
      <c r="AR35" s="136"/>
      <c r="AS35" s="136">
        <v>0</v>
      </c>
      <c r="AT35" s="136">
        <v>0</v>
      </c>
      <c r="AU35" s="136">
        <v>0</v>
      </c>
      <c r="AV35" s="136">
        <v>0</v>
      </c>
      <c r="AW35" s="136">
        <v>0</v>
      </c>
      <c r="AX35" s="269">
        <v>0</v>
      </c>
      <c r="AY35" s="144">
        <v>0</v>
      </c>
      <c r="AZ35" s="136">
        <v>669</v>
      </c>
      <c r="BA35" s="136">
        <v>0</v>
      </c>
      <c r="BB35" s="136">
        <v>0</v>
      </c>
      <c r="BC35" s="136">
        <v>0</v>
      </c>
      <c r="BD35" s="136">
        <v>5</v>
      </c>
      <c r="BE35" s="136"/>
      <c r="BF35" s="136">
        <v>0</v>
      </c>
      <c r="BG35" s="144">
        <v>674</v>
      </c>
      <c r="BH35" s="270">
        <v>0</v>
      </c>
      <c r="BI35" s="136">
        <v>8</v>
      </c>
      <c r="BJ35" s="136">
        <v>100</v>
      </c>
      <c r="BK35" s="136">
        <v>50</v>
      </c>
      <c r="BL35" s="136">
        <v>0</v>
      </c>
      <c r="BM35" s="136"/>
      <c r="BN35" s="269">
        <v>158</v>
      </c>
      <c r="BO35" s="144"/>
      <c r="BP35" s="141">
        <v>0</v>
      </c>
      <c r="BQ35" s="141"/>
      <c r="BR35" s="144">
        <v>0</v>
      </c>
      <c r="BS35" s="136">
        <v>0</v>
      </c>
      <c r="BT35" s="136">
        <v>0</v>
      </c>
      <c r="BU35" s="136">
        <v>0</v>
      </c>
      <c r="BV35" s="136">
        <v>0</v>
      </c>
      <c r="BW35" s="136">
        <v>0</v>
      </c>
      <c r="BX35" s="144">
        <v>0</v>
      </c>
      <c r="BY35" s="270">
        <v>771</v>
      </c>
      <c r="BZ35" s="136">
        <v>0</v>
      </c>
      <c r="CA35" s="136">
        <v>6754</v>
      </c>
      <c r="CB35" s="136">
        <v>0</v>
      </c>
      <c r="CC35" s="136">
        <v>1863</v>
      </c>
      <c r="CD35" s="136">
        <v>0</v>
      </c>
      <c r="CE35" s="136">
        <v>0</v>
      </c>
      <c r="CF35" s="136">
        <v>0</v>
      </c>
      <c r="CG35" s="136">
        <v>0</v>
      </c>
      <c r="CH35" s="136">
        <v>0</v>
      </c>
      <c r="CI35" s="136"/>
      <c r="CJ35" s="269">
        <v>9388</v>
      </c>
      <c r="CK35" s="144"/>
      <c r="CL35" s="136">
        <v>0</v>
      </c>
      <c r="CM35" s="144">
        <v>0</v>
      </c>
      <c r="CN35" s="141"/>
      <c r="CO35" s="141">
        <v>0</v>
      </c>
      <c r="CP35" s="144">
        <v>658</v>
      </c>
      <c r="CQ35" s="136">
        <v>131</v>
      </c>
      <c r="CR35" s="136">
        <v>478</v>
      </c>
      <c r="CS35" s="144">
        <v>1267</v>
      </c>
      <c r="CT35" s="141">
        <v>42</v>
      </c>
      <c r="CU35" s="144">
        <v>172</v>
      </c>
      <c r="CV35" s="136">
        <v>0</v>
      </c>
      <c r="CW35" s="136">
        <v>0</v>
      </c>
      <c r="CX35" s="144">
        <v>172</v>
      </c>
      <c r="CY35" s="141">
        <v>1</v>
      </c>
      <c r="CZ35" s="141">
        <v>0</v>
      </c>
      <c r="DA35" s="144">
        <v>0</v>
      </c>
      <c r="DB35" s="136">
        <v>125</v>
      </c>
      <c r="DC35" s="136">
        <v>8</v>
      </c>
      <c r="DD35" s="144">
        <v>133</v>
      </c>
      <c r="DE35" s="141">
        <v>49357</v>
      </c>
      <c r="DF35" s="355">
        <f>49357/1534554</f>
        <v>3.2163742690058478E-2</v>
      </c>
    </row>
    <row r="36" spans="2:110" x14ac:dyDescent="0.2">
      <c r="B36" s="248" t="s">
        <v>38</v>
      </c>
      <c r="C36" s="364">
        <v>0</v>
      </c>
      <c r="D36" s="373"/>
      <c r="E36" s="373">
        <v>0</v>
      </c>
      <c r="F36" s="365">
        <v>0</v>
      </c>
      <c r="G36" s="275">
        <v>3</v>
      </c>
      <c r="H36" s="273">
        <v>0</v>
      </c>
      <c r="I36" s="273"/>
      <c r="J36" s="273"/>
      <c r="K36" s="273"/>
      <c r="L36" s="273"/>
      <c r="M36" s="275">
        <v>3</v>
      </c>
      <c r="N36" s="271"/>
      <c r="O36" s="275">
        <v>5</v>
      </c>
      <c r="P36" s="273"/>
      <c r="Q36" s="273"/>
      <c r="R36" s="275">
        <v>5</v>
      </c>
      <c r="S36" s="274"/>
      <c r="T36" s="273"/>
      <c r="U36" s="273"/>
      <c r="V36" s="272"/>
      <c r="W36" s="275"/>
      <c r="X36" s="273"/>
      <c r="Y36" s="275"/>
      <c r="Z36" s="274">
        <v>0</v>
      </c>
      <c r="AA36" s="273"/>
      <c r="AB36" s="272">
        <v>0</v>
      </c>
      <c r="AC36" s="275">
        <v>0</v>
      </c>
      <c r="AD36" s="273"/>
      <c r="AE36" s="273">
        <v>1</v>
      </c>
      <c r="AF36" s="273">
        <v>0</v>
      </c>
      <c r="AG36" s="273"/>
      <c r="AH36" s="273"/>
      <c r="AI36" s="273"/>
      <c r="AJ36" s="275">
        <v>1</v>
      </c>
      <c r="AK36" s="271"/>
      <c r="AL36" s="271"/>
      <c r="AM36" s="274"/>
      <c r="AN36" s="273">
        <v>0</v>
      </c>
      <c r="AO36" s="273">
        <v>0</v>
      </c>
      <c r="AP36" s="273"/>
      <c r="AQ36" s="273">
        <v>0</v>
      </c>
      <c r="AR36" s="273"/>
      <c r="AS36" s="273">
        <v>0</v>
      </c>
      <c r="AT36" s="273"/>
      <c r="AU36" s="273">
        <v>0</v>
      </c>
      <c r="AV36" s="273">
        <v>0</v>
      </c>
      <c r="AW36" s="273">
        <v>0</v>
      </c>
      <c r="AX36" s="272">
        <v>0</v>
      </c>
      <c r="AY36" s="275">
        <v>0</v>
      </c>
      <c r="AZ36" s="273">
        <v>8</v>
      </c>
      <c r="BA36" s="273">
        <v>0</v>
      </c>
      <c r="BB36" s="273">
        <v>0</v>
      </c>
      <c r="BC36" s="273">
        <v>0</v>
      </c>
      <c r="BD36" s="273"/>
      <c r="BE36" s="273"/>
      <c r="BF36" s="273"/>
      <c r="BG36" s="275">
        <v>8</v>
      </c>
      <c r="BH36" s="274">
        <v>0</v>
      </c>
      <c r="BI36" s="273"/>
      <c r="BJ36" s="273">
        <v>1</v>
      </c>
      <c r="BK36" s="273">
        <v>1</v>
      </c>
      <c r="BL36" s="273"/>
      <c r="BM36" s="273"/>
      <c r="BN36" s="272">
        <v>2</v>
      </c>
      <c r="BO36" s="275"/>
      <c r="BP36" s="271">
        <v>0</v>
      </c>
      <c r="BQ36" s="271"/>
      <c r="BR36" s="275">
        <v>0</v>
      </c>
      <c r="BS36" s="273">
        <v>0</v>
      </c>
      <c r="BT36" s="273">
        <v>0</v>
      </c>
      <c r="BU36" s="273"/>
      <c r="BV36" s="273"/>
      <c r="BW36" s="273"/>
      <c r="BX36" s="275">
        <v>0</v>
      </c>
      <c r="BY36" s="274">
        <v>0</v>
      </c>
      <c r="BZ36" s="273">
        <v>0</v>
      </c>
      <c r="CA36" s="273">
        <v>1</v>
      </c>
      <c r="CB36" s="273"/>
      <c r="CC36" s="273">
        <v>0</v>
      </c>
      <c r="CD36" s="273"/>
      <c r="CE36" s="273"/>
      <c r="CF36" s="273"/>
      <c r="CG36" s="273"/>
      <c r="CH36" s="273">
        <v>0</v>
      </c>
      <c r="CI36" s="273"/>
      <c r="CJ36" s="272">
        <v>1</v>
      </c>
      <c r="CK36" s="275"/>
      <c r="CL36" s="273"/>
      <c r="CM36" s="275"/>
      <c r="CN36" s="271"/>
      <c r="CO36" s="271"/>
      <c r="CP36" s="275"/>
      <c r="CQ36" s="273"/>
      <c r="CR36" s="273">
        <v>3</v>
      </c>
      <c r="CS36" s="275">
        <v>3</v>
      </c>
      <c r="CT36" s="271"/>
      <c r="CU36" s="275">
        <v>1</v>
      </c>
      <c r="CV36" s="273">
        <v>0</v>
      </c>
      <c r="CW36" s="273"/>
      <c r="CX36" s="275">
        <v>1</v>
      </c>
      <c r="CY36" s="271">
        <v>0</v>
      </c>
      <c r="CZ36" s="271">
        <v>0</v>
      </c>
      <c r="DA36" s="275">
        <v>6</v>
      </c>
      <c r="DB36" s="273">
        <v>0</v>
      </c>
      <c r="DC36" s="273"/>
      <c r="DD36" s="275">
        <v>6</v>
      </c>
      <c r="DE36" s="271">
        <v>30</v>
      </c>
      <c r="DF36" s="354">
        <f>30/1534554</f>
        <v>1.9549654166617792E-5</v>
      </c>
    </row>
    <row r="37" spans="2:110" x14ac:dyDescent="0.2">
      <c r="B37" s="138" t="s">
        <v>69</v>
      </c>
      <c r="C37" s="366">
        <v>0</v>
      </c>
      <c r="D37" s="374">
        <v>0</v>
      </c>
      <c r="E37" s="374">
        <v>0</v>
      </c>
      <c r="F37" s="367">
        <v>0</v>
      </c>
      <c r="G37" s="143">
        <v>114</v>
      </c>
      <c r="H37" s="135">
        <v>0</v>
      </c>
      <c r="I37" s="135"/>
      <c r="J37" s="135">
        <v>32</v>
      </c>
      <c r="K37" s="135"/>
      <c r="L37" s="135"/>
      <c r="M37" s="143">
        <v>146</v>
      </c>
      <c r="N37" s="140"/>
      <c r="O37" s="143">
        <v>2385</v>
      </c>
      <c r="P37" s="135">
        <v>0</v>
      </c>
      <c r="Q37" s="135"/>
      <c r="R37" s="143">
        <v>2385</v>
      </c>
      <c r="S37" s="277">
        <v>0</v>
      </c>
      <c r="T37" s="135">
        <v>0</v>
      </c>
      <c r="U37" s="135"/>
      <c r="V37" s="276">
        <v>0</v>
      </c>
      <c r="W37" s="143"/>
      <c r="X37" s="135"/>
      <c r="Y37" s="143"/>
      <c r="Z37" s="277">
        <v>57</v>
      </c>
      <c r="AA37" s="135"/>
      <c r="AB37" s="276">
        <v>57</v>
      </c>
      <c r="AC37" s="143">
        <v>19</v>
      </c>
      <c r="AD37" s="135"/>
      <c r="AE37" s="135">
        <v>18</v>
      </c>
      <c r="AF37" s="135">
        <v>0</v>
      </c>
      <c r="AG37" s="135"/>
      <c r="AH37" s="135"/>
      <c r="AI37" s="135"/>
      <c r="AJ37" s="143">
        <v>37</v>
      </c>
      <c r="AK37" s="140"/>
      <c r="AL37" s="140"/>
      <c r="AM37" s="277"/>
      <c r="AN37" s="135">
        <v>0</v>
      </c>
      <c r="AO37" s="135">
        <v>0</v>
      </c>
      <c r="AP37" s="135">
        <v>0</v>
      </c>
      <c r="AQ37" s="135"/>
      <c r="AR37" s="135"/>
      <c r="AS37" s="135">
        <v>0</v>
      </c>
      <c r="AT37" s="135">
        <v>0</v>
      </c>
      <c r="AU37" s="135">
        <v>0</v>
      </c>
      <c r="AV37" s="135"/>
      <c r="AW37" s="135">
        <v>0</v>
      </c>
      <c r="AX37" s="276">
        <v>0</v>
      </c>
      <c r="AY37" s="143">
        <v>0</v>
      </c>
      <c r="AZ37" s="135">
        <v>965</v>
      </c>
      <c r="BA37" s="135">
        <v>0</v>
      </c>
      <c r="BB37" s="135">
        <v>0</v>
      </c>
      <c r="BC37" s="135">
        <v>0</v>
      </c>
      <c r="BD37" s="135">
        <v>0</v>
      </c>
      <c r="BE37" s="135"/>
      <c r="BF37" s="135"/>
      <c r="BG37" s="143">
        <v>965</v>
      </c>
      <c r="BH37" s="277">
        <v>0</v>
      </c>
      <c r="BI37" s="135">
        <v>43</v>
      </c>
      <c r="BJ37" s="135">
        <v>204</v>
      </c>
      <c r="BK37" s="135">
        <v>34</v>
      </c>
      <c r="BL37" s="135"/>
      <c r="BM37" s="135"/>
      <c r="BN37" s="276">
        <v>281</v>
      </c>
      <c r="BO37" s="143"/>
      <c r="BP37" s="140">
        <v>0</v>
      </c>
      <c r="BQ37" s="140"/>
      <c r="BR37" s="143">
        <v>0</v>
      </c>
      <c r="BS37" s="135">
        <v>0</v>
      </c>
      <c r="BT37" s="135">
        <v>0</v>
      </c>
      <c r="BU37" s="135"/>
      <c r="BV37" s="135"/>
      <c r="BW37" s="135"/>
      <c r="BX37" s="143">
        <v>0</v>
      </c>
      <c r="BY37" s="277">
        <v>23</v>
      </c>
      <c r="BZ37" s="135">
        <v>0</v>
      </c>
      <c r="CA37" s="135">
        <v>24</v>
      </c>
      <c r="CB37" s="135">
        <v>0</v>
      </c>
      <c r="CC37" s="135">
        <v>271</v>
      </c>
      <c r="CD37" s="135">
        <v>0</v>
      </c>
      <c r="CE37" s="135"/>
      <c r="CF37" s="135">
        <v>0</v>
      </c>
      <c r="CG37" s="135"/>
      <c r="CH37" s="135">
        <v>0</v>
      </c>
      <c r="CI37" s="135"/>
      <c r="CJ37" s="276">
        <v>318</v>
      </c>
      <c r="CK37" s="143"/>
      <c r="CL37" s="135"/>
      <c r="CM37" s="143"/>
      <c r="CN37" s="140"/>
      <c r="CO37" s="140">
        <v>0</v>
      </c>
      <c r="CP37" s="143"/>
      <c r="CQ37" s="135"/>
      <c r="CR37" s="135">
        <v>17</v>
      </c>
      <c r="CS37" s="143">
        <v>17</v>
      </c>
      <c r="CT37" s="140"/>
      <c r="CU37" s="143">
        <v>23</v>
      </c>
      <c r="CV37" s="135">
        <v>0</v>
      </c>
      <c r="CW37" s="135"/>
      <c r="CX37" s="143">
        <v>23</v>
      </c>
      <c r="CY37" s="140">
        <v>0</v>
      </c>
      <c r="CZ37" s="140">
        <v>0</v>
      </c>
      <c r="DA37" s="143">
        <v>0</v>
      </c>
      <c r="DB37" s="135">
        <v>92</v>
      </c>
      <c r="DC37" s="135"/>
      <c r="DD37" s="143">
        <v>92</v>
      </c>
      <c r="DE37" s="140">
        <v>4321</v>
      </c>
      <c r="DF37" s="356">
        <f>4321/1534554</f>
        <v>2.8158018551318496E-3</v>
      </c>
    </row>
    <row r="38" spans="2:110" x14ac:dyDescent="0.2">
      <c r="B38" s="138" t="s">
        <v>78</v>
      </c>
      <c r="C38" s="366">
        <v>0</v>
      </c>
      <c r="D38" s="374">
        <v>0</v>
      </c>
      <c r="E38" s="374">
        <v>0</v>
      </c>
      <c r="F38" s="367">
        <v>0</v>
      </c>
      <c r="G38" s="143">
        <v>2207</v>
      </c>
      <c r="H38" s="135">
        <v>6</v>
      </c>
      <c r="I38" s="135">
        <v>0</v>
      </c>
      <c r="J38" s="135">
        <v>1</v>
      </c>
      <c r="K38" s="135"/>
      <c r="L38" s="135">
        <v>0</v>
      </c>
      <c r="M38" s="143">
        <v>2214</v>
      </c>
      <c r="N38" s="140">
        <v>0</v>
      </c>
      <c r="O38" s="143">
        <v>292</v>
      </c>
      <c r="P38" s="135">
        <v>0</v>
      </c>
      <c r="Q38" s="135"/>
      <c r="R38" s="143">
        <v>292</v>
      </c>
      <c r="S38" s="277">
        <v>0</v>
      </c>
      <c r="T38" s="135">
        <v>0</v>
      </c>
      <c r="U38" s="135"/>
      <c r="V38" s="276">
        <v>0</v>
      </c>
      <c r="W38" s="143">
        <v>0</v>
      </c>
      <c r="X38" s="135">
        <v>0</v>
      </c>
      <c r="Y38" s="143">
        <v>0</v>
      </c>
      <c r="Z38" s="277">
        <v>1</v>
      </c>
      <c r="AA38" s="135"/>
      <c r="AB38" s="276">
        <v>1</v>
      </c>
      <c r="AC38" s="143">
        <v>4</v>
      </c>
      <c r="AD38" s="135"/>
      <c r="AE38" s="135">
        <v>295</v>
      </c>
      <c r="AF38" s="135">
        <v>2</v>
      </c>
      <c r="AG38" s="135"/>
      <c r="AH38" s="135">
        <v>0</v>
      </c>
      <c r="AI38" s="135"/>
      <c r="AJ38" s="143">
        <v>301</v>
      </c>
      <c r="AK38" s="140"/>
      <c r="AL38" s="140"/>
      <c r="AM38" s="277"/>
      <c r="AN38" s="135"/>
      <c r="AO38" s="135">
        <v>0</v>
      </c>
      <c r="AP38" s="135">
        <v>0</v>
      </c>
      <c r="AQ38" s="135"/>
      <c r="AR38" s="135"/>
      <c r="AS38" s="135">
        <v>0</v>
      </c>
      <c r="AT38" s="135">
        <v>0</v>
      </c>
      <c r="AU38" s="135">
        <v>0</v>
      </c>
      <c r="AV38" s="135">
        <v>0</v>
      </c>
      <c r="AW38" s="135">
        <v>0</v>
      </c>
      <c r="AX38" s="276">
        <v>0</v>
      </c>
      <c r="AY38" s="143">
        <v>0</v>
      </c>
      <c r="AZ38" s="135">
        <v>146</v>
      </c>
      <c r="BA38" s="135">
        <v>0</v>
      </c>
      <c r="BB38" s="135">
        <v>0</v>
      </c>
      <c r="BC38" s="135">
        <v>0</v>
      </c>
      <c r="BD38" s="135">
        <v>0</v>
      </c>
      <c r="BE38" s="135"/>
      <c r="BF38" s="135">
        <v>0</v>
      </c>
      <c r="BG38" s="143">
        <v>146</v>
      </c>
      <c r="BH38" s="277">
        <v>0</v>
      </c>
      <c r="BI38" s="135">
        <v>4</v>
      </c>
      <c r="BJ38" s="135">
        <v>106</v>
      </c>
      <c r="BK38" s="135">
        <v>1</v>
      </c>
      <c r="BL38" s="135"/>
      <c r="BM38" s="135"/>
      <c r="BN38" s="276">
        <v>111</v>
      </c>
      <c r="BO38" s="143"/>
      <c r="BP38" s="140">
        <v>0</v>
      </c>
      <c r="BQ38" s="140"/>
      <c r="BR38" s="143">
        <v>0</v>
      </c>
      <c r="BS38" s="135">
        <v>0</v>
      </c>
      <c r="BT38" s="135">
        <v>0</v>
      </c>
      <c r="BU38" s="135"/>
      <c r="BV38" s="135"/>
      <c r="BW38" s="135"/>
      <c r="BX38" s="143">
        <v>0</v>
      </c>
      <c r="BY38" s="277">
        <v>8</v>
      </c>
      <c r="BZ38" s="135">
        <v>0</v>
      </c>
      <c r="CA38" s="135">
        <v>77</v>
      </c>
      <c r="CB38" s="135">
        <v>0</v>
      </c>
      <c r="CC38" s="135">
        <v>8</v>
      </c>
      <c r="CD38" s="135">
        <v>0</v>
      </c>
      <c r="CE38" s="135">
        <v>0</v>
      </c>
      <c r="CF38" s="135">
        <v>0</v>
      </c>
      <c r="CG38" s="135">
        <v>0</v>
      </c>
      <c r="CH38" s="135">
        <v>0</v>
      </c>
      <c r="CI38" s="135"/>
      <c r="CJ38" s="276">
        <v>93</v>
      </c>
      <c r="CK38" s="143"/>
      <c r="CL38" s="135">
        <v>0</v>
      </c>
      <c r="CM38" s="143">
        <v>0</v>
      </c>
      <c r="CN38" s="140">
        <v>0</v>
      </c>
      <c r="CO38" s="140"/>
      <c r="CP38" s="143">
        <v>38</v>
      </c>
      <c r="CQ38" s="135"/>
      <c r="CR38" s="135">
        <v>6</v>
      </c>
      <c r="CS38" s="143">
        <v>44</v>
      </c>
      <c r="CT38" s="140">
        <v>753</v>
      </c>
      <c r="CU38" s="143">
        <v>86</v>
      </c>
      <c r="CV38" s="135">
        <v>0</v>
      </c>
      <c r="CW38" s="135">
        <v>0</v>
      </c>
      <c r="CX38" s="143">
        <v>86</v>
      </c>
      <c r="CY38" s="140"/>
      <c r="CZ38" s="140">
        <v>0</v>
      </c>
      <c r="DA38" s="143">
        <v>29</v>
      </c>
      <c r="DB38" s="135">
        <v>21</v>
      </c>
      <c r="DC38" s="135">
        <v>2</v>
      </c>
      <c r="DD38" s="143">
        <v>52</v>
      </c>
      <c r="DE38" s="140">
        <v>4093</v>
      </c>
      <c r="DF38" s="356">
        <f>4093/1534554</f>
        <v>2.6672244834655542E-3</v>
      </c>
    </row>
    <row r="39" spans="2:110" x14ac:dyDescent="0.2">
      <c r="B39" s="138" t="s">
        <v>88</v>
      </c>
      <c r="C39" s="366">
        <v>0</v>
      </c>
      <c r="D39" s="374">
        <v>0</v>
      </c>
      <c r="E39" s="374">
        <v>0</v>
      </c>
      <c r="F39" s="367">
        <v>0</v>
      </c>
      <c r="G39" s="143">
        <v>5609</v>
      </c>
      <c r="H39" s="135">
        <v>49</v>
      </c>
      <c r="I39" s="135">
        <v>0</v>
      </c>
      <c r="J39" s="135">
        <v>12</v>
      </c>
      <c r="K39" s="135">
        <v>0</v>
      </c>
      <c r="L39" s="135">
        <v>0</v>
      </c>
      <c r="M39" s="143">
        <v>5670</v>
      </c>
      <c r="N39" s="140">
        <v>0</v>
      </c>
      <c r="O39" s="143">
        <v>940</v>
      </c>
      <c r="P39" s="135">
        <v>0</v>
      </c>
      <c r="Q39" s="135"/>
      <c r="R39" s="143">
        <v>940</v>
      </c>
      <c r="S39" s="277">
        <v>0</v>
      </c>
      <c r="T39" s="135">
        <v>0</v>
      </c>
      <c r="U39" s="135">
        <v>0</v>
      </c>
      <c r="V39" s="276">
        <v>0</v>
      </c>
      <c r="W39" s="143">
        <v>0</v>
      </c>
      <c r="X39" s="135">
        <v>0</v>
      </c>
      <c r="Y39" s="143">
        <v>0</v>
      </c>
      <c r="Z39" s="277">
        <v>431</v>
      </c>
      <c r="AA39" s="135"/>
      <c r="AB39" s="276">
        <v>431</v>
      </c>
      <c r="AC39" s="143">
        <v>6</v>
      </c>
      <c r="AD39" s="135">
        <v>0</v>
      </c>
      <c r="AE39" s="135">
        <v>2090</v>
      </c>
      <c r="AF39" s="135">
        <v>61</v>
      </c>
      <c r="AG39" s="135"/>
      <c r="AH39" s="135">
        <v>1</v>
      </c>
      <c r="AI39" s="135">
        <v>10</v>
      </c>
      <c r="AJ39" s="143">
        <v>2168</v>
      </c>
      <c r="AK39" s="140">
        <v>0</v>
      </c>
      <c r="AL39" s="140">
        <v>66</v>
      </c>
      <c r="AM39" s="277">
        <v>0</v>
      </c>
      <c r="AN39" s="135">
        <v>0</v>
      </c>
      <c r="AO39" s="135">
        <v>0</v>
      </c>
      <c r="AP39" s="135">
        <v>0</v>
      </c>
      <c r="AQ39" s="135">
        <v>0</v>
      </c>
      <c r="AR39" s="135">
        <v>0</v>
      </c>
      <c r="AS39" s="135">
        <v>0</v>
      </c>
      <c r="AT39" s="135">
        <v>0</v>
      </c>
      <c r="AU39" s="135">
        <v>0</v>
      </c>
      <c r="AV39" s="135">
        <v>0</v>
      </c>
      <c r="AW39" s="135">
        <v>0</v>
      </c>
      <c r="AX39" s="276">
        <v>0</v>
      </c>
      <c r="AY39" s="143">
        <v>0</v>
      </c>
      <c r="AZ39" s="135">
        <v>429</v>
      </c>
      <c r="BA39" s="135">
        <v>0</v>
      </c>
      <c r="BB39" s="135">
        <v>0</v>
      </c>
      <c r="BC39" s="135">
        <v>0</v>
      </c>
      <c r="BD39" s="135">
        <v>0</v>
      </c>
      <c r="BE39" s="135">
        <v>0</v>
      </c>
      <c r="BF39" s="135">
        <v>0</v>
      </c>
      <c r="BG39" s="143">
        <v>429</v>
      </c>
      <c r="BH39" s="277">
        <v>0</v>
      </c>
      <c r="BI39" s="135">
        <v>2</v>
      </c>
      <c r="BJ39" s="135">
        <v>73</v>
      </c>
      <c r="BK39" s="135">
        <v>5</v>
      </c>
      <c r="BL39" s="135"/>
      <c r="BM39" s="135"/>
      <c r="BN39" s="276">
        <v>80</v>
      </c>
      <c r="BO39" s="143">
        <v>0</v>
      </c>
      <c r="BP39" s="140">
        <v>0</v>
      </c>
      <c r="BQ39" s="140"/>
      <c r="BR39" s="143">
        <v>0</v>
      </c>
      <c r="BS39" s="135">
        <v>0</v>
      </c>
      <c r="BT39" s="135">
        <v>0</v>
      </c>
      <c r="BU39" s="135"/>
      <c r="BV39" s="135"/>
      <c r="BW39" s="135"/>
      <c r="BX39" s="143">
        <v>0</v>
      </c>
      <c r="BY39" s="277">
        <v>13</v>
      </c>
      <c r="BZ39" s="135">
        <v>0</v>
      </c>
      <c r="CA39" s="135">
        <v>457</v>
      </c>
      <c r="CB39" s="135">
        <v>0</v>
      </c>
      <c r="CC39" s="135">
        <v>60</v>
      </c>
      <c r="CD39" s="135">
        <v>0</v>
      </c>
      <c r="CE39" s="135">
        <v>0</v>
      </c>
      <c r="CF39" s="135">
        <v>0</v>
      </c>
      <c r="CG39" s="135">
        <v>0</v>
      </c>
      <c r="CH39" s="135">
        <v>0</v>
      </c>
      <c r="CI39" s="135"/>
      <c r="CJ39" s="276">
        <v>530</v>
      </c>
      <c r="CK39" s="143">
        <v>0</v>
      </c>
      <c r="CL39" s="135">
        <v>16</v>
      </c>
      <c r="CM39" s="143">
        <v>16</v>
      </c>
      <c r="CN39" s="140">
        <v>0</v>
      </c>
      <c r="CO39" s="140">
        <v>0</v>
      </c>
      <c r="CP39" s="143">
        <v>130</v>
      </c>
      <c r="CQ39" s="135">
        <v>28</v>
      </c>
      <c r="CR39" s="135">
        <v>121</v>
      </c>
      <c r="CS39" s="143">
        <v>279</v>
      </c>
      <c r="CT39" s="140">
        <v>20</v>
      </c>
      <c r="CU39" s="143">
        <v>291</v>
      </c>
      <c r="CV39" s="135">
        <v>0</v>
      </c>
      <c r="CW39" s="135">
        <v>0</v>
      </c>
      <c r="CX39" s="143">
        <v>291</v>
      </c>
      <c r="CY39" s="140">
        <v>0</v>
      </c>
      <c r="CZ39" s="140">
        <v>0</v>
      </c>
      <c r="DA39" s="143">
        <v>614</v>
      </c>
      <c r="DB39" s="135">
        <v>648</v>
      </c>
      <c r="DC39" s="135">
        <v>16</v>
      </c>
      <c r="DD39" s="143">
        <v>1278</v>
      </c>
      <c r="DE39" s="140">
        <v>12198</v>
      </c>
      <c r="DF39" s="356">
        <f>12198/1534554</f>
        <v>7.9488893841467949E-3</v>
      </c>
    </row>
    <row r="40" spans="2:110" x14ac:dyDescent="0.2">
      <c r="B40" s="138" t="s">
        <v>112</v>
      </c>
      <c r="C40" s="366">
        <v>0</v>
      </c>
      <c r="D40" s="374">
        <v>0</v>
      </c>
      <c r="E40" s="374">
        <v>0</v>
      </c>
      <c r="F40" s="367">
        <v>0</v>
      </c>
      <c r="G40" s="143">
        <v>2279</v>
      </c>
      <c r="H40" s="135">
        <v>13</v>
      </c>
      <c r="I40" s="135">
        <v>0</v>
      </c>
      <c r="J40" s="135">
        <v>11</v>
      </c>
      <c r="K40" s="135"/>
      <c r="L40" s="135"/>
      <c r="M40" s="143">
        <v>2303</v>
      </c>
      <c r="N40" s="140">
        <v>0</v>
      </c>
      <c r="O40" s="143">
        <v>2237</v>
      </c>
      <c r="P40" s="135">
        <v>0</v>
      </c>
      <c r="Q40" s="135"/>
      <c r="R40" s="143">
        <v>2237</v>
      </c>
      <c r="S40" s="277">
        <v>0</v>
      </c>
      <c r="T40" s="135">
        <v>0</v>
      </c>
      <c r="U40" s="135">
        <v>0</v>
      </c>
      <c r="V40" s="276">
        <v>0</v>
      </c>
      <c r="W40" s="143">
        <v>0</v>
      </c>
      <c r="X40" s="135">
        <v>0</v>
      </c>
      <c r="Y40" s="143">
        <v>0</v>
      </c>
      <c r="Z40" s="277">
        <v>276</v>
      </c>
      <c r="AA40" s="135"/>
      <c r="AB40" s="276">
        <v>276</v>
      </c>
      <c r="AC40" s="143">
        <v>11</v>
      </c>
      <c r="AD40" s="135">
        <v>0</v>
      </c>
      <c r="AE40" s="135">
        <v>683</v>
      </c>
      <c r="AF40" s="135">
        <v>26</v>
      </c>
      <c r="AG40" s="135">
        <v>1</v>
      </c>
      <c r="AH40" s="135">
        <v>0</v>
      </c>
      <c r="AI40" s="135">
        <v>2</v>
      </c>
      <c r="AJ40" s="143">
        <v>723</v>
      </c>
      <c r="AK40" s="140">
        <v>0</v>
      </c>
      <c r="AL40" s="140">
        <v>81</v>
      </c>
      <c r="AM40" s="277">
        <v>0</v>
      </c>
      <c r="AN40" s="135">
        <v>0</v>
      </c>
      <c r="AO40" s="135">
        <v>0</v>
      </c>
      <c r="AP40" s="135">
        <v>0</v>
      </c>
      <c r="AQ40" s="135">
        <v>0</v>
      </c>
      <c r="AR40" s="135">
        <v>0</v>
      </c>
      <c r="AS40" s="135">
        <v>0</v>
      </c>
      <c r="AT40" s="135">
        <v>0</v>
      </c>
      <c r="AU40" s="135">
        <v>0</v>
      </c>
      <c r="AV40" s="135">
        <v>0</v>
      </c>
      <c r="AW40" s="135">
        <v>0</v>
      </c>
      <c r="AX40" s="276">
        <v>0</v>
      </c>
      <c r="AY40" s="143">
        <v>0</v>
      </c>
      <c r="AZ40" s="135">
        <v>512</v>
      </c>
      <c r="BA40" s="135">
        <v>0</v>
      </c>
      <c r="BB40" s="135">
        <v>0</v>
      </c>
      <c r="BC40" s="135">
        <v>0</v>
      </c>
      <c r="BD40" s="135">
        <v>4</v>
      </c>
      <c r="BE40" s="135">
        <v>0</v>
      </c>
      <c r="BF40" s="135">
        <v>0</v>
      </c>
      <c r="BG40" s="143">
        <v>516</v>
      </c>
      <c r="BH40" s="277">
        <v>0</v>
      </c>
      <c r="BI40" s="135">
        <v>15</v>
      </c>
      <c r="BJ40" s="135">
        <v>105</v>
      </c>
      <c r="BK40" s="135">
        <v>1</v>
      </c>
      <c r="BL40" s="135"/>
      <c r="BM40" s="135"/>
      <c r="BN40" s="276">
        <v>121</v>
      </c>
      <c r="BO40" s="143">
        <v>0</v>
      </c>
      <c r="BP40" s="140">
        <v>0</v>
      </c>
      <c r="BQ40" s="140"/>
      <c r="BR40" s="143">
        <v>0</v>
      </c>
      <c r="BS40" s="135">
        <v>0</v>
      </c>
      <c r="BT40" s="135">
        <v>0</v>
      </c>
      <c r="BU40" s="135"/>
      <c r="BV40" s="135"/>
      <c r="BW40" s="135"/>
      <c r="BX40" s="143">
        <v>0</v>
      </c>
      <c r="BY40" s="277">
        <v>5</v>
      </c>
      <c r="BZ40" s="135">
        <v>0</v>
      </c>
      <c r="CA40" s="135">
        <v>144</v>
      </c>
      <c r="CB40" s="135">
        <v>0</v>
      </c>
      <c r="CC40" s="135">
        <v>54</v>
      </c>
      <c r="CD40" s="135">
        <v>0</v>
      </c>
      <c r="CE40" s="135">
        <v>0</v>
      </c>
      <c r="CF40" s="135">
        <v>0</v>
      </c>
      <c r="CG40" s="135">
        <v>0</v>
      </c>
      <c r="CH40" s="135">
        <v>0</v>
      </c>
      <c r="CI40" s="135"/>
      <c r="CJ40" s="276">
        <v>203</v>
      </c>
      <c r="CK40" s="143">
        <v>0</v>
      </c>
      <c r="CL40" s="135">
        <v>47</v>
      </c>
      <c r="CM40" s="143">
        <v>47</v>
      </c>
      <c r="CN40" s="140">
        <v>0</v>
      </c>
      <c r="CO40" s="140">
        <v>0</v>
      </c>
      <c r="CP40" s="143">
        <v>123</v>
      </c>
      <c r="CQ40" s="135">
        <v>25</v>
      </c>
      <c r="CR40" s="135">
        <v>103</v>
      </c>
      <c r="CS40" s="143">
        <v>251</v>
      </c>
      <c r="CT40" s="140">
        <v>517</v>
      </c>
      <c r="CU40" s="143">
        <v>381</v>
      </c>
      <c r="CV40" s="135">
        <v>0</v>
      </c>
      <c r="CW40" s="135">
        <v>0</v>
      </c>
      <c r="CX40" s="143">
        <v>381</v>
      </c>
      <c r="CY40" s="140">
        <v>0</v>
      </c>
      <c r="CZ40" s="140">
        <v>0</v>
      </c>
      <c r="DA40" s="143">
        <v>324</v>
      </c>
      <c r="DB40" s="135">
        <v>217</v>
      </c>
      <c r="DC40" s="135">
        <v>313</v>
      </c>
      <c r="DD40" s="143">
        <v>854</v>
      </c>
      <c r="DE40" s="140">
        <v>8510</v>
      </c>
      <c r="DF40" s="356">
        <f>8510/1534554</f>
        <v>5.5455852319305802E-3</v>
      </c>
    </row>
    <row r="41" spans="2:110" x14ac:dyDescent="0.2">
      <c r="B41" s="138" t="s">
        <v>119</v>
      </c>
      <c r="C41" s="366"/>
      <c r="D41" s="374"/>
      <c r="E41" s="374"/>
      <c r="F41" s="367"/>
      <c r="G41" s="143">
        <v>0</v>
      </c>
      <c r="H41" s="135">
        <v>0</v>
      </c>
      <c r="I41" s="135"/>
      <c r="J41" s="135"/>
      <c r="K41" s="135"/>
      <c r="L41" s="135"/>
      <c r="M41" s="143">
        <v>0</v>
      </c>
      <c r="N41" s="140"/>
      <c r="O41" s="143">
        <v>72</v>
      </c>
      <c r="P41" s="135"/>
      <c r="Q41" s="135"/>
      <c r="R41" s="143">
        <v>72</v>
      </c>
      <c r="S41" s="277">
        <v>0</v>
      </c>
      <c r="T41" s="135">
        <v>0</v>
      </c>
      <c r="U41" s="135"/>
      <c r="V41" s="276">
        <v>0</v>
      </c>
      <c r="W41" s="143">
        <v>0</v>
      </c>
      <c r="X41" s="135"/>
      <c r="Y41" s="143">
        <v>0</v>
      </c>
      <c r="Z41" s="277">
        <v>0</v>
      </c>
      <c r="AA41" s="135"/>
      <c r="AB41" s="276">
        <v>0</v>
      </c>
      <c r="AC41" s="143">
        <v>0</v>
      </c>
      <c r="AD41" s="135"/>
      <c r="AE41" s="135"/>
      <c r="AF41" s="135"/>
      <c r="AG41" s="135"/>
      <c r="AH41" s="135"/>
      <c r="AI41" s="135"/>
      <c r="AJ41" s="143">
        <v>0</v>
      </c>
      <c r="AK41" s="140"/>
      <c r="AL41" s="140"/>
      <c r="AM41" s="277"/>
      <c r="AN41" s="135"/>
      <c r="AO41" s="135"/>
      <c r="AP41" s="135"/>
      <c r="AQ41" s="135"/>
      <c r="AR41" s="135"/>
      <c r="AS41" s="135"/>
      <c r="AT41" s="135">
        <v>0</v>
      </c>
      <c r="AU41" s="135">
        <v>0</v>
      </c>
      <c r="AV41" s="135"/>
      <c r="AW41" s="135">
        <v>0</v>
      </c>
      <c r="AX41" s="276">
        <v>0</v>
      </c>
      <c r="AY41" s="143">
        <v>0</v>
      </c>
      <c r="AZ41" s="135">
        <v>139</v>
      </c>
      <c r="BA41" s="135">
        <v>0</v>
      </c>
      <c r="BB41" s="135">
        <v>0</v>
      </c>
      <c r="BC41" s="135">
        <v>0</v>
      </c>
      <c r="BD41" s="135">
        <v>0</v>
      </c>
      <c r="BE41" s="135"/>
      <c r="BF41" s="135">
        <v>0</v>
      </c>
      <c r="BG41" s="143">
        <v>139</v>
      </c>
      <c r="BH41" s="277">
        <v>0</v>
      </c>
      <c r="BI41" s="135">
        <v>4</v>
      </c>
      <c r="BJ41" s="135">
        <v>6</v>
      </c>
      <c r="BK41" s="135"/>
      <c r="BL41" s="135"/>
      <c r="BM41" s="135"/>
      <c r="BN41" s="276">
        <v>10</v>
      </c>
      <c r="BO41" s="143"/>
      <c r="BP41" s="140">
        <v>0</v>
      </c>
      <c r="BQ41" s="140"/>
      <c r="BR41" s="143">
        <v>0</v>
      </c>
      <c r="BS41" s="135">
        <v>0</v>
      </c>
      <c r="BT41" s="135">
        <v>0</v>
      </c>
      <c r="BU41" s="135"/>
      <c r="BV41" s="135"/>
      <c r="BW41" s="135"/>
      <c r="BX41" s="143">
        <v>0</v>
      </c>
      <c r="BY41" s="277">
        <v>13</v>
      </c>
      <c r="BZ41" s="135">
        <v>0</v>
      </c>
      <c r="CA41" s="135">
        <v>10</v>
      </c>
      <c r="CB41" s="135">
        <v>0</v>
      </c>
      <c r="CC41" s="135">
        <v>20</v>
      </c>
      <c r="CD41" s="135"/>
      <c r="CE41" s="135"/>
      <c r="CF41" s="135">
        <v>0</v>
      </c>
      <c r="CG41" s="135"/>
      <c r="CH41" s="135"/>
      <c r="CI41" s="135"/>
      <c r="CJ41" s="276">
        <v>43</v>
      </c>
      <c r="CK41" s="143"/>
      <c r="CL41" s="135"/>
      <c r="CM41" s="143"/>
      <c r="CN41" s="140"/>
      <c r="CO41" s="140">
        <v>0</v>
      </c>
      <c r="CP41" s="143">
        <v>0</v>
      </c>
      <c r="CQ41" s="135"/>
      <c r="CR41" s="135">
        <v>3</v>
      </c>
      <c r="CS41" s="143">
        <v>3</v>
      </c>
      <c r="CT41" s="140"/>
      <c r="CU41" s="143">
        <v>2</v>
      </c>
      <c r="CV41" s="135">
        <v>0</v>
      </c>
      <c r="CW41" s="135"/>
      <c r="CX41" s="143">
        <v>2</v>
      </c>
      <c r="CY41" s="140">
        <v>0</v>
      </c>
      <c r="CZ41" s="140">
        <v>0</v>
      </c>
      <c r="DA41" s="143">
        <v>0</v>
      </c>
      <c r="DB41" s="135">
        <v>2</v>
      </c>
      <c r="DC41" s="135">
        <v>1</v>
      </c>
      <c r="DD41" s="143">
        <v>3</v>
      </c>
      <c r="DE41" s="140">
        <v>272</v>
      </c>
      <c r="DF41" s="356">
        <f>272/1534554</f>
        <v>1.7725019777733466E-4</v>
      </c>
    </row>
    <row r="42" spans="2:110" x14ac:dyDescent="0.2">
      <c r="B42" s="138" t="s">
        <v>165</v>
      </c>
      <c r="C42" s="366">
        <v>0</v>
      </c>
      <c r="D42" s="374"/>
      <c r="E42" s="374"/>
      <c r="F42" s="367">
        <v>0</v>
      </c>
      <c r="G42" s="143">
        <v>31</v>
      </c>
      <c r="H42" s="135">
        <v>2</v>
      </c>
      <c r="I42" s="135">
        <v>0</v>
      </c>
      <c r="J42" s="135">
        <v>16</v>
      </c>
      <c r="K42" s="135"/>
      <c r="L42" s="135"/>
      <c r="M42" s="143">
        <v>49</v>
      </c>
      <c r="N42" s="140"/>
      <c r="O42" s="143">
        <v>541</v>
      </c>
      <c r="P42" s="135"/>
      <c r="Q42" s="135"/>
      <c r="R42" s="143">
        <v>541</v>
      </c>
      <c r="S42" s="277">
        <v>0</v>
      </c>
      <c r="T42" s="135"/>
      <c r="U42" s="135"/>
      <c r="V42" s="276">
        <v>0</v>
      </c>
      <c r="W42" s="143"/>
      <c r="X42" s="135"/>
      <c r="Y42" s="143"/>
      <c r="Z42" s="277"/>
      <c r="AA42" s="135"/>
      <c r="AB42" s="276"/>
      <c r="AC42" s="143">
        <v>6</v>
      </c>
      <c r="AD42" s="135"/>
      <c r="AE42" s="135"/>
      <c r="AF42" s="135"/>
      <c r="AG42" s="135"/>
      <c r="AH42" s="135"/>
      <c r="AI42" s="135"/>
      <c r="AJ42" s="143">
        <v>6</v>
      </c>
      <c r="AK42" s="140"/>
      <c r="AL42" s="140"/>
      <c r="AM42" s="277">
        <v>0</v>
      </c>
      <c r="AN42" s="135"/>
      <c r="AO42" s="135"/>
      <c r="AP42" s="135"/>
      <c r="AQ42" s="135"/>
      <c r="AR42" s="135"/>
      <c r="AS42" s="135"/>
      <c r="AT42" s="135"/>
      <c r="AU42" s="135"/>
      <c r="AV42" s="135"/>
      <c r="AW42" s="135"/>
      <c r="AX42" s="276">
        <v>0</v>
      </c>
      <c r="AY42" s="143">
        <v>0</v>
      </c>
      <c r="AZ42" s="135">
        <v>268</v>
      </c>
      <c r="BA42" s="135">
        <v>0</v>
      </c>
      <c r="BB42" s="135">
        <v>0</v>
      </c>
      <c r="BC42" s="135">
        <v>0</v>
      </c>
      <c r="BD42" s="135">
        <v>3</v>
      </c>
      <c r="BE42" s="135"/>
      <c r="BF42" s="135"/>
      <c r="BG42" s="143">
        <v>271</v>
      </c>
      <c r="BH42" s="277">
        <v>0</v>
      </c>
      <c r="BI42" s="135">
        <v>5</v>
      </c>
      <c r="BJ42" s="135">
        <v>68</v>
      </c>
      <c r="BK42" s="135">
        <v>5</v>
      </c>
      <c r="BL42" s="135"/>
      <c r="BM42" s="135"/>
      <c r="BN42" s="276">
        <v>78</v>
      </c>
      <c r="BO42" s="143"/>
      <c r="BP42" s="140">
        <v>0</v>
      </c>
      <c r="BQ42" s="140"/>
      <c r="BR42" s="143">
        <v>0</v>
      </c>
      <c r="BS42" s="135">
        <v>0</v>
      </c>
      <c r="BT42" s="135"/>
      <c r="BU42" s="135"/>
      <c r="BV42" s="135"/>
      <c r="BW42" s="135"/>
      <c r="BX42" s="143">
        <v>0</v>
      </c>
      <c r="BY42" s="277">
        <v>6</v>
      </c>
      <c r="BZ42" s="135">
        <v>0</v>
      </c>
      <c r="CA42" s="135">
        <v>19</v>
      </c>
      <c r="CB42" s="135">
        <v>0</v>
      </c>
      <c r="CC42" s="135">
        <v>36</v>
      </c>
      <c r="CD42" s="135">
        <v>0</v>
      </c>
      <c r="CE42" s="135">
        <v>0</v>
      </c>
      <c r="CF42" s="135">
        <v>0</v>
      </c>
      <c r="CG42" s="135"/>
      <c r="CH42" s="135">
        <v>0</v>
      </c>
      <c r="CI42" s="135"/>
      <c r="CJ42" s="276">
        <v>61</v>
      </c>
      <c r="CK42" s="143"/>
      <c r="CL42" s="135"/>
      <c r="CM42" s="143"/>
      <c r="CN42" s="140"/>
      <c r="CO42" s="140"/>
      <c r="CP42" s="143"/>
      <c r="CQ42" s="135"/>
      <c r="CR42" s="135"/>
      <c r="CS42" s="143"/>
      <c r="CT42" s="140"/>
      <c r="CU42" s="143">
        <v>0</v>
      </c>
      <c r="CV42" s="135">
        <v>0</v>
      </c>
      <c r="CW42" s="135"/>
      <c r="CX42" s="143">
        <v>0</v>
      </c>
      <c r="CY42" s="140"/>
      <c r="CZ42" s="140">
        <v>0</v>
      </c>
      <c r="DA42" s="143">
        <v>0</v>
      </c>
      <c r="DB42" s="135"/>
      <c r="DC42" s="135"/>
      <c r="DD42" s="143">
        <v>0</v>
      </c>
      <c r="DE42" s="140">
        <v>1006</v>
      </c>
      <c r="DF42" s="356">
        <f>1006/1534554</f>
        <v>6.5556506972058335E-4</v>
      </c>
    </row>
    <row r="43" spans="2:110" x14ac:dyDescent="0.2">
      <c r="B43" s="138" t="s">
        <v>194</v>
      </c>
      <c r="C43" s="366">
        <v>0</v>
      </c>
      <c r="D43" s="374">
        <v>0</v>
      </c>
      <c r="E43" s="374">
        <v>0</v>
      </c>
      <c r="F43" s="367">
        <v>0</v>
      </c>
      <c r="G43" s="143">
        <v>35</v>
      </c>
      <c r="H43" s="135"/>
      <c r="I43" s="135"/>
      <c r="J43" s="135"/>
      <c r="K43" s="135"/>
      <c r="L43" s="135"/>
      <c r="M43" s="143">
        <v>35</v>
      </c>
      <c r="N43" s="140">
        <v>0</v>
      </c>
      <c r="O43" s="143">
        <v>50</v>
      </c>
      <c r="P43" s="135"/>
      <c r="Q43" s="135"/>
      <c r="R43" s="143">
        <v>50</v>
      </c>
      <c r="S43" s="277">
        <v>0</v>
      </c>
      <c r="T43" s="135">
        <v>0</v>
      </c>
      <c r="U43" s="135"/>
      <c r="V43" s="276">
        <v>0</v>
      </c>
      <c r="W43" s="143">
        <v>0</v>
      </c>
      <c r="X43" s="135">
        <v>1</v>
      </c>
      <c r="Y43" s="143">
        <v>1</v>
      </c>
      <c r="Z43" s="277">
        <v>10</v>
      </c>
      <c r="AA43" s="135"/>
      <c r="AB43" s="276">
        <v>10</v>
      </c>
      <c r="AC43" s="143">
        <v>0</v>
      </c>
      <c r="AD43" s="135"/>
      <c r="AE43" s="135"/>
      <c r="AF43" s="135"/>
      <c r="AG43" s="135"/>
      <c r="AH43" s="135"/>
      <c r="AI43" s="135">
        <v>0</v>
      </c>
      <c r="AJ43" s="143">
        <v>0</v>
      </c>
      <c r="AK43" s="140"/>
      <c r="AL43" s="140"/>
      <c r="AM43" s="277"/>
      <c r="AN43" s="135">
        <v>0</v>
      </c>
      <c r="AO43" s="135">
        <v>0</v>
      </c>
      <c r="AP43" s="135">
        <v>0</v>
      </c>
      <c r="AQ43" s="135">
        <v>0</v>
      </c>
      <c r="AR43" s="135"/>
      <c r="AS43" s="135">
        <v>0</v>
      </c>
      <c r="AT43" s="135">
        <v>0</v>
      </c>
      <c r="AU43" s="135">
        <v>0</v>
      </c>
      <c r="AV43" s="135">
        <v>0</v>
      </c>
      <c r="AW43" s="135"/>
      <c r="AX43" s="276">
        <v>0</v>
      </c>
      <c r="AY43" s="143">
        <v>0</v>
      </c>
      <c r="AZ43" s="135">
        <v>15</v>
      </c>
      <c r="BA43" s="135">
        <v>0</v>
      </c>
      <c r="BB43" s="135">
        <v>0</v>
      </c>
      <c r="BC43" s="135">
        <v>0</v>
      </c>
      <c r="BD43" s="135"/>
      <c r="BE43" s="135"/>
      <c r="BF43" s="135">
        <v>0</v>
      </c>
      <c r="BG43" s="143">
        <v>15</v>
      </c>
      <c r="BH43" s="277">
        <v>0</v>
      </c>
      <c r="BI43" s="135">
        <v>0</v>
      </c>
      <c r="BJ43" s="135">
        <v>10</v>
      </c>
      <c r="BK43" s="135">
        <v>0</v>
      </c>
      <c r="BL43" s="135"/>
      <c r="BM43" s="135"/>
      <c r="BN43" s="276">
        <v>10</v>
      </c>
      <c r="BO43" s="143">
        <v>0</v>
      </c>
      <c r="BP43" s="140">
        <v>0</v>
      </c>
      <c r="BQ43" s="140"/>
      <c r="BR43" s="143">
        <v>0</v>
      </c>
      <c r="BS43" s="135">
        <v>0</v>
      </c>
      <c r="BT43" s="135"/>
      <c r="BU43" s="135"/>
      <c r="BV43" s="135"/>
      <c r="BW43" s="135"/>
      <c r="BX43" s="143">
        <v>0</v>
      </c>
      <c r="BY43" s="277">
        <v>1</v>
      </c>
      <c r="BZ43" s="135">
        <v>0</v>
      </c>
      <c r="CA43" s="135">
        <v>2</v>
      </c>
      <c r="CB43" s="135"/>
      <c r="CC43" s="135">
        <v>0</v>
      </c>
      <c r="CD43" s="135">
        <v>0</v>
      </c>
      <c r="CE43" s="135"/>
      <c r="CF43" s="135"/>
      <c r="CG43" s="135"/>
      <c r="CH43" s="135"/>
      <c r="CI43" s="135"/>
      <c r="CJ43" s="276">
        <v>3</v>
      </c>
      <c r="CK43" s="143"/>
      <c r="CL43" s="135"/>
      <c r="CM43" s="143"/>
      <c r="CN43" s="140"/>
      <c r="CO43" s="140"/>
      <c r="CP43" s="143"/>
      <c r="CQ43" s="135">
        <v>1</v>
      </c>
      <c r="CR43" s="135"/>
      <c r="CS43" s="143">
        <v>1</v>
      </c>
      <c r="CT43" s="140">
        <v>1</v>
      </c>
      <c r="CU43" s="143">
        <v>13</v>
      </c>
      <c r="CV43" s="135">
        <v>0</v>
      </c>
      <c r="CW43" s="135">
        <v>0</v>
      </c>
      <c r="CX43" s="143">
        <v>13</v>
      </c>
      <c r="CY43" s="140">
        <v>0</v>
      </c>
      <c r="CZ43" s="140">
        <v>0</v>
      </c>
      <c r="DA43" s="143">
        <v>0</v>
      </c>
      <c r="DB43" s="135">
        <v>9</v>
      </c>
      <c r="DC43" s="135"/>
      <c r="DD43" s="143">
        <v>9</v>
      </c>
      <c r="DE43" s="140">
        <v>148</v>
      </c>
      <c r="DF43" s="356">
        <f>148/1534554</f>
        <v>9.6444960555314447E-5</v>
      </c>
    </row>
    <row r="44" spans="2:110" x14ac:dyDescent="0.2">
      <c r="B44" s="138" t="s">
        <v>220</v>
      </c>
      <c r="C44" s="366">
        <v>0</v>
      </c>
      <c r="D44" s="374"/>
      <c r="E44" s="374"/>
      <c r="F44" s="367">
        <v>0</v>
      </c>
      <c r="G44" s="143">
        <v>84</v>
      </c>
      <c r="H44" s="135">
        <v>0</v>
      </c>
      <c r="I44" s="135">
        <v>0</v>
      </c>
      <c r="J44" s="135">
        <v>30</v>
      </c>
      <c r="K44" s="135"/>
      <c r="L44" s="135"/>
      <c r="M44" s="143">
        <v>114</v>
      </c>
      <c r="N44" s="140"/>
      <c r="O44" s="143">
        <v>824</v>
      </c>
      <c r="P44" s="135">
        <v>0</v>
      </c>
      <c r="Q44" s="135"/>
      <c r="R44" s="143">
        <v>824</v>
      </c>
      <c r="S44" s="277">
        <v>0</v>
      </c>
      <c r="T44" s="135"/>
      <c r="U44" s="135"/>
      <c r="V44" s="276">
        <v>0</v>
      </c>
      <c r="W44" s="143"/>
      <c r="X44" s="135"/>
      <c r="Y44" s="143"/>
      <c r="Z44" s="277"/>
      <c r="AA44" s="135"/>
      <c r="AB44" s="276"/>
      <c r="AC44" s="143">
        <v>5</v>
      </c>
      <c r="AD44" s="135"/>
      <c r="AE44" s="135"/>
      <c r="AF44" s="135"/>
      <c r="AG44" s="135"/>
      <c r="AH44" s="135"/>
      <c r="AI44" s="135"/>
      <c r="AJ44" s="143">
        <v>5</v>
      </c>
      <c r="AK44" s="140"/>
      <c r="AL44" s="140"/>
      <c r="AM44" s="277"/>
      <c r="AN44" s="135"/>
      <c r="AO44" s="135"/>
      <c r="AP44" s="135"/>
      <c r="AQ44" s="135"/>
      <c r="AR44" s="135"/>
      <c r="AS44" s="135"/>
      <c r="AT44" s="135"/>
      <c r="AU44" s="135"/>
      <c r="AV44" s="135"/>
      <c r="AW44" s="135"/>
      <c r="AX44" s="276"/>
      <c r="AY44" s="143"/>
      <c r="AZ44" s="135">
        <v>378</v>
      </c>
      <c r="BA44" s="135">
        <v>0</v>
      </c>
      <c r="BB44" s="135">
        <v>0</v>
      </c>
      <c r="BC44" s="135">
        <v>0</v>
      </c>
      <c r="BD44" s="135">
        <v>1</v>
      </c>
      <c r="BE44" s="135"/>
      <c r="BF44" s="135"/>
      <c r="BG44" s="143">
        <v>379</v>
      </c>
      <c r="BH44" s="277">
        <v>0</v>
      </c>
      <c r="BI44" s="135">
        <v>4</v>
      </c>
      <c r="BJ44" s="135">
        <v>94</v>
      </c>
      <c r="BK44" s="135">
        <v>21</v>
      </c>
      <c r="BL44" s="135"/>
      <c r="BM44" s="135"/>
      <c r="BN44" s="276">
        <v>119</v>
      </c>
      <c r="BO44" s="143"/>
      <c r="BP44" s="140">
        <v>0</v>
      </c>
      <c r="BQ44" s="140"/>
      <c r="BR44" s="143">
        <v>0</v>
      </c>
      <c r="BS44" s="135">
        <v>0</v>
      </c>
      <c r="BT44" s="135"/>
      <c r="BU44" s="135"/>
      <c r="BV44" s="135"/>
      <c r="BW44" s="135"/>
      <c r="BX44" s="143">
        <v>0</v>
      </c>
      <c r="BY44" s="277">
        <v>5</v>
      </c>
      <c r="BZ44" s="135">
        <v>0</v>
      </c>
      <c r="CA44" s="135">
        <v>51</v>
      </c>
      <c r="CB44" s="135">
        <v>0</v>
      </c>
      <c r="CC44" s="135">
        <v>64</v>
      </c>
      <c r="CD44" s="135">
        <v>0</v>
      </c>
      <c r="CE44" s="135">
        <v>0</v>
      </c>
      <c r="CF44" s="135">
        <v>0</v>
      </c>
      <c r="CG44" s="135"/>
      <c r="CH44" s="135">
        <v>0</v>
      </c>
      <c r="CI44" s="135"/>
      <c r="CJ44" s="276">
        <v>120</v>
      </c>
      <c r="CK44" s="143"/>
      <c r="CL44" s="135"/>
      <c r="CM44" s="143"/>
      <c r="CN44" s="140"/>
      <c r="CO44" s="140"/>
      <c r="CP44" s="143"/>
      <c r="CQ44" s="135"/>
      <c r="CR44" s="135"/>
      <c r="CS44" s="143"/>
      <c r="CT44" s="140"/>
      <c r="CU44" s="143"/>
      <c r="CV44" s="135"/>
      <c r="CW44" s="135"/>
      <c r="CX44" s="143"/>
      <c r="CY44" s="140"/>
      <c r="CZ44" s="140"/>
      <c r="DA44" s="143">
        <v>0</v>
      </c>
      <c r="DB44" s="135"/>
      <c r="DC44" s="135"/>
      <c r="DD44" s="143">
        <v>0</v>
      </c>
      <c r="DE44" s="140">
        <v>1561</v>
      </c>
      <c r="DF44" s="356">
        <f>1561/1534554</f>
        <v>1.0172336718030125E-3</v>
      </c>
    </row>
    <row r="45" spans="2:110" x14ac:dyDescent="0.2">
      <c r="B45" s="138" t="s">
        <v>237</v>
      </c>
      <c r="C45" s="366">
        <v>0</v>
      </c>
      <c r="D45" s="374"/>
      <c r="E45" s="374">
        <v>0</v>
      </c>
      <c r="F45" s="367">
        <v>0</v>
      </c>
      <c r="G45" s="143">
        <v>98</v>
      </c>
      <c r="H45" s="135">
        <v>1</v>
      </c>
      <c r="I45" s="135"/>
      <c r="J45" s="135">
        <v>4</v>
      </c>
      <c r="K45" s="135">
        <v>0</v>
      </c>
      <c r="L45" s="135"/>
      <c r="M45" s="143">
        <v>103</v>
      </c>
      <c r="N45" s="140"/>
      <c r="O45" s="143">
        <v>433</v>
      </c>
      <c r="P45" s="135"/>
      <c r="Q45" s="135"/>
      <c r="R45" s="143">
        <v>433</v>
      </c>
      <c r="S45" s="277">
        <v>0</v>
      </c>
      <c r="T45" s="135"/>
      <c r="U45" s="135"/>
      <c r="V45" s="276">
        <v>0</v>
      </c>
      <c r="W45" s="143"/>
      <c r="X45" s="135"/>
      <c r="Y45" s="143"/>
      <c r="Z45" s="277"/>
      <c r="AA45" s="135"/>
      <c r="AB45" s="276"/>
      <c r="AC45" s="143">
        <v>6</v>
      </c>
      <c r="AD45" s="135"/>
      <c r="AE45" s="135">
        <v>7</v>
      </c>
      <c r="AF45" s="135">
        <v>0</v>
      </c>
      <c r="AG45" s="135"/>
      <c r="AH45" s="135"/>
      <c r="AI45" s="135"/>
      <c r="AJ45" s="143">
        <v>13</v>
      </c>
      <c r="AK45" s="140"/>
      <c r="AL45" s="140"/>
      <c r="AM45" s="277"/>
      <c r="AN45" s="135">
        <v>0</v>
      </c>
      <c r="AO45" s="135">
        <v>0</v>
      </c>
      <c r="AP45" s="135"/>
      <c r="AQ45" s="135">
        <v>0</v>
      </c>
      <c r="AR45" s="135"/>
      <c r="AS45" s="135">
        <v>0</v>
      </c>
      <c r="AT45" s="135"/>
      <c r="AU45" s="135"/>
      <c r="AV45" s="135"/>
      <c r="AW45" s="135"/>
      <c r="AX45" s="276">
        <v>0</v>
      </c>
      <c r="AY45" s="143"/>
      <c r="AZ45" s="135">
        <v>236</v>
      </c>
      <c r="BA45" s="135">
        <v>0</v>
      </c>
      <c r="BB45" s="135">
        <v>0</v>
      </c>
      <c r="BC45" s="135"/>
      <c r="BD45" s="135">
        <v>1</v>
      </c>
      <c r="BE45" s="135"/>
      <c r="BF45" s="135"/>
      <c r="BG45" s="143">
        <v>237</v>
      </c>
      <c r="BH45" s="277">
        <v>0</v>
      </c>
      <c r="BI45" s="135">
        <v>19</v>
      </c>
      <c r="BJ45" s="135">
        <v>26</v>
      </c>
      <c r="BK45" s="135">
        <v>5</v>
      </c>
      <c r="BL45" s="135"/>
      <c r="BM45" s="135"/>
      <c r="BN45" s="276">
        <v>50</v>
      </c>
      <c r="BO45" s="143"/>
      <c r="BP45" s="140">
        <v>0</v>
      </c>
      <c r="BQ45" s="140"/>
      <c r="BR45" s="143">
        <v>0</v>
      </c>
      <c r="BS45" s="135">
        <v>0</v>
      </c>
      <c r="BT45" s="135">
        <v>0</v>
      </c>
      <c r="BU45" s="135"/>
      <c r="BV45" s="135"/>
      <c r="BW45" s="135"/>
      <c r="BX45" s="143">
        <v>0</v>
      </c>
      <c r="BY45" s="277">
        <v>14</v>
      </c>
      <c r="BZ45" s="135">
        <v>0</v>
      </c>
      <c r="CA45" s="135">
        <v>42</v>
      </c>
      <c r="CB45" s="135">
        <v>0</v>
      </c>
      <c r="CC45" s="135">
        <v>56</v>
      </c>
      <c r="CD45" s="135">
        <v>0</v>
      </c>
      <c r="CE45" s="135">
        <v>0</v>
      </c>
      <c r="CF45" s="135">
        <v>0</v>
      </c>
      <c r="CG45" s="135"/>
      <c r="CH45" s="135">
        <v>0</v>
      </c>
      <c r="CI45" s="135"/>
      <c r="CJ45" s="276">
        <v>112</v>
      </c>
      <c r="CK45" s="143"/>
      <c r="CL45" s="135">
        <v>1</v>
      </c>
      <c r="CM45" s="143">
        <v>1</v>
      </c>
      <c r="CN45" s="140"/>
      <c r="CO45" s="140"/>
      <c r="CP45" s="143"/>
      <c r="CQ45" s="135"/>
      <c r="CR45" s="135"/>
      <c r="CS45" s="143"/>
      <c r="CT45" s="140"/>
      <c r="CU45" s="143">
        <v>9</v>
      </c>
      <c r="CV45" s="135"/>
      <c r="CW45" s="135">
        <v>0</v>
      </c>
      <c r="CX45" s="143">
        <v>9</v>
      </c>
      <c r="CY45" s="140">
        <v>0</v>
      </c>
      <c r="CZ45" s="140"/>
      <c r="DA45" s="143">
        <v>0</v>
      </c>
      <c r="DB45" s="135"/>
      <c r="DC45" s="135"/>
      <c r="DD45" s="143">
        <v>0</v>
      </c>
      <c r="DE45" s="140">
        <v>958</v>
      </c>
      <c r="DF45" s="356">
        <f>958/1534554</f>
        <v>6.2428562305399482E-4</v>
      </c>
    </row>
    <row r="46" spans="2:110" ht="13.5" thickBot="1" x14ac:dyDescent="0.25">
      <c r="B46" s="248" t="s">
        <v>554</v>
      </c>
      <c r="C46" s="364">
        <v>0</v>
      </c>
      <c r="D46" s="373">
        <v>0</v>
      </c>
      <c r="E46" s="373">
        <v>0</v>
      </c>
      <c r="F46" s="365">
        <v>0</v>
      </c>
      <c r="G46" s="275">
        <v>344</v>
      </c>
      <c r="H46" s="273">
        <v>9</v>
      </c>
      <c r="I46" s="273"/>
      <c r="J46" s="273">
        <v>92</v>
      </c>
      <c r="K46" s="273">
        <v>0</v>
      </c>
      <c r="L46" s="273"/>
      <c r="M46" s="275">
        <v>445</v>
      </c>
      <c r="N46" s="271"/>
      <c r="O46" s="275">
        <v>2423</v>
      </c>
      <c r="P46" s="273"/>
      <c r="Q46" s="273"/>
      <c r="R46" s="275">
        <v>2423</v>
      </c>
      <c r="S46" s="274">
        <v>0</v>
      </c>
      <c r="T46" s="273">
        <v>0</v>
      </c>
      <c r="U46" s="273"/>
      <c r="V46" s="272">
        <v>0</v>
      </c>
      <c r="W46" s="275"/>
      <c r="X46" s="273"/>
      <c r="Y46" s="275"/>
      <c r="Z46" s="274">
        <v>8</v>
      </c>
      <c r="AA46" s="273"/>
      <c r="AB46" s="272">
        <v>8</v>
      </c>
      <c r="AC46" s="275">
        <v>57</v>
      </c>
      <c r="AD46" s="273"/>
      <c r="AE46" s="273">
        <v>23</v>
      </c>
      <c r="AF46" s="273">
        <v>0</v>
      </c>
      <c r="AG46" s="273"/>
      <c r="AH46" s="273">
        <v>5</v>
      </c>
      <c r="AI46" s="273">
        <v>15</v>
      </c>
      <c r="AJ46" s="275">
        <v>100</v>
      </c>
      <c r="AK46" s="271"/>
      <c r="AL46" s="271">
        <v>0</v>
      </c>
      <c r="AM46" s="274">
        <v>0</v>
      </c>
      <c r="AN46" s="273">
        <v>0</v>
      </c>
      <c r="AO46" s="273">
        <v>0</v>
      </c>
      <c r="AP46" s="273">
        <v>0</v>
      </c>
      <c r="AQ46" s="273">
        <v>0</v>
      </c>
      <c r="AR46" s="273"/>
      <c r="AS46" s="273">
        <v>0</v>
      </c>
      <c r="AT46" s="273">
        <v>0</v>
      </c>
      <c r="AU46" s="273">
        <v>0</v>
      </c>
      <c r="AV46" s="273">
        <v>0</v>
      </c>
      <c r="AW46" s="273">
        <v>0</v>
      </c>
      <c r="AX46" s="272">
        <v>0</v>
      </c>
      <c r="AY46" s="275">
        <v>0</v>
      </c>
      <c r="AZ46" s="273">
        <v>1112</v>
      </c>
      <c r="BA46" s="273">
        <v>0</v>
      </c>
      <c r="BB46" s="273">
        <v>0</v>
      </c>
      <c r="BC46" s="273">
        <v>0</v>
      </c>
      <c r="BD46" s="273">
        <v>6</v>
      </c>
      <c r="BE46" s="273"/>
      <c r="BF46" s="273"/>
      <c r="BG46" s="275">
        <v>1118</v>
      </c>
      <c r="BH46" s="274">
        <v>0</v>
      </c>
      <c r="BI46" s="273">
        <v>0</v>
      </c>
      <c r="BJ46" s="273">
        <v>158</v>
      </c>
      <c r="BK46" s="273">
        <v>16</v>
      </c>
      <c r="BL46" s="273"/>
      <c r="BM46" s="273"/>
      <c r="BN46" s="272">
        <v>174</v>
      </c>
      <c r="BO46" s="275"/>
      <c r="BP46" s="271">
        <v>0</v>
      </c>
      <c r="BQ46" s="271"/>
      <c r="BR46" s="275">
        <v>0</v>
      </c>
      <c r="BS46" s="273">
        <v>0</v>
      </c>
      <c r="BT46" s="273">
        <v>0</v>
      </c>
      <c r="BU46" s="273"/>
      <c r="BV46" s="273"/>
      <c r="BW46" s="273"/>
      <c r="BX46" s="275">
        <v>0</v>
      </c>
      <c r="BY46" s="274">
        <v>10</v>
      </c>
      <c r="BZ46" s="273">
        <v>0</v>
      </c>
      <c r="CA46" s="273">
        <v>237</v>
      </c>
      <c r="CB46" s="273">
        <v>0</v>
      </c>
      <c r="CC46" s="273">
        <v>300</v>
      </c>
      <c r="CD46" s="273">
        <v>0</v>
      </c>
      <c r="CE46" s="273">
        <v>0</v>
      </c>
      <c r="CF46" s="273">
        <v>0</v>
      </c>
      <c r="CG46" s="273"/>
      <c r="CH46" s="273">
        <v>0</v>
      </c>
      <c r="CI46" s="273"/>
      <c r="CJ46" s="272">
        <v>547</v>
      </c>
      <c r="CK46" s="275"/>
      <c r="CL46" s="273">
        <v>0</v>
      </c>
      <c r="CM46" s="275">
        <v>0</v>
      </c>
      <c r="CN46" s="271"/>
      <c r="CO46" s="271">
        <v>0</v>
      </c>
      <c r="CP46" s="275">
        <v>14</v>
      </c>
      <c r="CQ46" s="273">
        <v>5</v>
      </c>
      <c r="CR46" s="273">
        <v>19</v>
      </c>
      <c r="CS46" s="275">
        <v>38</v>
      </c>
      <c r="CT46" s="271"/>
      <c r="CU46" s="275">
        <v>69</v>
      </c>
      <c r="CV46" s="273">
        <v>0</v>
      </c>
      <c r="CW46" s="273">
        <v>0</v>
      </c>
      <c r="CX46" s="275">
        <v>69</v>
      </c>
      <c r="CY46" s="271">
        <v>1</v>
      </c>
      <c r="CZ46" s="271">
        <v>0</v>
      </c>
      <c r="DA46" s="275">
        <v>135</v>
      </c>
      <c r="DB46" s="273">
        <v>107</v>
      </c>
      <c r="DC46" s="273"/>
      <c r="DD46" s="275">
        <v>242</v>
      </c>
      <c r="DE46" s="271">
        <v>5165</v>
      </c>
      <c r="DF46" s="354">
        <f>5165/1534554</f>
        <v>3.3657987923526966E-3</v>
      </c>
    </row>
    <row r="47" spans="2:110" ht="13.5" thickBot="1" x14ac:dyDescent="0.25">
      <c r="B47" s="139" t="s">
        <v>545</v>
      </c>
      <c r="C47" s="368">
        <v>0</v>
      </c>
      <c r="D47" s="375">
        <v>0</v>
      </c>
      <c r="E47" s="375">
        <v>0</v>
      </c>
      <c r="F47" s="369">
        <v>0</v>
      </c>
      <c r="G47" s="144">
        <v>10804</v>
      </c>
      <c r="H47" s="136">
        <v>80</v>
      </c>
      <c r="I47" s="136">
        <v>0</v>
      </c>
      <c r="J47" s="136">
        <v>198</v>
      </c>
      <c r="K47" s="136">
        <v>0</v>
      </c>
      <c r="L47" s="136">
        <v>0</v>
      </c>
      <c r="M47" s="144">
        <v>11082</v>
      </c>
      <c r="N47" s="141">
        <v>0</v>
      </c>
      <c r="O47" s="144">
        <v>10202</v>
      </c>
      <c r="P47" s="136">
        <v>0</v>
      </c>
      <c r="Q47" s="136"/>
      <c r="R47" s="144">
        <v>10202</v>
      </c>
      <c r="S47" s="270">
        <v>0</v>
      </c>
      <c r="T47" s="136">
        <v>0</v>
      </c>
      <c r="U47" s="136">
        <v>0</v>
      </c>
      <c r="V47" s="269">
        <v>0</v>
      </c>
      <c r="W47" s="144">
        <v>0</v>
      </c>
      <c r="X47" s="136">
        <v>1</v>
      </c>
      <c r="Y47" s="144">
        <v>1</v>
      </c>
      <c r="Z47" s="270">
        <v>783</v>
      </c>
      <c r="AA47" s="136"/>
      <c r="AB47" s="269">
        <v>783</v>
      </c>
      <c r="AC47" s="144">
        <v>114</v>
      </c>
      <c r="AD47" s="136">
        <v>0</v>
      </c>
      <c r="AE47" s="136">
        <v>3117</v>
      </c>
      <c r="AF47" s="136">
        <v>89</v>
      </c>
      <c r="AG47" s="136">
        <v>1</v>
      </c>
      <c r="AH47" s="136">
        <v>6</v>
      </c>
      <c r="AI47" s="136">
        <v>27</v>
      </c>
      <c r="AJ47" s="144">
        <v>3354</v>
      </c>
      <c r="AK47" s="141">
        <v>0</v>
      </c>
      <c r="AL47" s="141">
        <v>147</v>
      </c>
      <c r="AM47" s="270">
        <v>0</v>
      </c>
      <c r="AN47" s="136">
        <v>0</v>
      </c>
      <c r="AO47" s="136">
        <v>0</v>
      </c>
      <c r="AP47" s="136">
        <v>0</v>
      </c>
      <c r="AQ47" s="136">
        <v>0</v>
      </c>
      <c r="AR47" s="136">
        <v>0</v>
      </c>
      <c r="AS47" s="136">
        <v>0</v>
      </c>
      <c r="AT47" s="136">
        <v>0</v>
      </c>
      <c r="AU47" s="136">
        <v>0</v>
      </c>
      <c r="AV47" s="136">
        <v>0</v>
      </c>
      <c r="AW47" s="136">
        <v>0</v>
      </c>
      <c r="AX47" s="269">
        <v>0</v>
      </c>
      <c r="AY47" s="144">
        <v>0</v>
      </c>
      <c r="AZ47" s="136">
        <v>4208</v>
      </c>
      <c r="BA47" s="136">
        <v>0</v>
      </c>
      <c r="BB47" s="136">
        <v>0</v>
      </c>
      <c r="BC47" s="136">
        <v>0</v>
      </c>
      <c r="BD47" s="136">
        <v>15</v>
      </c>
      <c r="BE47" s="136">
        <v>0</v>
      </c>
      <c r="BF47" s="136">
        <v>0</v>
      </c>
      <c r="BG47" s="144">
        <v>4223</v>
      </c>
      <c r="BH47" s="270">
        <v>0</v>
      </c>
      <c r="BI47" s="136">
        <v>96</v>
      </c>
      <c r="BJ47" s="136">
        <v>851</v>
      </c>
      <c r="BK47" s="136">
        <v>89</v>
      </c>
      <c r="BL47" s="136"/>
      <c r="BM47" s="136"/>
      <c r="BN47" s="269">
        <v>1036</v>
      </c>
      <c r="BO47" s="144">
        <v>0</v>
      </c>
      <c r="BP47" s="141">
        <v>0</v>
      </c>
      <c r="BQ47" s="141"/>
      <c r="BR47" s="144">
        <v>0</v>
      </c>
      <c r="BS47" s="136">
        <v>0</v>
      </c>
      <c r="BT47" s="136">
        <v>0</v>
      </c>
      <c r="BU47" s="136"/>
      <c r="BV47" s="136"/>
      <c r="BW47" s="136"/>
      <c r="BX47" s="144">
        <v>0</v>
      </c>
      <c r="BY47" s="270">
        <v>98</v>
      </c>
      <c r="BZ47" s="136">
        <v>0</v>
      </c>
      <c r="CA47" s="136">
        <v>1064</v>
      </c>
      <c r="CB47" s="136">
        <v>0</v>
      </c>
      <c r="CC47" s="136">
        <v>869</v>
      </c>
      <c r="CD47" s="136">
        <v>0</v>
      </c>
      <c r="CE47" s="136">
        <v>0</v>
      </c>
      <c r="CF47" s="136">
        <v>0</v>
      </c>
      <c r="CG47" s="136">
        <v>0</v>
      </c>
      <c r="CH47" s="136">
        <v>0</v>
      </c>
      <c r="CI47" s="136"/>
      <c r="CJ47" s="269">
        <v>2031</v>
      </c>
      <c r="CK47" s="144">
        <v>0</v>
      </c>
      <c r="CL47" s="136">
        <v>64</v>
      </c>
      <c r="CM47" s="144">
        <v>64</v>
      </c>
      <c r="CN47" s="141">
        <v>0</v>
      </c>
      <c r="CO47" s="141">
        <v>0</v>
      </c>
      <c r="CP47" s="144">
        <v>305</v>
      </c>
      <c r="CQ47" s="136">
        <v>59</v>
      </c>
      <c r="CR47" s="136">
        <v>272</v>
      </c>
      <c r="CS47" s="144">
        <v>636</v>
      </c>
      <c r="CT47" s="141">
        <v>1291</v>
      </c>
      <c r="CU47" s="144">
        <v>875</v>
      </c>
      <c r="CV47" s="136">
        <v>0</v>
      </c>
      <c r="CW47" s="136">
        <v>0</v>
      </c>
      <c r="CX47" s="144">
        <v>875</v>
      </c>
      <c r="CY47" s="141">
        <v>1</v>
      </c>
      <c r="CZ47" s="141">
        <v>0</v>
      </c>
      <c r="DA47" s="144">
        <v>1108</v>
      </c>
      <c r="DB47" s="136">
        <v>1096</v>
      </c>
      <c r="DC47" s="136">
        <v>332</v>
      </c>
      <c r="DD47" s="144">
        <v>2536</v>
      </c>
      <c r="DE47" s="141">
        <v>38262</v>
      </c>
      <c r="DF47" s="355">
        <f>38262/1534554</f>
        <v>2.4933628924104334E-2</v>
      </c>
    </row>
    <row r="48" spans="2:110" ht="13.5" thickBot="1" x14ac:dyDescent="0.25">
      <c r="B48" s="139" t="s">
        <v>546</v>
      </c>
      <c r="C48" s="368">
        <v>0</v>
      </c>
      <c r="D48" s="375">
        <v>0</v>
      </c>
      <c r="E48" s="375">
        <v>0</v>
      </c>
      <c r="F48" s="369">
        <v>0</v>
      </c>
      <c r="G48" s="144">
        <v>10995</v>
      </c>
      <c r="H48" s="136">
        <v>80</v>
      </c>
      <c r="I48" s="136">
        <v>0</v>
      </c>
      <c r="J48" s="136">
        <v>8321</v>
      </c>
      <c r="K48" s="136">
        <v>0</v>
      </c>
      <c r="L48" s="136">
        <v>0</v>
      </c>
      <c r="M48" s="144">
        <v>19396</v>
      </c>
      <c r="N48" s="141">
        <v>0</v>
      </c>
      <c r="O48" s="144">
        <v>39259</v>
      </c>
      <c r="P48" s="136">
        <v>0</v>
      </c>
      <c r="Q48" s="136"/>
      <c r="R48" s="144">
        <v>39259</v>
      </c>
      <c r="S48" s="270">
        <v>0</v>
      </c>
      <c r="T48" s="136">
        <v>0</v>
      </c>
      <c r="U48" s="136">
        <v>0</v>
      </c>
      <c r="V48" s="269">
        <v>0</v>
      </c>
      <c r="W48" s="144">
        <v>0</v>
      </c>
      <c r="X48" s="136">
        <v>42</v>
      </c>
      <c r="Y48" s="144">
        <v>42</v>
      </c>
      <c r="Z48" s="270">
        <v>860</v>
      </c>
      <c r="AA48" s="136"/>
      <c r="AB48" s="269">
        <v>860</v>
      </c>
      <c r="AC48" s="144">
        <v>137</v>
      </c>
      <c r="AD48" s="136">
        <v>0</v>
      </c>
      <c r="AE48" s="136">
        <v>3119</v>
      </c>
      <c r="AF48" s="136">
        <v>97</v>
      </c>
      <c r="AG48" s="136">
        <v>1</v>
      </c>
      <c r="AH48" s="136">
        <v>6</v>
      </c>
      <c r="AI48" s="136">
        <v>27</v>
      </c>
      <c r="AJ48" s="144">
        <v>3387</v>
      </c>
      <c r="AK48" s="141">
        <v>0</v>
      </c>
      <c r="AL48" s="141">
        <v>147</v>
      </c>
      <c r="AM48" s="270">
        <v>0</v>
      </c>
      <c r="AN48" s="136">
        <v>0</v>
      </c>
      <c r="AO48" s="136">
        <v>0</v>
      </c>
      <c r="AP48" s="136">
        <v>0</v>
      </c>
      <c r="AQ48" s="136">
        <v>0</v>
      </c>
      <c r="AR48" s="136">
        <v>0</v>
      </c>
      <c r="AS48" s="136">
        <v>0</v>
      </c>
      <c r="AT48" s="136">
        <v>0</v>
      </c>
      <c r="AU48" s="136">
        <v>0</v>
      </c>
      <c r="AV48" s="136">
        <v>0</v>
      </c>
      <c r="AW48" s="136">
        <v>0</v>
      </c>
      <c r="AX48" s="269">
        <v>0</v>
      </c>
      <c r="AY48" s="144">
        <v>0</v>
      </c>
      <c r="AZ48" s="136">
        <v>4877</v>
      </c>
      <c r="BA48" s="136">
        <v>0</v>
      </c>
      <c r="BB48" s="136">
        <v>0</v>
      </c>
      <c r="BC48" s="136">
        <v>0</v>
      </c>
      <c r="BD48" s="136">
        <v>20</v>
      </c>
      <c r="BE48" s="136">
        <v>0</v>
      </c>
      <c r="BF48" s="136">
        <v>0</v>
      </c>
      <c r="BG48" s="144">
        <v>4897</v>
      </c>
      <c r="BH48" s="270">
        <v>0</v>
      </c>
      <c r="BI48" s="136">
        <v>104</v>
      </c>
      <c r="BJ48" s="136">
        <v>951</v>
      </c>
      <c r="BK48" s="136">
        <v>139</v>
      </c>
      <c r="BL48" s="136">
        <v>0</v>
      </c>
      <c r="BM48" s="136"/>
      <c r="BN48" s="269">
        <v>1194</v>
      </c>
      <c r="BO48" s="144">
        <v>0</v>
      </c>
      <c r="BP48" s="141">
        <v>0</v>
      </c>
      <c r="BQ48" s="141"/>
      <c r="BR48" s="144">
        <v>0</v>
      </c>
      <c r="BS48" s="136">
        <v>0</v>
      </c>
      <c r="BT48" s="136">
        <v>0</v>
      </c>
      <c r="BU48" s="136">
        <v>0</v>
      </c>
      <c r="BV48" s="136">
        <v>0</v>
      </c>
      <c r="BW48" s="136">
        <v>0</v>
      </c>
      <c r="BX48" s="144">
        <v>0</v>
      </c>
      <c r="BY48" s="270">
        <v>869</v>
      </c>
      <c r="BZ48" s="136">
        <v>0</v>
      </c>
      <c r="CA48" s="136">
        <v>7818</v>
      </c>
      <c r="CB48" s="136">
        <v>0</v>
      </c>
      <c r="CC48" s="136">
        <v>2732</v>
      </c>
      <c r="CD48" s="136">
        <v>0</v>
      </c>
      <c r="CE48" s="136">
        <v>0</v>
      </c>
      <c r="CF48" s="136">
        <v>0</v>
      </c>
      <c r="CG48" s="136">
        <v>0</v>
      </c>
      <c r="CH48" s="136">
        <v>0</v>
      </c>
      <c r="CI48" s="136"/>
      <c r="CJ48" s="269">
        <v>11419</v>
      </c>
      <c r="CK48" s="144">
        <v>0</v>
      </c>
      <c r="CL48" s="136">
        <v>64</v>
      </c>
      <c r="CM48" s="144">
        <v>64</v>
      </c>
      <c r="CN48" s="141">
        <v>0</v>
      </c>
      <c r="CO48" s="141">
        <v>0</v>
      </c>
      <c r="CP48" s="144">
        <v>963</v>
      </c>
      <c r="CQ48" s="136">
        <v>190</v>
      </c>
      <c r="CR48" s="136">
        <v>750</v>
      </c>
      <c r="CS48" s="144">
        <v>1903</v>
      </c>
      <c r="CT48" s="141">
        <v>1333</v>
      </c>
      <c r="CU48" s="144">
        <v>1047</v>
      </c>
      <c r="CV48" s="136">
        <v>0</v>
      </c>
      <c r="CW48" s="136">
        <v>0</v>
      </c>
      <c r="CX48" s="144">
        <v>1047</v>
      </c>
      <c r="CY48" s="141">
        <v>2</v>
      </c>
      <c r="CZ48" s="141">
        <v>0</v>
      </c>
      <c r="DA48" s="144">
        <v>1108</v>
      </c>
      <c r="DB48" s="136">
        <v>1221</v>
      </c>
      <c r="DC48" s="136">
        <v>340</v>
      </c>
      <c r="DD48" s="144">
        <v>2669</v>
      </c>
      <c r="DE48" s="141">
        <v>87619</v>
      </c>
      <c r="DF48" s="355">
        <f>87619/1534554</f>
        <v>5.7097371614162812E-2</v>
      </c>
    </row>
    <row r="49" spans="2:110" x14ac:dyDescent="0.2">
      <c r="B49" s="248" t="s">
        <v>22</v>
      </c>
      <c r="C49" s="364"/>
      <c r="D49" s="373"/>
      <c r="E49" s="373"/>
      <c r="F49" s="365"/>
      <c r="G49" s="275">
        <v>3165</v>
      </c>
      <c r="H49" s="273">
        <v>38</v>
      </c>
      <c r="I49" s="273">
        <v>0</v>
      </c>
      <c r="J49" s="273">
        <v>601</v>
      </c>
      <c r="K49" s="273">
        <v>0</v>
      </c>
      <c r="L49" s="273">
        <v>0</v>
      </c>
      <c r="M49" s="275">
        <v>3804</v>
      </c>
      <c r="N49" s="271"/>
      <c r="O49" s="275">
        <v>36375</v>
      </c>
      <c r="P49" s="273">
        <v>0</v>
      </c>
      <c r="Q49" s="273">
        <v>20</v>
      </c>
      <c r="R49" s="275">
        <v>36395</v>
      </c>
      <c r="S49" s="274">
        <v>0</v>
      </c>
      <c r="T49" s="273">
        <v>0</v>
      </c>
      <c r="U49" s="273"/>
      <c r="V49" s="272">
        <v>0</v>
      </c>
      <c r="W49" s="275"/>
      <c r="X49" s="273">
        <v>1</v>
      </c>
      <c r="Y49" s="275">
        <v>1</v>
      </c>
      <c r="Z49" s="274">
        <v>3</v>
      </c>
      <c r="AA49" s="273"/>
      <c r="AB49" s="272">
        <v>3</v>
      </c>
      <c r="AC49" s="275">
        <v>1481</v>
      </c>
      <c r="AD49" s="273">
        <v>0</v>
      </c>
      <c r="AE49" s="273">
        <v>512</v>
      </c>
      <c r="AF49" s="273"/>
      <c r="AG49" s="273"/>
      <c r="AH49" s="273"/>
      <c r="AI49" s="273"/>
      <c r="AJ49" s="275">
        <v>1993</v>
      </c>
      <c r="AK49" s="271"/>
      <c r="AL49" s="271"/>
      <c r="AM49" s="274"/>
      <c r="AN49" s="273">
        <v>0</v>
      </c>
      <c r="AO49" s="273">
        <v>0</v>
      </c>
      <c r="AP49" s="273"/>
      <c r="AQ49" s="273"/>
      <c r="AR49" s="273"/>
      <c r="AS49" s="273">
        <v>0</v>
      </c>
      <c r="AT49" s="273"/>
      <c r="AU49" s="273">
        <v>0</v>
      </c>
      <c r="AV49" s="273">
        <v>0</v>
      </c>
      <c r="AW49" s="273">
        <v>0</v>
      </c>
      <c r="AX49" s="272">
        <v>0</v>
      </c>
      <c r="AY49" s="275">
        <v>0</v>
      </c>
      <c r="AZ49" s="273">
        <v>18162</v>
      </c>
      <c r="BA49" s="273">
        <v>0</v>
      </c>
      <c r="BB49" s="273">
        <v>0</v>
      </c>
      <c r="BC49" s="273">
        <v>0</v>
      </c>
      <c r="BD49" s="273">
        <v>23</v>
      </c>
      <c r="BE49" s="273">
        <v>0</v>
      </c>
      <c r="BF49" s="273">
        <v>0</v>
      </c>
      <c r="BG49" s="275">
        <v>18185</v>
      </c>
      <c r="BH49" s="274">
        <v>0</v>
      </c>
      <c r="BI49" s="273">
        <v>1025</v>
      </c>
      <c r="BJ49" s="273">
        <v>3172</v>
      </c>
      <c r="BK49" s="273">
        <v>954</v>
      </c>
      <c r="BL49" s="273">
        <v>0</v>
      </c>
      <c r="BM49" s="273">
        <v>0</v>
      </c>
      <c r="BN49" s="272">
        <v>5151</v>
      </c>
      <c r="BO49" s="275"/>
      <c r="BP49" s="271">
        <v>0</v>
      </c>
      <c r="BQ49" s="271"/>
      <c r="BR49" s="275">
        <v>0</v>
      </c>
      <c r="BS49" s="273">
        <v>0</v>
      </c>
      <c r="BT49" s="273">
        <v>0</v>
      </c>
      <c r="BU49" s="273"/>
      <c r="BV49" s="273"/>
      <c r="BW49" s="273">
        <v>0</v>
      </c>
      <c r="BX49" s="275">
        <v>0</v>
      </c>
      <c r="BY49" s="274">
        <v>19200</v>
      </c>
      <c r="BZ49" s="273">
        <v>0</v>
      </c>
      <c r="CA49" s="273">
        <v>9043</v>
      </c>
      <c r="CB49" s="273">
        <v>4</v>
      </c>
      <c r="CC49" s="273">
        <v>14895</v>
      </c>
      <c r="CD49" s="273">
        <v>0</v>
      </c>
      <c r="CE49" s="273">
        <v>0</v>
      </c>
      <c r="CF49" s="273">
        <v>0</v>
      </c>
      <c r="CG49" s="273"/>
      <c r="CH49" s="273">
        <v>0</v>
      </c>
      <c r="CI49" s="273">
        <v>0</v>
      </c>
      <c r="CJ49" s="272">
        <v>43142</v>
      </c>
      <c r="CK49" s="275"/>
      <c r="CL49" s="273"/>
      <c r="CM49" s="275"/>
      <c r="CN49" s="271"/>
      <c r="CO49" s="271">
        <v>0</v>
      </c>
      <c r="CP49" s="275">
        <v>0</v>
      </c>
      <c r="CQ49" s="273"/>
      <c r="CR49" s="273">
        <v>2</v>
      </c>
      <c r="CS49" s="275">
        <v>2</v>
      </c>
      <c r="CT49" s="271">
        <v>1</v>
      </c>
      <c r="CU49" s="275"/>
      <c r="CV49" s="273">
        <v>0</v>
      </c>
      <c r="CW49" s="273">
        <v>0</v>
      </c>
      <c r="CX49" s="275">
        <v>0</v>
      </c>
      <c r="CY49" s="271"/>
      <c r="CZ49" s="271">
        <v>0</v>
      </c>
      <c r="DA49" s="275">
        <v>0</v>
      </c>
      <c r="DB49" s="273">
        <v>0</v>
      </c>
      <c r="DC49" s="273"/>
      <c r="DD49" s="275">
        <v>0</v>
      </c>
      <c r="DE49" s="271">
        <v>108677</v>
      </c>
      <c r="DF49" s="354">
        <f>108677/1534554</f>
        <v>7.0819925528850733E-2</v>
      </c>
    </row>
    <row r="50" spans="2:110" x14ac:dyDescent="0.2">
      <c r="B50" s="138" t="s">
        <v>34</v>
      </c>
      <c r="C50" s="366"/>
      <c r="D50" s="374"/>
      <c r="E50" s="374"/>
      <c r="F50" s="367"/>
      <c r="G50" s="143">
        <v>99</v>
      </c>
      <c r="H50" s="135">
        <v>2</v>
      </c>
      <c r="I50" s="135">
        <v>0</v>
      </c>
      <c r="J50" s="135">
        <v>17</v>
      </c>
      <c r="K50" s="135">
        <v>0</v>
      </c>
      <c r="L50" s="135"/>
      <c r="M50" s="143">
        <v>118</v>
      </c>
      <c r="N50" s="140"/>
      <c r="O50" s="143">
        <v>4569</v>
      </c>
      <c r="P50" s="135">
        <v>0</v>
      </c>
      <c r="Q50" s="135"/>
      <c r="R50" s="143">
        <v>4569</v>
      </c>
      <c r="S50" s="277">
        <v>0</v>
      </c>
      <c r="T50" s="135">
        <v>0</v>
      </c>
      <c r="U50" s="135"/>
      <c r="V50" s="276">
        <v>0</v>
      </c>
      <c r="W50" s="143"/>
      <c r="X50" s="135"/>
      <c r="Y50" s="143"/>
      <c r="Z50" s="277">
        <v>0</v>
      </c>
      <c r="AA50" s="135"/>
      <c r="AB50" s="276">
        <v>0</v>
      </c>
      <c r="AC50" s="143">
        <v>12</v>
      </c>
      <c r="AD50" s="135">
        <v>0</v>
      </c>
      <c r="AE50" s="135">
        <v>61</v>
      </c>
      <c r="AF50" s="135"/>
      <c r="AG50" s="135"/>
      <c r="AH50" s="135"/>
      <c r="AI50" s="135"/>
      <c r="AJ50" s="143">
        <v>73</v>
      </c>
      <c r="AK50" s="140"/>
      <c r="AL50" s="140"/>
      <c r="AM50" s="277"/>
      <c r="AN50" s="135">
        <v>0</v>
      </c>
      <c r="AO50" s="135"/>
      <c r="AP50" s="135"/>
      <c r="AQ50" s="135"/>
      <c r="AR50" s="135"/>
      <c r="AS50" s="135"/>
      <c r="AT50" s="135"/>
      <c r="AU50" s="135"/>
      <c r="AV50" s="135"/>
      <c r="AW50" s="135"/>
      <c r="AX50" s="276">
        <v>0</v>
      </c>
      <c r="AY50" s="143">
        <v>0</v>
      </c>
      <c r="AZ50" s="135">
        <v>3216</v>
      </c>
      <c r="BA50" s="135">
        <v>0</v>
      </c>
      <c r="BB50" s="135"/>
      <c r="BC50" s="135"/>
      <c r="BD50" s="135">
        <v>0</v>
      </c>
      <c r="BE50" s="135">
        <v>0</v>
      </c>
      <c r="BF50" s="135">
        <v>0</v>
      </c>
      <c r="BG50" s="143">
        <v>3216</v>
      </c>
      <c r="BH50" s="277">
        <v>0</v>
      </c>
      <c r="BI50" s="135">
        <v>7</v>
      </c>
      <c r="BJ50" s="135">
        <v>416</v>
      </c>
      <c r="BK50" s="135">
        <v>73</v>
      </c>
      <c r="BL50" s="135">
        <v>0</v>
      </c>
      <c r="BM50" s="135"/>
      <c r="BN50" s="276">
        <v>496</v>
      </c>
      <c r="BO50" s="143"/>
      <c r="BP50" s="140"/>
      <c r="BQ50" s="140"/>
      <c r="BR50" s="143">
        <v>0</v>
      </c>
      <c r="BS50" s="135">
        <v>0</v>
      </c>
      <c r="BT50" s="135"/>
      <c r="BU50" s="135"/>
      <c r="BV50" s="135"/>
      <c r="BW50" s="135"/>
      <c r="BX50" s="143">
        <v>0</v>
      </c>
      <c r="BY50" s="277">
        <v>1129</v>
      </c>
      <c r="BZ50" s="135">
        <v>0</v>
      </c>
      <c r="CA50" s="135">
        <v>500</v>
      </c>
      <c r="CB50" s="135">
        <v>0</v>
      </c>
      <c r="CC50" s="135">
        <v>759</v>
      </c>
      <c r="CD50" s="135">
        <v>0</v>
      </c>
      <c r="CE50" s="135">
        <v>0</v>
      </c>
      <c r="CF50" s="135">
        <v>0</v>
      </c>
      <c r="CG50" s="135"/>
      <c r="CH50" s="135">
        <v>0</v>
      </c>
      <c r="CI50" s="135">
        <v>0</v>
      </c>
      <c r="CJ50" s="276">
        <v>2388</v>
      </c>
      <c r="CK50" s="143"/>
      <c r="CL50" s="135"/>
      <c r="CM50" s="143"/>
      <c r="CN50" s="140"/>
      <c r="CO50" s="140"/>
      <c r="CP50" s="143"/>
      <c r="CQ50" s="135"/>
      <c r="CR50" s="135"/>
      <c r="CS50" s="143"/>
      <c r="CT50" s="140"/>
      <c r="CU50" s="143"/>
      <c r="CV50" s="135"/>
      <c r="CW50" s="135"/>
      <c r="CX50" s="143"/>
      <c r="CY50" s="140"/>
      <c r="CZ50" s="140"/>
      <c r="DA50" s="143"/>
      <c r="DB50" s="135"/>
      <c r="DC50" s="135"/>
      <c r="DD50" s="143"/>
      <c r="DE50" s="140">
        <v>10860</v>
      </c>
      <c r="DF50" s="356">
        <f>10860/1534554</f>
        <v>7.0769748083156407E-3</v>
      </c>
    </row>
    <row r="51" spans="2:110" x14ac:dyDescent="0.2">
      <c r="B51" s="138" t="s">
        <v>43</v>
      </c>
      <c r="C51" s="366"/>
      <c r="D51" s="374"/>
      <c r="E51" s="374">
        <v>0</v>
      </c>
      <c r="F51" s="367">
        <v>0</v>
      </c>
      <c r="G51" s="143">
        <v>188</v>
      </c>
      <c r="H51" s="135">
        <v>38</v>
      </c>
      <c r="I51" s="135">
        <v>0</v>
      </c>
      <c r="J51" s="135">
        <v>47</v>
      </c>
      <c r="K51" s="135">
        <v>0</v>
      </c>
      <c r="L51" s="135">
        <v>0</v>
      </c>
      <c r="M51" s="143">
        <v>273</v>
      </c>
      <c r="N51" s="140"/>
      <c r="O51" s="143">
        <v>3554</v>
      </c>
      <c r="P51" s="135">
        <v>0</v>
      </c>
      <c r="Q51" s="135"/>
      <c r="R51" s="143">
        <v>3554</v>
      </c>
      <c r="S51" s="277">
        <v>0</v>
      </c>
      <c r="T51" s="135">
        <v>0</v>
      </c>
      <c r="U51" s="135"/>
      <c r="V51" s="276">
        <v>0</v>
      </c>
      <c r="W51" s="143"/>
      <c r="X51" s="135"/>
      <c r="Y51" s="143"/>
      <c r="Z51" s="277"/>
      <c r="AA51" s="135"/>
      <c r="AB51" s="276"/>
      <c r="AC51" s="143">
        <v>74</v>
      </c>
      <c r="AD51" s="135"/>
      <c r="AE51" s="135">
        <v>103</v>
      </c>
      <c r="AF51" s="135"/>
      <c r="AG51" s="135"/>
      <c r="AH51" s="135"/>
      <c r="AI51" s="135"/>
      <c r="AJ51" s="143">
        <v>177</v>
      </c>
      <c r="AK51" s="140"/>
      <c r="AL51" s="140"/>
      <c r="AM51" s="277"/>
      <c r="AN51" s="135"/>
      <c r="AO51" s="135"/>
      <c r="AP51" s="135"/>
      <c r="AQ51" s="135"/>
      <c r="AR51" s="135"/>
      <c r="AS51" s="135"/>
      <c r="AT51" s="135">
        <v>0</v>
      </c>
      <c r="AU51" s="135"/>
      <c r="AV51" s="135"/>
      <c r="AW51" s="135"/>
      <c r="AX51" s="276">
        <v>0</v>
      </c>
      <c r="AY51" s="143"/>
      <c r="AZ51" s="135">
        <v>1443</v>
      </c>
      <c r="BA51" s="135">
        <v>0</v>
      </c>
      <c r="BB51" s="135">
        <v>0</v>
      </c>
      <c r="BC51" s="135">
        <v>0</v>
      </c>
      <c r="BD51" s="135">
        <v>16</v>
      </c>
      <c r="BE51" s="135">
        <v>0</v>
      </c>
      <c r="BF51" s="135">
        <v>0</v>
      </c>
      <c r="BG51" s="143">
        <v>1459</v>
      </c>
      <c r="BH51" s="277">
        <v>0</v>
      </c>
      <c r="BI51" s="135">
        <v>85</v>
      </c>
      <c r="BJ51" s="135">
        <v>235</v>
      </c>
      <c r="BK51" s="135">
        <v>23</v>
      </c>
      <c r="BL51" s="135">
        <v>0</v>
      </c>
      <c r="BM51" s="135"/>
      <c r="BN51" s="276">
        <v>343</v>
      </c>
      <c r="BO51" s="143"/>
      <c r="BP51" s="140">
        <v>0</v>
      </c>
      <c r="BQ51" s="140"/>
      <c r="BR51" s="143">
        <v>0</v>
      </c>
      <c r="BS51" s="135">
        <v>0</v>
      </c>
      <c r="BT51" s="135"/>
      <c r="BU51" s="135"/>
      <c r="BV51" s="135"/>
      <c r="BW51" s="135"/>
      <c r="BX51" s="143">
        <v>0</v>
      </c>
      <c r="BY51" s="277">
        <v>3109</v>
      </c>
      <c r="BZ51" s="135">
        <v>0</v>
      </c>
      <c r="CA51" s="135">
        <v>912</v>
      </c>
      <c r="CB51" s="135">
        <v>2</v>
      </c>
      <c r="CC51" s="135">
        <v>961</v>
      </c>
      <c r="CD51" s="135">
        <v>0</v>
      </c>
      <c r="CE51" s="135">
        <v>0</v>
      </c>
      <c r="CF51" s="135">
        <v>0</v>
      </c>
      <c r="CG51" s="135">
        <v>0</v>
      </c>
      <c r="CH51" s="135">
        <v>0</v>
      </c>
      <c r="CI51" s="135"/>
      <c r="CJ51" s="276">
        <v>4984</v>
      </c>
      <c r="CK51" s="143"/>
      <c r="CL51" s="135"/>
      <c r="CM51" s="143"/>
      <c r="CN51" s="140"/>
      <c r="CO51" s="140">
        <v>0</v>
      </c>
      <c r="CP51" s="143"/>
      <c r="CQ51" s="135"/>
      <c r="CR51" s="135"/>
      <c r="CS51" s="143"/>
      <c r="CT51" s="140">
        <v>2</v>
      </c>
      <c r="CU51" s="143">
        <v>1</v>
      </c>
      <c r="CV51" s="135"/>
      <c r="CW51" s="135"/>
      <c r="CX51" s="143">
        <v>1</v>
      </c>
      <c r="CY51" s="140"/>
      <c r="CZ51" s="140"/>
      <c r="DA51" s="143">
        <v>0</v>
      </c>
      <c r="DB51" s="135"/>
      <c r="DC51" s="135"/>
      <c r="DD51" s="143">
        <v>0</v>
      </c>
      <c r="DE51" s="140">
        <v>10793</v>
      </c>
      <c r="DF51" s="356">
        <f>10793/1534554</f>
        <v>7.0333139140101942E-3</v>
      </c>
    </row>
    <row r="52" spans="2:110" x14ac:dyDescent="0.2">
      <c r="B52" s="138" t="s">
        <v>68</v>
      </c>
      <c r="C52" s="366"/>
      <c r="D52" s="374">
        <v>0</v>
      </c>
      <c r="E52" s="374"/>
      <c r="F52" s="367">
        <v>0</v>
      </c>
      <c r="G52" s="143">
        <v>8</v>
      </c>
      <c r="H52" s="135">
        <v>0</v>
      </c>
      <c r="I52" s="135"/>
      <c r="J52" s="135">
        <v>4</v>
      </c>
      <c r="K52" s="135"/>
      <c r="L52" s="135"/>
      <c r="M52" s="143">
        <v>12</v>
      </c>
      <c r="N52" s="140"/>
      <c r="O52" s="143">
        <v>801</v>
      </c>
      <c r="P52" s="135">
        <v>0</v>
      </c>
      <c r="Q52" s="135"/>
      <c r="R52" s="143">
        <v>801</v>
      </c>
      <c r="S52" s="277">
        <v>0</v>
      </c>
      <c r="T52" s="135"/>
      <c r="U52" s="135"/>
      <c r="V52" s="276">
        <v>0</v>
      </c>
      <c r="W52" s="143"/>
      <c r="X52" s="135"/>
      <c r="Y52" s="143"/>
      <c r="Z52" s="277"/>
      <c r="AA52" s="135"/>
      <c r="AB52" s="276"/>
      <c r="AC52" s="143">
        <v>7</v>
      </c>
      <c r="AD52" s="135"/>
      <c r="AE52" s="135">
        <v>2</v>
      </c>
      <c r="AF52" s="135"/>
      <c r="AG52" s="135"/>
      <c r="AH52" s="135"/>
      <c r="AI52" s="135"/>
      <c r="AJ52" s="143">
        <v>9</v>
      </c>
      <c r="AK52" s="140"/>
      <c r="AL52" s="140"/>
      <c r="AM52" s="277"/>
      <c r="AN52" s="135"/>
      <c r="AO52" s="135"/>
      <c r="AP52" s="135"/>
      <c r="AQ52" s="135"/>
      <c r="AR52" s="135"/>
      <c r="AS52" s="135"/>
      <c r="AT52" s="135"/>
      <c r="AU52" s="135"/>
      <c r="AV52" s="135"/>
      <c r="AW52" s="135"/>
      <c r="AX52" s="276"/>
      <c r="AY52" s="143"/>
      <c r="AZ52" s="135">
        <v>599</v>
      </c>
      <c r="BA52" s="135"/>
      <c r="BB52" s="135"/>
      <c r="BC52" s="135"/>
      <c r="BD52" s="135">
        <v>1</v>
      </c>
      <c r="BE52" s="135"/>
      <c r="BF52" s="135"/>
      <c r="BG52" s="143">
        <v>600</v>
      </c>
      <c r="BH52" s="277">
        <v>0</v>
      </c>
      <c r="BI52" s="135">
        <v>3</v>
      </c>
      <c r="BJ52" s="135">
        <v>59</v>
      </c>
      <c r="BK52" s="135">
        <v>1</v>
      </c>
      <c r="BL52" s="135"/>
      <c r="BM52" s="135"/>
      <c r="BN52" s="276">
        <v>63</v>
      </c>
      <c r="BO52" s="143"/>
      <c r="BP52" s="140">
        <v>0</v>
      </c>
      <c r="BQ52" s="140"/>
      <c r="BR52" s="143">
        <v>0</v>
      </c>
      <c r="BS52" s="135">
        <v>0</v>
      </c>
      <c r="BT52" s="135"/>
      <c r="BU52" s="135"/>
      <c r="BV52" s="135"/>
      <c r="BW52" s="135"/>
      <c r="BX52" s="143">
        <v>0</v>
      </c>
      <c r="BY52" s="277">
        <v>1571</v>
      </c>
      <c r="BZ52" s="135">
        <v>0</v>
      </c>
      <c r="CA52" s="135">
        <v>227</v>
      </c>
      <c r="CB52" s="135">
        <v>0</v>
      </c>
      <c r="CC52" s="135">
        <v>234</v>
      </c>
      <c r="CD52" s="135">
        <v>0</v>
      </c>
      <c r="CE52" s="135">
        <v>0</v>
      </c>
      <c r="CF52" s="135">
        <v>0</v>
      </c>
      <c r="CG52" s="135"/>
      <c r="CH52" s="135">
        <v>0</v>
      </c>
      <c r="CI52" s="135"/>
      <c r="CJ52" s="276">
        <v>2032</v>
      </c>
      <c r="CK52" s="143"/>
      <c r="CL52" s="135"/>
      <c r="CM52" s="143"/>
      <c r="CN52" s="140"/>
      <c r="CO52" s="140"/>
      <c r="CP52" s="143"/>
      <c r="CQ52" s="135"/>
      <c r="CR52" s="135"/>
      <c r="CS52" s="143"/>
      <c r="CT52" s="140">
        <v>1</v>
      </c>
      <c r="CU52" s="143"/>
      <c r="CV52" s="135">
        <v>0</v>
      </c>
      <c r="CW52" s="135"/>
      <c r="CX52" s="143">
        <v>0</v>
      </c>
      <c r="CY52" s="140"/>
      <c r="CZ52" s="140"/>
      <c r="DA52" s="143"/>
      <c r="DB52" s="135"/>
      <c r="DC52" s="135"/>
      <c r="DD52" s="143"/>
      <c r="DE52" s="140">
        <v>3518</v>
      </c>
      <c r="DF52" s="356">
        <f>3518/1534554</f>
        <v>2.2925227786053798E-3</v>
      </c>
    </row>
    <row r="53" spans="2:110" x14ac:dyDescent="0.2">
      <c r="B53" s="138" t="s">
        <v>70</v>
      </c>
      <c r="C53" s="366"/>
      <c r="D53" s="374"/>
      <c r="E53" s="374"/>
      <c r="F53" s="367"/>
      <c r="G53" s="143">
        <v>25</v>
      </c>
      <c r="H53" s="135">
        <v>4</v>
      </c>
      <c r="I53" s="135">
        <v>0</v>
      </c>
      <c r="J53" s="135">
        <v>21</v>
      </c>
      <c r="K53" s="135">
        <v>0</v>
      </c>
      <c r="L53" s="135"/>
      <c r="M53" s="143">
        <v>50</v>
      </c>
      <c r="N53" s="140"/>
      <c r="O53" s="143">
        <v>2058</v>
      </c>
      <c r="P53" s="135">
        <v>0</v>
      </c>
      <c r="Q53" s="135"/>
      <c r="R53" s="143">
        <v>2058</v>
      </c>
      <c r="S53" s="277">
        <v>0</v>
      </c>
      <c r="T53" s="135">
        <v>0</v>
      </c>
      <c r="U53" s="135"/>
      <c r="V53" s="276">
        <v>0</v>
      </c>
      <c r="W53" s="143"/>
      <c r="X53" s="135"/>
      <c r="Y53" s="143"/>
      <c r="Z53" s="277">
        <v>0</v>
      </c>
      <c r="AA53" s="135"/>
      <c r="AB53" s="276">
        <v>0</v>
      </c>
      <c r="AC53" s="143">
        <v>66</v>
      </c>
      <c r="AD53" s="135">
        <v>0</v>
      </c>
      <c r="AE53" s="135">
        <v>18</v>
      </c>
      <c r="AF53" s="135">
        <v>0</v>
      </c>
      <c r="AG53" s="135"/>
      <c r="AH53" s="135"/>
      <c r="AI53" s="135"/>
      <c r="AJ53" s="143">
        <v>84</v>
      </c>
      <c r="AK53" s="140"/>
      <c r="AL53" s="140"/>
      <c r="AM53" s="277"/>
      <c r="AN53" s="135"/>
      <c r="AO53" s="135"/>
      <c r="AP53" s="135"/>
      <c r="AQ53" s="135"/>
      <c r="AR53" s="135"/>
      <c r="AS53" s="135"/>
      <c r="AT53" s="135"/>
      <c r="AU53" s="135"/>
      <c r="AV53" s="135">
        <v>0</v>
      </c>
      <c r="AW53" s="135"/>
      <c r="AX53" s="276">
        <v>0</v>
      </c>
      <c r="AY53" s="143">
        <v>0</v>
      </c>
      <c r="AZ53" s="135">
        <v>441</v>
      </c>
      <c r="BA53" s="135">
        <v>0</v>
      </c>
      <c r="BB53" s="135">
        <v>0</v>
      </c>
      <c r="BC53" s="135">
        <v>0</v>
      </c>
      <c r="BD53" s="135">
        <v>3</v>
      </c>
      <c r="BE53" s="135">
        <v>0</v>
      </c>
      <c r="BF53" s="135">
        <v>0</v>
      </c>
      <c r="BG53" s="143">
        <v>444</v>
      </c>
      <c r="BH53" s="277">
        <v>0</v>
      </c>
      <c r="BI53" s="135">
        <v>24</v>
      </c>
      <c r="BJ53" s="135">
        <v>63</v>
      </c>
      <c r="BK53" s="135">
        <v>23</v>
      </c>
      <c r="BL53" s="135"/>
      <c r="BM53" s="135"/>
      <c r="BN53" s="276">
        <v>110</v>
      </c>
      <c r="BO53" s="143"/>
      <c r="BP53" s="140">
        <v>0</v>
      </c>
      <c r="BQ53" s="140"/>
      <c r="BR53" s="143">
        <v>0</v>
      </c>
      <c r="BS53" s="135">
        <v>0</v>
      </c>
      <c r="BT53" s="135"/>
      <c r="BU53" s="135"/>
      <c r="BV53" s="135"/>
      <c r="BW53" s="135"/>
      <c r="BX53" s="143">
        <v>0</v>
      </c>
      <c r="BY53" s="277">
        <v>504</v>
      </c>
      <c r="BZ53" s="135">
        <v>0</v>
      </c>
      <c r="CA53" s="135">
        <v>643</v>
      </c>
      <c r="CB53" s="135">
        <v>0</v>
      </c>
      <c r="CC53" s="135">
        <v>234</v>
      </c>
      <c r="CD53" s="135">
        <v>0</v>
      </c>
      <c r="CE53" s="135">
        <v>0</v>
      </c>
      <c r="CF53" s="135">
        <v>0</v>
      </c>
      <c r="CG53" s="135"/>
      <c r="CH53" s="135">
        <v>0</v>
      </c>
      <c r="CI53" s="135"/>
      <c r="CJ53" s="276">
        <v>1381</v>
      </c>
      <c r="CK53" s="143"/>
      <c r="CL53" s="135"/>
      <c r="CM53" s="143"/>
      <c r="CN53" s="140"/>
      <c r="CO53" s="140"/>
      <c r="CP53" s="143"/>
      <c r="CQ53" s="135"/>
      <c r="CR53" s="135"/>
      <c r="CS53" s="143"/>
      <c r="CT53" s="140"/>
      <c r="CU53" s="143"/>
      <c r="CV53" s="135"/>
      <c r="CW53" s="135"/>
      <c r="CX53" s="143"/>
      <c r="CY53" s="140"/>
      <c r="CZ53" s="140">
        <v>0</v>
      </c>
      <c r="DA53" s="143">
        <v>0</v>
      </c>
      <c r="DB53" s="135">
        <v>0</v>
      </c>
      <c r="DC53" s="135"/>
      <c r="DD53" s="143">
        <v>0</v>
      </c>
      <c r="DE53" s="140">
        <v>4127</v>
      </c>
      <c r="DF53" s="356">
        <f>4127/1534554</f>
        <v>2.6893807581877208E-3</v>
      </c>
    </row>
    <row r="54" spans="2:110" x14ac:dyDescent="0.2">
      <c r="B54" s="138" t="s">
        <v>90</v>
      </c>
      <c r="C54" s="366">
        <v>0</v>
      </c>
      <c r="D54" s="374"/>
      <c r="E54" s="374"/>
      <c r="F54" s="367">
        <v>0</v>
      </c>
      <c r="G54" s="143">
        <v>12</v>
      </c>
      <c r="H54" s="135">
        <v>0</v>
      </c>
      <c r="I54" s="135">
        <v>0</v>
      </c>
      <c r="J54" s="135">
        <v>5</v>
      </c>
      <c r="K54" s="135">
        <v>0</v>
      </c>
      <c r="L54" s="135"/>
      <c r="M54" s="143">
        <v>17</v>
      </c>
      <c r="N54" s="140"/>
      <c r="O54" s="143">
        <v>593</v>
      </c>
      <c r="P54" s="135">
        <v>0</v>
      </c>
      <c r="Q54" s="135"/>
      <c r="R54" s="143">
        <v>593</v>
      </c>
      <c r="S54" s="277">
        <v>0</v>
      </c>
      <c r="T54" s="135"/>
      <c r="U54" s="135"/>
      <c r="V54" s="276">
        <v>0</v>
      </c>
      <c r="W54" s="143"/>
      <c r="X54" s="135"/>
      <c r="Y54" s="143"/>
      <c r="Z54" s="277">
        <v>3</v>
      </c>
      <c r="AA54" s="135"/>
      <c r="AB54" s="276">
        <v>3</v>
      </c>
      <c r="AC54" s="143">
        <v>22</v>
      </c>
      <c r="AD54" s="135">
        <v>0</v>
      </c>
      <c r="AE54" s="135">
        <v>1</v>
      </c>
      <c r="AF54" s="135"/>
      <c r="AG54" s="135"/>
      <c r="AH54" s="135"/>
      <c r="AI54" s="135"/>
      <c r="AJ54" s="143">
        <v>23</v>
      </c>
      <c r="AK54" s="140"/>
      <c r="AL54" s="140"/>
      <c r="AM54" s="277"/>
      <c r="AN54" s="135"/>
      <c r="AO54" s="135"/>
      <c r="AP54" s="135"/>
      <c r="AQ54" s="135"/>
      <c r="AR54" s="135"/>
      <c r="AS54" s="135"/>
      <c r="AT54" s="135"/>
      <c r="AU54" s="135"/>
      <c r="AV54" s="135"/>
      <c r="AW54" s="135"/>
      <c r="AX54" s="276"/>
      <c r="AY54" s="143"/>
      <c r="AZ54" s="135">
        <v>443</v>
      </c>
      <c r="BA54" s="135">
        <v>0</v>
      </c>
      <c r="BB54" s="135">
        <v>0</v>
      </c>
      <c r="BC54" s="135"/>
      <c r="BD54" s="135">
        <v>2</v>
      </c>
      <c r="BE54" s="135"/>
      <c r="BF54" s="135"/>
      <c r="BG54" s="143">
        <v>445</v>
      </c>
      <c r="BH54" s="277">
        <v>0</v>
      </c>
      <c r="BI54" s="135">
        <v>1</v>
      </c>
      <c r="BJ54" s="135">
        <v>75</v>
      </c>
      <c r="BK54" s="135">
        <v>6</v>
      </c>
      <c r="BL54" s="135"/>
      <c r="BM54" s="135"/>
      <c r="BN54" s="276">
        <v>82</v>
      </c>
      <c r="BO54" s="143"/>
      <c r="BP54" s="140">
        <v>0</v>
      </c>
      <c r="BQ54" s="140"/>
      <c r="BR54" s="143">
        <v>0</v>
      </c>
      <c r="BS54" s="135">
        <v>0</v>
      </c>
      <c r="BT54" s="135"/>
      <c r="BU54" s="135"/>
      <c r="BV54" s="135"/>
      <c r="BW54" s="135"/>
      <c r="BX54" s="143">
        <v>0</v>
      </c>
      <c r="BY54" s="277">
        <v>749</v>
      </c>
      <c r="BZ54" s="135">
        <v>0</v>
      </c>
      <c r="CA54" s="135">
        <v>1268</v>
      </c>
      <c r="CB54" s="135">
        <v>0</v>
      </c>
      <c r="CC54" s="135">
        <v>200</v>
      </c>
      <c r="CD54" s="135">
        <v>0</v>
      </c>
      <c r="CE54" s="135">
        <v>0</v>
      </c>
      <c r="CF54" s="135"/>
      <c r="CG54" s="135"/>
      <c r="CH54" s="135">
        <v>0</v>
      </c>
      <c r="CI54" s="135"/>
      <c r="CJ54" s="276">
        <v>2217</v>
      </c>
      <c r="CK54" s="143"/>
      <c r="CL54" s="135">
        <v>0</v>
      </c>
      <c r="CM54" s="143">
        <v>0</v>
      </c>
      <c r="CN54" s="140"/>
      <c r="CO54" s="140"/>
      <c r="CP54" s="143"/>
      <c r="CQ54" s="135"/>
      <c r="CR54" s="135">
        <v>1</v>
      </c>
      <c r="CS54" s="143">
        <v>1</v>
      </c>
      <c r="CT54" s="140"/>
      <c r="CU54" s="143"/>
      <c r="CV54" s="135"/>
      <c r="CW54" s="135">
        <v>0</v>
      </c>
      <c r="CX54" s="143">
        <v>0</v>
      </c>
      <c r="CY54" s="140"/>
      <c r="CZ54" s="140">
        <v>0</v>
      </c>
      <c r="DA54" s="143">
        <v>0</v>
      </c>
      <c r="DB54" s="135">
        <v>1</v>
      </c>
      <c r="DC54" s="135"/>
      <c r="DD54" s="143">
        <v>1</v>
      </c>
      <c r="DE54" s="140">
        <v>3382</v>
      </c>
      <c r="DF54" s="356">
        <f>3382/1534554</f>
        <v>2.2038976797167124E-3</v>
      </c>
    </row>
    <row r="55" spans="2:110" x14ac:dyDescent="0.2">
      <c r="B55" s="138" t="s">
        <v>91</v>
      </c>
      <c r="C55" s="366">
        <v>0</v>
      </c>
      <c r="D55" s="374"/>
      <c r="E55" s="374"/>
      <c r="F55" s="367">
        <v>0</v>
      </c>
      <c r="G55" s="143">
        <v>453</v>
      </c>
      <c r="H55" s="135">
        <v>15</v>
      </c>
      <c r="I55" s="135">
        <v>0</v>
      </c>
      <c r="J55" s="135">
        <v>37</v>
      </c>
      <c r="K55" s="135">
        <v>0</v>
      </c>
      <c r="L55" s="135">
        <v>0</v>
      </c>
      <c r="M55" s="143">
        <v>505</v>
      </c>
      <c r="N55" s="140"/>
      <c r="O55" s="143">
        <v>14611</v>
      </c>
      <c r="P55" s="135">
        <v>0</v>
      </c>
      <c r="Q55" s="135"/>
      <c r="R55" s="143">
        <v>14611</v>
      </c>
      <c r="S55" s="277">
        <v>0</v>
      </c>
      <c r="T55" s="135"/>
      <c r="U55" s="135"/>
      <c r="V55" s="276">
        <v>0</v>
      </c>
      <c r="W55" s="143">
        <v>0</v>
      </c>
      <c r="X55" s="135"/>
      <c r="Y55" s="143">
        <v>0</v>
      </c>
      <c r="Z55" s="277"/>
      <c r="AA55" s="135"/>
      <c r="AB55" s="276"/>
      <c r="AC55" s="143">
        <v>294</v>
      </c>
      <c r="AD55" s="135">
        <v>0</v>
      </c>
      <c r="AE55" s="135">
        <v>803</v>
      </c>
      <c r="AF55" s="135"/>
      <c r="AG55" s="135"/>
      <c r="AH55" s="135"/>
      <c r="AI55" s="135"/>
      <c r="AJ55" s="143">
        <v>1097</v>
      </c>
      <c r="AK55" s="140"/>
      <c r="AL55" s="140"/>
      <c r="AM55" s="277"/>
      <c r="AN55" s="135">
        <v>0</v>
      </c>
      <c r="AO55" s="135"/>
      <c r="AP55" s="135"/>
      <c r="AQ55" s="135"/>
      <c r="AR55" s="135"/>
      <c r="AS55" s="135"/>
      <c r="AT55" s="135"/>
      <c r="AU55" s="135"/>
      <c r="AV55" s="135">
        <v>0</v>
      </c>
      <c r="AW55" s="135"/>
      <c r="AX55" s="276">
        <v>0</v>
      </c>
      <c r="AY55" s="143"/>
      <c r="AZ55" s="135">
        <v>7759</v>
      </c>
      <c r="BA55" s="135">
        <v>0</v>
      </c>
      <c r="BB55" s="135">
        <v>0</v>
      </c>
      <c r="BC55" s="135">
        <v>0</v>
      </c>
      <c r="BD55" s="135">
        <v>52</v>
      </c>
      <c r="BE55" s="135"/>
      <c r="BF55" s="135">
        <v>0</v>
      </c>
      <c r="BG55" s="143">
        <v>7811</v>
      </c>
      <c r="BH55" s="277">
        <v>0</v>
      </c>
      <c r="BI55" s="135">
        <v>31</v>
      </c>
      <c r="BJ55" s="135">
        <v>4156</v>
      </c>
      <c r="BK55" s="135">
        <v>62</v>
      </c>
      <c r="BL55" s="135">
        <v>0</v>
      </c>
      <c r="BM55" s="135">
        <v>0</v>
      </c>
      <c r="BN55" s="276">
        <v>4249</v>
      </c>
      <c r="BO55" s="143"/>
      <c r="BP55" s="140">
        <v>0</v>
      </c>
      <c r="BQ55" s="140"/>
      <c r="BR55" s="143">
        <v>0</v>
      </c>
      <c r="BS55" s="135">
        <v>0</v>
      </c>
      <c r="BT55" s="135">
        <v>0</v>
      </c>
      <c r="BU55" s="135"/>
      <c r="BV55" s="135"/>
      <c r="BW55" s="135">
        <v>0</v>
      </c>
      <c r="BX55" s="143">
        <v>0</v>
      </c>
      <c r="BY55" s="277">
        <v>4264</v>
      </c>
      <c r="BZ55" s="135">
        <v>0</v>
      </c>
      <c r="CA55" s="135">
        <v>1330</v>
      </c>
      <c r="CB55" s="135">
        <v>14</v>
      </c>
      <c r="CC55" s="135">
        <v>1335</v>
      </c>
      <c r="CD55" s="135">
        <v>0</v>
      </c>
      <c r="CE55" s="135">
        <v>0</v>
      </c>
      <c r="CF55" s="135">
        <v>0</v>
      </c>
      <c r="CG55" s="135">
        <v>0</v>
      </c>
      <c r="CH55" s="135">
        <v>0</v>
      </c>
      <c r="CI55" s="135"/>
      <c r="CJ55" s="276">
        <v>6943</v>
      </c>
      <c r="CK55" s="143"/>
      <c r="CL55" s="135"/>
      <c r="CM55" s="143"/>
      <c r="CN55" s="140"/>
      <c r="CO55" s="140"/>
      <c r="CP55" s="143">
        <v>0</v>
      </c>
      <c r="CQ55" s="135"/>
      <c r="CR55" s="135"/>
      <c r="CS55" s="143">
        <v>0</v>
      </c>
      <c r="CT55" s="140"/>
      <c r="CU55" s="143">
        <v>1</v>
      </c>
      <c r="CV55" s="135"/>
      <c r="CW55" s="135"/>
      <c r="CX55" s="143">
        <v>1</v>
      </c>
      <c r="CY55" s="140"/>
      <c r="CZ55" s="140">
        <v>0</v>
      </c>
      <c r="DA55" s="143">
        <v>0</v>
      </c>
      <c r="DB55" s="135"/>
      <c r="DC55" s="135">
        <v>1</v>
      </c>
      <c r="DD55" s="143">
        <v>1</v>
      </c>
      <c r="DE55" s="140">
        <v>35218</v>
      </c>
      <c r="DF55" s="356">
        <f>35218/1534554</f>
        <v>2.2949990681331515E-2</v>
      </c>
    </row>
    <row r="56" spans="2:110" x14ac:dyDescent="0.2">
      <c r="B56" s="138" t="s">
        <v>113</v>
      </c>
      <c r="C56" s="366"/>
      <c r="D56" s="374"/>
      <c r="E56" s="374">
        <v>0</v>
      </c>
      <c r="F56" s="367">
        <v>0</v>
      </c>
      <c r="G56" s="143">
        <v>139</v>
      </c>
      <c r="H56" s="135">
        <v>13</v>
      </c>
      <c r="I56" s="135">
        <v>0</v>
      </c>
      <c r="J56" s="135">
        <v>261</v>
      </c>
      <c r="K56" s="135">
        <v>0</v>
      </c>
      <c r="L56" s="135">
        <v>0</v>
      </c>
      <c r="M56" s="143">
        <v>413</v>
      </c>
      <c r="N56" s="140"/>
      <c r="O56" s="143">
        <v>6560</v>
      </c>
      <c r="P56" s="135">
        <v>0</v>
      </c>
      <c r="Q56" s="135"/>
      <c r="R56" s="143">
        <v>6560</v>
      </c>
      <c r="S56" s="277">
        <v>0</v>
      </c>
      <c r="T56" s="135">
        <v>0</v>
      </c>
      <c r="U56" s="135"/>
      <c r="V56" s="276">
        <v>0</v>
      </c>
      <c r="W56" s="143"/>
      <c r="X56" s="135"/>
      <c r="Y56" s="143"/>
      <c r="Z56" s="277">
        <v>6</v>
      </c>
      <c r="AA56" s="135"/>
      <c r="AB56" s="276">
        <v>6</v>
      </c>
      <c r="AC56" s="143">
        <v>111</v>
      </c>
      <c r="AD56" s="135">
        <v>0</v>
      </c>
      <c r="AE56" s="135">
        <v>98</v>
      </c>
      <c r="AF56" s="135"/>
      <c r="AG56" s="135"/>
      <c r="AH56" s="135"/>
      <c r="AI56" s="135"/>
      <c r="AJ56" s="143">
        <v>209</v>
      </c>
      <c r="AK56" s="140"/>
      <c r="AL56" s="140"/>
      <c r="AM56" s="277"/>
      <c r="AN56" s="135">
        <v>0</v>
      </c>
      <c r="AO56" s="135">
        <v>0</v>
      </c>
      <c r="AP56" s="135">
        <v>0</v>
      </c>
      <c r="AQ56" s="135"/>
      <c r="AR56" s="135"/>
      <c r="AS56" s="135">
        <v>0</v>
      </c>
      <c r="AT56" s="135">
        <v>0</v>
      </c>
      <c r="AU56" s="135"/>
      <c r="AV56" s="135">
        <v>0</v>
      </c>
      <c r="AW56" s="135"/>
      <c r="AX56" s="276">
        <v>0</v>
      </c>
      <c r="AY56" s="143">
        <v>0</v>
      </c>
      <c r="AZ56" s="135">
        <v>3299</v>
      </c>
      <c r="BA56" s="135">
        <v>0</v>
      </c>
      <c r="BB56" s="135">
        <v>0</v>
      </c>
      <c r="BC56" s="135">
        <v>0</v>
      </c>
      <c r="BD56" s="135">
        <v>13</v>
      </c>
      <c r="BE56" s="135"/>
      <c r="BF56" s="135">
        <v>0</v>
      </c>
      <c r="BG56" s="143">
        <v>3312</v>
      </c>
      <c r="BH56" s="277">
        <v>0</v>
      </c>
      <c r="BI56" s="135">
        <v>76</v>
      </c>
      <c r="BJ56" s="135">
        <v>351</v>
      </c>
      <c r="BK56" s="135">
        <v>57</v>
      </c>
      <c r="BL56" s="135"/>
      <c r="BM56" s="135">
        <v>0</v>
      </c>
      <c r="BN56" s="276">
        <v>484</v>
      </c>
      <c r="BO56" s="143"/>
      <c r="BP56" s="140">
        <v>0</v>
      </c>
      <c r="BQ56" s="140"/>
      <c r="BR56" s="143">
        <v>0</v>
      </c>
      <c r="BS56" s="135">
        <v>0</v>
      </c>
      <c r="BT56" s="135"/>
      <c r="BU56" s="135"/>
      <c r="BV56" s="135"/>
      <c r="BW56" s="135">
        <v>0</v>
      </c>
      <c r="BX56" s="143">
        <v>0</v>
      </c>
      <c r="BY56" s="277">
        <v>8942</v>
      </c>
      <c r="BZ56" s="135">
        <v>0</v>
      </c>
      <c r="CA56" s="135">
        <v>2643</v>
      </c>
      <c r="CB56" s="135">
        <v>2</v>
      </c>
      <c r="CC56" s="135">
        <v>1875</v>
      </c>
      <c r="CD56" s="135">
        <v>0</v>
      </c>
      <c r="CE56" s="135">
        <v>0</v>
      </c>
      <c r="CF56" s="135">
        <v>0</v>
      </c>
      <c r="CG56" s="135">
        <v>0</v>
      </c>
      <c r="CH56" s="135">
        <v>0</v>
      </c>
      <c r="CI56" s="135">
        <v>0</v>
      </c>
      <c r="CJ56" s="276">
        <v>13462</v>
      </c>
      <c r="CK56" s="143"/>
      <c r="CL56" s="135">
        <v>0</v>
      </c>
      <c r="CM56" s="143">
        <v>0</v>
      </c>
      <c r="CN56" s="140">
        <v>0</v>
      </c>
      <c r="CO56" s="140">
        <v>0</v>
      </c>
      <c r="CP56" s="143">
        <v>0</v>
      </c>
      <c r="CQ56" s="135"/>
      <c r="CR56" s="135">
        <v>1</v>
      </c>
      <c r="CS56" s="143">
        <v>1</v>
      </c>
      <c r="CT56" s="140"/>
      <c r="CU56" s="143">
        <v>4</v>
      </c>
      <c r="CV56" s="135">
        <v>0</v>
      </c>
      <c r="CW56" s="135">
        <v>0</v>
      </c>
      <c r="CX56" s="143">
        <v>4</v>
      </c>
      <c r="CY56" s="140">
        <v>0</v>
      </c>
      <c r="CZ56" s="140">
        <v>0</v>
      </c>
      <c r="DA56" s="143">
        <v>0</v>
      </c>
      <c r="DB56" s="135">
        <v>5</v>
      </c>
      <c r="DC56" s="135">
        <v>2</v>
      </c>
      <c r="DD56" s="143">
        <v>7</v>
      </c>
      <c r="DE56" s="140">
        <v>24458</v>
      </c>
      <c r="DF56" s="356">
        <f>24458/1534554</f>
        <v>1.5938181386904598E-2</v>
      </c>
    </row>
    <row r="57" spans="2:110" x14ac:dyDescent="0.2">
      <c r="B57" s="138" t="s">
        <v>118</v>
      </c>
      <c r="C57" s="366"/>
      <c r="D57" s="374"/>
      <c r="E57" s="374"/>
      <c r="F57" s="367"/>
      <c r="G57" s="143">
        <v>3312</v>
      </c>
      <c r="H57" s="135">
        <v>381</v>
      </c>
      <c r="I57" s="135">
        <v>0</v>
      </c>
      <c r="J57" s="135">
        <v>1275</v>
      </c>
      <c r="K57" s="135">
        <v>0</v>
      </c>
      <c r="L57" s="135">
        <v>0</v>
      </c>
      <c r="M57" s="143">
        <v>4968</v>
      </c>
      <c r="N57" s="140"/>
      <c r="O57" s="143">
        <v>69785</v>
      </c>
      <c r="P57" s="135">
        <v>0</v>
      </c>
      <c r="Q57" s="135"/>
      <c r="R57" s="143">
        <v>69785</v>
      </c>
      <c r="S57" s="277">
        <v>0</v>
      </c>
      <c r="T57" s="135"/>
      <c r="U57" s="135"/>
      <c r="V57" s="276">
        <v>0</v>
      </c>
      <c r="W57" s="143">
        <v>0</v>
      </c>
      <c r="X57" s="135">
        <v>2</v>
      </c>
      <c r="Y57" s="143">
        <v>2</v>
      </c>
      <c r="Z57" s="277">
        <v>0</v>
      </c>
      <c r="AA57" s="135"/>
      <c r="AB57" s="276">
        <v>0</v>
      </c>
      <c r="AC57" s="143">
        <v>3873</v>
      </c>
      <c r="AD57" s="135">
        <v>0</v>
      </c>
      <c r="AE57" s="135">
        <v>903</v>
      </c>
      <c r="AF57" s="135"/>
      <c r="AG57" s="135"/>
      <c r="AH57" s="135"/>
      <c r="AI57" s="135"/>
      <c r="AJ57" s="143">
        <v>4776</v>
      </c>
      <c r="AK57" s="140"/>
      <c r="AL57" s="140"/>
      <c r="AM57" s="277">
        <v>0</v>
      </c>
      <c r="AN57" s="135">
        <v>0</v>
      </c>
      <c r="AO57" s="135"/>
      <c r="AP57" s="135">
        <v>0</v>
      </c>
      <c r="AQ57" s="135">
        <v>0</v>
      </c>
      <c r="AR57" s="135"/>
      <c r="AS57" s="135"/>
      <c r="AT57" s="135">
        <v>0</v>
      </c>
      <c r="AU57" s="135">
        <v>0</v>
      </c>
      <c r="AV57" s="135">
        <v>0</v>
      </c>
      <c r="AW57" s="135">
        <v>0</v>
      </c>
      <c r="AX57" s="276">
        <v>0</v>
      </c>
      <c r="AY57" s="143">
        <v>0</v>
      </c>
      <c r="AZ57" s="135">
        <v>17433</v>
      </c>
      <c r="BA57" s="135">
        <v>0</v>
      </c>
      <c r="BB57" s="135">
        <v>0</v>
      </c>
      <c r="BC57" s="135">
        <v>0</v>
      </c>
      <c r="BD57" s="135">
        <v>222</v>
      </c>
      <c r="BE57" s="135">
        <v>0</v>
      </c>
      <c r="BF57" s="135">
        <v>0</v>
      </c>
      <c r="BG57" s="143">
        <v>17655</v>
      </c>
      <c r="BH57" s="277">
        <v>0</v>
      </c>
      <c r="BI57" s="135">
        <v>920</v>
      </c>
      <c r="BJ57" s="135">
        <v>1939</v>
      </c>
      <c r="BK57" s="135">
        <v>1117</v>
      </c>
      <c r="BL57" s="135">
        <v>0</v>
      </c>
      <c r="BM57" s="135">
        <v>0</v>
      </c>
      <c r="BN57" s="276">
        <v>3976</v>
      </c>
      <c r="BO57" s="143"/>
      <c r="BP57" s="140">
        <v>0</v>
      </c>
      <c r="BQ57" s="140"/>
      <c r="BR57" s="143">
        <v>0</v>
      </c>
      <c r="BS57" s="135">
        <v>0</v>
      </c>
      <c r="BT57" s="135">
        <v>0</v>
      </c>
      <c r="BU57" s="135"/>
      <c r="BV57" s="135"/>
      <c r="BW57" s="135">
        <v>0</v>
      </c>
      <c r="BX57" s="143">
        <v>0</v>
      </c>
      <c r="BY57" s="277">
        <v>16228</v>
      </c>
      <c r="BZ57" s="135">
        <v>0</v>
      </c>
      <c r="CA57" s="135">
        <v>9925</v>
      </c>
      <c r="CB57" s="135">
        <v>18</v>
      </c>
      <c r="CC57" s="135">
        <v>16212</v>
      </c>
      <c r="CD57" s="135">
        <v>0</v>
      </c>
      <c r="CE57" s="135">
        <v>0</v>
      </c>
      <c r="CF57" s="135">
        <v>0</v>
      </c>
      <c r="CG57" s="135"/>
      <c r="CH57" s="135">
        <v>0</v>
      </c>
      <c r="CI57" s="135">
        <v>0</v>
      </c>
      <c r="CJ57" s="276">
        <v>42383</v>
      </c>
      <c r="CK57" s="143"/>
      <c r="CL57" s="135">
        <v>0</v>
      </c>
      <c r="CM57" s="143">
        <v>0</v>
      </c>
      <c r="CN57" s="140"/>
      <c r="CO57" s="140"/>
      <c r="CP57" s="143"/>
      <c r="CQ57" s="135"/>
      <c r="CR57" s="135"/>
      <c r="CS57" s="143"/>
      <c r="CT57" s="140">
        <v>2</v>
      </c>
      <c r="CU57" s="143">
        <v>1</v>
      </c>
      <c r="CV57" s="135">
        <v>0</v>
      </c>
      <c r="CW57" s="135">
        <v>0</v>
      </c>
      <c r="CX57" s="143">
        <v>1</v>
      </c>
      <c r="CY57" s="140">
        <v>2</v>
      </c>
      <c r="CZ57" s="140">
        <v>0</v>
      </c>
      <c r="DA57" s="143">
        <v>18</v>
      </c>
      <c r="DB57" s="135"/>
      <c r="DC57" s="135"/>
      <c r="DD57" s="143">
        <v>18</v>
      </c>
      <c r="DE57" s="140">
        <v>143568</v>
      </c>
      <c r="DF57" s="356">
        <f>143568/1534554</f>
        <v>9.3556824979766112E-2</v>
      </c>
    </row>
    <row r="58" spans="2:110" x14ac:dyDescent="0.2">
      <c r="B58" s="138" t="s">
        <v>120</v>
      </c>
      <c r="C58" s="366"/>
      <c r="D58" s="374"/>
      <c r="E58" s="374"/>
      <c r="F58" s="367"/>
      <c r="G58" s="143">
        <v>128</v>
      </c>
      <c r="H58" s="135">
        <v>16</v>
      </c>
      <c r="I58" s="135">
        <v>0</v>
      </c>
      <c r="J58" s="135">
        <v>37</v>
      </c>
      <c r="K58" s="135">
        <v>0</v>
      </c>
      <c r="L58" s="135">
        <v>0</v>
      </c>
      <c r="M58" s="143">
        <v>181</v>
      </c>
      <c r="N58" s="140"/>
      <c r="O58" s="143">
        <v>7439</v>
      </c>
      <c r="P58" s="135">
        <v>0</v>
      </c>
      <c r="Q58" s="135"/>
      <c r="R58" s="143">
        <v>7439</v>
      </c>
      <c r="S58" s="277">
        <v>0</v>
      </c>
      <c r="T58" s="135">
        <v>0</v>
      </c>
      <c r="U58" s="135"/>
      <c r="V58" s="276">
        <v>0</v>
      </c>
      <c r="W58" s="143"/>
      <c r="X58" s="135"/>
      <c r="Y58" s="143"/>
      <c r="Z58" s="277">
        <v>0</v>
      </c>
      <c r="AA58" s="135"/>
      <c r="AB58" s="276">
        <v>0</v>
      </c>
      <c r="AC58" s="143">
        <v>100</v>
      </c>
      <c r="AD58" s="135"/>
      <c r="AE58" s="135">
        <v>2</v>
      </c>
      <c r="AF58" s="135"/>
      <c r="AG58" s="135"/>
      <c r="AH58" s="135"/>
      <c r="AI58" s="135"/>
      <c r="AJ58" s="143">
        <v>102</v>
      </c>
      <c r="AK58" s="140"/>
      <c r="AL58" s="140"/>
      <c r="AM58" s="277"/>
      <c r="AN58" s="135"/>
      <c r="AO58" s="135"/>
      <c r="AP58" s="135"/>
      <c r="AQ58" s="135"/>
      <c r="AR58" s="135"/>
      <c r="AS58" s="135"/>
      <c r="AT58" s="135"/>
      <c r="AU58" s="135"/>
      <c r="AV58" s="135"/>
      <c r="AW58" s="135"/>
      <c r="AX58" s="276"/>
      <c r="AY58" s="143">
        <v>0</v>
      </c>
      <c r="AZ58" s="135">
        <v>2931</v>
      </c>
      <c r="BA58" s="135">
        <v>0</v>
      </c>
      <c r="BB58" s="135">
        <v>0</v>
      </c>
      <c r="BC58" s="135">
        <v>0</v>
      </c>
      <c r="BD58" s="135">
        <v>6</v>
      </c>
      <c r="BE58" s="135"/>
      <c r="BF58" s="135"/>
      <c r="BG58" s="143">
        <v>2937</v>
      </c>
      <c r="BH58" s="277">
        <v>0</v>
      </c>
      <c r="BI58" s="135">
        <v>45</v>
      </c>
      <c r="BJ58" s="135">
        <v>125</v>
      </c>
      <c r="BK58" s="135">
        <v>28</v>
      </c>
      <c r="BL58" s="135"/>
      <c r="BM58" s="135"/>
      <c r="BN58" s="276">
        <v>198</v>
      </c>
      <c r="BO58" s="143"/>
      <c r="BP58" s="140">
        <v>0</v>
      </c>
      <c r="BQ58" s="140"/>
      <c r="BR58" s="143">
        <v>0</v>
      </c>
      <c r="BS58" s="135">
        <v>0</v>
      </c>
      <c r="BT58" s="135">
        <v>0</v>
      </c>
      <c r="BU58" s="135"/>
      <c r="BV58" s="135"/>
      <c r="BW58" s="135"/>
      <c r="BX58" s="143">
        <v>0</v>
      </c>
      <c r="BY58" s="277">
        <v>2391</v>
      </c>
      <c r="BZ58" s="135">
        <v>0</v>
      </c>
      <c r="CA58" s="135">
        <v>771</v>
      </c>
      <c r="CB58" s="135">
        <v>4</v>
      </c>
      <c r="CC58" s="135">
        <v>1136</v>
      </c>
      <c r="CD58" s="135">
        <v>0</v>
      </c>
      <c r="CE58" s="135">
        <v>0</v>
      </c>
      <c r="CF58" s="135">
        <v>0</v>
      </c>
      <c r="CG58" s="135"/>
      <c r="CH58" s="135">
        <v>0</v>
      </c>
      <c r="CI58" s="135"/>
      <c r="CJ58" s="276">
        <v>4302</v>
      </c>
      <c r="CK58" s="143"/>
      <c r="CL58" s="135"/>
      <c r="CM58" s="143"/>
      <c r="CN58" s="140"/>
      <c r="CO58" s="140"/>
      <c r="CP58" s="143"/>
      <c r="CQ58" s="135"/>
      <c r="CR58" s="135"/>
      <c r="CS58" s="143"/>
      <c r="CT58" s="140"/>
      <c r="CU58" s="143"/>
      <c r="CV58" s="135"/>
      <c r="CW58" s="135"/>
      <c r="CX58" s="143"/>
      <c r="CY58" s="140"/>
      <c r="CZ58" s="140">
        <v>0</v>
      </c>
      <c r="DA58" s="143">
        <v>0</v>
      </c>
      <c r="DB58" s="135"/>
      <c r="DC58" s="135"/>
      <c r="DD58" s="143">
        <v>0</v>
      </c>
      <c r="DE58" s="140">
        <v>15159</v>
      </c>
      <c r="DF58" s="356">
        <f>15159/1534554</f>
        <v>9.8784402503919698E-3</v>
      </c>
    </row>
    <row r="59" spans="2:110" x14ac:dyDescent="0.2">
      <c r="B59" s="138" t="s">
        <v>121</v>
      </c>
      <c r="C59" s="366"/>
      <c r="D59" s="374">
        <v>0</v>
      </c>
      <c r="E59" s="374"/>
      <c r="F59" s="367">
        <v>0</v>
      </c>
      <c r="G59" s="143">
        <v>238</v>
      </c>
      <c r="H59" s="135">
        <v>11</v>
      </c>
      <c r="I59" s="135">
        <v>0</v>
      </c>
      <c r="J59" s="135">
        <v>65</v>
      </c>
      <c r="K59" s="135">
        <v>0</v>
      </c>
      <c r="L59" s="135">
        <v>0</v>
      </c>
      <c r="M59" s="143">
        <v>314</v>
      </c>
      <c r="N59" s="140"/>
      <c r="O59" s="143">
        <v>34674</v>
      </c>
      <c r="P59" s="135">
        <v>0</v>
      </c>
      <c r="Q59" s="135"/>
      <c r="R59" s="143">
        <v>34674</v>
      </c>
      <c r="S59" s="277">
        <v>0</v>
      </c>
      <c r="T59" s="135">
        <v>0</v>
      </c>
      <c r="U59" s="135"/>
      <c r="V59" s="276">
        <v>0</v>
      </c>
      <c r="W59" s="143"/>
      <c r="X59" s="135"/>
      <c r="Y59" s="143"/>
      <c r="Z59" s="277">
        <v>10</v>
      </c>
      <c r="AA59" s="135"/>
      <c r="AB59" s="276">
        <v>10</v>
      </c>
      <c r="AC59" s="143">
        <v>114</v>
      </c>
      <c r="AD59" s="135">
        <v>0</v>
      </c>
      <c r="AE59" s="135">
        <v>19</v>
      </c>
      <c r="AF59" s="135"/>
      <c r="AG59" s="135"/>
      <c r="AH59" s="135"/>
      <c r="AI59" s="135"/>
      <c r="AJ59" s="143">
        <v>133</v>
      </c>
      <c r="AK59" s="140"/>
      <c r="AL59" s="140"/>
      <c r="AM59" s="277"/>
      <c r="AN59" s="135"/>
      <c r="AO59" s="135"/>
      <c r="AP59" s="135"/>
      <c r="AQ59" s="135"/>
      <c r="AR59" s="135"/>
      <c r="AS59" s="135"/>
      <c r="AT59" s="135"/>
      <c r="AU59" s="135">
        <v>0</v>
      </c>
      <c r="AV59" s="135"/>
      <c r="AW59" s="135"/>
      <c r="AX59" s="276">
        <v>0</v>
      </c>
      <c r="AY59" s="143">
        <v>0</v>
      </c>
      <c r="AZ59" s="135">
        <v>9507</v>
      </c>
      <c r="BA59" s="135">
        <v>0</v>
      </c>
      <c r="BB59" s="135">
        <v>0</v>
      </c>
      <c r="BC59" s="135"/>
      <c r="BD59" s="135">
        <v>122</v>
      </c>
      <c r="BE59" s="135">
        <v>0</v>
      </c>
      <c r="BF59" s="135">
        <v>0</v>
      </c>
      <c r="BG59" s="143">
        <v>9629</v>
      </c>
      <c r="BH59" s="277">
        <v>0</v>
      </c>
      <c r="BI59" s="135">
        <v>89</v>
      </c>
      <c r="BJ59" s="135">
        <v>1762</v>
      </c>
      <c r="BK59" s="135">
        <v>33</v>
      </c>
      <c r="BL59" s="135">
        <v>0</v>
      </c>
      <c r="BM59" s="135"/>
      <c r="BN59" s="276">
        <v>1884</v>
      </c>
      <c r="BO59" s="143"/>
      <c r="BP59" s="140">
        <v>0</v>
      </c>
      <c r="BQ59" s="140"/>
      <c r="BR59" s="143">
        <v>0</v>
      </c>
      <c r="BS59" s="135">
        <v>0</v>
      </c>
      <c r="BT59" s="135"/>
      <c r="BU59" s="135"/>
      <c r="BV59" s="135"/>
      <c r="BW59" s="135"/>
      <c r="BX59" s="143">
        <v>0</v>
      </c>
      <c r="BY59" s="277">
        <v>196</v>
      </c>
      <c r="BZ59" s="135">
        <v>0</v>
      </c>
      <c r="CA59" s="135">
        <v>382</v>
      </c>
      <c r="CB59" s="135">
        <v>0</v>
      </c>
      <c r="CC59" s="135">
        <v>1201</v>
      </c>
      <c r="CD59" s="135">
        <v>0</v>
      </c>
      <c r="CE59" s="135">
        <v>0</v>
      </c>
      <c r="CF59" s="135">
        <v>0</v>
      </c>
      <c r="CG59" s="135"/>
      <c r="CH59" s="135">
        <v>0</v>
      </c>
      <c r="CI59" s="135">
        <v>0</v>
      </c>
      <c r="CJ59" s="276">
        <v>1779</v>
      </c>
      <c r="CK59" s="143"/>
      <c r="CL59" s="135"/>
      <c r="CM59" s="143"/>
      <c r="CN59" s="140"/>
      <c r="CO59" s="140"/>
      <c r="CP59" s="143"/>
      <c r="CQ59" s="135"/>
      <c r="CR59" s="135"/>
      <c r="CS59" s="143"/>
      <c r="CT59" s="140"/>
      <c r="CU59" s="143"/>
      <c r="CV59" s="135"/>
      <c r="CW59" s="135"/>
      <c r="CX59" s="143"/>
      <c r="CY59" s="140"/>
      <c r="CZ59" s="140">
        <v>0</v>
      </c>
      <c r="DA59" s="143">
        <v>0</v>
      </c>
      <c r="DB59" s="135"/>
      <c r="DC59" s="135"/>
      <c r="DD59" s="143">
        <v>0</v>
      </c>
      <c r="DE59" s="140">
        <v>48423</v>
      </c>
      <c r="DF59" s="356">
        <f>48423/1534554</f>
        <v>3.1555096790337779E-2</v>
      </c>
    </row>
    <row r="60" spans="2:110" x14ac:dyDescent="0.2">
      <c r="B60" s="138" t="s">
        <v>123</v>
      </c>
      <c r="C60" s="366"/>
      <c r="D60" s="374"/>
      <c r="E60" s="374">
        <v>0</v>
      </c>
      <c r="F60" s="367">
        <v>0</v>
      </c>
      <c r="G60" s="143">
        <v>28</v>
      </c>
      <c r="H60" s="135">
        <v>0</v>
      </c>
      <c r="I60" s="135"/>
      <c r="J60" s="135">
        <v>20</v>
      </c>
      <c r="K60" s="135">
        <v>0</v>
      </c>
      <c r="L60" s="135">
        <v>0</v>
      </c>
      <c r="M60" s="143">
        <v>48</v>
      </c>
      <c r="N60" s="140"/>
      <c r="O60" s="143">
        <v>1612</v>
      </c>
      <c r="P60" s="135">
        <v>0</v>
      </c>
      <c r="Q60" s="135"/>
      <c r="R60" s="143">
        <v>1612</v>
      </c>
      <c r="S60" s="277">
        <v>0</v>
      </c>
      <c r="T60" s="135"/>
      <c r="U60" s="135"/>
      <c r="V60" s="276">
        <v>0</v>
      </c>
      <c r="W60" s="143"/>
      <c r="X60" s="135"/>
      <c r="Y60" s="143"/>
      <c r="Z60" s="277">
        <v>0</v>
      </c>
      <c r="AA60" s="135"/>
      <c r="AB60" s="276">
        <v>0</v>
      </c>
      <c r="AC60" s="143">
        <v>43</v>
      </c>
      <c r="AD60" s="135"/>
      <c r="AE60" s="135"/>
      <c r="AF60" s="135"/>
      <c r="AG60" s="135"/>
      <c r="AH60" s="135"/>
      <c r="AI60" s="135"/>
      <c r="AJ60" s="143">
        <v>43</v>
      </c>
      <c r="AK60" s="140"/>
      <c r="AL60" s="140"/>
      <c r="AM60" s="277"/>
      <c r="AN60" s="135">
        <v>0</v>
      </c>
      <c r="AO60" s="135"/>
      <c r="AP60" s="135"/>
      <c r="AQ60" s="135"/>
      <c r="AR60" s="135"/>
      <c r="AS60" s="135"/>
      <c r="AT60" s="135"/>
      <c r="AU60" s="135"/>
      <c r="AV60" s="135"/>
      <c r="AW60" s="135"/>
      <c r="AX60" s="276">
        <v>0</v>
      </c>
      <c r="AY60" s="143"/>
      <c r="AZ60" s="135">
        <v>502</v>
      </c>
      <c r="BA60" s="135">
        <v>0</v>
      </c>
      <c r="BB60" s="135">
        <v>0</v>
      </c>
      <c r="BC60" s="135">
        <v>0</v>
      </c>
      <c r="BD60" s="135">
        <v>0</v>
      </c>
      <c r="BE60" s="135">
        <v>0</v>
      </c>
      <c r="BF60" s="135"/>
      <c r="BG60" s="143">
        <v>502</v>
      </c>
      <c r="BH60" s="277">
        <v>0</v>
      </c>
      <c r="BI60" s="135">
        <v>15</v>
      </c>
      <c r="BJ60" s="135">
        <v>96</v>
      </c>
      <c r="BK60" s="135">
        <v>17</v>
      </c>
      <c r="BL60" s="135"/>
      <c r="BM60" s="135"/>
      <c r="BN60" s="276">
        <v>128</v>
      </c>
      <c r="BO60" s="143"/>
      <c r="BP60" s="140">
        <v>0</v>
      </c>
      <c r="BQ60" s="140"/>
      <c r="BR60" s="143">
        <v>0</v>
      </c>
      <c r="BS60" s="135">
        <v>0</v>
      </c>
      <c r="BT60" s="135">
        <v>0</v>
      </c>
      <c r="BU60" s="135"/>
      <c r="BV60" s="135"/>
      <c r="BW60" s="135"/>
      <c r="BX60" s="143">
        <v>0</v>
      </c>
      <c r="BY60" s="277">
        <v>562</v>
      </c>
      <c r="BZ60" s="135">
        <v>0</v>
      </c>
      <c r="CA60" s="135">
        <v>757</v>
      </c>
      <c r="CB60" s="135">
        <v>0</v>
      </c>
      <c r="CC60" s="135">
        <v>216</v>
      </c>
      <c r="CD60" s="135">
        <v>0</v>
      </c>
      <c r="CE60" s="135">
        <v>0</v>
      </c>
      <c r="CF60" s="135">
        <v>0</v>
      </c>
      <c r="CG60" s="135"/>
      <c r="CH60" s="135">
        <v>0</v>
      </c>
      <c r="CI60" s="135">
        <v>0</v>
      </c>
      <c r="CJ60" s="276">
        <v>1535</v>
      </c>
      <c r="CK60" s="143"/>
      <c r="CL60" s="135">
        <v>0</v>
      </c>
      <c r="CM60" s="143">
        <v>0</v>
      </c>
      <c r="CN60" s="140"/>
      <c r="CO60" s="140"/>
      <c r="CP60" s="143"/>
      <c r="CQ60" s="135"/>
      <c r="CR60" s="135"/>
      <c r="CS60" s="143"/>
      <c r="CT60" s="140"/>
      <c r="CU60" s="143"/>
      <c r="CV60" s="135"/>
      <c r="CW60" s="135"/>
      <c r="CX60" s="143"/>
      <c r="CY60" s="140">
        <v>0</v>
      </c>
      <c r="CZ60" s="140">
        <v>0</v>
      </c>
      <c r="DA60" s="143">
        <v>0</v>
      </c>
      <c r="DB60" s="135"/>
      <c r="DC60" s="135"/>
      <c r="DD60" s="143">
        <v>0</v>
      </c>
      <c r="DE60" s="140">
        <v>3868</v>
      </c>
      <c r="DF60" s="356">
        <f>3868/1534554</f>
        <v>2.5206020772159205E-3</v>
      </c>
    </row>
    <row r="61" spans="2:110" x14ac:dyDescent="0.2">
      <c r="B61" s="138" t="s">
        <v>124</v>
      </c>
      <c r="C61" s="366"/>
      <c r="D61" s="374"/>
      <c r="E61" s="374"/>
      <c r="F61" s="367"/>
      <c r="G61" s="143">
        <v>108</v>
      </c>
      <c r="H61" s="135">
        <v>21</v>
      </c>
      <c r="I61" s="135">
        <v>0</v>
      </c>
      <c r="J61" s="135">
        <v>58</v>
      </c>
      <c r="K61" s="135">
        <v>0</v>
      </c>
      <c r="L61" s="135"/>
      <c r="M61" s="143">
        <v>187</v>
      </c>
      <c r="N61" s="140"/>
      <c r="O61" s="143">
        <v>2578</v>
      </c>
      <c r="P61" s="135">
        <v>0</v>
      </c>
      <c r="Q61" s="135"/>
      <c r="R61" s="143">
        <v>2578</v>
      </c>
      <c r="S61" s="277">
        <v>0</v>
      </c>
      <c r="T61" s="135"/>
      <c r="U61" s="135"/>
      <c r="V61" s="276">
        <v>0</v>
      </c>
      <c r="W61" s="143"/>
      <c r="X61" s="135"/>
      <c r="Y61" s="143"/>
      <c r="Z61" s="277"/>
      <c r="AA61" s="135"/>
      <c r="AB61" s="276"/>
      <c r="AC61" s="143">
        <v>63</v>
      </c>
      <c r="AD61" s="135">
        <v>0</v>
      </c>
      <c r="AE61" s="135">
        <v>78</v>
      </c>
      <c r="AF61" s="135"/>
      <c r="AG61" s="135"/>
      <c r="AH61" s="135"/>
      <c r="AI61" s="135"/>
      <c r="AJ61" s="143">
        <v>141</v>
      </c>
      <c r="AK61" s="140"/>
      <c r="AL61" s="140"/>
      <c r="AM61" s="277"/>
      <c r="AN61" s="135"/>
      <c r="AO61" s="135"/>
      <c r="AP61" s="135"/>
      <c r="AQ61" s="135"/>
      <c r="AR61" s="135"/>
      <c r="AS61" s="135"/>
      <c r="AT61" s="135"/>
      <c r="AU61" s="135"/>
      <c r="AV61" s="135"/>
      <c r="AW61" s="135"/>
      <c r="AX61" s="276"/>
      <c r="AY61" s="143"/>
      <c r="AZ61" s="135">
        <v>5385</v>
      </c>
      <c r="BA61" s="135"/>
      <c r="BB61" s="135">
        <v>0</v>
      </c>
      <c r="BC61" s="135"/>
      <c r="BD61" s="135">
        <v>15</v>
      </c>
      <c r="BE61" s="135">
        <v>0</v>
      </c>
      <c r="BF61" s="135"/>
      <c r="BG61" s="143">
        <v>5400</v>
      </c>
      <c r="BH61" s="277">
        <v>0</v>
      </c>
      <c r="BI61" s="135">
        <v>36</v>
      </c>
      <c r="BJ61" s="135">
        <v>418</v>
      </c>
      <c r="BK61" s="135">
        <v>82</v>
      </c>
      <c r="BL61" s="135">
        <v>0</v>
      </c>
      <c r="BM61" s="135"/>
      <c r="BN61" s="276">
        <v>536</v>
      </c>
      <c r="BO61" s="143"/>
      <c r="BP61" s="140"/>
      <c r="BQ61" s="140"/>
      <c r="BR61" s="143">
        <v>0</v>
      </c>
      <c r="BS61" s="135">
        <v>0</v>
      </c>
      <c r="BT61" s="135"/>
      <c r="BU61" s="135"/>
      <c r="BV61" s="135"/>
      <c r="BW61" s="135"/>
      <c r="BX61" s="143">
        <v>0</v>
      </c>
      <c r="BY61" s="277">
        <v>1260</v>
      </c>
      <c r="BZ61" s="135">
        <v>0</v>
      </c>
      <c r="CA61" s="135">
        <v>274</v>
      </c>
      <c r="CB61" s="135">
        <v>0</v>
      </c>
      <c r="CC61" s="135">
        <v>961</v>
      </c>
      <c r="CD61" s="135">
        <v>0</v>
      </c>
      <c r="CE61" s="135">
        <v>0</v>
      </c>
      <c r="CF61" s="135">
        <v>0</v>
      </c>
      <c r="CG61" s="135"/>
      <c r="CH61" s="135">
        <v>0</v>
      </c>
      <c r="CI61" s="135"/>
      <c r="CJ61" s="276">
        <v>2495</v>
      </c>
      <c r="CK61" s="143"/>
      <c r="CL61" s="135"/>
      <c r="CM61" s="143"/>
      <c r="CN61" s="140"/>
      <c r="CO61" s="140"/>
      <c r="CP61" s="143"/>
      <c r="CQ61" s="135"/>
      <c r="CR61" s="135"/>
      <c r="CS61" s="143"/>
      <c r="CT61" s="140"/>
      <c r="CU61" s="143"/>
      <c r="CV61" s="135"/>
      <c r="CW61" s="135"/>
      <c r="CX61" s="143"/>
      <c r="CY61" s="140">
        <v>0</v>
      </c>
      <c r="CZ61" s="140"/>
      <c r="DA61" s="143"/>
      <c r="DB61" s="135"/>
      <c r="DC61" s="135"/>
      <c r="DD61" s="143"/>
      <c r="DE61" s="140">
        <v>11337</v>
      </c>
      <c r="DF61" s="356">
        <f>11337/1534554</f>
        <v>7.3878143095648637E-3</v>
      </c>
    </row>
    <row r="62" spans="2:110" x14ac:dyDescent="0.2">
      <c r="B62" s="138" t="s">
        <v>125</v>
      </c>
      <c r="C62" s="366">
        <v>0</v>
      </c>
      <c r="D62" s="374">
        <v>0</v>
      </c>
      <c r="E62" s="374"/>
      <c r="F62" s="367">
        <v>0</v>
      </c>
      <c r="G62" s="143">
        <v>407</v>
      </c>
      <c r="H62" s="135">
        <v>10</v>
      </c>
      <c r="I62" s="135">
        <v>0</v>
      </c>
      <c r="J62" s="135">
        <v>20</v>
      </c>
      <c r="K62" s="135">
        <v>0</v>
      </c>
      <c r="L62" s="135">
        <v>0</v>
      </c>
      <c r="M62" s="143">
        <v>437</v>
      </c>
      <c r="N62" s="140"/>
      <c r="O62" s="143">
        <v>45245</v>
      </c>
      <c r="P62" s="135">
        <v>0</v>
      </c>
      <c r="Q62" s="135"/>
      <c r="R62" s="143">
        <v>45245</v>
      </c>
      <c r="S62" s="277">
        <v>0</v>
      </c>
      <c r="T62" s="135"/>
      <c r="U62" s="135"/>
      <c r="V62" s="276">
        <v>0</v>
      </c>
      <c r="W62" s="143"/>
      <c r="X62" s="135">
        <v>1</v>
      </c>
      <c r="Y62" s="143">
        <v>1</v>
      </c>
      <c r="Z62" s="277">
        <v>5</v>
      </c>
      <c r="AA62" s="135"/>
      <c r="AB62" s="276">
        <v>5</v>
      </c>
      <c r="AC62" s="143">
        <v>117</v>
      </c>
      <c r="AD62" s="135">
        <v>0</v>
      </c>
      <c r="AE62" s="135">
        <v>73</v>
      </c>
      <c r="AF62" s="135">
        <v>0</v>
      </c>
      <c r="AG62" s="135"/>
      <c r="AH62" s="135"/>
      <c r="AI62" s="135"/>
      <c r="AJ62" s="143">
        <v>190</v>
      </c>
      <c r="AK62" s="140"/>
      <c r="AL62" s="140">
        <v>0</v>
      </c>
      <c r="AM62" s="277"/>
      <c r="AN62" s="135">
        <v>0</v>
      </c>
      <c r="AO62" s="135">
        <v>0</v>
      </c>
      <c r="AP62" s="135"/>
      <c r="AQ62" s="135">
        <v>0</v>
      </c>
      <c r="AR62" s="135"/>
      <c r="AS62" s="135"/>
      <c r="AT62" s="135">
        <v>0</v>
      </c>
      <c r="AU62" s="135">
        <v>0</v>
      </c>
      <c r="AV62" s="135">
        <v>0</v>
      </c>
      <c r="AW62" s="135">
        <v>0</v>
      </c>
      <c r="AX62" s="276">
        <v>0</v>
      </c>
      <c r="AY62" s="143">
        <v>0</v>
      </c>
      <c r="AZ62" s="135">
        <v>45859</v>
      </c>
      <c r="BA62" s="135">
        <v>0</v>
      </c>
      <c r="BB62" s="135">
        <v>0</v>
      </c>
      <c r="BC62" s="135">
        <v>0</v>
      </c>
      <c r="BD62" s="135">
        <v>18</v>
      </c>
      <c r="BE62" s="135">
        <v>0</v>
      </c>
      <c r="BF62" s="135">
        <v>0</v>
      </c>
      <c r="BG62" s="143">
        <v>45877</v>
      </c>
      <c r="BH62" s="277">
        <v>0</v>
      </c>
      <c r="BI62" s="135">
        <v>61</v>
      </c>
      <c r="BJ62" s="135">
        <v>7884</v>
      </c>
      <c r="BK62" s="135">
        <v>35</v>
      </c>
      <c r="BL62" s="135">
        <v>0</v>
      </c>
      <c r="BM62" s="135">
        <v>0</v>
      </c>
      <c r="BN62" s="276">
        <v>7980</v>
      </c>
      <c r="BO62" s="143"/>
      <c r="BP62" s="140">
        <v>0</v>
      </c>
      <c r="BQ62" s="140"/>
      <c r="BR62" s="143">
        <v>0</v>
      </c>
      <c r="BS62" s="135">
        <v>0</v>
      </c>
      <c r="BT62" s="135"/>
      <c r="BU62" s="135"/>
      <c r="BV62" s="135"/>
      <c r="BW62" s="135"/>
      <c r="BX62" s="143">
        <v>0</v>
      </c>
      <c r="BY62" s="277">
        <v>7888</v>
      </c>
      <c r="BZ62" s="135">
        <v>0</v>
      </c>
      <c r="CA62" s="135">
        <v>1535</v>
      </c>
      <c r="CB62" s="135">
        <v>1</v>
      </c>
      <c r="CC62" s="135">
        <v>6991</v>
      </c>
      <c r="CD62" s="135">
        <v>0</v>
      </c>
      <c r="CE62" s="135">
        <v>0</v>
      </c>
      <c r="CF62" s="135">
        <v>0</v>
      </c>
      <c r="CG62" s="135"/>
      <c r="CH62" s="135">
        <v>0</v>
      </c>
      <c r="CI62" s="135">
        <v>0</v>
      </c>
      <c r="CJ62" s="276">
        <v>16415</v>
      </c>
      <c r="CK62" s="143"/>
      <c r="CL62" s="135"/>
      <c r="CM62" s="143"/>
      <c r="CN62" s="140"/>
      <c r="CO62" s="140"/>
      <c r="CP62" s="143"/>
      <c r="CQ62" s="135">
        <v>0</v>
      </c>
      <c r="CR62" s="135">
        <v>1</v>
      </c>
      <c r="CS62" s="143">
        <v>1</v>
      </c>
      <c r="CT62" s="140">
        <v>10</v>
      </c>
      <c r="CU62" s="143">
        <v>18</v>
      </c>
      <c r="CV62" s="135">
        <v>0</v>
      </c>
      <c r="CW62" s="135"/>
      <c r="CX62" s="143">
        <v>18</v>
      </c>
      <c r="CY62" s="140"/>
      <c r="CZ62" s="140">
        <v>0</v>
      </c>
      <c r="DA62" s="143">
        <v>6</v>
      </c>
      <c r="DB62" s="135">
        <v>0</v>
      </c>
      <c r="DC62" s="135"/>
      <c r="DD62" s="143">
        <v>6</v>
      </c>
      <c r="DE62" s="140">
        <v>116185</v>
      </c>
      <c r="DF62" s="356">
        <f>116185/1534554</f>
        <v>7.5712552311616277E-2</v>
      </c>
    </row>
    <row r="63" spans="2:110" x14ac:dyDescent="0.2">
      <c r="B63" s="138" t="s">
        <v>126</v>
      </c>
      <c r="C63" s="366"/>
      <c r="D63" s="374"/>
      <c r="E63" s="374"/>
      <c r="F63" s="367"/>
      <c r="G63" s="143">
        <v>4</v>
      </c>
      <c r="H63" s="135">
        <v>0</v>
      </c>
      <c r="I63" s="135">
        <v>0</v>
      </c>
      <c r="J63" s="135">
        <v>12</v>
      </c>
      <c r="K63" s="135"/>
      <c r="L63" s="135"/>
      <c r="M63" s="143">
        <v>16</v>
      </c>
      <c r="N63" s="140"/>
      <c r="O63" s="143">
        <v>308</v>
      </c>
      <c r="P63" s="135"/>
      <c r="Q63" s="135"/>
      <c r="R63" s="143">
        <v>308</v>
      </c>
      <c r="S63" s="277">
        <v>0</v>
      </c>
      <c r="T63" s="135"/>
      <c r="U63" s="135"/>
      <c r="V63" s="276">
        <v>0</v>
      </c>
      <c r="W63" s="143"/>
      <c r="X63" s="135"/>
      <c r="Y63" s="143"/>
      <c r="Z63" s="277"/>
      <c r="AA63" s="135"/>
      <c r="AB63" s="276"/>
      <c r="AC63" s="143">
        <v>7</v>
      </c>
      <c r="AD63" s="135"/>
      <c r="AE63" s="135"/>
      <c r="AF63" s="135"/>
      <c r="AG63" s="135"/>
      <c r="AH63" s="135"/>
      <c r="AI63" s="135"/>
      <c r="AJ63" s="143">
        <v>7</v>
      </c>
      <c r="AK63" s="140"/>
      <c r="AL63" s="140"/>
      <c r="AM63" s="277"/>
      <c r="AN63" s="135"/>
      <c r="AO63" s="135"/>
      <c r="AP63" s="135"/>
      <c r="AQ63" s="135"/>
      <c r="AR63" s="135"/>
      <c r="AS63" s="135"/>
      <c r="AT63" s="135"/>
      <c r="AU63" s="135"/>
      <c r="AV63" s="135"/>
      <c r="AW63" s="135"/>
      <c r="AX63" s="276"/>
      <c r="AY63" s="143"/>
      <c r="AZ63" s="135">
        <v>116</v>
      </c>
      <c r="BA63" s="135"/>
      <c r="BB63" s="135"/>
      <c r="BC63" s="135"/>
      <c r="BD63" s="135">
        <v>0</v>
      </c>
      <c r="BE63" s="135"/>
      <c r="BF63" s="135"/>
      <c r="BG63" s="143">
        <v>116</v>
      </c>
      <c r="BH63" s="277"/>
      <c r="BI63" s="135">
        <v>0</v>
      </c>
      <c r="BJ63" s="135">
        <v>29</v>
      </c>
      <c r="BK63" s="135"/>
      <c r="BL63" s="135"/>
      <c r="BM63" s="135"/>
      <c r="BN63" s="276">
        <v>29</v>
      </c>
      <c r="BO63" s="143"/>
      <c r="BP63" s="140"/>
      <c r="BQ63" s="140"/>
      <c r="BR63" s="143"/>
      <c r="BS63" s="135"/>
      <c r="BT63" s="135"/>
      <c r="BU63" s="135"/>
      <c r="BV63" s="135"/>
      <c r="BW63" s="135"/>
      <c r="BX63" s="143"/>
      <c r="BY63" s="277">
        <v>3</v>
      </c>
      <c r="BZ63" s="135">
        <v>0</v>
      </c>
      <c r="CA63" s="135">
        <v>11</v>
      </c>
      <c r="CB63" s="135">
        <v>0</v>
      </c>
      <c r="CC63" s="135">
        <v>11</v>
      </c>
      <c r="CD63" s="135">
        <v>0</v>
      </c>
      <c r="CE63" s="135"/>
      <c r="CF63" s="135"/>
      <c r="CG63" s="135"/>
      <c r="CH63" s="135"/>
      <c r="CI63" s="135"/>
      <c r="CJ63" s="276">
        <v>25</v>
      </c>
      <c r="CK63" s="143"/>
      <c r="CL63" s="135"/>
      <c r="CM63" s="143"/>
      <c r="CN63" s="140"/>
      <c r="CO63" s="140"/>
      <c r="CP63" s="143"/>
      <c r="CQ63" s="135"/>
      <c r="CR63" s="135"/>
      <c r="CS63" s="143"/>
      <c r="CT63" s="140"/>
      <c r="CU63" s="143"/>
      <c r="CV63" s="135"/>
      <c r="CW63" s="135"/>
      <c r="CX63" s="143"/>
      <c r="CY63" s="140"/>
      <c r="CZ63" s="140">
        <v>0</v>
      </c>
      <c r="DA63" s="143"/>
      <c r="DB63" s="135"/>
      <c r="DC63" s="135"/>
      <c r="DD63" s="143"/>
      <c r="DE63" s="140">
        <v>501</v>
      </c>
      <c r="DF63" s="356">
        <f>501/1534554</f>
        <v>3.2647922458251715E-4</v>
      </c>
    </row>
    <row r="64" spans="2:110" x14ac:dyDescent="0.2">
      <c r="B64" s="138" t="s">
        <v>159</v>
      </c>
      <c r="C64" s="366"/>
      <c r="D64" s="374"/>
      <c r="E64" s="374"/>
      <c r="F64" s="367"/>
      <c r="G64" s="143">
        <v>8</v>
      </c>
      <c r="H64" s="135">
        <v>0</v>
      </c>
      <c r="I64" s="135"/>
      <c r="J64" s="135">
        <v>22</v>
      </c>
      <c r="K64" s="135"/>
      <c r="L64" s="135"/>
      <c r="M64" s="143">
        <v>30</v>
      </c>
      <c r="N64" s="140"/>
      <c r="O64" s="143">
        <v>716</v>
      </c>
      <c r="P64" s="135"/>
      <c r="Q64" s="135"/>
      <c r="R64" s="143">
        <v>716</v>
      </c>
      <c r="S64" s="277">
        <v>0</v>
      </c>
      <c r="T64" s="135"/>
      <c r="U64" s="135"/>
      <c r="V64" s="276">
        <v>0</v>
      </c>
      <c r="W64" s="143"/>
      <c r="X64" s="135">
        <v>1</v>
      </c>
      <c r="Y64" s="143">
        <v>1</v>
      </c>
      <c r="Z64" s="277"/>
      <c r="AA64" s="135"/>
      <c r="AB64" s="276"/>
      <c r="AC64" s="143">
        <v>6</v>
      </c>
      <c r="AD64" s="135"/>
      <c r="AE64" s="135"/>
      <c r="AF64" s="135"/>
      <c r="AG64" s="135"/>
      <c r="AH64" s="135"/>
      <c r="AI64" s="135"/>
      <c r="AJ64" s="143">
        <v>6</v>
      </c>
      <c r="AK64" s="140"/>
      <c r="AL64" s="140"/>
      <c r="AM64" s="277"/>
      <c r="AN64" s="135"/>
      <c r="AO64" s="135"/>
      <c r="AP64" s="135"/>
      <c r="AQ64" s="135"/>
      <c r="AR64" s="135"/>
      <c r="AS64" s="135"/>
      <c r="AT64" s="135"/>
      <c r="AU64" s="135"/>
      <c r="AV64" s="135"/>
      <c r="AW64" s="135"/>
      <c r="AX64" s="276"/>
      <c r="AY64" s="143"/>
      <c r="AZ64" s="135">
        <v>160</v>
      </c>
      <c r="BA64" s="135"/>
      <c r="BB64" s="135"/>
      <c r="BC64" s="135"/>
      <c r="BD64" s="135">
        <v>2</v>
      </c>
      <c r="BE64" s="135"/>
      <c r="BF64" s="135"/>
      <c r="BG64" s="143">
        <v>162</v>
      </c>
      <c r="BH64" s="277"/>
      <c r="BI64" s="135">
        <v>9</v>
      </c>
      <c r="BJ64" s="135">
        <v>35</v>
      </c>
      <c r="BK64" s="135">
        <v>2</v>
      </c>
      <c r="BL64" s="135"/>
      <c r="BM64" s="135"/>
      <c r="BN64" s="276">
        <v>46</v>
      </c>
      <c r="BO64" s="143"/>
      <c r="BP64" s="140"/>
      <c r="BQ64" s="140"/>
      <c r="BR64" s="143"/>
      <c r="BS64" s="135">
        <v>0</v>
      </c>
      <c r="BT64" s="135"/>
      <c r="BU64" s="135"/>
      <c r="BV64" s="135"/>
      <c r="BW64" s="135"/>
      <c r="BX64" s="143">
        <v>0</v>
      </c>
      <c r="BY64" s="277">
        <v>57</v>
      </c>
      <c r="BZ64" s="135">
        <v>0</v>
      </c>
      <c r="CA64" s="135">
        <v>34</v>
      </c>
      <c r="CB64" s="135">
        <v>0</v>
      </c>
      <c r="CC64" s="135">
        <v>91</v>
      </c>
      <c r="CD64" s="135">
        <v>0</v>
      </c>
      <c r="CE64" s="135">
        <v>0</v>
      </c>
      <c r="CF64" s="135">
        <v>0</v>
      </c>
      <c r="CG64" s="135"/>
      <c r="CH64" s="135"/>
      <c r="CI64" s="135"/>
      <c r="CJ64" s="276">
        <v>182</v>
      </c>
      <c r="CK64" s="143"/>
      <c r="CL64" s="135">
        <v>0</v>
      </c>
      <c r="CM64" s="143">
        <v>0</v>
      </c>
      <c r="CN64" s="140"/>
      <c r="CO64" s="140"/>
      <c r="CP64" s="143"/>
      <c r="CQ64" s="135"/>
      <c r="CR64" s="135"/>
      <c r="CS64" s="143"/>
      <c r="CT64" s="140"/>
      <c r="CU64" s="143"/>
      <c r="CV64" s="135"/>
      <c r="CW64" s="135"/>
      <c r="CX64" s="143"/>
      <c r="CY64" s="140">
        <v>1</v>
      </c>
      <c r="CZ64" s="140"/>
      <c r="DA64" s="143"/>
      <c r="DB64" s="135"/>
      <c r="DC64" s="135"/>
      <c r="DD64" s="143"/>
      <c r="DE64" s="140">
        <v>1144</v>
      </c>
      <c r="DF64" s="356">
        <f>1144/1534554</f>
        <v>7.4549347888702515E-4</v>
      </c>
    </row>
    <row r="65" spans="2:110" x14ac:dyDescent="0.2">
      <c r="B65" s="138" t="s">
        <v>160</v>
      </c>
      <c r="C65" s="366">
        <v>0</v>
      </c>
      <c r="D65" s="374"/>
      <c r="E65" s="374"/>
      <c r="F65" s="367">
        <v>0</v>
      </c>
      <c r="G65" s="143">
        <v>67</v>
      </c>
      <c r="H65" s="135">
        <v>7</v>
      </c>
      <c r="I65" s="135">
        <v>0</v>
      </c>
      <c r="J65" s="135">
        <v>12</v>
      </c>
      <c r="K65" s="135"/>
      <c r="L65" s="135"/>
      <c r="M65" s="143">
        <v>86</v>
      </c>
      <c r="N65" s="140"/>
      <c r="O65" s="143">
        <v>2061</v>
      </c>
      <c r="P65" s="135">
        <v>0</v>
      </c>
      <c r="Q65" s="135"/>
      <c r="R65" s="143">
        <v>2061</v>
      </c>
      <c r="S65" s="277">
        <v>0</v>
      </c>
      <c r="T65" s="135"/>
      <c r="U65" s="135"/>
      <c r="V65" s="276">
        <v>0</v>
      </c>
      <c r="W65" s="143"/>
      <c r="X65" s="135"/>
      <c r="Y65" s="143"/>
      <c r="Z65" s="277">
        <v>0</v>
      </c>
      <c r="AA65" s="135"/>
      <c r="AB65" s="276">
        <v>0</v>
      </c>
      <c r="AC65" s="143">
        <v>2</v>
      </c>
      <c r="AD65" s="135">
        <v>0</v>
      </c>
      <c r="AE65" s="135">
        <v>5</v>
      </c>
      <c r="AF65" s="135"/>
      <c r="AG65" s="135"/>
      <c r="AH65" s="135"/>
      <c r="AI65" s="135"/>
      <c r="AJ65" s="143">
        <v>7</v>
      </c>
      <c r="AK65" s="140"/>
      <c r="AL65" s="140"/>
      <c r="AM65" s="277"/>
      <c r="AN65" s="135"/>
      <c r="AO65" s="135"/>
      <c r="AP65" s="135"/>
      <c r="AQ65" s="135"/>
      <c r="AR65" s="135"/>
      <c r="AS65" s="135"/>
      <c r="AT65" s="135"/>
      <c r="AU65" s="135"/>
      <c r="AV65" s="135"/>
      <c r="AW65" s="135"/>
      <c r="AX65" s="276"/>
      <c r="AY65" s="143">
        <v>0</v>
      </c>
      <c r="AZ65" s="135">
        <v>1278</v>
      </c>
      <c r="BA65" s="135"/>
      <c r="BB65" s="135">
        <v>0</v>
      </c>
      <c r="BC65" s="135"/>
      <c r="BD65" s="135">
        <v>3</v>
      </c>
      <c r="BE65" s="135">
        <v>0</v>
      </c>
      <c r="BF65" s="135"/>
      <c r="BG65" s="143">
        <v>1281</v>
      </c>
      <c r="BH65" s="277">
        <v>0</v>
      </c>
      <c r="BI65" s="135">
        <v>7</v>
      </c>
      <c r="BJ65" s="135">
        <v>82</v>
      </c>
      <c r="BK65" s="135">
        <v>1</v>
      </c>
      <c r="BL65" s="135"/>
      <c r="BM65" s="135">
        <v>0</v>
      </c>
      <c r="BN65" s="276">
        <v>90</v>
      </c>
      <c r="BO65" s="143"/>
      <c r="BP65" s="140"/>
      <c r="BQ65" s="140"/>
      <c r="BR65" s="143">
        <v>0</v>
      </c>
      <c r="BS65" s="135">
        <v>0</v>
      </c>
      <c r="BT65" s="135"/>
      <c r="BU65" s="135"/>
      <c r="BV65" s="135"/>
      <c r="BW65" s="135"/>
      <c r="BX65" s="143">
        <v>0</v>
      </c>
      <c r="BY65" s="277">
        <v>202</v>
      </c>
      <c r="BZ65" s="135">
        <v>0</v>
      </c>
      <c r="CA65" s="135">
        <v>938</v>
      </c>
      <c r="CB65" s="135">
        <v>0</v>
      </c>
      <c r="CC65" s="135">
        <v>154</v>
      </c>
      <c r="CD65" s="135">
        <v>0</v>
      </c>
      <c r="CE65" s="135">
        <v>0</v>
      </c>
      <c r="CF65" s="135">
        <v>0</v>
      </c>
      <c r="CG65" s="135"/>
      <c r="CH65" s="135">
        <v>0</v>
      </c>
      <c r="CI65" s="135"/>
      <c r="CJ65" s="276">
        <v>1294</v>
      </c>
      <c r="CK65" s="143"/>
      <c r="CL65" s="135"/>
      <c r="CM65" s="143"/>
      <c r="CN65" s="140"/>
      <c r="CO65" s="140"/>
      <c r="CP65" s="143"/>
      <c r="CQ65" s="135"/>
      <c r="CR65" s="135"/>
      <c r="CS65" s="143"/>
      <c r="CT65" s="140"/>
      <c r="CU65" s="143"/>
      <c r="CV65" s="135">
        <v>0</v>
      </c>
      <c r="CW65" s="135"/>
      <c r="CX65" s="143">
        <v>0</v>
      </c>
      <c r="CY65" s="140"/>
      <c r="CZ65" s="140">
        <v>0</v>
      </c>
      <c r="DA65" s="143"/>
      <c r="DB65" s="135"/>
      <c r="DC65" s="135"/>
      <c r="DD65" s="143"/>
      <c r="DE65" s="140">
        <v>4819</v>
      </c>
      <c r="DF65" s="356">
        <f>4819/1534554</f>
        <v>3.1403261142977047E-3</v>
      </c>
    </row>
    <row r="66" spans="2:110" x14ac:dyDescent="0.2">
      <c r="B66" s="138" t="s">
        <v>191</v>
      </c>
      <c r="C66" s="366">
        <v>0</v>
      </c>
      <c r="D66" s="374"/>
      <c r="E66" s="374"/>
      <c r="F66" s="367">
        <v>0</v>
      </c>
      <c r="G66" s="143">
        <v>32</v>
      </c>
      <c r="H66" s="135">
        <v>0</v>
      </c>
      <c r="I66" s="135">
        <v>0</v>
      </c>
      <c r="J66" s="135">
        <v>13</v>
      </c>
      <c r="K66" s="135"/>
      <c r="L66" s="135"/>
      <c r="M66" s="143">
        <v>45</v>
      </c>
      <c r="N66" s="140"/>
      <c r="O66" s="143">
        <v>2699</v>
      </c>
      <c r="P66" s="135">
        <v>0</v>
      </c>
      <c r="Q66" s="135"/>
      <c r="R66" s="143">
        <v>2699</v>
      </c>
      <c r="S66" s="277">
        <v>0</v>
      </c>
      <c r="T66" s="135"/>
      <c r="U66" s="135"/>
      <c r="V66" s="276">
        <v>0</v>
      </c>
      <c r="W66" s="143"/>
      <c r="X66" s="135"/>
      <c r="Y66" s="143"/>
      <c r="Z66" s="277"/>
      <c r="AA66" s="135"/>
      <c r="AB66" s="276"/>
      <c r="AC66" s="143">
        <v>82</v>
      </c>
      <c r="AD66" s="135"/>
      <c r="AE66" s="135">
        <v>36</v>
      </c>
      <c r="AF66" s="135"/>
      <c r="AG66" s="135"/>
      <c r="AH66" s="135"/>
      <c r="AI66" s="135"/>
      <c r="AJ66" s="143">
        <v>118</v>
      </c>
      <c r="AK66" s="140">
        <v>0</v>
      </c>
      <c r="AL66" s="140"/>
      <c r="AM66" s="277"/>
      <c r="AN66" s="135"/>
      <c r="AO66" s="135"/>
      <c r="AP66" s="135"/>
      <c r="AQ66" s="135"/>
      <c r="AR66" s="135"/>
      <c r="AS66" s="135"/>
      <c r="AT66" s="135"/>
      <c r="AU66" s="135"/>
      <c r="AV66" s="135">
        <v>0</v>
      </c>
      <c r="AW66" s="135"/>
      <c r="AX66" s="276">
        <v>0</v>
      </c>
      <c r="AY66" s="143">
        <v>0</v>
      </c>
      <c r="AZ66" s="135">
        <v>538</v>
      </c>
      <c r="BA66" s="135"/>
      <c r="BB66" s="135">
        <v>0</v>
      </c>
      <c r="BC66" s="135">
        <v>0</v>
      </c>
      <c r="BD66" s="135">
        <v>0</v>
      </c>
      <c r="BE66" s="135"/>
      <c r="BF66" s="135">
        <v>0</v>
      </c>
      <c r="BG66" s="143">
        <v>538</v>
      </c>
      <c r="BH66" s="277">
        <v>0</v>
      </c>
      <c r="BI66" s="135">
        <v>14</v>
      </c>
      <c r="BJ66" s="135">
        <v>120</v>
      </c>
      <c r="BK66" s="135">
        <v>8</v>
      </c>
      <c r="BL66" s="135"/>
      <c r="BM66" s="135">
        <v>0</v>
      </c>
      <c r="BN66" s="276">
        <v>142</v>
      </c>
      <c r="BO66" s="143"/>
      <c r="BP66" s="140">
        <v>0</v>
      </c>
      <c r="BQ66" s="140"/>
      <c r="BR66" s="143">
        <v>0</v>
      </c>
      <c r="BS66" s="135">
        <v>0</v>
      </c>
      <c r="BT66" s="135"/>
      <c r="BU66" s="135"/>
      <c r="BV66" s="135"/>
      <c r="BW66" s="135"/>
      <c r="BX66" s="143">
        <v>0</v>
      </c>
      <c r="BY66" s="277">
        <v>290</v>
      </c>
      <c r="BZ66" s="135">
        <v>0</v>
      </c>
      <c r="CA66" s="135">
        <v>338</v>
      </c>
      <c r="CB66" s="135">
        <v>0</v>
      </c>
      <c r="CC66" s="135">
        <v>147</v>
      </c>
      <c r="CD66" s="135">
        <v>0</v>
      </c>
      <c r="CE66" s="135">
        <v>0</v>
      </c>
      <c r="CF66" s="135">
        <v>0</v>
      </c>
      <c r="CG66" s="135"/>
      <c r="CH66" s="135">
        <v>0</v>
      </c>
      <c r="CI66" s="135"/>
      <c r="CJ66" s="276">
        <v>775</v>
      </c>
      <c r="CK66" s="143"/>
      <c r="CL66" s="135"/>
      <c r="CM66" s="143"/>
      <c r="CN66" s="140"/>
      <c r="CO66" s="140"/>
      <c r="CP66" s="143"/>
      <c r="CQ66" s="135"/>
      <c r="CR66" s="135"/>
      <c r="CS66" s="143"/>
      <c r="CT66" s="140"/>
      <c r="CU66" s="143">
        <v>0</v>
      </c>
      <c r="CV66" s="135"/>
      <c r="CW66" s="135"/>
      <c r="CX66" s="143">
        <v>0</v>
      </c>
      <c r="CY66" s="140"/>
      <c r="CZ66" s="140">
        <v>0</v>
      </c>
      <c r="DA66" s="143">
        <v>4</v>
      </c>
      <c r="DB66" s="135"/>
      <c r="DC66" s="135"/>
      <c r="DD66" s="143">
        <v>4</v>
      </c>
      <c r="DE66" s="140">
        <v>4321</v>
      </c>
      <c r="DF66" s="356">
        <f>4321/1534554</f>
        <v>2.8158018551318496E-3</v>
      </c>
    </row>
    <row r="67" spans="2:110" x14ac:dyDescent="0.2">
      <c r="B67" s="138" t="s">
        <v>201</v>
      </c>
      <c r="C67" s="366">
        <v>0</v>
      </c>
      <c r="D67" s="374">
        <v>0</v>
      </c>
      <c r="E67" s="374">
        <v>0</v>
      </c>
      <c r="F67" s="367">
        <v>0</v>
      </c>
      <c r="G67" s="143">
        <v>81</v>
      </c>
      <c r="H67" s="135">
        <v>1</v>
      </c>
      <c r="I67" s="135">
        <v>0</v>
      </c>
      <c r="J67" s="135">
        <v>83</v>
      </c>
      <c r="K67" s="135">
        <v>0</v>
      </c>
      <c r="L67" s="135">
        <v>0</v>
      </c>
      <c r="M67" s="143">
        <v>165</v>
      </c>
      <c r="N67" s="140"/>
      <c r="O67" s="143">
        <v>2698</v>
      </c>
      <c r="P67" s="135">
        <v>0</v>
      </c>
      <c r="Q67" s="135"/>
      <c r="R67" s="143">
        <v>2698</v>
      </c>
      <c r="S67" s="277">
        <v>0</v>
      </c>
      <c r="T67" s="135">
        <v>0</v>
      </c>
      <c r="U67" s="135"/>
      <c r="V67" s="276">
        <v>0</v>
      </c>
      <c r="W67" s="143">
        <v>0</v>
      </c>
      <c r="X67" s="135"/>
      <c r="Y67" s="143">
        <v>0</v>
      </c>
      <c r="Z67" s="277">
        <v>2</v>
      </c>
      <c r="AA67" s="135"/>
      <c r="AB67" s="276">
        <v>2</v>
      </c>
      <c r="AC67" s="143">
        <v>18</v>
      </c>
      <c r="AD67" s="135">
        <v>0</v>
      </c>
      <c r="AE67" s="135">
        <v>1</v>
      </c>
      <c r="AF67" s="135">
        <v>0</v>
      </c>
      <c r="AG67" s="135"/>
      <c r="AH67" s="135"/>
      <c r="AI67" s="135"/>
      <c r="AJ67" s="143">
        <v>19</v>
      </c>
      <c r="AK67" s="140"/>
      <c r="AL67" s="140">
        <v>20</v>
      </c>
      <c r="AM67" s="277">
        <v>0</v>
      </c>
      <c r="AN67" s="135">
        <v>0</v>
      </c>
      <c r="AO67" s="135">
        <v>0</v>
      </c>
      <c r="AP67" s="135">
        <v>0</v>
      </c>
      <c r="AQ67" s="135"/>
      <c r="AR67" s="135"/>
      <c r="AS67" s="135">
        <v>0</v>
      </c>
      <c r="AT67" s="135">
        <v>0</v>
      </c>
      <c r="AU67" s="135">
        <v>0</v>
      </c>
      <c r="AV67" s="135">
        <v>0</v>
      </c>
      <c r="AW67" s="135">
        <v>0</v>
      </c>
      <c r="AX67" s="276">
        <v>0</v>
      </c>
      <c r="AY67" s="143">
        <v>0</v>
      </c>
      <c r="AZ67" s="135">
        <v>1013</v>
      </c>
      <c r="BA67" s="135">
        <v>0</v>
      </c>
      <c r="BB67" s="135">
        <v>0</v>
      </c>
      <c r="BC67" s="135">
        <v>0</v>
      </c>
      <c r="BD67" s="135">
        <v>16</v>
      </c>
      <c r="BE67" s="135"/>
      <c r="BF67" s="135">
        <v>0</v>
      </c>
      <c r="BG67" s="143">
        <v>1029</v>
      </c>
      <c r="BH67" s="277">
        <v>0</v>
      </c>
      <c r="BI67" s="135">
        <v>16</v>
      </c>
      <c r="BJ67" s="135">
        <v>107</v>
      </c>
      <c r="BK67" s="135">
        <v>0</v>
      </c>
      <c r="BL67" s="135"/>
      <c r="BM67" s="135"/>
      <c r="BN67" s="276">
        <v>123</v>
      </c>
      <c r="BO67" s="143"/>
      <c r="BP67" s="140">
        <v>0</v>
      </c>
      <c r="BQ67" s="140"/>
      <c r="BR67" s="143">
        <v>0</v>
      </c>
      <c r="BS67" s="135">
        <v>0</v>
      </c>
      <c r="BT67" s="135">
        <v>0</v>
      </c>
      <c r="BU67" s="135"/>
      <c r="BV67" s="135"/>
      <c r="BW67" s="135">
        <v>0</v>
      </c>
      <c r="BX67" s="143">
        <v>0</v>
      </c>
      <c r="BY67" s="277">
        <v>12927</v>
      </c>
      <c r="BZ67" s="135">
        <v>0</v>
      </c>
      <c r="CA67" s="135">
        <v>4424</v>
      </c>
      <c r="CB67" s="135">
        <v>0</v>
      </c>
      <c r="CC67" s="135">
        <v>1402</v>
      </c>
      <c r="CD67" s="135">
        <v>0</v>
      </c>
      <c r="CE67" s="135">
        <v>0</v>
      </c>
      <c r="CF67" s="135">
        <v>0</v>
      </c>
      <c r="CG67" s="135"/>
      <c r="CH67" s="135">
        <v>0</v>
      </c>
      <c r="CI67" s="135">
        <v>0</v>
      </c>
      <c r="CJ67" s="276">
        <v>18753</v>
      </c>
      <c r="CK67" s="143">
        <v>0</v>
      </c>
      <c r="CL67" s="135">
        <v>0</v>
      </c>
      <c r="CM67" s="143">
        <v>0</v>
      </c>
      <c r="CN67" s="140">
        <v>0</v>
      </c>
      <c r="CO67" s="140"/>
      <c r="CP67" s="143">
        <v>0</v>
      </c>
      <c r="CQ67" s="135"/>
      <c r="CR67" s="135">
        <v>87</v>
      </c>
      <c r="CS67" s="143">
        <v>87</v>
      </c>
      <c r="CT67" s="140"/>
      <c r="CU67" s="143">
        <v>5</v>
      </c>
      <c r="CV67" s="135">
        <v>0</v>
      </c>
      <c r="CW67" s="135">
        <v>0</v>
      </c>
      <c r="CX67" s="143">
        <v>5</v>
      </c>
      <c r="CY67" s="140"/>
      <c r="CZ67" s="140">
        <v>0</v>
      </c>
      <c r="DA67" s="143">
        <v>16</v>
      </c>
      <c r="DB67" s="135">
        <v>6</v>
      </c>
      <c r="DC67" s="135"/>
      <c r="DD67" s="143">
        <v>22</v>
      </c>
      <c r="DE67" s="140">
        <v>22923</v>
      </c>
      <c r="DF67" s="356">
        <f>22923/1534554</f>
        <v>1.4937890748712655E-2</v>
      </c>
    </row>
    <row r="68" spans="2:110" x14ac:dyDescent="0.2">
      <c r="B68" s="138" t="s">
        <v>202</v>
      </c>
      <c r="C68" s="366"/>
      <c r="D68" s="374">
        <v>0</v>
      </c>
      <c r="E68" s="374"/>
      <c r="F68" s="367">
        <v>0</v>
      </c>
      <c r="G68" s="143">
        <v>75</v>
      </c>
      <c r="H68" s="135">
        <v>3</v>
      </c>
      <c r="I68" s="135">
        <v>0</v>
      </c>
      <c r="J68" s="135">
        <v>19</v>
      </c>
      <c r="K68" s="135">
        <v>0</v>
      </c>
      <c r="L68" s="135"/>
      <c r="M68" s="143">
        <v>97</v>
      </c>
      <c r="N68" s="140"/>
      <c r="O68" s="143">
        <v>6648</v>
      </c>
      <c r="P68" s="135">
        <v>0</v>
      </c>
      <c r="Q68" s="135"/>
      <c r="R68" s="143">
        <v>6648</v>
      </c>
      <c r="S68" s="277">
        <v>0</v>
      </c>
      <c r="T68" s="135"/>
      <c r="U68" s="135"/>
      <c r="V68" s="276">
        <v>0</v>
      </c>
      <c r="W68" s="143"/>
      <c r="X68" s="135"/>
      <c r="Y68" s="143"/>
      <c r="Z68" s="277"/>
      <c r="AA68" s="135"/>
      <c r="AB68" s="276"/>
      <c r="AC68" s="143">
        <v>23</v>
      </c>
      <c r="AD68" s="135">
        <v>0</v>
      </c>
      <c r="AE68" s="135">
        <v>16</v>
      </c>
      <c r="AF68" s="135"/>
      <c r="AG68" s="135"/>
      <c r="AH68" s="135"/>
      <c r="AI68" s="135"/>
      <c r="AJ68" s="143">
        <v>39</v>
      </c>
      <c r="AK68" s="140"/>
      <c r="AL68" s="140"/>
      <c r="AM68" s="277"/>
      <c r="AN68" s="135"/>
      <c r="AO68" s="135"/>
      <c r="AP68" s="135"/>
      <c r="AQ68" s="135">
        <v>0</v>
      </c>
      <c r="AR68" s="135"/>
      <c r="AS68" s="135"/>
      <c r="AT68" s="135"/>
      <c r="AU68" s="135">
        <v>0</v>
      </c>
      <c r="AV68" s="135"/>
      <c r="AW68" s="135"/>
      <c r="AX68" s="276">
        <v>0</v>
      </c>
      <c r="AY68" s="143">
        <v>0</v>
      </c>
      <c r="AZ68" s="135">
        <v>1313</v>
      </c>
      <c r="BA68" s="135">
        <v>0</v>
      </c>
      <c r="BB68" s="135">
        <v>0</v>
      </c>
      <c r="BC68" s="135"/>
      <c r="BD68" s="135">
        <v>13</v>
      </c>
      <c r="BE68" s="135"/>
      <c r="BF68" s="135">
        <v>0</v>
      </c>
      <c r="BG68" s="143">
        <v>1326</v>
      </c>
      <c r="BH68" s="277">
        <v>0</v>
      </c>
      <c r="BI68" s="135">
        <v>19</v>
      </c>
      <c r="BJ68" s="135">
        <v>171</v>
      </c>
      <c r="BK68" s="135">
        <v>63</v>
      </c>
      <c r="BL68" s="135"/>
      <c r="BM68" s="135"/>
      <c r="BN68" s="276">
        <v>253</v>
      </c>
      <c r="BO68" s="143"/>
      <c r="BP68" s="140">
        <v>0</v>
      </c>
      <c r="BQ68" s="140"/>
      <c r="BR68" s="143">
        <v>0</v>
      </c>
      <c r="BS68" s="135">
        <v>0</v>
      </c>
      <c r="BT68" s="135"/>
      <c r="BU68" s="135"/>
      <c r="BV68" s="135"/>
      <c r="BW68" s="135"/>
      <c r="BX68" s="143">
        <v>0</v>
      </c>
      <c r="BY68" s="277">
        <v>228</v>
      </c>
      <c r="BZ68" s="135">
        <v>0</v>
      </c>
      <c r="CA68" s="135">
        <v>454</v>
      </c>
      <c r="CB68" s="135">
        <v>0</v>
      </c>
      <c r="CC68" s="135">
        <v>274</v>
      </c>
      <c r="CD68" s="135">
        <v>0</v>
      </c>
      <c r="CE68" s="135">
        <v>0</v>
      </c>
      <c r="CF68" s="135">
        <v>0</v>
      </c>
      <c r="CG68" s="135"/>
      <c r="CH68" s="135">
        <v>0</v>
      </c>
      <c r="CI68" s="135"/>
      <c r="CJ68" s="276">
        <v>956</v>
      </c>
      <c r="CK68" s="143"/>
      <c r="CL68" s="135"/>
      <c r="CM68" s="143"/>
      <c r="CN68" s="140"/>
      <c r="CO68" s="140"/>
      <c r="CP68" s="143"/>
      <c r="CQ68" s="135"/>
      <c r="CR68" s="135"/>
      <c r="CS68" s="143"/>
      <c r="CT68" s="140"/>
      <c r="CU68" s="143">
        <v>1</v>
      </c>
      <c r="CV68" s="135"/>
      <c r="CW68" s="135">
        <v>0</v>
      </c>
      <c r="CX68" s="143">
        <v>1</v>
      </c>
      <c r="CY68" s="140"/>
      <c r="CZ68" s="140">
        <v>0</v>
      </c>
      <c r="DA68" s="143">
        <v>0</v>
      </c>
      <c r="DB68" s="135"/>
      <c r="DC68" s="135"/>
      <c r="DD68" s="143">
        <v>0</v>
      </c>
      <c r="DE68" s="140">
        <v>9320</v>
      </c>
      <c r="DF68" s="356">
        <f>9320/1534554</f>
        <v>6.073425894429261E-3</v>
      </c>
    </row>
    <row r="69" spans="2:110" x14ac:dyDescent="0.2">
      <c r="B69" s="138" t="s">
        <v>221</v>
      </c>
      <c r="C69" s="366"/>
      <c r="D69" s="374"/>
      <c r="E69" s="374"/>
      <c r="F69" s="367"/>
      <c r="G69" s="143">
        <v>17</v>
      </c>
      <c r="H69" s="135">
        <v>0</v>
      </c>
      <c r="I69" s="135"/>
      <c r="J69" s="135">
        <v>1</v>
      </c>
      <c r="K69" s="135"/>
      <c r="L69" s="135"/>
      <c r="M69" s="143">
        <v>18</v>
      </c>
      <c r="N69" s="140"/>
      <c r="O69" s="143">
        <v>711</v>
      </c>
      <c r="P69" s="135"/>
      <c r="Q69" s="135"/>
      <c r="R69" s="143">
        <v>711</v>
      </c>
      <c r="S69" s="277">
        <v>0</v>
      </c>
      <c r="T69" s="135"/>
      <c r="U69" s="135"/>
      <c r="V69" s="276">
        <v>0</v>
      </c>
      <c r="W69" s="143"/>
      <c r="X69" s="135"/>
      <c r="Y69" s="143"/>
      <c r="Z69" s="277">
        <v>0</v>
      </c>
      <c r="AA69" s="135"/>
      <c r="AB69" s="276">
        <v>0</v>
      </c>
      <c r="AC69" s="143">
        <v>4</v>
      </c>
      <c r="AD69" s="135"/>
      <c r="AE69" s="135"/>
      <c r="AF69" s="135"/>
      <c r="AG69" s="135"/>
      <c r="AH69" s="135"/>
      <c r="AI69" s="135"/>
      <c r="AJ69" s="143">
        <v>4</v>
      </c>
      <c r="AK69" s="140"/>
      <c r="AL69" s="140"/>
      <c r="AM69" s="277"/>
      <c r="AN69" s="135"/>
      <c r="AO69" s="135"/>
      <c r="AP69" s="135"/>
      <c r="AQ69" s="135">
        <v>0</v>
      </c>
      <c r="AR69" s="135"/>
      <c r="AS69" s="135"/>
      <c r="AT69" s="135"/>
      <c r="AU69" s="135">
        <v>0</v>
      </c>
      <c r="AV69" s="135"/>
      <c r="AW69" s="135"/>
      <c r="AX69" s="276">
        <v>0</v>
      </c>
      <c r="AY69" s="143"/>
      <c r="AZ69" s="135">
        <v>401</v>
      </c>
      <c r="BA69" s="135"/>
      <c r="BB69" s="135"/>
      <c r="BC69" s="135">
        <v>0</v>
      </c>
      <c r="BD69" s="135"/>
      <c r="BE69" s="135">
        <v>0</v>
      </c>
      <c r="BF69" s="135"/>
      <c r="BG69" s="143">
        <v>401</v>
      </c>
      <c r="BH69" s="277">
        <v>0</v>
      </c>
      <c r="BI69" s="135">
        <v>1</v>
      </c>
      <c r="BJ69" s="135">
        <v>7</v>
      </c>
      <c r="BK69" s="135"/>
      <c r="BL69" s="135"/>
      <c r="BM69" s="135"/>
      <c r="BN69" s="276">
        <v>8</v>
      </c>
      <c r="BO69" s="143"/>
      <c r="BP69" s="140">
        <v>0</v>
      </c>
      <c r="BQ69" s="140"/>
      <c r="BR69" s="143">
        <v>0</v>
      </c>
      <c r="BS69" s="135">
        <v>0</v>
      </c>
      <c r="BT69" s="135">
        <v>0</v>
      </c>
      <c r="BU69" s="135"/>
      <c r="BV69" s="135"/>
      <c r="BW69" s="135"/>
      <c r="BX69" s="143">
        <v>0</v>
      </c>
      <c r="BY69" s="277">
        <v>333</v>
      </c>
      <c r="BZ69" s="135">
        <v>0</v>
      </c>
      <c r="CA69" s="135">
        <v>98</v>
      </c>
      <c r="CB69" s="135">
        <v>0</v>
      </c>
      <c r="CC69" s="135">
        <v>134</v>
      </c>
      <c r="CD69" s="135">
        <v>0</v>
      </c>
      <c r="CE69" s="135">
        <v>0</v>
      </c>
      <c r="CF69" s="135">
        <v>0</v>
      </c>
      <c r="CG69" s="135"/>
      <c r="CH69" s="135"/>
      <c r="CI69" s="135"/>
      <c r="CJ69" s="276">
        <v>565</v>
      </c>
      <c r="CK69" s="143"/>
      <c r="CL69" s="135"/>
      <c r="CM69" s="143"/>
      <c r="CN69" s="140"/>
      <c r="CO69" s="140"/>
      <c r="CP69" s="143"/>
      <c r="CQ69" s="135"/>
      <c r="CR69" s="135"/>
      <c r="CS69" s="143"/>
      <c r="CT69" s="140"/>
      <c r="CU69" s="143"/>
      <c r="CV69" s="135"/>
      <c r="CW69" s="135"/>
      <c r="CX69" s="143"/>
      <c r="CY69" s="140">
        <v>0</v>
      </c>
      <c r="CZ69" s="140">
        <v>0</v>
      </c>
      <c r="DA69" s="143"/>
      <c r="DB69" s="135"/>
      <c r="DC69" s="135"/>
      <c r="DD69" s="143"/>
      <c r="DE69" s="140">
        <v>1707</v>
      </c>
      <c r="DF69" s="356">
        <f>1707/1534554</f>
        <v>1.1123753220805524E-3</v>
      </c>
    </row>
    <row r="70" spans="2:110" x14ac:dyDescent="0.2">
      <c r="B70" s="138" t="s">
        <v>261</v>
      </c>
      <c r="C70" s="366">
        <v>0</v>
      </c>
      <c r="D70" s="374">
        <v>0</v>
      </c>
      <c r="E70" s="374">
        <v>0</v>
      </c>
      <c r="F70" s="367">
        <v>0</v>
      </c>
      <c r="G70" s="143">
        <v>130</v>
      </c>
      <c r="H70" s="135">
        <v>1</v>
      </c>
      <c r="I70" s="135">
        <v>0</v>
      </c>
      <c r="J70" s="135">
        <v>5</v>
      </c>
      <c r="K70" s="135">
        <v>0</v>
      </c>
      <c r="L70" s="135">
        <v>0</v>
      </c>
      <c r="M70" s="143">
        <v>136</v>
      </c>
      <c r="N70" s="140"/>
      <c r="O70" s="143">
        <v>16149</v>
      </c>
      <c r="P70" s="135">
        <v>0</v>
      </c>
      <c r="Q70" s="135"/>
      <c r="R70" s="143">
        <v>16149</v>
      </c>
      <c r="S70" s="277">
        <v>0</v>
      </c>
      <c r="T70" s="135">
        <v>0</v>
      </c>
      <c r="U70" s="135">
        <v>0</v>
      </c>
      <c r="V70" s="276">
        <v>0</v>
      </c>
      <c r="W70" s="143"/>
      <c r="X70" s="135">
        <v>0</v>
      </c>
      <c r="Y70" s="143">
        <v>0</v>
      </c>
      <c r="Z70" s="277">
        <v>16</v>
      </c>
      <c r="AA70" s="135"/>
      <c r="AB70" s="276">
        <v>16</v>
      </c>
      <c r="AC70" s="143">
        <v>20</v>
      </c>
      <c r="AD70" s="135">
        <v>0</v>
      </c>
      <c r="AE70" s="135">
        <v>27</v>
      </c>
      <c r="AF70" s="135">
        <v>1</v>
      </c>
      <c r="AG70" s="135"/>
      <c r="AH70" s="135">
        <v>0</v>
      </c>
      <c r="AI70" s="135">
        <v>0</v>
      </c>
      <c r="AJ70" s="143">
        <v>48</v>
      </c>
      <c r="AK70" s="140"/>
      <c r="AL70" s="140">
        <v>0</v>
      </c>
      <c r="AM70" s="277">
        <v>0</v>
      </c>
      <c r="AN70" s="135">
        <v>0</v>
      </c>
      <c r="AO70" s="135">
        <v>0</v>
      </c>
      <c r="AP70" s="135">
        <v>0</v>
      </c>
      <c r="AQ70" s="135">
        <v>0</v>
      </c>
      <c r="AR70" s="135">
        <v>0</v>
      </c>
      <c r="AS70" s="135">
        <v>0</v>
      </c>
      <c r="AT70" s="135"/>
      <c r="AU70" s="135">
        <v>0</v>
      </c>
      <c r="AV70" s="135">
        <v>0</v>
      </c>
      <c r="AW70" s="135">
        <v>0</v>
      </c>
      <c r="AX70" s="276">
        <v>0</v>
      </c>
      <c r="AY70" s="143">
        <v>0</v>
      </c>
      <c r="AZ70" s="135">
        <v>809</v>
      </c>
      <c r="BA70" s="135">
        <v>0</v>
      </c>
      <c r="BB70" s="135">
        <v>0</v>
      </c>
      <c r="BC70" s="135">
        <v>0</v>
      </c>
      <c r="BD70" s="135">
        <v>13</v>
      </c>
      <c r="BE70" s="135">
        <v>0</v>
      </c>
      <c r="BF70" s="135">
        <v>0</v>
      </c>
      <c r="BG70" s="143">
        <v>822</v>
      </c>
      <c r="BH70" s="277">
        <v>0</v>
      </c>
      <c r="BI70" s="135">
        <v>1515</v>
      </c>
      <c r="BJ70" s="135">
        <v>32</v>
      </c>
      <c r="BK70" s="135">
        <v>91</v>
      </c>
      <c r="BL70" s="135"/>
      <c r="BM70" s="135"/>
      <c r="BN70" s="276">
        <v>1638</v>
      </c>
      <c r="BO70" s="143">
        <v>0</v>
      </c>
      <c r="BP70" s="140">
        <v>0</v>
      </c>
      <c r="BQ70" s="140"/>
      <c r="BR70" s="143">
        <v>0</v>
      </c>
      <c r="BS70" s="135">
        <v>0</v>
      </c>
      <c r="BT70" s="135">
        <v>0</v>
      </c>
      <c r="BU70" s="135"/>
      <c r="BV70" s="135"/>
      <c r="BW70" s="135"/>
      <c r="BX70" s="143">
        <v>0</v>
      </c>
      <c r="BY70" s="277">
        <v>7324</v>
      </c>
      <c r="BZ70" s="135">
        <v>0</v>
      </c>
      <c r="CA70" s="135">
        <v>4143</v>
      </c>
      <c r="CB70" s="135">
        <v>102</v>
      </c>
      <c r="CC70" s="135">
        <v>1295</v>
      </c>
      <c r="CD70" s="135">
        <v>0</v>
      </c>
      <c r="CE70" s="135">
        <v>0</v>
      </c>
      <c r="CF70" s="135">
        <v>0</v>
      </c>
      <c r="CG70" s="135">
        <v>0</v>
      </c>
      <c r="CH70" s="135">
        <v>0</v>
      </c>
      <c r="CI70" s="135"/>
      <c r="CJ70" s="276">
        <v>12864</v>
      </c>
      <c r="CK70" s="143"/>
      <c r="CL70" s="135">
        <v>0</v>
      </c>
      <c r="CM70" s="143">
        <v>0</v>
      </c>
      <c r="CN70" s="140"/>
      <c r="CO70" s="140">
        <v>0</v>
      </c>
      <c r="CP70" s="143">
        <v>5</v>
      </c>
      <c r="CQ70" s="135">
        <v>0</v>
      </c>
      <c r="CR70" s="135">
        <v>19</v>
      </c>
      <c r="CS70" s="143">
        <v>24</v>
      </c>
      <c r="CT70" s="140">
        <v>16</v>
      </c>
      <c r="CU70" s="143">
        <v>34</v>
      </c>
      <c r="CV70" s="135">
        <v>0</v>
      </c>
      <c r="CW70" s="135">
        <v>0</v>
      </c>
      <c r="CX70" s="143">
        <v>34</v>
      </c>
      <c r="CY70" s="140">
        <v>0</v>
      </c>
      <c r="CZ70" s="140">
        <v>0</v>
      </c>
      <c r="DA70" s="143">
        <v>28</v>
      </c>
      <c r="DB70" s="135">
        <v>11</v>
      </c>
      <c r="DC70" s="135"/>
      <c r="DD70" s="143">
        <v>39</v>
      </c>
      <c r="DE70" s="140">
        <v>31786</v>
      </c>
      <c r="DF70" s="356">
        <f>31786/1534554</f>
        <v>2.0713510244670438E-2</v>
      </c>
    </row>
    <row r="71" spans="2:110" ht="13.5" thickBot="1" x14ac:dyDescent="0.25">
      <c r="B71" s="248" t="s">
        <v>554</v>
      </c>
      <c r="C71" s="364"/>
      <c r="D71" s="373"/>
      <c r="E71" s="373"/>
      <c r="F71" s="365"/>
      <c r="G71" s="275"/>
      <c r="H71" s="273"/>
      <c r="I71" s="273"/>
      <c r="J71" s="273"/>
      <c r="K71" s="273"/>
      <c r="L71" s="273"/>
      <c r="M71" s="275"/>
      <c r="N71" s="271"/>
      <c r="O71" s="275"/>
      <c r="P71" s="273"/>
      <c r="Q71" s="273"/>
      <c r="R71" s="275"/>
      <c r="S71" s="274"/>
      <c r="T71" s="273"/>
      <c r="U71" s="273"/>
      <c r="V71" s="272"/>
      <c r="W71" s="275"/>
      <c r="X71" s="273"/>
      <c r="Y71" s="275"/>
      <c r="Z71" s="274"/>
      <c r="AA71" s="273"/>
      <c r="AB71" s="272"/>
      <c r="AC71" s="275"/>
      <c r="AD71" s="273"/>
      <c r="AE71" s="273"/>
      <c r="AF71" s="273"/>
      <c r="AG71" s="273"/>
      <c r="AH71" s="273"/>
      <c r="AI71" s="273"/>
      <c r="AJ71" s="275"/>
      <c r="AK71" s="271"/>
      <c r="AL71" s="271"/>
      <c r="AM71" s="274"/>
      <c r="AN71" s="273"/>
      <c r="AO71" s="273"/>
      <c r="AP71" s="273"/>
      <c r="AQ71" s="273"/>
      <c r="AR71" s="273"/>
      <c r="AS71" s="273"/>
      <c r="AT71" s="273"/>
      <c r="AU71" s="273"/>
      <c r="AV71" s="273"/>
      <c r="AW71" s="273"/>
      <c r="AX71" s="272"/>
      <c r="AY71" s="275"/>
      <c r="AZ71" s="273"/>
      <c r="BA71" s="273"/>
      <c r="BB71" s="273"/>
      <c r="BC71" s="273"/>
      <c r="BD71" s="273"/>
      <c r="BE71" s="273"/>
      <c r="BF71" s="273"/>
      <c r="BG71" s="275"/>
      <c r="BH71" s="274"/>
      <c r="BI71" s="273"/>
      <c r="BJ71" s="273"/>
      <c r="BK71" s="273"/>
      <c r="BL71" s="273"/>
      <c r="BM71" s="273"/>
      <c r="BN71" s="272"/>
      <c r="BO71" s="275"/>
      <c r="BP71" s="271"/>
      <c r="BQ71" s="271"/>
      <c r="BR71" s="275"/>
      <c r="BS71" s="273"/>
      <c r="BT71" s="273"/>
      <c r="BU71" s="273"/>
      <c r="BV71" s="273"/>
      <c r="BW71" s="273"/>
      <c r="BX71" s="275"/>
      <c r="BY71" s="274"/>
      <c r="BZ71" s="273"/>
      <c r="CA71" s="273"/>
      <c r="CB71" s="273"/>
      <c r="CC71" s="273"/>
      <c r="CD71" s="273"/>
      <c r="CE71" s="273"/>
      <c r="CF71" s="273"/>
      <c r="CG71" s="273"/>
      <c r="CH71" s="273"/>
      <c r="CI71" s="273"/>
      <c r="CJ71" s="272"/>
      <c r="CK71" s="275"/>
      <c r="CL71" s="273"/>
      <c r="CM71" s="275"/>
      <c r="CN71" s="271"/>
      <c r="CO71" s="271"/>
      <c r="CP71" s="275"/>
      <c r="CQ71" s="273"/>
      <c r="CR71" s="273"/>
      <c r="CS71" s="275"/>
      <c r="CT71" s="271"/>
      <c r="CU71" s="275"/>
      <c r="CV71" s="273"/>
      <c r="CW71" s="273"/>
      <c r="CX71" s="275"/>
      <c r="CY71" s="271"/>
      <c r="CZ71" s="271"/>
      <c r="DA71" s="275"/>
      <c r="DB71" s="273"/>
      <c r="DC71" s="273"/>
      <c r="DD71" s="275"/>
      <c r="DE71" s="271"/>
      <c r="DF71" s="354"/>
    </row>
    <row r="72" spans="2:110" ht="13.5" thickBot="1" x14ac:dyDescent="0.25">
      <c r="B72" s="139" t="s">
        <v>547</v>
      </c>
      <c r="C72" s="368">
        <v>0</v>
      </c>
      <c r="D72" s="375">
        <v>0</v>
      </c>
      <c r="E72" s="375">
        <v>0</v>
      </c>
      <c r="F72" s="369">
        <v>0</v>
      </c>
      <c r="G72" s="144">
        <v>8724</v>
      </c>
      <c r="H72" s="136">
        <v>561</v>
      </c>
      <c r="I72" s="136">
        <v>0</v>
      </c>
      <c r="J72" s="136">
        <v>2635</v>
      </c>
      <c r="K72" s="136">
        <v>0</v>
      </c>
      <c r="L72" s="136">
        <v>0</v>
      </c>
      <c r="M72" s="144">
        <v>11920</v>
      </c>
      <c r="N72" s="141"/>
      <c r="O72" s="144">
        <v>262444</v>
      </c>
      <c r="P72" s="136">
        <v>0</v>
      </c>
      <c r="Q72" s="136">
        <v>20</v>
      </c>
      <c r="R72" s="144">
        <v>262464</v>
      </c>
      <c r="S72" s="270">
        <v>0</v>
      </c>
      <c r="T72" s="136">
        <v>0</v>
      </c>
      <c r="U72" s="136">
        <v>0</v>
      </c>
      <c r="V72" s="269">
        <v>0</v>
      </c>
      <c r="W72" s="144">
        <v>0</v>
      </c>
      <c r="X72" s="136">
        <v>5</v>
      </c>
      <c r="Y72" s="144">
        <v>5</v>
      </c>
      <c r="Z72" s="270">
        <v>45</v>
      </c>
      <c r="AA72" s="136"/>
      <c r="AB72" s="269">
        <v>45</v>
      </c>
      <c r="AC72" s="144">
        <v>6539</v>
      </c>
      <c r="AD72" s="136">
        <v>0</v>
      </c>
      <c r="AE72" s="136">
        <v>2758</v>
      </c>
      <c r="AF72" s="136">
        <v>1</v>
      </c>
      <c r="AG72" s="136"/>
      <c r="AH72" s="136">
        <v>0</v>
      </c>
      <c r="AI72" s="136">
        <v>0</v>
      </c>
      <c r="AJ72" s="144">
        <v>9298</v>
      </c>
      <c r="AK72" s="141">
        <v>0</v>
      </c>
      <c r="AL72" s="141">
        <v>20</v>
      </c>
      <c r="AM72" s="270">
        <v>0</v>
      </c>
      <c r="AN72" s="136">
        <v>0</v>
      </c>
      <c r="AO72" s="136">
        <v>0</v>
      </c>
      <c r="AP72" s="136">
        <v>0</v>
      </c>
      <c r="AQ72" s="136">
        <v>0</v>
      </c>
      <c r="AR72" s="136">
        <v>0</v>
      </c>
      <c r="AS72" s="136">
        <v>0</v>
      </c>
      <c r="AT72" s="136">
        <v>0</v>
      </c>
      <c r="AU72" s="136">
        <v>0</v>
      </c>
      <c r="AV72" s="136">
        <v>0</v>
      </c>
      <c r="AW72" s="136">
        <v>0</v>
      </c>
      <c r="AX72" s="269">
        <v>0</v>
      </c>
      <c r="AY72" s="144">
        <v>0</v>
      </c>
      <c r="AZ72" s="136">
        <v>122607</v>
      </c>
      <c r="BA72" s="136">
        <v>0</v>
      </c>
      <c r="BB72" s="136">
        <v>0</v>
      </c>
      <c r="BC72" s="136">
        <v>0</v>
      </c>
      <c r="BD72" s="136">
        <v>540</v>
      </c>
      <c r="BE72" s="136">
        <v>0</v>
      </c>
      <c r="BF72" s="136">
        <v>0</v>
      </c>
      <c r="BG72" s="144">
        <v>123147</v>
      </c>
      <c r="BH72" s="270">
        <v>0</v>
      </c>
      <c r="BI72" s="136">
        <v>3999</v>
      </c>
      <c r="BJ72" s="136">
        <v>21334</v>
      </c>
      <c r="BK72" s="136">
        <v>2676</v>
      </c>
      <c r="BL72" s="136">
        <v>0</v>
      </c>
      <c r="BM72" s="136">
        <v>0</v>
      </c>
      <c r="BN72" s="269">
        <v>28009</v>
      </c>
      <c r="BO72" s="144">
        <v>0</v>
      </c>
      <c r="BP72" s="141">
        <v>0</v>
      </c>
      <c r="BQ72" s="141"/>
      <c r="BR72" s="144">
        <v>0</v>
      </c>
      <c r="BS72" s="136">
        <v>0</v>
      </c>
      <c r="BT72" s="136">
        <v>0</v>
      </c>
      <c r="BU72" s="136"/>
      <c r="BV72" s="136"/>
      <c r="BW72" s="136">
        <v>0</v>
      </c>
      <c r="BX72" s="144">
        <v>0</v>
      </c>
      <c r="BY72" s="270">
        <v>89357</v>
      </c>
      <c r="BZ72" s="136">
        <v>0</v>
      </c>
      <c r="CA72" s="136">
        <v>40650</v>
      </c>
      <c r="CB72" s="136">
        <v>147</v>
      </c>
      <c r="CC72" s="136">
        <v>50718</v>
      </c>
      <c r="CD72" s="136">
        <v>0</v>
      </c>
      <c r="CE72" s="136">
        <v>0</v>
      </c>
      <c r="CF72" s="136">
        <v>0</v>
      </c>
      <c r="CG72" s="136">
        <v>0</v>
      </c>
      <c r="CH72" s="136">
        <v>0</v>
      </c>
      <c r="CI72" s="136">
        <v>0</v>
      </c>
      <c r="CJ72" s="269">
        <v>180872</v>
      </c>
      <c r="CK72" s="144">
        <v>0</v>
      </c>
      <c r="CL72" s="136">
        <v>0</v>
      </c>
      <c r="CM72" s="144">
        <v>0</v>
      </c>
      <c r="CN72" s="141">
        <v>0</v>
      </c>
      <c r="CO72" s="141">
        <v>0</v>
      </c>
      <c r="CP72" s="144">
        <v>5</v>
      </c>
      <c r="CQ72" s="136">
        <v>0</v>
      </c>
      <c r="CR72" s="136">
        <v>111</v>
      </c>
      <c r="CS72" s="144">
        <v>116</v>
      </c>
      <c r="CT72" s="141">
        <v>32</v>
      </c>
      <c r="CU72" s="144">
        <v>65</v>
      </c>
      <c r="CV72" s="136">
        <v>0</v>
      </c>
      <c r="CW72" s="136">
        <v>0</v>
      </c>
      <c r="CX72" s="144">
        <v>65</v>
      </c>
      <c r="CY72" s="141">
        <v>3</v>
      </c>
      <c r="CZ72" s="141">
        <v>0</v>
      </c>
      <c r="DA72" s="144">
        <v>72</v>
      </c>
      <c r="DB72" s="136">
        <v>23</v>
      </c>
      <c r="DC72" s="136">
        <v>3</v>
      </c>
      <c r="DD72" s="144">
        <v>98</v>
      </c>
      <c r="DE72" s="141">
        <v>616094</v>
      </c>
      <c r="DF72" s="355">
        <f>616094/1534554</f>
        <v>0.40148082113760741</v>
      </c>
    </row>
    <row r="73" spans="2:110" x14ac:dyDescent="0.2">
      <c r="B73" s="248" t="s">
        <v>30</v>
      </c>
      <c r="C73" s="364">
        <v>0</v>
      </c>
      <c r="D73" s="373"/>
      <c r="E73" s="373">
        <v>0</v>
      </c>
      <c r="F73" s="365">
        <v>0</v>
      </c>
      <c r="G73" s="275">
        <v>229</v>
      </c>
      <c r="H73" s="273">
        <v>0</v>
      </c>
      <c r="I73" s="273">
        <v>0</v>
      </c>
      <c r="J73" s="273">
        <v>2</v>
      </c>
      <c r="K73" s="273"/>
      <c r="L73" s="273"/>
      <c r="M73" s="275">
        <v>231</v>
      </c>
      <c r="N73" s="271"/>
      <c r="O73" s="275">
        <v>959</v>
      </c>
      <c r="P73" s="273"/>
      <c r="Q73" s="273"/>
      <c r="R73" s="275">
        <v>959</v>
      </c>
      <c r="S73" s="274">
        <v>0</v>
      </c>
      <c r="T73" s="273">
        <v>0</v>
      </c>
      <c r="U73" s="273"/>
      <c r="V73" s="272">
        <v>0</v>
      </c>
      <c r="W73" s="275">
        <v>0</v>
      </c>
      <c r="X73" s="273"/>
      <c r="Y73" s="275">
        <v>0</v>
      </c>
      <c r="Z73" s="274">
        <v>0</v>
      </c>
      <c r="AA73" s="273"/>
      <c r="AB73" s="272">
        <v>0</v>
      </c>
      <c r="AC73" s="275">
        <v>1</v>
      </c>
      <c r="AD73" s="273"/>
      <c r="AE73" s="273">
        <v>17</v>
      </c>
      <c r="AF73" s="273"/>
      <c r="AG73" s="273"/>
      <c r="AH73" s="273"/>
      <c r="AI73" s="273"/>
      <c r="AJ73" s="275">
        <v>18</v>
      </c>
      <c r="AK73" s="271"/>
      <c r="AL73" s="271"/>
      <c r="AM73" s="274"/>
      <c r="AN73" s="273">
        <v>0</v>
      </c>
      <c r="AO73" s="273"/>
      <c r="AP73" s="273">
        <v>0</v>
      </c>
      <c r="AQ73" s="273">
        <v>0</v>
      </c>
      <c r="AR73" s="273"/>
      <c r="AS73" s="273"/>
      <c r="AT73" s="273"/>
      <c r="AU73" s="273"/>
      <c r="AV73" s="273"/>
      <c r="AW73" s="273"/>
      <c r="AX73" s="272">
        <v>0</v>
      </c>
      <c r="AY73" s="275"/>
      <c r="AZ73" s="273">
        <v>95</v>
      </c>
      <c r="BA73" s="273">
        <v>0</v>
      </c>
      <c r="BB73" s="273">
        <v>0</v>
      </c>
      <c r="BC73" s="273">
        <v>0</v>
      </c>
      <c r="BD73" s="273"/>
      <c r="BE73" s="273"/>
      <c r="BF73" s="273"/>
      <c r="BG73" s="275">
        <v>95</v>
      </c>
      <c r="BH73" s="274">
        <v>0</v>
      </c>
      <c r="BI73" s="273">
        <v>51</v>
      </c>
      <c r="BJ73" s="273">
        <v>17</v>
      </c>
      <c r="BK73" s="273">
        <v>1</v>
      </c>
      <c r="BL73" s="273"/>
      <c r="BM73" s="273"/>
      <c r="BN73" s="272">
        <v>69</v>
      </c>
      <c r="BO73" s="275"/>
      <c r="BP73" s="271">
        <v>0</v>
      </c>
      <c r="BQ73" s="271"/>
      <c r="BR73" s="275">
        <v>0</v>
      </c>
      <c r="BS73" s="273">
        <v>0</v>
      </c>
      <c r="BT73" s="273"/>
      <c r="BU73" s="273"/>
      <c r="BV73" s="273"/>
      <c r="BW73" s="273"/>
      <c r="BX73" s="275">
        <v>0</v>
      </c>
      <c r="BY73" s="274">
        <v>570</v>
      </c>
      <c r="BZ73" s="273">
        <v>0</v>
      </c>
      <c r="CA73" s="273">
        <v>279</v>
      </c>
      <c r="CB73" s="273">
        <v>0</v>
      </c>
      <c r="CC73" s="273">
        <v>131</v>
      </c>
      <c r="CD73" s="273">
        <v>0</v>
      </c>
      <c r="CE73" s="273">
        <v>0</v>
      </c>
      <c r="CF73" s="273">
        <v>0</v>
      </c>
      <c r="CG73" s="273">
        <v>0</v>
      </c>
      <c r="CH73" s="273">
        <v>0</v>
      </c>
      <c r="CI73" s="273"/>
      <c r="CJ73" s="272">
        <v>980</v>
      </c>
      <c r="CK73" s="275"/>
      <c r="CL73" s="273"/>
      <c r="CM73" s="275"/>
      <c r="CN73" s="271"/>
      <c r="CO73" s="271">
        <v>0</v>
      </c>
      <c r="CP73" s="275">
        <v>7</v>
      </c>
      <c r="CQ73" s="273"/>
      <c r="CR73" s="273"/>
      <c r="CS73" s="275">
        <v>7</v>
      </c>
      <c r="CT73" s="271"/>
      <c r="CU73" s="275">
        <v>0</v>
      </c>
      <c r="CV73" s="273"/>
      <c r="CW73" s="273"/>
      <c r="CX73" s="275">
        <v>0</v>
      </c>
      <c r="CY73" s="271"/>
      <c r="CZ73" s="271">
        <v>0</v>
      </c>
      <c r="DA73" s="275"/>
      <c r="DB73" s="273">
        <v>26</v>
      </c>
      <c r="DC73" s="273">
        <v>5</v>
      </c>
      <c r="DD73" s="275">
        <v>31</v>
      </c>
      <c r="DE73" s="271">
        <v>2390</v>
      </c>
      <c r="DF73" s="354">
        <f>2390/1534554</f>
        <v>1.5574557819405508E-3</v>
      </c>
    </row>
    <row r="74" spans="2:110" x14ac:dyDescent="0.2">
      <c r="B74" s="138" t="s">
        <v>53</v>
      </c>
      <c r="C74" s="366">
        <v>0</v>
      </c>
      <c r="D74" s="374"/>
      <c r="E74" s="374"/>
      <c r="F74" s="367">
        <v>0</v>
      </c>
      <c r="G74" s="143">
        <v>32</v>
      </c>
      <c r="H74" s="135">
        <v>0</v>
      </c>
      <c r="I74" s="135"/>
      <c r="J74" s="135">
        <v>1</v>
      </c>
      <c r="K74" s="135"/>
      <c r="L74" s="135"/>
      <c r="M74" s="143">
        <v>33</v>
      </c>
      <c r="N74" s="140"/>
      <c r="O74" s="143">
        <v>96</v>
      </c>
      <c r="P74" s="135"/>
      <c r="Q74" s="135"/>
      <c r="R74" s="143">
        <v>96</v>
      </c>
      <c r="S74" s="277">
        <v>0</v>
      </c>
      <c r="T74" s="135">
        <v>0</v>
      </c>
      <c r="U74" s="135"/>
      <c r="V74" s="276">
        <v>0</v>
      </c>
      <c r="W74" s="143"/>
      <c r="X74" s="135"/>
      <c r="Y74" s="143"/>
      <c r="Z74" s="277"/>
      <c r="AA74" s="135"/>
      <c r="AB74" s="276"/>
      <c r="AC74" s="143">
        <v>2</v>
      </c>
      <c r="AD74" s="135"/>
      <c r="AE74" s="135">
        <v>13</v>
      </c>
      <c r="AF74" s="135"/>
      <c r="AG74" s="135"/>
      <c r="AH74" s="135"/>
      <c r="AI74" s="135"/>
      <c r="AJ74" s="143">
        <v>15</v>
      </c>
      <c r="AK74" s="140"/>
      <c r="AL74" s="140"/>
      <c r="AM74" s="277"/>
      <c r="AN74" s="135"/>
      <c r="AO74" s="135">
        <v>0</v>
      </c>
      <c r="AP74" s="135">
        <v>0</v>
      </c>
      <c r="AQ74" s="135"/>
      <c r="AR74" s="135"/>
      <c r="AS74" s="135"/>
      <c r="AT74" s="135"/>
      <c r="AU74" s="135"/>
      <c r="AV74" s="135"/>
      <c r="AW74" s="135"/>
      <c r="AX74" s="276">
        <v>0</v>
      </c>
      <c r="AY74" s="143"/>
      <c r="AZ74" s="135">
        <v>64</v>
      </c>
      <c r="BA74" s="135">
        <v>0</v>
      </c>
      <c r="BB74" s="135">
        <v>0</v>
      </c>
      <c r="BC74" s="135">
        <v>0</v>
      </c>
      <c r="BD74" s="135"/>
      <c r="BE74" s="135"/>
      <c r="BF74" s="135">
        <v>0</v>
      </c>
      <c r="BG74" s="143">
        <v>64</v>
      </c>
      <c r="BH74" s="277"/>
      <c r="BI74" s="135">
        <v>0</v>
      </c>
      <c r="BJ74" s="135">
        <v>2</v>
      </c>
      <c r="BK74" s="135">
        <v>1</v>
      </c>
      <c r="BL74" s="135"/>
      <c r="BM74" s="135"/>
      <c r="BN74" s="276">
        <v>3</v>
      </c>
      <c r="BO74" s="143"/>
      <c r="BP74" s="140">
        <v>0</v>
      </c>
      <c r="BQ74" s="140"/>
      <c r="BR74" s="143">
        <v>0</v>
      </c>
      <c r="BS74" s="135">
        <v>0</v>
      </c>
      <c r="BT74" s="135">
        <v>0</v>
      </c>
      <c r="BU74" s="135"/>
      <c r="BV74" s="135"/>
      <c r="BW74" s="135"/>
      <c r="BX74" s="143">
        <v>0</v>
      </c>
      <c r="BY74" s="277">
        <v>111</v>
      </c>
      <c r="BZ74" s="135">
        <v>0</v>
      </c>
      <c r="CA74" s="135">
        <v>15</v>
      </c>
      <c r="CB74" s="135">
        <v>0</v>
      </c>
      <c r="CC74" s="135">
        <v>23</v>
      </c>
      <c r="CD74" s="135"/>
      <c r="CE74" s="135"/>
      <c r="CF74" s="135">
        <v>0</v>
      </c>
      <c r="CG74" s="135">
        <v>0</v>
      </c>
      <c r="CH74" s="135">
        <v>0</v>
      </c>
      <c r="CI74" s="135"/>
      <c r="CJ74" s="276">
        <v>149</v>
      </c>
      <c r="CK74" s="143"/>
      <c r="CL74" s="135"/>
      <c r="CM74" s="143"/>
      <c r="CN74" s="140"/>
      <c r="CO74" s="140"/>
      <c r="CP74" s="143"/>
      <c r="CQ74" s="135"/>
      <c r="CR74" s="135"/>
      <c r="CS74" s="143"/>
      <c r="CT74" s="140"/>
      <c r="CU74" s="143">
        <v>7</v>
      </c>
      <c r="CV74" s="135">
        <v>0</v>
      </c>
      <c r="CW74" s="135"/>
      <c r="CX74" s="143">
        <v>7</v>
      </c>
      <c r="CY74" s="140"/>
      <c r="CZ74" s="140">
        <v>0</v>
      </c>
      <c r="DA74" s="143"/>
      <c r="DB74" s="135"/>
      <c r="DC74" s="135"/>
      <c r="DD74" s="143"/>
      <c r="DE74" s="140">
        <v>367</v>
      </c>
      <c r="DF74" s="356">
        <f>367/1534554</f>
        <v>2.3915743597162432E-4</v>
      </c>
    </row>
    <row r="75" spans="2:110" x14ac:dyDescent="0.2">
      <c r="B75" s="138" t="s">
        <v>58</v>
      </c>
      <c r="C75" s="366">
        <v>0</v>
      </c>
      <c r="D75" s="374">
        <v>0</v>
      </c>
      <c r="E75" s="374">
        <v>0</v>
      </c>
      <c r="F75" s="367">
        <v>0</v>
      </c>
      <c r="G75" s="143">
        <v>101</v>
      </c>
      <c r="H75" s="135">
        <v>2</v>
      </c>
      <c r="I75" s="135">
        <v>0</v>
      </c>
      <c r="J75" s="135">
        <v>15</v>
      </c>
      <c r="K75" s="135"/>
      <c r="L75" s="135"/>
      <c r="M75" s="143">
        <v>118</v>
      </c>
      <c r="N75" s="140"/>
      <c r="O75" s="143">
        <v>7940</v>
      </c>
      <c r="P75" s="135">
        <v>0</v>
      </c>
      <c r="Q75" s="135"/>
      <c r="R75" s="143">
        <v>7940</v>
      </c>
      <c r="S75" s="277">
        <v>0</v>
      </c>
      <c r="T75" s="135">
        <v>0</v>
      </c>
      <c r="U75" s="135"/>
      <c r="V75" s="276">
        <v>0</v>
      </c>
      <c r="W75" s="143"/>
      <c r="X75" s="135">
        <v>0</v>
      </c>
      <c r="Y75" s="143">
        <v>0</v>
      </c>
      <c r="Z75" s="277">
        <v>3</v>
      </c>
      <c r="AA75" s="135"/>
      <c r="AB75" s="276">
        <v>3</v>
      </c>
      <c r="AC75" s="143">
        <v>6</v>
      </c>
      <c r="AD75" s="135">
        <v>0</v>
      </c>
      <c r="AE75" s="135">
        <v>28</v>
      </c>
      <c r="AF75" s="135">
        <v>0</v>
      </c>
      <c r="AG75" s="135"/>
      <c r="AH75" s="135"/>
      <c r="AI75" s="135"/>
      <c r="AJ75" s="143">
        <v>34</v>
      </c>
      <c r="AK75" s="140"/>
      <c r="AL75" s="140">
        <v>0</v>
      </c>
      <c r="AM75" s="277">
        <v>0</v>
      </c>
      <c r="AN75" s="135">
        <v>0</v>
      </c>
      <c r="AO75" s="135">
        <v>0</v>
      </c>
      <c r="AP75" s="135">
        <v>0</v>
      </c>
      <c r="AQ75" s="135"/>
      <c r="AR75" s="135">
        <v>0</v>
      </c>
      <c r="AS75" s="135"/>
      <c r="AT75" s="135">
        <v>0</v>
      </c>
      <c r="AU75" s="135">
        <v>0</v>
      </c>
      <c r="AV75" s="135">
        <v>0</v>
      </c>
      <c r="AW75" s="135">
        <v>0</v>
      </c>
      <c r="AX75" s="276">
        <v>0</v>
      </c>
      <c r="AY75" s="143">
        <v>0</v>
      </c>
      <c r="AZ75" s="135">
        <v>177</v>
      </c>
      <c r="BA75" s="135">
        <v>0</v>
      </c>
      <c r="BB75" s="135">
        <v>0</v>
      </c>
      <c r="BC75" s="135">
        <v>0</v>
      </c>
      <c r="BD75" s="135">
        <v>1</v>
      </c>
      <c r="BE75" s="135">
        <v>0</v>
      </c>
      <c r="BF75" s="135">
        <v>0</v>
      </c>
      <c r="BG75" s="143">
        <v>178</v>
      </c>
      <c r="BH75" s="277">
        <v>0</v>
      </c>
      <c r="BI75" s="135">
        <v>21</v>
      </c>
      <c r="BJ75" s="135">
        <v>60</v>
      </c>
      <c r="BK75" s="135">
        <v>4</v>
      </c>
      <c r="BL75" s="135">
        <v>0</v>
      </c>
      <c r="BM75" s="135">
        <v>0</v>
      </c>
      <c r="BN75" s="276">
        <v>85</v>
      </c>
      <c r="BO75" s="143"/>
      <c r="BP75" s="140">
        <v>0</v>
      </c>
      <c r="BQ75" s="140"/>
      <c r="BR75" s="143">
        <v>0</v>
      </c>
      <c r="BS75" s="135">
        <v>0</v>
      </c>
      <c r="BT75" s="135">
        <v>0</v>
      </c>
      <c r="BU75" s="135"/>
      <c r="BV75" s="135"/>
      <c r="BW75" s="135"/>
      <c r="BX75" s="143">
        <v>0</v>
      </c>
      <c r="BY75" s="277">
        <v>211</v>
      </c>
      <c r="BZ75" s="135">
        <v>0</v>
      </c>
      <c r="CA75" s="135">
        <v>252</v>
      </c>
      <c r="CB75" s="135">
        <v>0</v>
      </c>
      <c r="CC75" s="135">
        <v>102</v>
      </c>
      <c r="CD75" s="135">
        <v>0</v>
      </c>
      <c r="CE75" s="135">
        <v>0</v>
      </c>
      <c r="CF75" s="135">
        <v>0</v>
      </c>
      <c r="CG75" s="135">
        <v>0</v>
      </c>
      <c r="CH75" s="135">
        <v>0</v>
      </c>
      <c r="CI75" s="135"/>
      <c r="CJ75" s="276">
        <v>565</v>
      </c>
      <c r="CK75" s="143"/>
      <c r="CL75" s="135">
        <v>4</v>
      </c>
      <c r="CM75" s="143">
        <v>4</v>
      </c>
      <c r="CN75" s="140"/>
      <c r="CO75" s="140">
        <v>0</v>
      </c>
      <c r="CP75" s="143">
        <v>3</v>
      </c>
      <c r="CQ75" s="135"/>
      <c r="CR75" s="135">
        <v>10</v>
      </c>
      <c r="CS75" s="143">
        <v>13</v>
      </c>
      <c r="CT75" s="140">
        <v>11</v>
      </c>
      <c r="CU75" s="143">
        <v>5</v>
      </c>
      <c r="CV75" s="135">
        <v>0</v>
      </c>
      <c r="CW75" s="135">
        <v>0</v>
      </c>
      <c r="CX75" s="143">
        <v>5</v>
      </c>
      <c r="CY75" s="140">
        <v>0</v>
      </c>
      <c r="CZ75" s="140">
        <v>0</v>
      </c>
      <c r="DA75" s="143">
        <v>0</v>
      </c>
      <c r="DB75" s="135">
        <v>94</v>
      </c>
      <c r="DC75" s="135"/>
      <c r="DD75" s="143">
        <v>94</v>
      </c>
      <c r="DE75" s="140">
        <v>9050</v>
      </c>
      <c r="DF75" s="356">
        <f>9050/1534554</f>
        <v>5.8974790069297005E-3</v>
      </c>
    </row>
    <row r="76" spans="2:110" x14ac:dyDescent="0.2">
      <c r="B76" s="138" t="s">
        <v>81</v>
      </c>
      <c r="C76" s="366"/>
      <c r="D76" s="374"/>
      <c r="E76" s="374"/>
      <c r="F76" s="367"/>
      <c r="G76" s="143">
        <v>37</v>
      </c>
      <c r="H76" s="135">
        <v>0</v>
      </c>
      <c r="I76" s="135"/>
      <c r="J76" s="135">
        <v>0</v>
      </c>
      <c r="K76" s="135"/>
      <c r="L76" s="135">
        <v>0</v>
      </c>
      <c r="M76" s="143">
        <v>37</v>
      </c>
      <c r="N76" s="140"/>
      <c r="O76" s="143">
        <v>146</v>
      </c>
      <c r="P76" s="135"/>
      <c r="Q76" s="135"/>
      <c r="R76" s="143">
        <v>146</v>
      </c>
      <c r="S76" s="277">
        <v>0</v>
      </c>
      <c r="T76" s="135"/>
      <c r="U76" s="135"/>
      <c r="V76" s="276">
        <v>0</v>
      </c>
      <c r="W76" s="143"/>
      <c r="X76" s="135">
        <v>2</v>
      </c>
      <c r="Y76" s="143">
        <v>2</v>
      </c>
      <c r="Z76" s="277">
        <v>1</v>
      </c>
      <c r="AA76" s="135"/>
      <c r="AB76" s="276">
        <v>1</v>
      </c>
      <c r="AC76" s="143">
        <v>6</v>
      </c>
      <c r="AD76" s="135"/>
      <c r="AE76" s="135"/>
      <c r="AF76" s="135">
        <v>0</v>
      </c>
      <c r="AG76" s="135"/>
      <c r="AH76" s="135">
        <v>0</v>
      </c>
      <c r="AI76" s="135">
        <v>0</v>
      </c>
      <c r="AJ76" s="143">
        <v>6</v>
      </c>
      <c r="AK76" s="140"/>
      <c r="AL76" s="140"/>
      <c r="AM76" s="277">
        <v>0</v>
      </c>
      <c r="AN76" s="135"/>
      <c r="AO76" s="135"/>
      <c r="AP76" s="135"/>
      <c r="AQ76" s="135"/>
      <c r="AR76" s="135"/>
      <c r="AS76" s="135">
        <v>0</v>
      </c>
      <c r="AT76" s="135"/>
      <c r="AU76" s="135"/>
      <c r="AV76" s="135">
        <v>0</v>
      </c>
      <c r="AW76" s="135">
        <v>0</v>
      </c>
      <c r="AX76" s="276">
        <v>0</v>
      </c>
      <c r="AY76" s="143">
        <v>0</v>
      </c>
      <c r="AZ76" s="135">
        <v>66</v>
      </c>
      <c r="BA76" s="135">
        <v>0</v>
      </c>
      <c r="BB76" s="135">
        <v>0</v>
      </c>
      <c r="BC76" s="135">
        <v>0</v>
      </c>
      <c r="BD76" s="135">
        <v>0</v>
      </c>
      <c r="BE76" s="135">
        <v>0</v>
      </c>
      <c r="BF76" s="135">
        <v>0</v>
      </c>
      <c r="BG76" s="143">
        <v>66</v>
      </c>
      <c r="BH76" s="277">
        <v>0</v>
      </c>
      <c r="BI76" s="135">
        <v>0</v>
      </c>
      <c r="BJ76" s="135">
        <v>20</v>
      </c>
      <c r="BK76" s="135">
        <v>0</v>
      </c>
      <c r="BL76" s="135"/>
      <c r="BM76" s="135"/>
      <c r="BN76" s="276">
        <v>20</v>
      </c>
      <c r="BO76" s="143"/>
      <c r="BP76" s="140">
        <v>0</v>
      </c>
      <c r="BQ76" s="140"/>
      <c r="BR76" s="143">
        <v>0</v>
      </c>
      <c r="BS76" s="135">
        <v>0</v>
      </c>
      <c r="BT76" s="135"/>
      <c r="BU76" s="135"/>
      <c r="BV76" s="135"/>
      <c r="BW76" s="135"/>
      <c r="BX76" s="143">
        <v>0</v>
      </c>
      <c r="BY76" s="277">
        <v>40</v>
      </c>
      <c r="BZ76" s="135">
        <v>0</v>
      </c>
      <c r="CA76" s="135">
        <v>140</v>
      </c>
      <c r="CB76" s="135">
        <v>0</v>
      </c>
      <c r="CC76" s="135">
        <v>14</v>
      </c>
      <c r="CD76" s="135">
        <v>0</v>
      </c>
      <c r="CE76" s="135">
        <v>0</v>
      </c>
      <c r="CF76" s="135">
        <v>0</v>
      </c>
      <c r="CG76" s="135">
        <v>0</v>
      </c>
      <c r="CH76" s="135">
        <v>0</v>
      </c>
      <c r="CI76" s="135"/>
      <c r="CJ76" s="276">
        <v>194</v>
      </c>
      <c r="CK76" s="143"/>
      <c r="CL76" s="135"/>
      <c r="CM76" s="143"/>
      <c r="CN76" s="140"/>
      <c r="CO76" s="140"/>
      <c r="CP76" s="143"/>
      <c r="CQ76" s="135"/>
      <c r="CR76" s="135">
        <v>1</v>
      </c>
      <c r="CS76" s="143">
        <v>1</v>
      </c>
      <c r="CT76" s="140">
        <v>22</v>
      </c>
      <c r="CU76" s="143">
        <v>0</v>
      </c>
      <c r="CV76" s="135">
        <v>0</v>
      </c>
      <c r="CW76" s="135"/>
      <c r="CX76" s="143">
        <v>0</v>
      </c>
      <c r="CY76" s="140"/>
      <c r="CZ76" s="140">
        <v>0</v>
      </c>
      <c r="DA76" s="143">
        <v>2</v>
      </c>
      <c r="DB76" s="135"/>
      <c r="DC76" s="135"/>
      <c r="DD76" s="143">
        <v>2</v>
      </c>
      <c r="DE76" s="140">
        <v>497</v>
      </c>
      <c r="DF76" s="356">
        <f>497/1534554</f>
        <v>3.238726040269681E-4</v>
      </c>
    </row>
    <row r="77" spans="2:110" x14ac:dyDescent="0.2">
      <c r="B77" s="138" t="s">
        <v>106</v>
      </c>
      <c r="C77" s="366">
        <v>0</v>
      </c>
      <c r="D77" s="374">
        <v>0</v>
      </c>
      <c r="E77" s="374"/>
      <c r="F77" s="367">
        <v>0</v>
      </c>
      <c r="G77" s="143">
        <v>53</v>
      </c>
      <c r="H77" s="135">
        <v>0</v>
      </c>
      <c r="I77" s="135">
        <v>0</v>
      </c>
      <c r="J77" s="135">
        <v>15</v>
      </c>
      <c r="K77" s="135">
        <v>0</v>
      </c>
      <c r="L77" s="135">
        <v>0</v>
      </c>
      <c r="M77" s="143">
        <v>68</v>
      </c>
      <c r="N77" s="140"/>
      <c r="O77" s="143">
        <v>2362</v>
      </c>
      <c r="P77" s="135">
        <v>0</v>
      </c>
      <c r="Q77" s="135"/>
      <c r="R77" s="143">
        <v>2362</v>
      </c>
      <c r="S77" s="277">
        <v>0</v>
      </c>
      <c r="T77" s="135"/>
      <c r="U77" s="135"/>
      <c r="V77" s="276">
        <v>0</v>
      </c>
      <c r="W77" s="143"/>
      <c r="X77" s="135"/>
      <c r="Y77" s="143"/>
      <c r="Z77" s="277"/>
      <c r="AA77" s="135"/>
      <c r="AB77" s="276"/>
      <c r="AC77" s="143">
        <v>12</v>
      </c>
      <c r="AD77" s="135"/>
      <c r="AE77" s="135"/>
      <c r="AF77" s="135"/>
      <c r="AG77" s="135"/>
      <c r="AH77" s="135"/>
      <c r="AI77" s="135"/>
      <c r="AJ77" s="143">
        <v>12</v>
      </c>
      <c r="AK77" s="140"/>
      <c r="AL77" s="140"/>
      <c r="AM77" s="277"/>
      <c r="AN77" s="135"/>
      <c r="AO77" s="135"/>
      <c r="AP77" s="135"/>
      <c r="AQ77" s="135"/>
      <c r="AR77" s="135"/>
      <c r="AS77" s="135"/>
      <c r="AT77" s="135"/>
      <c r="AU77" s="135"/>
      <c r="AV77" s="135"/>
      <c r="AW77" s="135">
        <v>0</v>
      </c>
      <c r="AX77" s="276">
        <v>0</v>
      </c>
      <c r="AY77" s="143"/>
      <c r="AZ77" s="135">
        <v>131</v>
      </c>
      <c r="BA77" s="135">
        <v>0</v>
      </c>
      <c r="BB77" s="135">
        <v>0</v>
      </c>
      <c r="BC77" s="135">
        <v>0</v>
      </c>
      <c r="BD77" s="135">
        <v>2</v>
      </c>
      <c r="BE77" s="135"/>
      <c r="BF77" s="135"/>
      <c r="BG77" s="143">
        <v>133</v>
      </c>
      <c r="BH77" s="277">
        <v>0</v>
      </c>
      <c r="BI77" s="135">
        <v>10</v>
      </c>
      <c r="BJ77" s="135">
        <v>3</v>
      </c>
      <c r="BK77" s="135"/>
      <c r="BL77" s="135"/>
      <c r="BM77" s="135"/>
      <c r="BN77" s="276">
        <v>13</v>
      </c>
      <c r="BO77" s="143"/>
      <c r="BP77" s="140">
        <v>0</v>
      </c>
      <c r="BQ77" s="140"/>
      <c r="BR77" s="143">
        <v>0</v>
      </c>
      <c r="BS77" s="135">
        <v>0</v>
      </c>
      <c r="BT77" s="135"/>
      <c r="BU77" s="135"/>
      <c r="BV77" s="135"/>
      <c r="BW77" s="135"/>
      <c r="BX77" s="143">
        <v>0</v>
      </c>
      <c r="BY77" s="277">
        <v>39</v>
      </c>
      <c r="BZ77" s="135">
        <v>0</v>
      </c>
      <c r="CA77" s="135">
        <v>139</v>
      </c>
      <c r="CB77" s="135">
        <v>0</v>
      </c>
      <c r="CC77" s="135">
        <v>12</v>
      </c>
      <c r="CD77" s="135">
        <v>0</v>
      </c>
      <c r="CE77" s="135"/>
      <c r="CF77" s="135">
        <v>0</v>
      </c>
      <c r="CG77" s="135"/>
      <c r="CH77" s="135">
        <v>0</v>
      </c>
      <c r="CI77" s="135"/>
      <c r="CJ77" s="276">
        <v>190</v>
      </c>
      <c r="CK77" s="143"/>
      <c r="CL77" s="135"/>
      <c r="CM77" s="143"/>
      <c r="CN77" s="140"/>
      <c r="CO77" s="140"/>
      <c r="CP77" s="143"/>
      <c r="CQ77" s="135"/>
      <c r="CR77" s="135"/>
      <c r="CS77" s="143"/>
      <c r="CT77" s="140"/>
      <c r="CU77" s="143"/>
      <c r="CV77" s="135">
        <v>0</v>
      </c>
      <c r="CW77" s="135"/>
      <c r="CX77" s="143">
        <v>0</v>
      </c>
      <c r="CY77" s="140"/>
      <c r="CZ77" s="140">
        <v>0</v>
      </c>
      <c r="DA77" s="143">
        <v>0</v>
      </c>
      <c r="DB77" s="135"/>
      <c r="DC77" s="135"/>
      <c r="DD77" s="143">
        <v>0</v>
      </c>
      <c r="DE77" s="140">
        <v>2778</v>
      </c>
      <c r="DF77" s="356">
        <f>2778/1534554</f>
        <v>1.8102979758288075E-3</v>
      </c>
    </row>
    <row r="78" spans="2:110" x14ac:dyDescent="0.2">
      <c r="B78" s="138" t="s">
        <v>111</v>
      </c>
      <c r="C78" s="366">
        <v>0</v>
      </c>
      <c r="D78" s="374">
        <v>0</v>
      </c>
      <c r="E78" s="374"/>
      <c r="F78" s="367">
        <v>0</v>
      </c>
      <c r="G78" s="143">
        <v>120</v>
      </c>
      <c r="H78" s="135">
        <v>3</v>
      </c>
      <c r="I78" s="135">
        <v>0</v>
      </c>
      <c r="J78" s="135">
        <v>9</v>
      </c>
      <c r="K78" s="135"/>
      <c r="L78" s="135"/>
      <c r="M78" s="143">
        <v>132</v>
      </c>
      <c r="N78" s="140"/>
      <c r="O78" s="143">
        <v>1140</v>
      </c>
      <c r="P78" s="135">
        <v>0</v>
      </c>
      <c r="Q78" s="135"/>
      <c r="R78" s="143">
        <v>1140</v>
      </c>
      <c r="S78" s="277">
        <v>0</v>
      </c>
      <c r="T78" s="135">
        <v>0</v>
      </c>
      <c r="U78" s="135"/>
      <c r="V78" s="276">
        <v>0</v>
      </c>
      <c r="W78" s="143">
        <v>0</v>
      </c>
      <c r="X78" s="135"/>
      <c r="Y78" s="143">
        <v>0</v>
      </c>
      <c r="Z78" s="277">
        <v>0</v>
      </c>
      <c r="AA78" s="135"/>
      <c r="AB78" s="276">
        <v>0</v>
      </c>
      <c r="AC78" s="143">
        <v>15</v>
      </c>
      <c r="AD78" s="135">
        <v>0</v>
      </c>
      <c r="AE78" s="135">
        <v>33</v>
      </c>
      <c r="AF78" s="135">
        <v>0</v>
      </c>
      <c r="AG78" s="135"/>
      <c r="AH78" s="135"/>
      <c r="AI78" s="135"/>
      <c r="AJ78" s="143">
        <v>48</v>
      </c>
      <c r="AK78" s="140"/>
      <c r="AL78" s="140">
        <v>0</v>
      </c>
      <c r="AM78" s="277">
        <v>0</v>
      </c>
      <c r="AN78" s="135">
        <v>0</v>
      </c>
      <c r="AO78" s="135">
        <v>0</v>
      </c>
      <c r="AP78" s="135">
        <v>0</v>
      </c>
      <c r="AQ78" s="135">
        <v>0</v>
      </c>
      <c r="AR78" s="135"/>
      <c r="AS78" s="135">
        <v>0</v>
      </c>
      <c r="AT78" s="135">
        <v>0</v>
      </c>
      <c r="AU78" s="135">
        <v>0</v>
      </c>
      <c r="AV78" s="135">
        <v>0</v>
      </c>
      <c r="AW78" s="135">
        <v>0</v>
      </c>
      <c r="AX78" s="276">
        <v>0</v>
      </c>
      <c r="AY78" s="143">
        <v>0</v>
      </c>
      <c r="AZ78" s="135">
        <v>555</v>
      </c>
      <c r="BA78" s="135">
        <v>0</v>
      </c>
      <c r="BB78" s="135">
        <v>0</v>
      </c>
      <c r="BC78" s="135">
        <v>0</v>
      </c>
      <c r="BD78" s="135">
        <v>0</v>
      </c>
      <c r="BE78" s="135">
        <v>0</v>
      </c>
      <c r="BF78" s="135">
        <v>0</v>
      </c>
      <c r="BG78" s="143">
        <v>555</v>
      </c>
      <c r="BH78" s="277">
        <v>0</v>
      </c>
      <c r="BI78" s="135">
        <v>5</v>
      </c>
      <c r="BJ78" s="135">
        <v>117</v>
      </c>
      <c r="BK78" s="135">
        <v>2</v>
      </c>
      <c r="BL78" s="135"/>
      <c r="BM78" s="135"/>
      <c r="BN78" s="276">
        <v>124</v>
      </c>
      <c r="BO78" s="143"/>
      <c r="BP78" s="140">
        <v>0</v>
      </c>
      <c r="BQ78" s="140"/>
      <c r="BR78" s="143">
        <v>0</v>
      </c>
      <c r="BS78" s="135">
        <v>0</v>
      </c>
      <c r="BT78" s="135">
        <v>0</v>
      </c>
      <c r="BU78" s="135"/>
      <c r="BV78" s="135"/>
      <c r="BW78" s="135"/>
      <c r="BX78" s="143">
        <v>0</v>
      </c>
      <c r="BY78" s="277">
        <v>329</v>
      </c>
      <c r="BZ78" s="135">
        <v>0</v>
      </c>
      <c r="CA78" s="135">
        <v>94</v>
      </c>
      <c r="CB78" s="135">
        <v>0</v>
      </c>
      <c r="CC78" s="135">
        <v>138</v>
      </c>
      <c r="CD78" s="135">
        <v>0</v>
      </c>
      <c r="CE78" s="135">
        <v>0</v>
      </c>
      <c r="CF78" s="135">
        <v>0</v>
      </c>
      <c r="CG78" s="135">
        <v>0</v>
      </c>
      <c r="CH78" s="135">
        <v>0</v>
      </c>
      <c r="CI78" s="135"/>
      <c r="CJ78" s="276">
        <v>561</v>
      </c>
      <c r="CK78" s="143"/>
      <c r="CL78" s="135">
        <v>0</v>
      </c>
      <c r="CM78" s="143">
        <v>0</v>
      </c>
      <c r="CN78" s="140"/>
      <c r="CO78" s="140"/>
      <c r="CP78" s="143">
        <v>3</v>
      </c>
      <c r="CQ78" s="135"/>
      <c r="CR78" s="135">
        <v>56</v>
      </c>
      <c r="CS78" s="143">
        <v>59</v>
      </c>
      <c r="CT78" s="140"/>
      <c r="CU78" s="143">
        <v>5</v>
      </c>
      <c r="CV78" s="135">
        <v>0</v>
      </c>
      <c r="CW78" s="135"/>
      <c r="CX78" s="143">
        <v>5</v>
      </c>
      <c r="CY78" s="140"/>
      <c r="CZ78" s="140">
        <v>0</v>
      </c>
      <c r="DA78" s="143">
        <v>22</v>
      </c>
      <c r="DB78" s="135">
        <v>15</v>
      </c>
      <c r="DC78" s="135"/>
      <c r="DD78" s="143">
        <v>37</v>
      </c>
      <c r="DE78" s="140">
        <v>2661</v>
      </c>
      <c r="DF78" s="356">
        <f>2661/1534554</f>
        <v>1.7340543245789983E-3</v>
      </c>
    </row>
    <row r="79" spans="2:110" x14ac:dyDescent="0.2">
      <c r="B79" s="138" t="s">
        <v>133</v>
      </c>
      <c r="C79" s="366">
        <v>0</v>
      </c>
      <c r="D79" s="374">
        <v>0</v>
      </c>
      <c r="E79" s="374">
        <v>0</v>
      </c>
      <c r="F79" s="367">
        <v>0</v>
      </c>
      <c r="G79" s="143">
        <v>30</v>
      </c>
      <c r="H79" s="135">
        <v>2</v>
      </c>
      <c r="I79" s="135">
        <v>0</v>
      </c>
      <c r="J79" s="135">
        <v>3</v>
      </c>
      <c r="K79" s="135"/>
      <c r="L79" s="135"/>
      <c r="M79" s="143">
        <v>35</v>
      </c>
      <c r="N79" s="140"/>
      <c r="O79" s="143">
        <v>164</v>
      </c>
      <c r="P79" s="135">
        <v>0</v>
      </c>
      <c r="Q79" s="135"/>
      <c r="R79" s="143">
        <v>164</v>
      </c>
      <c r="S79" s="277">
        <v>0</v>
      </c>
      <c r="T79" s="135">
        <v>0</v>
      </c>
      <c r="U79" s="135"/>
      <c r="V79" s="276">
        <v>0</v>
      </c>
      <c r="W79" s="143"/>
      <c r="X79" s="135"/>
      <c r="Y79" s="143"/>
      <c r="Z79" s="277">
        <v>0</v>
      </c>
      <c r="AA79" s="135"/>
      <c r="AB79" s="276">
        <v>0</v>
      </c>
      <c r="AC79" s="143">
        <v>1</v>
      </c>
      <c r="AD79" s="135"/>
      <c r="AE79" s="135">
        <v>3</v>
      </c>
      <c r="AF79" s="135"/>
      <c r="AG79" s="135"/>
      <c r="AH79" s="135"/>
      <c r="AI79" s="135">
        <v>0</v>
      </c>
      <c r="AJ79" s="143">
        <v>4</v>
      </c>
      <c r="AK79" s="140"/>
      <c r="AL79" s="140">
        <v>0</v>
      </c>
      <c r="AM79" s="277"/>
      <c r="AN79" s="135">
        <v>0</v>
      </c>
      <c r="AO79" s="135">
        <v>0</v>
      </c>
      <c r="AP79" s="135">
        <v>0</v>
      </c>
      <c r="AQ79" s="135"/>
      <c r="AR79" s="135"/>
      <c r="AS79" s="135"/>
      <c r="AT79" s="135"/>
      <c r="AU79" s="135"/>
      <c r="AV79" s="135">
        <v>0</v>
      </c>
      <c r="AW79" s="135">
        <v>0</v>
      </c>
      <c r="AX79" s="276">
        <v>0</v>
      </c>
      <c r="AY79" s="143">
        <v>0</v>
      </c>
      <c r="AZ79" s="135">
        <v>45</v>
      </c>
      <c r="BA79" s="135">
        <v>0</v>
      </c>
      <c r="BB79" s="135">
        <v>0</v>
      </c>
      <c r="BC79" s="135">
        <v>0</v>
      </c>
      <c r="BD79" s="135"/>
      <c r="BE79" s="135"/>
      <c r="BF79" s="135"/>
      <c r="BG79" s="143">
        <v>45</v>
      </c>
      <c r="BH79" s="277">
        <v>0</v>
      </c>
      <c r="BI79" s="135">
        <v>0</v>
      </c>
      <c r="BJ79" s="135">
        <v>5</v>
      </c>
      <c r="BK79" s="135"/>
      <c r="BL79" s="135"/>
      <c r="BM79" s="135"/>
      <c r="BN79" s="276">
        <v>5</v>
      </c>
      <c r="BO79" s="143">
        <v>0</v>
      </c>
      <c r="BP79" s="140">
        <v>0</v>
      </c>
      <c r="BQ79" s="140"/>
      <c r="BR79" s="143">
        <v>0</v>
      </c>
      <c r="BS79" s="135">
        <v>0</v>
      </c>
      <c r="BT79" s="135">
        <v>0</v>
      </c>
      <c r="BU79" s="135"/>
      <c r="BV79" s="135"/>
      <c r="BW79" s="135"/>
      <c r="BX79" s="143">
        <v>0</v>
      </c>
      <c r="BY79" s="277">
        <v>6</v>
      </c>
      <c r="BZ79" s="135">
        <v>0</v>
      </c>
      <c r="CA79" s="135">
        <v>9</v>
      </c>
      <c r="CB79" s="135">
        <v>0</v>
      </c>
      <c r="CC79" s="135">
        <v>4</v>
      </c>
      <c r="CD79" s="135"/>
      <c r="CE79" s="135">
        <v>0</v>
      </c>
      <c r="CF79" s="135">
        <v>0</v>
      </c>
      <c r="CG79" s="135"/>
      <c r="CH79" s="135">
        <v>0</v>
      </c>
      <c r="CI79" s="135"/>
      <c r="CJ79" s="276">
        <v>19</v>
      </c>
      <c r="CK79" s="143"/>
      <c r="CL79" s="135"/>
      <c r="CM79" s="143"/>
      <c r="CN79" s="140"/>
      <c r="CO79" s="140"/>
      <c r="CP79" s="143">
        <v>3</v>
      </c>
      <c r="CQ79" s="135"/>
      <c r="CR79" s="135">
        <v>1</v>
      </c>
      <c r="CS79" s="143">
        <v>4</v>
      </c>
      <c r="CT79" s="140"/>
      <c r="CU79" s="143">
        <v>134</v>
      </c>
      <c r="CV79" s="135">
        <v>0</v>
      </c>
      <c r="CW79" s="135"/>
      <c r="CX79" s="143">
        <v>134</v>
      </c>
      <c r="CY79" s="140">
        <v>0</v>
      </c>
      <c r="CZ79" s="140">
        <v>0</v>
      </c>
      <c r="DA79" s="143">
        <v>2</v>
      </c>
      <c r="DB79" s="135">
        <v>2</v>
      </c>
      <c r="DC79" s="135"/>
      <c r="DD79" s="143">
        <v>4</v>
      </c>
      <c r="DE79" s="140">
        <v>414</v>
      </c>
      <c r="DF79" s="356">
        <f>414/1534554</f>
        <v>2.6978522749932556E-4</v>
      </c>
    </row>
    <row r="80" spans="2:110" x14ac:dyDescent="0.2">
      <c r="B80" s="138" t="s">
        <v>143</v>
      </c>
      <c r="C80" s="366"/>
      <c r="D80" s="374"/>
      <c r="E80" s="374"/>
      <c r="F80" s="367"/>
      <c r="G80" s="143">
        <v>0</v>
      </c>
      <c r="H80" s="135">
        <v>0</v>
      </c>
      <c r="I80" s="135"/>
      <c r="J80" s="135"/>
      <c r="K80" s="135"/>
      <c r="L80" s="135"/>
      <c r="M80" s="143">
        <v>0</v>
      </c>
      <c r="N80" s="140"/>
      <c r="O80" s="143">
        <v>99</v>
      </c>
      <c r="P80" s="135"/>
      <c r="Q80" s="135"/>
      <c r="R80" s="143">
        <v>99</v>
      </c>
      <c r="S80" s="277">
        <v>0</v>
      </c>
      <c r="T80" s="135"/>
      <c r="U80" s="135"/>
      <c r="V80" s="276">
        <v>0</v>
      </c>
      <c r="W80" s="143"/>
      <c r="X80" s="135"/>
      <c r="Y80" s="143"/>
      <c r="Z80" s="277"/>
      <c r="AA80" s="135"/>
      <c r="AB80" s="276"/>
      <c r="AC80" s="143"/>
      <c r="AD80" s="135"/>
      <c r="AE80" s="135"/>
      <c r="AF80" s="135"/>
      <c r="AG80" s="135"/>
      <c r="AH80" s="135"/>
      <c r="AI80" s="135"/>
      <c r="AJ80" s="143"/>
      <c r="AK80" s="140"/>
      <c r="AL80" s="140"/>
      <c r="AM80" s="277"/>
      <c r="AN80" s="135"/>
      <c r="AO80" s="135"/>
      <c r="AP80" s="135"/>
      <c r="AQ80" s="135"/>
      <c r="AR80" s="135"/>
      <c r="AS80" s="135"/>
      <c r="AT80" s="135"/>
      <c r="AU80" s="135"/>
      <c r="AV80" s="135"/>
      <c r="AW80" s="135"/>
      <c r="AX80" s="276"/>
      <c r="AY80" s="143"/>
      <c r="AZ80" s="135">
        <v>1</v>
      </c>
      <c r="BA80" s="135"/>
      <c r="BB80" s="135"/>
      <c r="BC80" s="135"/>
      <c r="BD80" s="135">
        <v>8</v>
      </c>
      <c r="BE80" s="135"/>
      <c r="BF80" s="135"/>
      <c r="BG80" s="143">
        <v>9</v>
      </c>
      <c r="BH80" s="277"/>
      <c r="BI80" s="135">
        <v>0</v>
      </c>
      <c r="BJ80" s="135"/>
      <c r="BK80" s="135"/>
      <c r="BL80" s="135"/>
      <c r="BM80" s="135"/>
      <c r="BN80" s="276">
        <v>0</v>
      </c>
      <c r="BO80" s="143"/>
      <c r="BP80" s="140"/>
      <c r="BQ80" s="140"/>
      <c r="BR80" s="143"/>
      <c r="BS80" s="135">
        <v>0</v>
      </c>
      <c r="BT80" s="135"/>
      <c r="BU80" s="135"/>
      <c r="BV80" s="135"/>
      <c r="BW80" s="135"/>
      <c r="BX80" s="143">
        <v>0</v>
      </c>
      <c r="BY80" s="277">
        <v>24</v>
      </c>
      <c r="BZ80" s="135">
        <v>0</v>
      </c>
      <c r="CA80" s="135">
        <v>6</v>
      </c>
      <c r="CB80" s="135">
        <v>0</v>
      </c>
      <c r="CC80" s="135">
        <v>4</v>
      </c>
      <c r="CD80" s="135">
        <v>0</v>
      </c>
      <c r="CE80" s="135"/>
      <c r="CF80" s="135"/>
      <c r="CG80" s="135"/>
      <c r="CH80" s="135"/>
      <c r="CI80" s="135"/>
      <c r="CJ80" s="276">
        <v>34</v>
      </c>
      <c r="CK80" s="143"/>
      <c r="CL80" s="135"/>
      <c r="CM80" s="143"/>
      <c r="CN80" s="140"/>
      <c r="CO80" s="140"/>
      <c r="CP80" s="143"/>
      <c r="CQ80" s="135"/>
      <c r="CR80" s="135"/>
      <c r="CS80" s="143"/>
      <c r="CT80" s="140"/>
      <c r="CU80" s="143"/>
      <c r="CV80" s="135"/>
      <c r="CW80" s="135"/>
      <c r="CX80" s="143"/>
      <c r="CY80" s="140"/>
      <c r="CZ80" s="140"/>
      <c r="DA80" s="143"/>
      <c r="DB80" s="135"/>
      <c r="DC80" s="135"/>
      <c r="DD80" s="143"/>
      <c r="DE80" s="140">
        <v>142</v>
      </c>
      <c r="DF80" s="356">
        <f>142/1534554</f>
        <v>9.2535029721990881E-5</v>
      </c>
    </row>
    <row r="81" spans="2:110" x14ac:dyDescent="0.2">
      <c r="B81" s="138" t="s">
        <v>148</v>
      </c>
      <c r="C81" s="366"/>
      <c r="D81" s="374"/>
      <c r="E81" s="374"/>
      <c r="F81" s="367"/>
      <c r="G81" s="143">
        <v>22</v>
      </c>
      <c r="H81" s="135">
        <v>0</v>
      </c>
      <c r="I81" s="135"/>
      <c r="J81" s="135">
        <v>1</v>
      </c>
      <c r="K81" s="135"/>
      <c r="L81" s="135"/>
      <c r="M81" s="143">
        <v>23</v>
      </c>
      <c r="N81" s="140"/>
      <c r="O81" s="143">
        <v>1047</v>
      </c>
      <c r="P81" s="135"/>
      <c r="Q81" s="135"/>
      <c r="R81" s="143">
        <v>1047</v>
      </c>
      <c r="S81" s="277">
        <v>0</v>
      </c>
      <c r="T81" s="135"/>
      <c r="U81" s="135"/>
      <c r="V81" s="276">
        <v>0</v>
      </c>
      <c r="W81" s="143"/>
      <c r="X81" s="135">
        <v>0</v>
      </c>
      <c r="Y81" s="143">
        <v>0</v>
      </c>
      <c r="Z81" s="277"/>
      <c r="AA81" s="135"/>
      <c r="AB81" s="276"/>
      <c r="AC81" s="143"/>
      <c r="AD81" s="135"/>
      <c r="AE81" s="135"/>
      <c r="AF81" s="135"/>
      <c r="AG81" s="135"/>
      <c r="AH81" s="135"/>
      <c r="AI81" s="135"/>
      <c r="AJ81" s="143"/>
      <c r="AK81" s="140"/>
      <c r="AL81" s="140"/>
      <c r="AM81" s="277"/>
      <c r="AN81" s="135"/>
      <c r="AO81" s="135"/>
      <c r="AP81" s="135">
        <v>0</v>
      </c>
      <c r="AQ81" s="135"/>
      <c r="AR81" s="135"/>
      <c r="AS81" s="135"/>
      <c r="AT81" s="135"/>
      <c r="AU81" s="135"/>
      <c r="AV81" s="135"/>
      <c r="AW81" s="135"/>
      <c r="AX81" s="276">
        <v>0</v>
      </c>
      <c r="AY81" s="143">
        <v>0</v>
      </c>
      <c r="AZ81" s="135">
        <v>44</v>
      </c>
      <c r="BA81" s="135"/>
      <c r="BB81" s="135"/>
      <c r="BC81" s="135"/>
      <c r="BD81" s="135">
        <v>2</v>
      </c>
      <c r="BE81" s="135"/>
      <c r="BF81" s="135"/>
      <c r="BG81" s="143">
        <v>46</v>
      </c>
      <c r="BH81" s="277"/>
      <c r="BI81" s="135">
        <v>0</v>
      </c>
      <c r="BJ81" s="135">
        <v>1</v>
      </c>
      <c r="BK81" s="135"/>
      <c r="BL81" s="135"/>
      <c r="BM81" s="135"/>
      <c r="BN81" s="276">
        <v>1</v>
      </c>
      <c r="BO81" s="143"/>
      <c r="BP81" s="140"/>
      <c r="BQ81" s="140"/>
      <c r="BR81" s="143">
        <v>0</v>
      </c>
      <c r="BS81" s="135">
        <v>0</v>
      </c>
      <c r="BT81" s="135"/>
      <c r="BU81" s="135"/>
      <c r="BV81" s="135"/>
      <c r="BW81" s="135"/>
      <c r="BX81" s="143">
        <v>0</v>
      </c>
      <c r="BY81" s="277">
        <v>30</v>
      </c>
      <c r="BZ81" s="135">
        <v>0</v>
      </c>
      <c r="CA81" s="135">
        <v>8</v>
      </c>
      <c r="CB81" s="135">
        <v>1</v>
      </c>
      <c r="CC81" s="135">
        <v>17</v>
      </c>
      <c r="CD81" s="135"/>
      <c r="CE81" s="135">
        <v>0</v>
      </c>
      <c r="CF81" s="135">
        <v>0</v>
      </c>
      <c r="CG81" s="135"/>
      <c r="CH81" s="135">
        <v>0</v>
      </c>
      <c r="CI81" s="135"/>
      <c r="CJ81" s="276">
        <v>56</v>
      </c>
      <c r="CK81" s="143"/>
      <c r="CL81" s="135"/>
      <c r="CM81" s="143"/>
      <c r="CN81" s="140"/>
      <c r="CO81" s="140">
        <v>0</v>
      </c>
      <c r="CP81" s="143"/>
      <c r="CQ81" s="135"/>
      <c r="CR81" s="135"/>
      <c r="CS81" s="143"/>
      <c r="CT81" s="140">
        <v>10</v>
      </c>
      <c r="CU81" s="143"/>
      <c r="CV81" s="135"/>
      <c r="CW81" s="135"/>
      <c r="CX81" s="143"/>
      <c r="CY81" s="140"/>
      <c r="CZ81" s="140">
        <v>0</v>
      </c>
      <c r="DA81" s="143"/>
      <c r="DB81" s="135">
        <v>1</v>
      </c>
      <c r="DC81" s="135"/>
      <c r="DD81" s="143">
        <v>1</v>
      </c>
      <c r="DE81" s="140">
        <v>1184</v>
      </c>
      <c r="DF81" s="356">
        <f>1184/1534554</f>
        <v>7.7155968444251558E-4</v>
      </c>
    </row>
    <row r="82" spans="2:110" x14ac:dyDescent="0.2">
      <c r="B82" s="138" t="s">
        <v>153</v>
      </c>
      <c r="C82" s="366">
        <v>0</v>
      </c>
      <c r="D82" s="374">
        <v>0</v>
      </c>
      <c r="E82" s="374"/>
      <c r="F82" s="367">
        <v>0</v>
      </c>
      <c r="G82" s="143">
        <v>12</v>
      </c>
      <c r="H82" s="135">
        <v>0</v>
      </c>
      <c r="I82" s="135">
        <v>0</v>
      </c>
      <c r="J82" s="135">
        <v>3</v>
      </c>
      <c r="K82" s="135"/>
      <c r="L82" s="135"/>
      <c r="M82" s="143">
        <v>15</v>
      </c>
      <c r="N82" s="140"/>
      <c r="O82" s="143">
        <v>198</v>
      </c>
      <c r="P82" s="135">
        <v>0</v>
      </c>
      <c r="Q82" s="135"/>
      <c r="R82" s="143">
        <v>198</v>
      </c>
      <c r="S82" s="277">
        <v>0</v>
      </c>
      <c r="T82" s="135">
        <v>0</v>
      </c>
      <c r="U82" s="135"/>
      <c r="V82" s="276">
        <v>0</v>
      </c>
      <c r="W82" s="143"/>
      <c r="X82" s="135">
        <v>5</v>
      </c>
      <c r="Y82" s="143">
        <v>5</v>
      </c>
      <c r="Z82" s="277">
        <v>0</v>
      </c>
      <c r="AA82" s="135"/>
      <c r="AB82" s="276">
        <v>0</v>
      </c>
      <c r="AC82" s="143">
        <v>0</v>
      </c>
      <c r="AD82" s="135">
        <v>0</v>
      </c>
      <c r="AE82" s="135"/>
      <c r="AF82" s="135">
        <v>0</v>
      </c>
      <c r="AG82" s="135"/>
      <c r="AH82" s="135">
        <v>0</v>
      </c>
      <c r="AI82" s="135">
        <v>0</v>
      </c>
      <c r="AJ82" s="143">
        <v>0</v>
      </c>
      <c r="AK82" s="140">
        <v>0</v>
      </c>
      <c r="AL82" s="140"/>
      <c r="AM82" s="277">
        <v>0</v>
      </c>
      <c r="AN82" s="135">
        <v>0</v>
      </c>
      <c r="AO82" s="135">
        <v>0</v>
      </c>
      <c r="AP82" s="135">
        <v>0</v>
      </c>
      <c r="AQ82" s="135">
        <v>0</v>
      </c>
      <c r="AR82" s="135"/>
      <c r="AS82" s="135"/>
      <c r="AT82" s="135"/>
      <c r="AU82" s="135">
        <v>0</v>
      </c>
      <c r="AV82" s="135">
        <v>0</v>
      </c>
      <c r="AW82" s="135">
        <v>0</v>
      </c>
      <c r="AX82" s="276">
        <v>0</v>
      </c>
      <c r="AY82" s="143">
        <v>0</v>
      </c>
      <c r="AZ82" s="135">
        <v>120</v>
      </c>
      <c r="BA82" s="135">
        <v>0</v>
      </c>
      <c r="BB82" s="135">
        <v>0</v>
      </c>
      <c r="BC82" s="135">
        <v>0</v>
      </c>
      <c r="BD82" s="135"/>
      <c r="BE82" s="135"/>
      <c r="BF82" s="135"/>
      <c r="BG82" s="143">
        <v>120</v>
      </c>
      <c r="BH82" s="277">
        <v>0</v>
      </c>
      <c r="BI82" s="135">
        <v>2</v>
      </c>
      <c r="BJ82" s="135">
        <v>14</v>
      </c>
      <c r="BK82" s="135"/>
      <c r="BL82" s="135"/>
      <c r="BM82" s="135"/>
      <c r="BN82" s="276">
        <v>16</v>
      </c>
      <c r="BO82" s="143"/>
      <c r="BP82" s="140">
        <v>0</v>
      </c>
      <c r="BQ82" s="140"/>
      <c r="BR82" s="143">
        <v>0</v>
      </c>
      <c r="BS82" s="135">
        <v>0</v>
      </c>
      <c r="BT82" s="135"/>
      <c r="BU82" s="135"/>
      <c r="BV82" s="135"/>
      <c r="BW82" s="135"/>
      <c r="BX82" s="143">
        <v>0</v>
      </c>
      <c r="BY82" s="277">
        <v>65</v>
      </c>
      <c r="BZ82" s="135">
        <v>0</v>
      </c>
      <c r="CA82" s="135">
        <v>109</v>
      </c>
      <c r="CB82" s="135">
        <v>0</v>
      </c>
      <c r="CC82" s="135">
        <v>34</v>
      </c>
      <c r="CD82" s="135">
        <v>0</v>
      </c>
      <c r="CE82" s="135">
        <v>0</v>
      </c>
      <c r="CF82" s="135">
        <v>0</v>
      </c>
      <c r="CG82" s="135">
        <v>0</v>
      </c>
      <c r="CH82" s="135">
        <v>0</v>
      </c>
      <c r="CI82" s="135"/>
      <c r="CJ82" s="276">
        <v>208</v>
      </c>
      <c r="CK82" s="143"/>
      <c r="CL82" s="135">
        <v>0</v>
      </c>
      <c r="CM82" s="143">
        <v>0</v>
      </c>
      <c r="CN82" s="140"/>
      <c r="CO82" s="140"/>
      <c r="CP82" s="143">
        <v>0</v>
      </c>
      <c r="CQ82" s="135">
        <v>4</v>
      </c>
      <c r="CR82" s="135"/>
      <c r="CS82" s="143">
        <v>4</v>
      </c>
      <c r="CT82" s="140"/>
      <c r="CU82" s="143">
        <v>16</v>
      </c>
      <c r="CV82" s="135">
        <v>0</v>
      </c>
      <c r="CW82" s="135">
        <v>0</v>
      </c>
      <c r="CX82" s="143">
        <v>16</v>
      </c>
      <c r="CY82" s="140">
        <v>3</v>
      </c>
      <c r="CZ82" s="140">
        <v>0</v>
      </c>
      <c r="DA82" s="143">
        <v>0</v>
      </c>
      <c r="DB82" s="135">
        <v>1</v>
      </c>
      <c r="DC82" s="135"/>
      <c r="DD82" s="143">
        <v>1</v>
      </c>
      <c r="DE82" s="140">
        <v>586</v>
      </c>
      <c r="DF82" s="356">
        <f>586/1534554</f>
        <v>3.8186991138793421E-4</v>
      </c>
    </row>
    <row r="83" spans="2:110" x14ac:dyDescent="0.2">
      <c r="B83" s="138" t="s">
        <v>157</v>
      </c>
      <c r="C83" s="366">
        <v>0</v>
      </c>
      <c r="D83" s="374"/>
      <c r="E83" s="374">
        <v>0</v>
      </c>
      <c r="F83" s="367">
        <v>0</v>
      </c>
      <c r="G83" s="143">
        <v>10</v>
      </c>
      <c r="H83" s="135">
        <v>0</v>
      </c>
      <c r="I83" s="135">
        <v>0</v>
      </c>
      <c r="J83" s="135">
        <v>2</v>
      </c>
      <c r="K83" s="135"/>
      <c r="L83" s="135"/>
      <c r="M83" s="143">
        <v>12</v>
      </c>
      <c r="N83" s="140"/>
      <c r="O83" s="143">
        <v>366</v>
      </c>
      <c r="P83" s="135"/>
      <c r="Q83" s="135"/>
      <c r="R83" s="143">
        <v>366</v>
      </c>
      <c r="S83" s="277">
        <v>0</v>
      </c>
      <c r="T83" s="135">
        <v>0</v>
      </c>
      <c r="U83" s="135"/>
      <c r="V83" s="276">
        <v>0</v>
      </c>
      <c r="W83" s="143"/>
      <c r="X83" s="135"/>
      <c r="Y83" s="143"/>
      <c r="Z83" s="277">
        <v>0</v>
      </c>
      <c r="AA83" s="135"/>
      <c r="AB83" s="276">
        <v>0</v>
      </c>
      <c r="AC83" s="143">
        <v>14</v>
      </c>
      <c r="AD83" s="135">
        <v>0</v>
      </c>
      <c r="AE83" s="135"/>
      <c r="AF83" s="135">
        <v>0</v>
      </c>
      <c r="AG83" s="135"/>
      <c r="AH83" s="135"/>
      <c r="AI83" s="135">
        <v>0</v>
      </c>
      <c r="AJ83" s="143">
        <v>14</v>
      </c>
      <c r="AK83" s="140"/>
      <c r="AL83" s="140">
        <v>0</v>
      </c>
      <c r="AM83" s="277">
        <v>0</v>
      </c>
      <c r="AN83" s="135">
        <v>0</v>
      </c>
      <c r="AO83" s="135">
        <v>0</v>
      </c>
      <c r="AP83" s="135">
        <v>0</v>
      </c>
      <c r="AQ83" s="135"/>
      <c r="AR83" s="135"/>
      <c r="AS83" s="135">
        <v>0</v>
      </c>
      <c r="AT83" s="135"/>
      <c r="AU83" s="135">
        <v>0</v>
      </c>
      <c r="AV83" s="135">
        <v>0</v>
      </c>
      <c r="AW83" s="135"/>
      <c r="AX83" s="276">
        <v>0</v>
      </c>
      <c r="AY83" s="143">
        <v>0</v>
      </c>
      <c r="AZ83" s="135">
        <v>129</v>
      </c>
      <c r="BA83" s="135">
        <v>0</v>
      </c>
      <c r="BB83" s="135">
        <v>0</v>
      </c>
      <c r="BC83" s="135">
        <v>0</v>
      </c>
      <c r="BD83" s="135">
        <v>6</v>
      </c>
      <c r="BE83" s="135"/>
      <c r="BF83" s="135">
        <v>0</v>
      </c>
      <c r="BG83" s="143">
        <v>135</v>
      </c>
      <c r="BH83" s="277">
        <v>0</v>
      </c>
      <c r="BI83" s="135">
        <v>0</v>
      </c>
      <c r="BJ83" s="135">
        <v>17</v>
      </c>
      <c r="BK83" s="135">
        <v>0</v>
      </c>
      <c r="BL83" s="135"/>
      <c r="BM83" s="135"/>
      <c r="BN83" s="276">
        <v>17</v>
      </c>
      <c r="BO83" s="143"/>
      <c r="BP83" s="140">
        <v>0</v>
      </c>
      <c r="BQ83" s="140"/>
      <c r="BR83" s="143">
        <v>0</v>
      </c>
      <c r="BS83" s="135">
        <v>0</v>
      </c>
      <c r="BT83" s="135"/>
      <c r="BU83" s="135"/>
      <c r="BV83" s="135"/>
      <c r="BW83" s="135"/>
      <c r="BX83" s="143">
        <v>0</v>
      </c>
      <c r="BY83" s="277">
        <v>175</v>
      </c>
      <c r="BZ83" s="135">
        <v>0</v>
      </c>
      <c r="CA83" s="135">
        <v>175</v>
      </c>
      <c r="CB83" s="135">
        <v>0</v>
      </c>
      <c r="CC83" s="135">
        <v>39</v>
      </c>
      <c r="CD83" s="135">
        <v>0</v>
      </c>
      <c r="CE83" s="135">
        <v>0</v>
      </c>
      <c r="CF83" s="135">
        <v>0</v>
      </c>
      <c r="CG83" s="135">
        <v>0</v>
      </c>
      <c r="CH83" s="135">
        <v>0</v>
      </c>
      <c r="CI83" s="135"/>
      <c r="CJ83" s="276">
        <v>389</v>
      </c>
      <c r="CK83" s="143"/>
      <c r="CL83" s="135"/>
      <c r="CM83" s="143"/>
      <c r="CN83" s="140"/>
      <c r="CO83" s="140"/>
      <c r="CP83" s="143"/>
      <c r="CQ83" s="135"/>
      <c r="CR83" s="135">
        <v>2</v>
      </c>
      <c r="CS83" s="143">
        <v>2</v>
      </c>
      <c r="CT83" s="140">
        <v>21</v>
      </c>
      <c r="CU83" s="143">
        <v>0</v>
      </c>
      <c r="CV83" s="135">
        <v>0</v>
      </c>
      <c r="CW83" s="135">
        <v>0</v>
      </c>
      <c r="CX83" s="143">
        <v>0</v>
      </c>
      <c r="CY83" s="140">
        <v>4</v>
      </c>
      <c r="CZ83" s="140">
        <v>0</v>
      </c>
      <c r="DA83" s="143">
        <v>2</v>
      </c>
      <c r="DB83" s="135">
        <v>1</v>
      </c>
      <c r="DC83" s="135">
        <v>0</v>
      </c>
      <c r="DD83" s="143">
        <v>3</v>
      </c>
      <c r="DE83" s="140">
        <v>963</v>
      </c>
      <c r="DF83" s="356">
        <f>963/1534554</f>
        <v>6.2754389874843119E-4</v>
      </c>
    </row>
    <row r="84" spans="2:110" x14ac:dyDescent="0.2">
      <c r="B84" s="138" t="s">
        <v>167</v>
      </c>
      <c r="C84" s="366"/>
      <c r="D84" s="374"/>
      <c r="E84" s="374"/>
      <c r="F84" s="367"/>
      <c r="G84" s="143">
        <v>2</v>
      </c>
      <c r="H84" s="135">
        <v>0</v>
      </c>
      <c r="I84" s="135"/>
      <c r="J84" s="135">
        <v>2</v>
      </c>
      <c r="K84" s="135"/>
      <c r="L84" s="135"/>
      <c r="M84" s="143">
        <v>4</v>
      </c>
      <c r="N84" s="140"/>
      <c r="O84" s="143">
        <v>992</v>
      </c>
      <c r="P84" s="135"/>
      <c r="Q84" s="135"/>
      <c r="R84" s="143">
        <v>992</v>
      </c>
      <c r="S84" s="277">
        <v>0</v>
      </c>
      <c r="T84" s="135"/>
      <c r="U84" s="135"/>
      <c r="V84" s="276">
        <v>0</v>
      </c>
      <c r="W84" s="143"/>
      <c r="X84" s="135"/>
      <c r="Y84" s="143"/>
      <c r="Z84" s="277"/>
      <c r="AA84" s="135"/>
      <c r="AB84" s="276"/>
      <c r="AC84" s="143">
        <v>9</v>
      </c>
      <c r="AD84" s="135"/>
      <c r="AE84" s="135"/>
      <c r="AF84" s="135"/>
      <c r="AG84" s="135"/>
      <c r="AH84" s="135"/>
      <c r="AI84" s="135"/>
      <c r="AJ84" s="143">
        <v>9</v>
      </c>
      <c r="AK84" s="140"/>
      <c r="AL84" s="140"/>
      <c r="AM84" s="277"/>
      <c r="AN84" s="135"/>
      <c r="AO84" s="135"/>
      <c r="AP84" s="135"/>
      <c r="AQ84" s="135"/>
      <c r="AR84" s="135"/>
      <c r="AS84" s="135"/>
      <c r="AT84" s="135"/>
      <c r="AU84" s="135"/>
      <c r="AV84" s="135"/>
      <c r="AW84" s="135"/>
      <c r="AX84" s="276"/>
      <c r="AY84" s="143"/>
      <c r="AZ84" s="135">
        <v>183</v>
      </c>
      <c r="BA84" s="135"/>
      <c r="BB84" s="135">
        <v>0</v>
      </c>
      <c r="BC84" s="135"/>
      <c r="BD84" s="135">
        <v>0</v>
      </c>
      <c r="BE84" s="135"/>
      <c r="BF84" s="135"/>
      <c r="BG84" s="143">
        <v>183</v>
      </c>
      <c r="BH84" s="277"/>
      <c r="BI84" s="135">
        <v>6</v>
      </c>
      <c r="BJ84" s="135">
        <v>12</v>
      </c>
      <c r="BK84" s="135"/>
      <c r="BL84" s="135"/>
      <c r="BM84" s="135"/>
      <c r="BN84" s="276">
        <v>18</v>
      </c>
      <c r="BO84" s="143"/>
      <c r="BP84" s="140"/>
      <c r="BQ84" s="140"/>
      <c r="BR84" s="143"/>
      <c r="BS84" s="135">
        <v>0</v>
      </c>
      <c r="BT84" s="135"/>
      <c r="BU84" s="135"/>
      <c r="BV84" s="135"/>
      <c r="BW84" s="135"/>
      <c r="BX84" s="143">
        <v>0</v>
      </c>
      <c r="BY84" s="277">
        <v>2</v>
      </c>
      <c r="BZ84" s="135">
        <v>0</v>
      </c>
      <c r="CA84" s="135">
        <v>66</v>
      </c>
      <c r="CB84" s="135">
        <v>0</v>
      </c>
      <c r="CC84" s="135">
        <v>1163</v>
      </c>
      <c r="CD84" s="135">
        <v>0</v>
      </c>
      <c r="CE84" s="135">
        <v>0</v>
      </c>
      <c r="CF84" s="135">
        <v>0</v>
      </c>
      <c r="CG84" s="135"/>
      <c r="CH84" s="135">
        <v>0</v>
      </c>
      <c r="CI84" s="135"/>
      <c r="CJ84" s="276">
        <v>1231</v>
      </c>
      <c r="CK84" s="143"/>
      <c r="CL84" s="135"/>
      <c r="CM84" s="143"/>
      <c r="CN84" s="140"/>
      <c r="CO84" s="140"/>
      <c r="CP84" s="143"/>
      <c r="CQ84" s="135"/>
      <c r="CR84" s="135"/>
      <c r="CS84" s="143"/>
      <c r="CT84" s="140"/>
      <c r="CU84" s="143"/>
      <c r="CV84" s="135"/>
      <c r="CW84" s="135"/>
      <c r="CX84" s="143"/>
      <c r="CY84" s="140"/>
      <c r="CZ84" s="140">
        <v>0</v>
      </c>
      <c r="DA84" s="143">
        <v>0</v>
      </c>
      <c r="DB84" s="135"/>
      <c r="DC84" s="135"/>
      <c r="DD84" s="143">
        <v>0</v>
      </c>
      <c r="DE84" s="140">
        <v>2437</v>
      </c>
      <c r="DF84" s="356">
        <f>2437/1534554</f>
        <v>1.588083573468252E-3</v>
      </c>
    </row>
    <row r="85" spans="2:110" x14ac:dyDescent="0.2">
      <c r="B85" s="138" t="s">
        <v>205</v>
      </c>
      <c r="C85" s="366">
        <v>0</v>
      </c>
      <c r="D85" s="374">
        <v>0</v>
      </c>
      <c r="E85" s="374">
        <v>0</v>
      </c>
      <c r="F85" s="367">
        <v>0</v>
      </c>
      <c r="G85" s="143">
        <v>216</v>
      </c>
      <c r="H85" s="135">
        <v>12</v>
      </c>
      <c r="I85" s="135">
        <v>0</v>
      </c>
      <c r="J85" s="135">
        <v>56</v>
      </c>
      <c r="K85" s="135">
        <v>0</v>
      </c>
      <c r="L85" s="135"/>
      <c r="M85" s="143">
        <v>284</v>
      </c>
      <c r="N85" s="140"/>
      <c r="O85" s="143">
        <v>3650</v>
      </c>
      <c r="P85" s="135">
        <v>0</v>
      </c>
      <c r="Q85" s="135"/>
      <c r="R85" s="143">
        <v>3650</v>
      </c>
      <c r="S85" s="277">
        <v>0</v>
      </c>
      <c r="T85" s="135">
        <v>0</v>
      </c>
      <c r="U85" s="135"/>
      <c r="V85" s="276">
        <v>0</v>
      </c>
      <c r="W85" s="143"/>
      <c r="X85" s="135">
        <v>1</v>
      </c>
      <c r="Y85" s="143">
        <v>1</v>
      </c>
      <c r="Z85" s="277">
        <v>11</v>
      </c>
      <c r="AA85" s="135"/>
      <c r="AB85" s="276">
        <v>11</v>
      </c>
      <c r="AC85" s="143">
        <v>34</v>
      </c>
      <c r="AD85" s="135">
        <v>0</v>
      </c>
      <c r="AE85" s="135">
        <v>108</v>
      </c>
      <c r="AF85" s="135">
        <v>0</v>
      </c>
      <c r="AG85" s="135"/>
      <c r="AH85" s="135">
        <v>0</v>
      </c>
      <c r="AI85" s="135">
        <v>0</v>
      </c>
      <c r="AJ85" s="143">
        <v>142</v>
      </c>
      <c r="AK85" s="140">
        <v>0</v>
      </c>
      <c r="AL85" s="140">
        <v>0</v>
      </c>
      <c r="AM85" s="277">
        <v>0</v>
      </c>
      <c r="AN85" s="135">
        <v>0</v>
      </c>
      <c r="AO85" s="135">
        <v>0</v>
      </c>
      <c r="AP85" s="135">
        <v>0</v>
      </c>
      <c r="AQ85" s="135">
        <v>0</v>
      </c>
      <c r="AR85" s="135"/>
      <c r="AS85" s="135">
        <v>0</v>
      </c>
      <c r="AT85" s="135">
        <v>0</v>
      </c>
      <c r="AU85" s="135">
        <v>0</v>
      </c>
      <c r="AV85" s="135">
        <v>0</v>
      </c>
      <c r="AW85" s="135">
        <v>0</v>
      </c>
      <c r="AX85" s="276">
        <v>0</v>
      </c>
      <c r="AY85" s="143">
        <v>0</v>
      </c>
      <c r="AZ85" s="135">
        <v>978</v>
      </c>
      <c r="BA85" s="135">
        <v>0</v>
      </c>
      <c r="BB85" s="135">
        <v>0</v>
      </c>
      <c r="BC85" s="135">
        <v>0</v>
      </c>
      <c r="BD85" s="135">
        <v>4</v>
      </c>
      <c r="BE85" s="135">
        <v>0</v>
      </c>
      <c r="BF85" s="135">
        <v>0</v>
      </c>
      <c r="BG85" s="143">
        <v>982</v>
      </c>
      <c r="BH85" s="277">
        <v>0</v>
      </c>
      <c r="BI85" s="135">
        <v>14</v>
      </c>
      <c r="BJ85" s="135">
        <v>202</v>
      </c>
      <c r="BK85" s="135">
        <v>6</v>
      </c>
      <c r="BL85" s="135">
        <v>0</v>
      </c>
      <c r="BM85" s="135"/>
      <c r="BN85" s="276">
        <v>222</v>
      </c>
      <c r="BO85" s="143">
        <v>0</v>
      </c>
      <c r="BP85" s="140">
        <v>0</v>
      </c>
      <c r="BQ85" s="140"/>
      <c r="BR85" s="143">
        <v>0</v>
      </c>
      <c r="BS85" s="135">
        <v>0</v>
      </c>
      <c r="BT85" s="135">
        <v>0</v>
      </c>
      <c r="BU85" s="135"/>
      <c r="BV85" s="135"/>
      <c r="BW85" s="135"/>
      <c r="BX85" s="143">
        <v>0</v>
      </c>
      <c r="BY85" s="277">
        <v>986</v>
      </c>
      <c r="BZ85" s="135">
        <v>0</v>
      </c>
      <c r="CA85" s="135">
        <v>1362</v>
      </c>
      <c r="CB85" s="135">
        <v>2</v>
      </c>
      <c r="CC85" s="135">
        <v>425</v>
      </c>
      <c r="CD85" s="135">
        <v>0</v>
      </c>
      <c r="CE85" s="135">
        <v>0</v>
      </c>
      <c r="CF85" s="135">
        <v>0</v>
      </c>
      <c r="CG85" s="135">
        <v>0</v>
      </c>
      <c r="CH85" s="135">
        <v>0</v>
      </c>
      <c r="CI85" s="135"/>
      <c r="CJ85" s="276">
        <v>2775</v>
      </c>
      <c r="CK85" s="143"/>
      <c r="CL85" s="135">
        <v>0</v>
      </c>
      <c r="CM85" s="143">
        <v>0</v>
      </c>
      <c r="CN85" s="140">
        <v>0</v>
      </c>
      <c r="CO85" s="140">
        <v>0</v>
      </c>
      <c r="CP85" s="143">
        <v>3</v>
      </c>
      <c r="CQ85" s="135">
        <v>0</v>
      </c>
      <c r="CR85" s="135"/>
      <c r="CS85" s="143">
        <v>3</v>
      </c>
      <c r="CT85" s="140">
        <v>1</v>
      </c>
      <c r="CU85" s="143">
        <v>30</v>
      </c>
      <c r="CV85" s="135">
        <v>0</v>
      </c>
      <c r="CW85" s="135">
        <v>0</v>
      </c>
      <c r="CX85" s="143">
        <v>30</v>
      </c>
      <c r="CY85" s="140">
        <v>0</v>
      </c>
      <c r="CZ85" s="140">
        <v>0</v>
      </c>
      <c r="DA85" s="143">
        <v>1</v>
      </c>
      <c r="DB85" s="135">
        <v>114</v>
      </c>
      <c r="DC85" s="135"/>
      <c r="DD85" s="143">
        <v>115</v>
      </c>
      <c r="DE85" s="140">
        <v>8216</v>
      </c>
      <c r="DF85" s="356">
        <f>8216/1534554</f>
        <v>5.3539986210977258E-3</v>
      </c>
    </row>
    <row r="86" spans="2:110" x14ac:dyDescent="0.2">
      <c r="B86" s="138" t="s">
        <v>218</v>
      </c>
      <c r="C86" s="366">
        <v>0</v>
      </c>
      <c r="D86" s="374"/>
      <c r="E86" s="374"/>
      <c r="F86" s="367">
        <v>0</v>
      </c>
      <c r="G86" s="143">
        <v>143</v>
      </c>
      <c r="H86" s="135">
        <v>4</v>
      </c>
      <c r="I86" s="135">
        <v>0</v>
      </c>
      <c r="J86" s="135">
        <v>4</v>
      </c>
      <c r="K86" s="135">
        <v>0</v>
      </c>
      <c r="L86" s="135"/>
      <c r="M86" s="143">
        <v>151</v>
      </c>
      <c r="N86" s="140"/>
      <c r="O86" s="143">
        <v>1068</v>
      </c>
      <c r="P86" s="135">
        <v>0</v>
      </c>
      <c r="Q86" s="135"/>
      <c r="R86" s="143">
        <v>1068</v>
      </c>
      <c r="S86" s="277">
        <v>0</v>
      </c>
      <c r="T86" s="135">
        <v>0</v>
      </c>
      <c r="U86" s="135"/>
      <c r="V86" s="276">
        <v>0</v>
      </c>
      <c r="W86" s="143"/>
      <c r="X86" s="135"/>
      <c r="Y86" s="143"/>
      <c r="Z86" s="277"/>
      <c r="AA86" s="135"/>
      <c r="AB86" s="276"/>
      <c r="AC86" s="143">
        <v>2</v>
      </c>
      <c r="AD86" s="135">
        <v>0</v>
      </c>
      <c r="AE86" s="135">
        <v>68</v>
      </c>
      <c r="AF86" s="135"/>
      <c r="AG86" s="135"/>
      <c r="AH86" s="135"/>
      <c r="AI86" s="135"/>
      <c r="AJ86" s="143">
        <v>70</v>
      </c>
      <c r="AK86" s="140"/>
      <c r="AL86" s="140"/>
      <c r="AM86" s="277"/>
      <c r="AN86" s="135"/>
      <c r="AO86" s="135">
        <v>0</v>
      </c>
      <c r="AP86" s="135"/>
      <c r="AQ86" s="135"/>
      <c r="AR86" s="135"/>
      <c r="AS86" s="135"/>
      <c r="AT86" s="135"/>
      <c r="AU86" s="135">
        <v>0</v>
      </c>
      <c r="AV86" s="135"/>
      <c r="AW86" s="135"/>
      <c r="AX86" s="276">
        <v>0</v>
      </c>
      <c r="AY86" s="143">
        <v>0</v>
      </c>
      <c r="AZ86" s="135">
        <v>154</v>
      </c>
      <c r="BA86" s="135">
        <v>0</v>
      </c>
      <c r="BB86" s="135">
        <v>0</v>
      </c>
      <c r="BC86" s="135">
        <v>0</v>
      </c>
      <c r="BD86" s="135">
        <v>0</v>
      </c>
      <c r="BE86" s="135">
        <v>0</v>
      </c>
      <c r="BF86" s="135"/>
      <c r="BG86" s="143">
        <v>154</v>
      </c>
      <c r="BH86" s="277">
        <v>0</v>
      </c>
      <c r="BI86" s="135">
        <v>5</v>
      </c>
      <c r="BJ86" s="135">
        <v>33</v>
      </c>
      <c r="BK86" s="135">
        <v>2</v>
      </c>
      <c r="BL86" s="135"/>
      <c r="BM86" s="135"/>
      <c r="BN86" s="276">
        <v>40</v>
      </c>
      <c r="BO86" s="143"/>
      <c r="BP86" s="140">
        <v>0</v>
      </c>
      <c r="BQ86" s="140"/>
      <c r="BR86" s="143">
        <v>0</v>
      </c>
      <c r="BS86" s="135">
        <v>0</v>
      </c>
      <c r="BT86" s="135"/>
      <c r="BU86" s="135"/>
      <c r="BV86" s="135"/>
      <c r="BW86" s="135"/>
      <c r="BX86" s="143">
        <v>0</v>
      </c>
      <c r="BY86" s="277">
        <v>306</v>
      </c>
      <c r="BZ86" s="135">
        <v>0</v>
      </c>
      <c r="CA86" s="135">
        <v>209</v>
      </c>
      <c r="CB86" s="135">
        <v>0</v>
      </c>
      <c r="CC86" s="135">
        <v>72</v>
      </c>
      <c r="CD86" s="135">
        <v>0</v>
      </c>
      <c r="CE86" s="135">
        <v>0</v>
      </c>
      <c r="CF86" s="135">
        <v>0</v>
      </c>
      <c r="CG86" s="135"/>
      <c r="CH86" s="135">
        <v>0</v>
      </c>
      <c r="CI86" s="135"/>
      <c r="CJ86" s="276">
        <v>587</v>
      </c>
      <c r="CK86" s="143"/>
      <c r="CL86" s="135"/>
      <c r="CM86" s="143"/>
      <c r="CN86" s="140"/>
      <c r="CO86" s="140">
        <v>0</v>
      </c>
      <c r="CP86" s="143">
        <v>0</v>
      </c>
      <c r="CQ86" s="135"/>
      <c r="CR86" s="135">
        <v>1</v>
      </c>
      <c r="CS86" s="143">
        <v>1</v>
      </c>
      <c r="CT86" s="140"/>
      <c r="CU86" s="143">
        <v>22</v>
      </c>
      <c r="CV86" s="135">
        <v>0</v>
      </c>
      <c r="CW86" s="135"/>
      <c r="CX86" s="143">
        <v>22</v>
      </c>
      <c r="CY86" s="140">
        <v>0</v>
      </c>
      <c r="CZ86" s="140">
        <v>0</v>
      </c>
      <c r="DA86" s="143">
        <v>0</v>
      </c>
      <c r="DB86" s="135"/>
      <c r="DC86" s="135"/>
      <c r="DD86" s="143">
        <v>0</v>
      </c>
      <c r="DE86" s="140">
        <v>2093</v>
      </c>
      <c r="DF86" s="356">
        <f>2093/1534554</f>
        <v>1.3639142056910347E-3</v>
      </c>
    </row>
    <row r="87" spans="2:110" x14ac:dyDescent="0.2">
      <c r="B87" s="138" t="s">
        <v>222</v>
      </c>
      <c r="C87" s="366"/>
      <c r="D87" s="374"/>
      <c r="E87" s="374"/>
      <c r="F87" s="367"/>
      <c r="G87" s="143">
        <v>4</v>
      </c>
      <c r="H87" s="135">
        <v>0</v>
      </c>
      <c r="I87" s="135">
        <v>0</v>
      </c>
      <c r="J87" s="135">
        <v>1</v>
      </c>
      <c r="K87" s="135"/>
      <c r="L87" s="135"/>
      <c r="M87" s="143">
        <v>5</v>
      </c>
      <c r="N87" s="140"/>
      <c r="O87" s="143">
        <v>1232</v>
      </c>
      <c r="P87" s="135">
        <v>0</v>
      </c>
      <c r="Q87" s="135"/>
      <c r="R87" s="143">
        <v>1232</v>
      </c>
      <c r="S87" s="277">
        <v>0</v>
      </c>
      <c r="T87" s="135"/>
      <c r="U87" s="135"/>
      <c r="V87" s="276">
        <v>0</v>
      </c>
      <c r="W87" s="143"/>
      <c r="X87" s="135"/>
      <c r="Y87" s="143"/>
      <c r="Z87" s="277">
        <v>0</v>
      </c>
      <c r="AA87" s="135"/>
      <c r="AB87" s="276">
        <v>0</v>
      </c>
      <c r="AC87" s="143"/>
      <c r="AD87" s="135">
        <v>0</v>
      </c>
      <c r="AE87" s="135"/>
      <c r="AF87" s="135"/>
      <c r="AG87" s="135"/>
      <c r="AH87" s="135"/>
      <c r="AI87" s="135"/>
      <c r="AJ87" s="143">
        <v>0</v>
      </c>
      <c r="AK87" s="140"/>
      <c r="AL87" s="140"/>
      <c r="AM87" s="277"/>
      <c r="AN87" s="135"/>
      <c r="AO87" s="135">
        <v>0</v>
      </c>
      <c r="AP87" s="135"/>
      <c r="AQ87" s="135"/>
      <c r="AR87" s="135"/>
      <c r="AS87" s="135"/>
      <c r="AT87" s="135"/>
      <c r="AU87" s="135"/>
      <c r="AV87" s="135"/>
      <c r="AW87" s="135"/>
      <c r="AX87" s="276">
        <v>0</v>
      </c>
      <c r="AY87" s="143">
        <v>0</v>
      </c>
      <c r="AZ87" s="135">
        <v>1162</v>
      </c>
      <c r="BA87" s="135">
        <v>0</v>
      </c>
      <c r="BB87" s="135"/>
      <c r="BC87" s="135"/>
      <c r="BD87" s="135"/>
      <c r="BE87" s="135"/>
      <c r="BF87" s="135"/>
      <c r="BG87" s="143">
        <v>1162</v>
      </c>
      <c r="BH87" s="277"/>
      <c r="BI87" s="135">
        <v>0</v>
      </c>
      <c r="BJ87" s="135">
        <v>54</v>
      </c>
      <c r="BK87" s="135">
        <v>2</v>
      </c>
      <c r="BL87" s="135"/>
      <c r="BM87" s="135"/>
      <c r="BN87" s="276">
        <v>56</v>
      </c>
      <c r="BO87" s="143"/>
      <c r="BP87" s="140">
        <v>0</v>
      </c>
      <c r="BQ87" s="140"/>
      <c r="BR87" s="143"/>
      <c r="BS87" s="135">
        <v>0</v>
      </c>
      <c r="BT87" s="135"/>
      <c r="BU87" s="135"/>
      <c r="BV87" s="135"/>
      <c r="BW87" s="135">
        <v>0</v>
      </c>
      <c r="BX87" s="143">
        <v>0</v>
      </c>
      <c r="BY87" s="277">
        <v>628</v>
      </c>
      <c r="BZ87" s="135">
        <v>0</v>
      </c>
      <c r="CA87" s="135">
        <v>254</v>
      </c>
      <c r="CB87" s="135">
        <v>0</v>
      </c>
      <c r="CC87" s="135">
        <v>149</v>
      </c>
      <c r="CD87" s="135">
        <v>0</v>
      </c>
      <c r="CE87" s="135">
        <v>0</v>
      </c>
      <c r="CF87" s="135">
        <v>0</v>
      </c>
      <c r="CG87" s="135"/>
      <c r="CH87" s="135">
        <v>0</v>
      </c>
      <c r="CI87" s="135"/>
      <c r="CJ87" s="276">
        <v>1031</v>
      </c>
      <c r="CK87" s="143"/>
      <c r="CL87" s="135"/>
      <c r="CM87" s="143"/>
      <c r="CN87" s="140"/>
      <c r="CO87" s="140"/>
      <c r="CP87" s="143"/>
      <c r="CQ87" s="135"/>
      <c r="CR87" s="135"/>
      <c r="CS87" s="143"/>
      <c r="CT87" s="140"/>
      <c r="CU87" s="143"/>
      <c r="CV87" s="135"/>
      <c r="CW87" s="135"/>
      <c r="CX87" s="143"/>
      <c r="CY87" s="140"/>
      <c r="CZ87" s="140">
        <v>0</v>
      </c>
      <c r="DA87" s="143"/>
      <c r="DB87" s="135"/>
      <c r="DC87" s="135"/>
      <c r="DD87" s="143"/>
      <c r="DE87" s="140">
        <v>3486</v>
      </c>
      <c r="DF87" s="356">
        <f>3486/1534554</f>
        <v>2.2716698141609874E-3</v>
      </c>
    </row>
    <row r="88" spans="2:110" ht="13.5" thickBot="1" x14ac:dyDescent="0.25">
      <c r="B88" s="248" t="s">
        <v>554</v>
      </c>
      <c r="C88" s="364"/>
      <c r="D88" s="373"/>
      <c r="E88" s="373"/>
      <c r="F88" s="365"/>
      <c r="G88" s="275">
        <v>2</v>
      </c>
      <c r="H88" s="273">
        <v>0</v>
      </c>
      <c r="I88" s="273"/>
      <c r="J88" s="273">
        <v>2</v>
      </c>
      <c r="K88" s="273"/>
      <c r="L88" s="273"/>
      <c r="M88" s="275">
        <v>4</v>
      </c>
      <c r="N88" s="271"/>
      <c r="O88" s="275">
        <v>57</v>
      </c>
      <c r="P88" s="273"/>
      <c r="Q88" s="273"/>
      <c r="R88" s="275">
        <v>57</v>
      </c>
      <c r="S88" s="274">
        <v>0</v>
      </c>
      <c r="T88" s="273"/>
      <c r="U88" s="273"/>
      <c r="V88" s="272">
        <v>0</v>
      </c>
      <c r="W88" s="275"/>
      <c r="X88" s="273"/>
      <c r="Y88" s="275"/>
      <c r="Z88" s="274"/>
      <c r="AA88" s="273"/>
      <c r="AB88" s="272"/>
      <c r="AC88" s="275"/>
      <c r="AD88" s="273"/>
      <c r="AE88" s="273"/>
      <c r="AF88" s="273"/>
      <c r="AG88" s="273"/>
      <c r="AH88" s="273"/>
      <c r="AI88" s="273"/>
      <c r="AJ88" s="275"/>
      <c r="AK88" s="271"/>
      <c r="AL88" s="271"/>
      <c r="AM88" s="274"/>
      <c r="AN88" s="273"/>
      <c r="AO88" s="273"/>
      <c r="AP88" s="273"/>
      <c r="AQ88" s="273"/>
      <c r="AR88" s="273"/>
      <c r="AS88" s="273"/>
      <c r="AT88" s="273"/>
      <c r="AU88" s="273"/>
      <c r="AV88" s="273"/>
      <c r="AW88" s="273"/>
      <c r="AX88" s="272"/>
      <c r="AY88" s="275"/>
      <c r="AZ88" s="273">
        <v>30</v>
      </c>
      <c r="BA88" s="273"/>
      <c r="BB88" s="273"/>
      <c r="BC88" s="273"/>
      <c r="BD88" s="273"/>
      <c r="BE88" s="273"/>
      <c r="BF88" s="273"/>
      <c r="BG88" s="275">
        <v>30</v>
      </c>
      <c r="BH88" s="274"/>
      <c r="BI88" s="273">
        <v>0</v>
      </c>
      <c r="BJ88" s="273">
        <v>9</v>
      </c>
      <c r="BK88" s="273">
        <v>3</v>
      </c>
      <c r="BL88" s="273"/>
      <c r="BM88" s="273"/>
      <c r="BN88" s="272">
        <v>12</v>
      </c>
      <c r="BO88" s="275"/>
      <c r="BP88" s="271"/>
      <c r="BQ88" s="271"/>
      <c r="BR88" s="275">
        <v>0</v>
      </c>
      <c r="BS88" s="273"/>
      <c r="BT88" s="273"/>
      <c r="BU88" s="273"/>
      <c r="BV88" s="273"/>
      <c r="BW88" s="273"/>
      <c r="BX88" s="275">
        <v>0</v>
      </c>
      <c r="BY88" s="274">
        <v>18</v>
      </c>
      <c r="BZ88" s="273">
        <v>0</v>
      </c>
      <c r="CA88" s="273">
        <v>10</v>
      </c>
      <c r="CB88" s="273"/>
      <c r="CC88" s="273">
        <v>2</v>
      </c>
      <c r="CD88" s="273">
        <v>0</v>
      </c>
      <c r="CE88" s="273">
        <v>0</v>
      </c>
      <c r="CF88" s="273">
        <v>0</v>
      </c>
      <c r="CG88" s="273"/>
      <c r="CH88" s="273">
        <v>0</v>
      </c>
      <c r="CI88" s="273"/>
      <c r="CJ88" s="272">
        <v>30</v>
      </c>
      <c r="CK88" s="275"/>
      <c r="CL88" s="273"/>
      <c r="CM88" s="275"/>
      <c r="CN88" s="271"/>
      <c r="CO88" s="271"/>
      <c r="CP88" s="275"/>
      <c r="CQ88" s="273"/>
      <c r="CR88" s="273"/>
      <c r="CS88" s="275"/>
      <c r="CT88" s="271"/>
      <c r="CU88" s="275"/>
      <c r="CV88" s="273"/>
      <c r="CW88" s="273"/>
      <c r="CX88" s="275"/>
      <c r="CY88" s="271"/>
      <c r="CZ88" s="271"/>
      <c r="DA88" s="275"/>
      <c r="DB88" s="273"/>
      <c r="DC88" s="273"/>
      <c r="DD88" s="275"/>
      <c r="DE88" s="271">
        <v>133</v>
      </c>
      <c r="DF88" s="354">
        <f>133/1534554</f>
        <v>8.6670133472005551E-5</v>
      </c>
    </row>
    <row r="89" spans="2:110" ht="13.5" thickBot="1" x14ac:dyDescent="0.25">
      <c r="B89" s="139" t="s">
        <v>548</v>
      </c>
      <c r="C89" s="368">
        <v>0</v>
      </c>
      <c r="D89" s="375">
        <v>0</v>
      </c>
      <c r="E89" s="375">
        <v>0</v>
      </c>
      <c r="F89" s="369">
        <v>0</v>
      </c>
      <c r="G89" s="144">
        <v>1013</v>
      </c>
      <c r="H89" s="136">
        <v>23</v>
      </c>
      <c r="I89" s="136">
        <v>0</v>
      </c>
      <c r="J89" s="136">
        <v>116</v>
      </c>
      <c r="K89" s="136">
        <v>0</v>
      </c>
      <c r="L89" s="136">
        <v>0</v>
      </c>
      <c r="M89" s="144">
        <v>1152</v>
      </c>
      <c r="N89" s="141"/>
      <c r="O89" s="144">
        <v>21516</v>
      </c>
      <c r="P89" s="136">
        <v>0</v>
      </c>
      <c r="Q89" s="136"/>
      <c r="R89" s="144">
        <v>21516</v>
      </c>
      <c r="S89" s="270">
        <v>0</v>
      </c>
      <c r="T89" s="136">
        <v>0</v>
      </c>
      <c r="U89" s="136"/>
      <c r="V89" s="269">
        <v>0</v>
      </c>
      <c r="W89" s="144">
        <v>0</v>
      </c>
      <c r="X89" s="136">
        <v>8</v>
      </c>
      <c r="Y89" s="144">
        <v>8</v>
      </c>
      <c r="Z89" s="270">
        <v>15</v>
      </c>
      <c r="AA89" s="136"/>
      <c r="AB89" s="269">
        <v>15</v>
      </c>
      <c r="AC89" s="144">
        <v>102</v>
      </c>
      <c r="AD89" s="136">
        <v>0</v>
      </c>
      <c r="AE89" s="136">
        <v>270</v>
      </c>
      <c r="AF89" s="136">
        <v>0</v>
      </c>
      <c r="AG89" s="136"/>
      <c r="AH89" s="136">
        <v>0</v>
      </c>
      <c r="AI89" s="136">
        <v>0</v>
      </c>
      <c r="AJ89" s="144">
        <v>372</v>
      </c>
      <c r="AK89" s="141">
        <v>0</v>
      </c>
      <c r="AL89" s="141">
        <v>0</v>
      </c>
      <c r="AM89" s="270">
        <v>0</v>
      </c>
      <c r="AN89" s="136">
        <v>0</v>
      </c>
      <c r="AO89" s="136">
        <v>0</v>
      </c>
      <c r="AP89" s="136">
        <v>0</v>
      </c>
      <c r="AQ89" s="136">
        <v>0</v>
      </c>
      <c r="AR89" s="136">
        <v>0</v>
      </c>
      <c r="AS89" s="136">
        <v>0</v>
      </c>
      <c r="AT89" s="136">
        <v>0</v>
      </c>
      <c r="AU89" s="136">
        <v>0</v>
      </c>
      <c r="AV89" s="136">
        <v>0</v>
      </c>
      <c r="AW89" s="136">
        <v>0</v>
      </c>
      <c r="AX89" s="269">
        <v>0</v>
      </c>
      <c r="AY89" s="144">
        <v>0</v>
      </c>
      <c r="AZ89" s="136">
        <v>3934</v>
      </c>
      <c r="BA89" s="136">
        <v>0</v>
      </c>
      <c r="BB89" s="136">
        <v>0</v>
      </c>
      <c r="BC89" s="136">
        <v>0</v>
      </c>
      <c r="BD89" s="136">
        <v>23</v>
      </c>
      <c r="BE89" s="136">
        <v>0</v>
      </c>
      <c r="BF89" s="136">
        <v>0</v>
      </c>
      <c r="BG89" s="144">
        <v>3957</v>
      </c>
      <c r="BH89" s="270">
        <v>0</v>
      </c>
      <c r="BI89" s="136">
        <v>114</v>
      </c>
      <c r="BJ89" s="136">
        <v>566</v>
      </c>
      <c r="BK89" s="136">
        <v>21</v>
      </c>
      <c r="BL89" s="136">
        <v>0</v>
      </c>
      <c r="BM89" s="136">
        <v>0</v>
      </c>
      <c r="BN89" s="269">
        <v>701</v>
      </c>
      <c r="BO89" s="144">
        <v>0</v>
      </c>
      <c r="BP89" s="141">
        <v>0</v>
      </c>
      <c r="BQ89" s="141"/>
      <c r="BR89" s="144">
        <v>0</v>
      </c>
      <c r="BS89" s="136">
        <v>0</v>
      </c>
      <c r="BT89" s="136">
        <v>0</v>
      </c>
      <c r="BU89" s="136"/>
      <c r="BV89" s="136"/>
      <c r="BW89" s="136">
        <v>0</v>
      </c>
      <c r="BX89" s="144">
        <v>0</v>
      </c>
      <c r="BY89" s="270">
        <v>3540</v>
      </c>
      <c r="BZ89" s="136">
        <v>0</v>
      </c>
      <c r="CA89" s="136">
        <v>3127</v>
      </c>
      <c r="CB89" s="136">
        <v>3</v>
      </c>
      <c r="CC89" s="136">
        <v>2329</v>
      </c>
      <c r="CD89" s="136">
        <v>0</v>
      </c>
      <c r="CE89" s="136">
        <v>0</v>
      </c>
      <c r="CF89" s="136">
        <v>0</v>
      </c>
      <c r="CG89" s="136">
        <v>0</v>
      </c>
      <c r="CH89" s="136">
        <v>0</v>
      </c>
      <c r="CI89" s="136"/>
      <c r="CJ89" s="269">
        <v>8999</v>
      </c>
      <c r="CK89" s="144"/>
      <c r="CL89" s="136">
        <v>4</v>
      </c>
      <c r="CM89" s="144">
        <v>4</v>
      </c>
      <c r="CN89" s="141">
        <v>0</v>
      </c>
      <c r="CO89" s="141">
        <v>0</v>
      </c>
      <c r="CP89" s="144">
        <v>19</v>
      </c>
      <c r="CQ89" s="136">
        <v>4</v>
      </c>
      <c r="CR89" s="136">
        <v>71</v>
      </c>
      <c r="CS89" s="144">
        <v>94</v>
      </c>
      <c r="CT89" s="141">
        <v>65</v>
      </c>
      <c r="CU89" s="144">
        <v>219</v>
      </c>
      <c r="CV89" s="136">
        <v>0</v>
      </c>
      <c r="CW89" s="136">
        <v>0</v>
      </c>
      <c r="CX89" s="144">
        <v>219</v>
      </c>
      <c r="CY89" s="141">
        <v>7</v>
      </c>
      <c r="CZ89" s="141">
        <v>0</v>
      </c>
      <c r="DA89" s="144">
        <v>29</v>
      </c>
      <c r="DB89" s="136">
        <v>254</v>
      </c>
      <c r="DC89" s="136">
        <v>5</v>
      </c>
      <c r="DD89" s="144">
        <v>288</v>
      </c>
      <c r="DE89" s="141">
        <v>37397</v>
      </c>
      <c r="DF89" s="355">
        <f>37397/1534554</f>
        <v>2.4369947228966852E-2</v>
      </c>
    </row>
    <row r="90" spans="2:110" ht="13.5" thickBot="1" x14ac:dyDescent="0.25">
      <c r="B90" s="139" t="s">
        <v>549</v>
      </c>
      <c r="C90" s="368">
        <v>0</v>
      </c>
      <c r="D90" s="375">
        <v>0</v>
      </c>
      <c r="E90" s="375">
        <v>0</v>
      </c>
      <c r="F90" s="369">
        <v>0</v>
      </c>
      <c r="G90" s="144">
        <v>9737</v>
      </c>
      <c r="H90" s="136">
        <v>584</v>
      </c>
      <c r="I90" s="136">
        <v>0</v>
      </c>
      <c r="J90" s="136">
        <v>2751</v>
      </c>
      <c r="K90" s="136">
        <v>0</v>
      </c>
      <c r="L90" s="136">
        <v>0</v>
      </c>
      <c r="M90" s="144">
        <v>13072</v>
      </c>
      <c r="N90" s="141"/>
      <c r="O90" s="144">
        <v>283960</v>
      </c>
      <c r="P90" s="136">
        <v>0</v>
      </c>
      <c r="Q90" s="136">
        <v>20</v>
      </c>
      <c r="R90" s="144">
        <v>283980</v>
      </c>
      <c r="S90" s="270">
        <v>0</v>
      </c>
      <c r="T90" s="136">
        <v>0</v>
      </c>
      <c r="U90" s="136">
        <v>0</v>
      </c>
      <c r="V90" s="269">
        <v>0</v>
      </c>
      <c r="W90" s="144">
        <v>0</v>
      </c>
      <c r="X90" s="136">
        <v>13</v>
      </c>
      <c r="Y90" s="144">
        <v>13</v>
      </c>
      <c r="Z90" s="270">
        <v>60</v>
      </c>
      <c r="AA90" s="136"/>
      <c r="AB90" s="269">
        <v>60</v>
      </c>
      <c r="AC90" s="144">
        <v>6641</v>
      </c>
      <c r="AD90" s="136">
        <v>0</v>
      </c>
      <c r="AE90" s="136">
        <v>3028</v>
      </c>
      <c r="AF90" s="136">
        <v>1</v>
      </c>
      <c r="AG90" s="136"/>
      <c r="AH90" s="136">
        <v>0</v>
      </c>
      <c r="AI90" s="136">
        <v>0</v>
      </c>
      <c r="AJ90" s="144">
        <v>9670</v>
      </c>
      <c r="AK90" s="141">
        <v>0</v>
      </c>
      <c r="AL90" s="141">
        <v>20</v>
      </c>
      <c r="AM90" s="270">
        <v>0</v>
      </c>
      <c r="AN90" s="136">
        <v>0</v>
      </c>
      <c r="AO90" s="136">
        <v>0</v>
      </c>
      <c r="AP90" s="136">
        <v>0</v>
      </c>
      <c r="AQ90" s="136">
        <v>0</v>
      </c>
      <c r="AR90" s="136">
        <v>0</v>
      </c>
      <c r="AS90" s="136">
        <v>0</v>
      </c>
      <c r="AT90" s="136">
        <v>0</v>
      </c>
      <c r="AU90" s="136">
        <v>0</v>
      </c>
      <c r="AV90" s="136">
        <v>0</v>
      </c>
      <c r="AW90" s="136">
        <v>0</v>
      </c>
      <c r="AX90" s="269">
        <v>0</v>
      </c>
      <c r="AY90" s="144">
        <v>0</v>
      </c>
      <c r="AZ90" s="136">
        <v>126541</v>
      </c>
      <c r="BA90" s="136">
        <v>0</v>
      </c>
      <c r="BB90" s="136">
        <v>0</v>
      </c>
      <c r="BC90" s="136">
        <v>0</v>
      </c>
      <c r="BD90" s="136">
        <v>563</v>
      </c>
      <c r="BE90" s="136">
        <v>0</v>
      </c>
      <c r="BF90" s="136">
        <v>0</v>
      </c>
      <c r="BG90" s="144">
        <v>127104</v>
      </c>
      <c r="BH90" s="270">
        <v>0</v>
      </c>
      <c r="BI90" s="136">
        <v>4113</v>
      </c>
      <c r="BJ90" s="136">
        <v>21900</v>
      </c>
      <c r="BK90" s="136">
        <v>2697</v>
      </c>
      <c r="BL90" s="136">
        <v>0</v>
      </c>
      <c r="BM90" s="136">
        <v>0</v>
      </c>
      <c r="BN90" s="269">
        <v>28710</v>
      </c>
      <c r="BO90" s="144">
        <v>0</v>
      </c>
      <c r="BP90" s="141">
        <v>0</v>
      </c>
      <c r="BQ90" s="141"/>
      <c r="BR90" s="144">
        <v>0</v>
      </c>
      <c r="BS90" s="136">
        <v>0</v>
      </c>
      <c r="BT90" s="136">
        <v>0</v>
      </c>
      <c r="BU90" s="136"/>
      <c r="BV90" s="136"/>
      <c r="BW90" s="136">
        <v>0</v>
      </c>
      <c r="BX90" s="144">
        <v>0</v>
      </c>
      <c r="BY90" s="270">
        <v>92897</v>
      </c>
      <c r="BZ90" s="136">
        <v>0</v>
      </c>
      <c r="CA90" s="136">
        <v>43777</v>
      </c>
      <c r="CB90" s="136">
        <v>150</v>
      </c>
      <c r="CC90" s="136">
        <v>53047</v>
      </c>
      <c r="CD90" s="136">
        <v>0</v>
      </c>
      <c r="CE90" s="136">
        <v>0</v>
      </c>
      <c r="CF90" s="136">
        <v>0</v>
      </c>
      <c r="CG90" s="136">
        <v>0</v>
      </c>
      <c r="CH90" s="136">
        <v>0</v>
      </c>
      <c r="CI90" s="136">
        <v>0</v>
      </c>
      <c r="CJ90" s="269">
        <v>189871</v>
      </c>
      <c r="CK90" s="144">
        <v>0</v>
      </c>
      <c r="CL90" s="136">
        <v>4</v>
      </c>
      <c r="CM90" s="144">
        <v>4</v>
      </c>
      <c r="CN90" s="141">
        <v>0</v>
      </c>
      <c r="CO90" s="141">
        <v>0</v>
      </c>
      <c r="CP90" s="144">
        <v>24</v>
      </c>
      <c r="CQ90" s="136">
        <v>4</v>
      </c>
      <c r="CR90" s="136">
        <v>182</v>
      </c>
      <c r="CS90" s="144">
        <v>210</v>
      </c>
      <c r="CT90" s="141">
        <v>97</v>
      </c>
      <c r="CU90" s="144">
        <v>284</v>
      </c>
      <c r="CV90" s="136">
        <v>0</v>
      </c>
      <c r="CW90" s="136">
        <v>0</v>
      </c>
      <c r="CX90" s="144">
        <v>284</v>
      </c>
      <c r="CY90" s="141">
        <v>10</v>
      </c>
      <c r="CZ90" s="141">
        <v>0</v>
      </c>
      <c r="DA90" s="144">
        <v>101</v>
      </c>
      <c r="DB90" s="136">
        <v>277</v>
      </c>
      <c r="DC90" s="136">
        <v>8</v>
      </c>
      <c r="DD90" s="144">
        <v>386</v>
      </c>
      <c r="DE90" s="141">
        <v>653491</v>
      </c>
      <c r="DF90" s="355">
        <f>653491/1534554</f>
        <v>0.42585076836657426</v>
      </c>
    </row>
    <row r="91" spans="2:110" x14ac:dyDescent="0.2">
      <c r="B91" s="248" t="s">
        <v>35</v>
      </c>
      <c r="C91" s="364">
        <v>0</v>
      </c>
      <c r="D91" s="373"/>
      <c r="E91" s="373">
        <v>0</v>
      </c>
      <c r="F91" s="365">
        <v>0</v>
      </c>
      <c r="G91" s="275">
        <v>51</v>
      </c>
      <c r="H91" s="273">
        <v>0</v>
      </c>
      <c r="I91" s="273"/>
      <c r="J91" s="273"/>
      <c r="K91" s="273"/>
      <c r="L91" s="273"/>
      <c r="M91" s="275">
        <v>51</v>
      </c>
      <c r="N91" s="271">
        <v>0</v>
      </c>
      <c r="O91" s="275">
        <v>134</v>
      </c>
      <c r="P91" s="273"/>
      <c r="Q91" s="273"/>
      <c r="R91" s="275">
        <v>134</v>
      </c>
      <c r="S91" s="274">
        <v>0</v>
      </c>
      <c r="T91" s="273">
        <v>0</v>
      </c>
      <c r="U91" s="273">
        <v>0</v>
      </c>
      <c r="V91" s="272">
        <v>0</v>
      </c>
      <c r="W91" s="275">
        <v>0</v>
      </c>
      <c r="X91" s="273">
        <v>22</v>
      </c>
      <c r="Y91" s="275">
        <v>22</v>
      </c>
      <c r="Z91" s="274">
        <v>366</v>
      </c>
      <c r="AA91" s="273"/>
      <c r="AB91" s="272">
        <v>366</v>
      </c>
      <c r="AC91" s="275">
        <v>0</v>
      </c>
      <c r="AD91" s="273"/>
      <c r="AE91" s="273"/>
      <c r="AF91" s="273">
        <v>1</v>
      </c>
      <c r="AG91" s="273">
        <v>0</v>
      </c>
      <c r="AH91" s="273">
        <v>0</v>
      </c>
      <c r="AI91" s="273"/>
      <c r="AJ91" s="275">
        <v>1</v>
      </c>
      <c r="AK91" s="271"/>
      <c r="AL91" s="271">
        <v>444</v>
      </c>
      <c r="AM91" s="274"/>
      <c r="AN91" s="273">
        <v>0</v>
      </c>
      <c r="AO91" s="273">
        <v>0</v>
      </c>
      <c r="AP91" s="273">
        <v>0</v>
      </c>
      <c r="AQ91" s="273">
        <v>0</v>
      </c>
      <c r="AR91" s="273">
        <v>0</v>
      </c>
      <c r="AS91" s="273">
        <v>0</v>
      </c>
      <c r="AT91" s="273">
        <v>0</v>
      </c>
      <c r="AU91" s="273">
        <v>0</v>
      </c>
      <c r="AV91" s="273">
        <v>0</v>
      </c>
      <c r="AW91" s="273">
        <v>0</v>
      </c>
      <c r="AX91" s="272">
        <v>0</v>
      </c>
      <c r="AY91" s="275">
        <v>0</v>
      </c>
      <c r="AZ91" s="273">
        <v>45</v>
      </c>
      <c r="BA91" s="273">
        <v>0</v>
      </c>
      <c r="BB91" s="273">
        <v>0</v>
      </c>
      <c r="BC91" s="273">
        <v>0</v>
      </c>
      <c r="BD91" s="273">
        <v>1</v>
      </c>
      <c r="BE91" s="273">
        <v>0</v>
      </c>
      <c r="BF91" s="273">
        <v>0</v>
      </c>
      <c r="BG91" s="275">
        <v>46</v>
      </c>
      <c r="BH91" s="274">
        <v>0</v>
      </c>
      <c r="BI91" s="273">
        <v>1</v>
      </c>
      <c r="BJ91" s="273">
        <v>32</v>
      </c>
      <c r="BK91" s="273">
        <v>2</v>
      </c>
      <c r="BL91" s="273"/>
      <c r="BM91" s="273"/>
      <c r="BN91" s="272">
        <v>35</v>
      </c>
      <c r="BO91" s="275">
        <v>0</v>
      </c>
      <c r="BP91" s="271">
        <v>0</v>
      </c>
      <c r="BQ91" s="271">
        <v>0</v>
      </c>
      <c r="BR91" s="275">
        <v>0</v>
      </c>
      <c r="BS91" s="273">
        <v>0</v>
      </c>
      <c r="BT91" s="273">
        <v>0</v>
      </c>
      <c r="BU91" s="273"/>
      <c r="BV91" s="273"/>
      <c r="BW91" s="273"/>
      <c r="BX91" s="275">
        <v>0</v>
      </c>
      <c r="BY91" s="274">
        <v>5</v>
      </c>
      <c r="BZ91" s="273">
        <v>0</v>
      </c>
      <c r="CA91" s="273">
        <v>5</v>
      </c>
      <c r="CB91" s="273">
        <v>0</v>
      </c>
      <c r="CC91" s="273">
        <v>0</v>
      </c>
      <c r="CD91" s="273"/>
      <c r="CE91" s="273"/>
      <c r="CF91" s="273"/>
      <c r="CG91" s="273">
        <v>0</v>
      </c>
      <c r="CH91" s="273">
        <v>0</v>
      </c>
      <c r="CI91" s="273"/>
      <c r="CJ91" s="272">
        <v>10</v>
      </c>
      <c r="CK91" s="275">
        <v>0</v>
      </c>
      <c r="CL91" s="273">
        <v>174</v>
      </c>
      <c r="CM91" s="275">
        <v>174</v>
      </c>
      <c r="CN91" s="271">
        <v>0</v>
      </c>
      <c r="CO91" s="271">
        <v>0</v>
      </c>
      <c r="CP91" s="275">
        <v>2188</v>
      </c>
      <c r="CQ91" s="273">
        <v>37</v>
      </c>
      <c r="CR91" s="273">
        <v>725</v>
      </c>
      <c r="CS91" s="275">
        <v>2950</v>
      </c>
      <c r="CT91" s="271">
        <v>372</v>
      </c>
      <c r="CU91" s="275">
        <v>595</v>
      </c>
      <c r="CV91" s="273">
        <v>0</v>
      </c>
      <c r="CW91" s="273">
        <v>0</v>
      </c>
      <c r="CX91" s="275">
        <v>595</v>
      </c>
      <c r="CY91" s="271">
        <v>0</v>
      </c>
      <c r="CZ91" s="271">
        <v>0</v>
      </c>
      <c r="DA91" s="275">
        <v>28</v>
      </c>
      <c r="DB91" s="273">
        <v>210</v>
      </c>
      <c r="DC91" s="273">
        <v>888</v>
      </c>
      <c r="DD91" s="275">
        <v>1126</v>
      </c>
      <c r="DE91" s="271">
        <v>6326</v>
      </c>
      <c r="DF91" s="354">
        <f>6326/1534554</f>
        <v>4.1223704086008053E-3</v>
      </c>
    </row>
    <row r="92" spans="2:110" x14ac:dyDescent="0.2">
      <c r="B92" s="138" t="s">
        <v>47</v>
      </c>
      <c r="C92" s="366"/>
      <c r="D92" s="374"/>
      <c r="E92" s="374">
        <v>0</v>
      </c>
      <c r="F92" s="367">
        <v>0</v>
      </c>
      <c r="G92" s="143">
        <v>23</v>
      </c>
      <c r="H92" s="135">
        <v>0</v>
      </c>
      <c r="I92" s="135">
        <v>0</v>
      </c>
      <c r="J92" s="135"/>
      <c r="K92" s="135">
        <v>0</v>
      </c>
      <c r="L92" s="135"/>
      <c r="M92" s="143">
        <v>23</v>
      </c>
      <c r="N92" s="140">
        <v>0</v>
      </c>
      <c r="O92" s="143">
        <v>359</v>
      </c>
      <c r="P92" s="135"/>
      <c r="Q92" s="135"/>
      <c r="R92" s="143">
        <v>359</v>
      </c>
      <c r="S92" s="277">
        <v>0</v>
      </c>
      <c r="T92" s="135">
        <v>0</v>
      </c>
      <c r="U92" s="135"/>
      <c r="V92" s="276">
        <v>0</v>
      </c>
      <c r="W92" s="143">
        <v>0</v>
      </c>
      <c r="X92" s="135">
        <v>59</v>
      </c>
      <c r="Y92" s="143">
        <v>59</v>
      </c>
      <c r="Z92" s="277"/>
      <c r="AA92" s="135"/>
      <c r="AB92" s="276"/>
      <c r="AC92" s="143">
        <v>2</v>
      </c>
      <c r="AD92" s="135"/>
      <c r="AE92" s="135">
        <v>3</v>
      </c>
      <c r="AF92" s="135"/>
      <c r="AG92" s="135"/>
      <c r="AH92" s="135"/>
      <c r="AI92" s="135"/>
      <c r="AJ92" s="143">
        <v>5</v>
      </c>
      <c r="AK92" s="140"/>
      <c r="AL92" s="140"/>
      <c r="AM92" s="277"/>
      <c r="AN92" s="135">
        <v>0</v>
      </c>
      <c r="AO92" s="135"/>
      <c r="AP92" s="135"/>
      <c r="AQ92" s="135"/>
      <c r="AR92" s="135"/>
      <c r="AS92" s="135"/>
      <c r="AT92" s="135"/>
      <c r="AU92" s="135"/>
      <c r="AV92" s="135">
        <v>0</v>
      </c>
      <c r="AW92" s="135"/>
      <c r="AX92" s="276">
        <v>0</v>
      </c>
      <c r="AY92" s="143">
        <v>0</v>
      </c>
      <c r="AZ92" s="135">
        <v>101</v>
      </c>
      <c r="BA92" s="135">
        <v>0</v>
      </c>
      <c r="BB92" s="135">
        <v>0</v>
      </c>
      <c r="BC92" s="135">
        <v>0</v>
      </c>
      <c r="BD92" s="135">
        <v>64</v>
      </c>
      <c r="BE92" s="135"/>
      <c r="BF92" s="135">
        <v>0</v>
      </c>
      <c r="BG92" s="143">
        <v>165</v>
      </c>
      <c r="BH92" s="277">
        <v>0</v>
      </c>
      <c r="BI92" s="135">
        <v>8</v>
      </c>
      <c r="BJ92" s="135">
        <v>18</v>
      </c>
      <c r="BK92" s="135"/>
      <c r="BL92" s="135"/>
      <c r="BM92" s="135"/>
      <c r="BN92" s="276">
        <v>26</v>
      </c>
      <c r="BO92" s="143"/>
      <c r="BP92" s="140">
        <v>0</v>
      </c>
      <c r="BQ92" s="140"/>
      <c r="BR92" s="143">
        <v>0</v>
      </c>
      <c r="BS92" s="135">
        <v>0</v>
      </c>
      <c r="BT92" s="135"/>
      <c r="BU92" s="135"/>
      <c r="BV92" s="135"/>
      <c r="BW92" s="135"/>
      <c r="BX92" s="143">
        <v>0</v>
      </c>
      <c r="BY92" s="277">
        <v>44</v>
      </c>
      <c r="BZ92" s="135">
        <v>0</v>
      </c>
      <c r="CA92" s="135">
        <v>34</v>
      </c>
      <c r="CB92" s="135">
        <v>0</v>
      </c>
      <c r="CC92" s="135">
        <v>29</v>
      </c>
      <c r="CD92" s="135">
        <v>0</v>
      </c>
      <c r="CE92" s="135">
        <v>0</v>
      </c>
      <c r="CF92" s="135">
        <v>0</v>
      </c>
      <c r="CG92" s="135">
        <v>0</v>
      </c>
      <c r="CH92" s="135">
        <v>0</v>
      </c>
      <c r="CI92" s="135"/>
      <c r="CJ92" s="276">
        <v>107</v>
      </c>
      <c r="CK92" s="143"/>
      <c r="CL92" s="135">
        <v>9</v>
      </c>
      <c r="CM92" s="143">
        <v>9</v>
      </c>
      <c r="CN92" s="140"/>
      <c r="CO92" s="140">
        <v>0</v>
      </c>
      <c r="CP92" s="143">
        <v>0</v>
      </c>
      <c r="CQ92" s="135"/>
      <c r="CR92" s="135">
        <v>4</v>
      </c>
      <c r="CS92" s="143">
        <v>4</v>
      </c>
      <c r="CT92" s="140">
        <v>78</v>
      </c>
      <c r="CU92" s="143">
        <v>1</v>
      </c>
      <c r="CV92" s="135">
        <v>0</v>
      </c>
      <c r="CW92" s="135"/>
      <c r="CX92" s="143">
        <v>1</v>
      </c>
      <c r="CY92" s="140">
        <v>52</v>
      </c>
      <c r="CZ92" s="140">
        <v>0</v>
      </c>
      <c r="DA92" s="143">
        <v>2</v>
      </c>
      <c r="DB92" s="135"/>
      <c r="DC92" s="135">
        <v>248</v>
      </c>
      <c r="DD92" s="143">
        <v>250</v>
      </c>
      <c r="DE92" s="140">
        <v>1138</v>
      </c>
      <c r="DF92" s="356">
        <f>1138/1534554</f>
        <v>7.4158354805370157E-4</v>
      </c>
    </row>
    <row r="93" spans="2:110" x14ac:dyDescent="0.2">
      <c r="B93" s="138" t="s">
        <v>80</v>
      </c>
      <c r="C93" s="366"/>
      <c r="D93" s="374"/>
      <c r="E93" s="374"/>
      <c r="F93" s="367"/>
      <c r="G93" s="143">
        <v>7</v>
      </c>
      <c r="H93" s="135">
        <v>0</v>
      </c>
      <c r="I93" s="135"/>
      <c r="J93" s="135"/>
      <c r="K93" s="135">
        <v>0</v>
      </c>
      <c r="L93" s="135"/>
      <c r="M93" s="143">
        <v>7</v>
      </c>
      <c r="N93" s="140"/>
      <c r="O93" s="143">
        <v>83</v>
      </c>
      <c r="P93" s="135"/>
      <c r="Q93" s="135"/>
      <c r="R93" s="143">
        <v>83</v>
      </c>
      <c r="S93" s="277">
        <v>0</v>
      </c>
      <c r="T93" s="135"/>
      <c r="U93" s="135"/>
      <c r="V93" s="276">
        <v>0</v>
      </c>
      <c r="W93" s="143"/>
      <c r="X93" s="135">
        <v>1</v>
      </c>
      <c r="Y93" s="143">
        <v>1</v>
      </c>
      <c r="Z93" s="277"/>
      <c r="AA93" s="135"/>
      <c r="AB93" s="276"/>
      <c r="AC93" s="143"/>
      <c r="AD93" s="135"/>
      <c r="AE93" s="135"/>
      <c r="AF93" s="135"/>
      <c r="AG93" s="135"/>
      <c r="AH93" s="135"/>
      <c r="AI93" s="135"/>
      <c r="AJ93" s="143"/>
      <c r="AK93" s="140"/>
      <c r="AL93" s="140"/>
      <c r="AM93" s="277"/>
      <c r="AN93" s="135"/>
      <c r="AO93" s="135"/>
      <c r="AP93" s="135"/>
      <c r="AQ93" s="135"/>
      <c r="AR93" s="135"/>
      <c r="AS93" s="135"/>
      <c r="AT93" s="135"/>
      <c r="AU93" s="135"/>
      <c r="AV93" s="135"/>
      <c r="AW93" s="135"/>
      <c r="AX93" s="276"/>
      <c r="AY93" s="143"/>
      <c r="AZ93" s="135">
        <v>4</v>
      </c>
      <c r="BA93" s="135"/>
      <c r="BB93" s="135">
        <v>0</v>
      </c>
      <c r="BC93" s="135"/>
      <c r="BD93" s="135">
        <v>10</v>
      </c>
      <c r="BE93" s="135"/>
      <c r="BF93" s="135"/>
      <c r="BG93" s="143">
        <v>14</v>
      </c>
      <c r="BH93" s="277"/>
      <c r="BI93" s="135">
        <v>1</v>
      </c>
      <c r="BJ93" s="135"/>
      <c r="BK93" s="135"/>
      <c r="BL93" s="135"/>
      <c r="BM93" s="135"/>
      <c r="BN93" s="276">
        <v>1</v>
      </c>
      <c r="BO93" s="143"/>
      <c r="BP93" s="140">
        <v>0</v>
      </c>
      <c r="BQ93" s="140"/>
      <c r="BR93" s="143"/>
      <c r="BS93" s="135">
        <v>0</v>
      </c>
      <c r="BT93" s="135"/>
      <c r="BU93" s="135"/>
      <c r="BV93" s="135"/>
      <c r="BW93" s="135"/>
      <c r="BX93" s="143">
        <v>0</v>
      </c>
      <c r="BY93" s="277">
        <v>10</v>
      </c>
      <c r="BZ93" s="135">
        <v>0</v>
      </c>
      <c r="CA93" s="135">
        <v>0</v>
      </c>
      <c r="CB93" s="135">
        <v>0</v>
      </c>
      <c r="CC93" s="135">
        <v>5</v>
      </c>
      <c r="CD93" s="135"/>
      <c r="CE93" s="135"/>
      <c r="CF93" s="135"/>
      <c r="CG93" s="135"/>
      <c r="CH93" s="135">
        <v>0</v>
      </c>
      <c r="CI93" s="135"/>
      <c r="CJ93" s="276">
        <v>15</v>
      </c>
      <c r="CK93" s="143"/>
      <c r="CL93" s="135"/>
      <c r="CM93" s="143"/>
      <c r="CN93" s="140"/>
      <c r="CO93" s="140">
        <v>0</v>
      </c>
      <c r="CP93" s="143"/>
      <c r="CQ93" s="135"/>
      <c r="CR93" s="135"/>
      <c r="CS93" s="143"/>
      <c r="CT93" s="140">
        <v>8</v>
      </c>
      <c r="CU93" s="143"/>
      <c r="CV93" s="135"/>
      <c r="CW93" s="135"/>
      <c r="CX93" s="143"/>
      <c r="CY93" s="140">
        <v>3</v>
      </c>
      <c r="CZ93" s="140"/>
      <c r="DA93" s="143"/>
      <c r="DB93" s="135"/>
      <c r="DC93" s="135"/>
      <c r="DD93" s="143"/>
      <c r="DE93" s="140">
        <v>132</v>
      </c>
      <c r="DF93" s="356">
        <f>132/1534554</f>
        <v>8.6018478333118288E-5</v>
      </c>
    </row>
    <row r="94" spans="2:110" x14ac:dyDescent="0.2">
      <c r="B94" s="138" t="s">
        <v>109</v>
      </c>
      <c r="C94" s="366">
        <v>0</v>
      </c>
      <c r="D94" s="374">
        <v>0</v>
      </c>
      <c r="E94" s="374">
        <v>0</v>
      </c>
      <c r="F94" s="367">
        <v>0</v>
      </c>
      <c r="G94" s="143">
        <v>72</v>
      </c>
      <c r="H94" s="135">
        <v>0</v>
      </c>
      <c r="I94" s="135"/>
      <c r="J94" s="135">
        <v>2</v>
      </c>
      <c r="K94" s="135"/>
      <c r="L94" s="135"/>
      <c r="M94" s="143">
        <v>74</v>
      </c>
      <c r="N94" s="140">
        <v>0</v>
      </c>
      <c r="O94" s="143">
        <v>147</v>
      </c>
      <c r="P94" s="135"/>
      <c r="Q94" s="135"/>
      <c r="R94" s="143">
        <v>147</v>
      </c>
      <c r="S94" s="277">
        <v>0</v>
      </c>
      <c r="T94" s="135">
        <v>0</v>
      </c>
      <c r="U94" s="135">
        <v>0</v>
      </c>
      <c r="V94" s="276">
        <v>0</v>
      </c>
      <c r="W94" s="143">
        <v>0</v>
      </c>
      <c r="X94" s="135">
        <v>16</v>
      </c>
      <c r="Y94" s="143">
        <v>16</v>
      </c>
      <c r="Z94" s="277">
        <v>91</v>
      </c>
      <c r="AA94" s="135">
        <v>0</v>
      </c>
      <c r="AB94" s="276">
        <v>91</v>
      </c>
      <c r="AC94" s="143">
        <v>2</v>
      </c>
      <c r="AD94" s="135"/>
      <c r="AE94" s="135">
        <v>7</v>
      </c>
      <c r="AF94" s="135">
        <v>6</v>
      </c>
      <c r="AG94" s="135">
        <v>0</v>
      </c>
      <c r="AH94" s="135">
        <v>0</v>
      </c>
      <c r="AI94" s="135">
        <v>0</v>
      </c>
      <c r="AJ94" s="143">
        <v>15</v>
      </c>
      <c r="AK94" s="140"/>
      <c r="AL94" s="140">
        <v>22</v>
      </c>
      <c r="AM94" s="277">
        <v>0</v>
      </c>
      <c r="AN94" s="135">
        <v>0</v>
      </c>
      <c r="AO94" s="135">
        <v>0</v>
      </c>
      <c r="AP94" s="135">
        <v>0</v>
      </c>
      <c r="AQ94" s="135">
        <v>0</v>
      </c>
      <c r="AR94" s="135">
        <v>0</v>
      </c>
      <c r="AS94" s="135">
        <v>0</v>
      </c>
      <c r="AT94" s="135">
        <v>0</v>
      </c>
      <c r="AU94" s="135">
        <v>0</v>
      </c>
      <c r="AV94" s="135">
        <v>0</v>
      </c>
      <c r="AW94" s="135">
        <v>0</v>
      </c>
      <c r="AX94" s="276">
        <v>0</v>
      </c>
      <c r="AY94" s="143">
        <v>0</v>
      </c>
      <c r="AZ94" s="135">
        <v>29</v>
      </c>
      <c r="BA94" s="135">
        <v>0</v>
      </c>
      <c r="BB94" s="135">
        <v>0</v>
      </c>
      <c r="BC94" s="135">
        <v>0</v>
      </c>
      <c r="BD94" s="135">
        <v>0</v>
      </c>
      <c r="BE94" s="135">
        <v>0</v>
      </c>
      <c r="BF94" s="135">
        <v>0</v>
      </c>
      <c r="BG94" s="143">
        <v>29</v>
      </c>
      <c r="BH94" s="277">
        <v>0</v>
      </c>
      <c r="BI94" s="135">
        <v>10</v>
      </c>
      <c r="BJ94" s="135">
        <v>8</v>
      </c>
      <c r="BK94" s="135">
        <v>1</v>
      </c>
      <c r="BL94" s="135"/>
      <c r="BM94" s="135"/>
      <c r="BN94" s="276">
        <v>19</v>
      </c>
      <c r="BO94" s="143">
        <v>0</v>
      </c>
      <c r="BP94" s="140">
        <v>0</v>
      </c>
      <c r="BQ94" s="140"/>
      <c r="BR94" s="143">
        <v>0</v>
      </c>
      <c r="BS94" s="135">
        <v>0</v>
      </c>
      <c r="BT94" s="135">
        <v>0</v>
      </c>
      <c r="BU94" s="135"/>
      <c r="BV94" s="135"/>
      <c r="BW94" s="135"/>
      <c r="BX94" s="143">
        <v>0</v>
      </c>
      <c r="BY94" s="277">
        <v>9</v>
      </c>
      <c r="BZ94" s="135">
        <v>0</v>
      </c>
      <c r="CA94" s="135">
        <v>5</v>
      </c>
      <c r="CB94" s="135">
        <v>0</v>
      </c>
      <c r="CC94" s="135">
        <v>2</v>
      </c>
      <c r="CD94" s="135">
        <v>0</v>
      </c>
      <c r="CE94" s="135">
        <v>0</v>
      </c>
      <c r="CF94" s="135">
        <v>0</v>
      </c>
      <c r="CG94" s="135">
        <v>0</v>
      </c>
      <c r="CH94" s="135">
        <v>0</v>
      </c>
      <c r="CI94" s="135"/>
      <c r="CJ94" s="276">
        <v>16</v>
      </c>
      <c r="CK94" s="143">
        <v>0</v>
      </c>
      <c r="CL94" s="135">
        <v>0</v>
      </c>
      <c r="CM94" s="143">
        <v>0</v>
      </c>
      <c r="CN94" s="140">
        <v>0</v>
      </c>
      <c r="CO94" s="140">
        <v>0</v>
      </c>
      <c r="CP94" s="143">
        <v>341</v>
      </c>
      <c r="CQ94" s="135">
        <v>8</v>
      </c>
      <c r="CR94" s="135">
        <v>70</v>
      </c>
      <c r="CS94" s="143">
        <v>419</v>
      </c>
      <c r="CT94" s="140">
        <v>23</v>
      </c>
      <c r="CU94" s="143">
        <v>137</v>
      </c>
      <c r="CV94" s="135">
        <v>0</v>
      </c>
      <c r="CW94" s="135">
        <v>0</v>
      </c>
      <c r="CX94" s="143">
        <v>137</v>
      </c>
      <c r="CY94" s="140">
        <v>2</v>
      </c>
      <c r="CZ94" s="140">
        <v>0</v>
      </c>
      <c r="DA94" s="143">
        <v>3</v>
      </c>
      <c r="DB94" s="135">
        <v>28</v>
      </c>
      <c r="DC94" s="135">
        <v>186</v>
      </c>
      <c r="DD94" s="143">
        <v>217</v>
      </c>
      <c r="DE94" s="140">
        <v>1227</v>
      </c>
      <c r="DF94" s="356">
        <f>1227/1534554</f>
        <v>7.9958085541466774E-4</v>
      </c>
    </row>
    <row r="95" spans="2:110" x14ac:dyDescent="0.2">
      <c r="B95" s="138" t="s">
        <v>136</v>
      </c>
      <c r="C95" s="366"/>
      <c r="D95" s="374">
        <v>0</v>
      </c>
      <c r="E95" s="374"/>
      <c r="F95" s="367">
        <v>0</v>
      </c>
      <c r="G95" s="143">
        <v>8</v>
      </c>
      <c r="H95" s="135">
        <v>0</v>
      </c>
      <c r="I95" s="135">
        <v>0</v>
      </c>
      <c r="J95" s="135">
        <v>20</v>
      </c>
      <c r="K95" s="135">
        <v>0</v>
      </c>
      <c r="L95" s="135"/>
      <c r="M95" s="143">
        <v>28</v>
      </c>
      <c r="N95" s="140"/>
      <c r="O95" s="143">
        <v>1489</v>
      </c>
      <c r="P95" s="135"/>
      <c r="Q95" s="135"/>
      <c r="R95" s="143">
        <v>1489</v>
      </c>
      <c r="S95" s="277">
        <v>0</v>
      </c>
      <c r="T95" s="135">
        <v>0</v>
      </c>
      <c r="U95" s="135"/>
      <c r="V95" s="276">
        <v>0</v>
      </c>
      <c r="W95" s="143"/>
      <c r="X95" s="135">
        <v>45</v>
      </c>
      <c r="Y95" s="143">
        <v>45</v>
      </c>
      <c r="Z95" s="277"/>
      <c r="AA95" s="135"/>
      <c r="AB95" s="276"/>
      <c r="AC95" s="143">
        <v>4</v>
      </c>
      <c r="AD95" s="135">
        <v>0</v>
      </c>
      <c r="AE95" s="135"/>
      <c r="AF95" s="135"/>
      <c r="AG95" s="135"/>
      <c r="AH95" s="135"/>
      <c r="AI95" s="135"/>
      <c r="AJ95" s="143">
        <v>4</v>
      </c>
      <c r="AK95" s="140"/>
      <c r="AL95" s="140"/>
      <c r="AM95" s="277"/>
      <c r="AN95" s="135"/>
      <c r="AO95" s="135"/>
      <c r="AP95" s="135"/>
      <c r="AQ95" s="135"/>
      <c r="AR95" s="135"/>
      <c r="AS95" s="135"/>
      <c r="AT95" s="135"/>
      <c r="AU95" s="135"/>
      <c r="AV95" s="135"/>
      <c r="AW95" s="135"/>
      <c r="AX95" s="276"/>
      <c r="AY95" s="143">
        <v>0</v>
      </c>
      <c r="AZ95" s="135">
        <v>170</v>
      </c>
      <c r="BA95" s="135">
        <v>0</v>
      </c>
      <c r="BB95" s="135">
        <v>0</v>
      </c>
      <c r="BC95" s="135"/>
      <c r="BD95" s="135">
        <v>45</v>
      </c>
      <c r="BE95" s="135"/>
      <c r="BF95" s="135">
        <v>0</v>
      </c>
      <c r="BG95" s="143">
        <v>215</v>
      </c>
      <c r="BH95" s="277"/>
      <c r="BI95" s="135">
        <v>2</v>
      </c>
      <c r="BJ95" s="135">
        <v>135</v>
      </c>
      <c r="BK95" s="135"/>
      <c r="BL95" s="135">
        <v>0</v>
      </c>
      <c r="BM95" s="135"/>
      <c r="BN95" s="276">
        <v>137</v>
      </c>
      <c r="BO95" s="143"/>
      <c r="BP95" s="140">
        <v>0</v>
      </c>
      <c r="BQ95" s="140"/>
      <c r="BR95" s="143">
        <v>0</v>
      </c>
      <c r="BS95" s="135">
        <v>0</v>
      </c>
      <c r="BT95" s="135"/>
      <c r="BU95" s="135"/>
      <c r="BV95" s="135"/>
      <c r="BW95" s="135">
        <v>0</v>
      </c>
      <c r="BX95" s="143">
        <v>0</v>
      </c>
      <c r="BY95" s="277">
        <v>15</v>
      </c>
      <c r="BZ95" s="135">
        <v>0</v>
      </c>
      <c r="CA95" s="135">
        <v>8</v>
      </c>
      <c r="CB95" s="135">
        <v>0</v>
      </c>
      <c r="CC95" s="135">
        <v>19</v>
      </c>
      <c r="CD95" s="135">
        <v>0</v>
      </c>
      <c r="CE95" s="135">
        <v>0</v>
      </c>
      <c r="CF95" s="135">
        <v>0</v>
      </c>
      <c r="CG95" s="135">
        <v>0</v>
      </c>
      <c r="CH95" s="135">
        <v>0</v>
      </c>
      <c r="CI95" s="135"/>
      <c r="CJ95" s="276">
        <v>42</v>
      </c>
      <c r="CK95" s="143"/>
      <c r="CL95" s="135">
        <v>0</v>
      </c>
      <c r="CM95" s="143">
        <v>0</v>
      </c>
      <c r="CN95" s="140"/>
      <c r="CO95" s="140">
        <v>0</v>
      </c>
      <c r="CP95" s="143">
        <v>2</v>
      </c>
      <c r="CQ95" s="135"/>
      <c r="CR95" s="135">
        <v>5</v>
      </c>
      <c r="CS95" s="143">
        <v>7</v>
      </c>
      <c r="CT95" s="140">
        <v>81</v>
      </c>
      <c r="CU95" s="143">
        <v>2</v>
      </c>
      <c r="CV95" s="135">
        <v>0</v>
      </c>
      <c r="CW95" s="135"/>
      <c r="CX95" s="143">
        <v>2</v>
      </c>
      <c r="CY95" s="140">
        <v>38</v>
      </c>
      <c r="CZ95" s="140">
        <v>0</v>
      </c>
      <c r="DA95" s="143">
        <v>0</v>
      </c>
      <c r="DB95" s="135"/>
      <c r="DC95" s="135">
        <v>4</v>
      </c>
      <c r="DD95" s="143">
        <v>4</v>
      </c>
      <c r="DE95" s="140">
        <v>2092</v>
      </c>
      <c r="DF95" s="356">
        <f>2092/1534554</f>
        <v>1.3632625505521473E-3</v>
      </c>
    </row>
    <row r="96" spans="2:110" x14ac:dyDescent="0.2">
      <c r="B96" s="138" t="s">
        <v>138</v>
      </c>
      <c r="C96" s="366"/>
      <c r="D96" s="374"/>
      <c r="E96" s="374"/>
      <c r="F96" s="367"/>
      <c r="G96" s="143">
        <v>51</v>
      </c>
      <c r="H96" s="135">
        <v>0</v>
      </c>
      <c r="I96" s="135"/>
      <c r="J96" s="135"/>
      <c r="K96" s="135"/>
      <c r="L96" s="135"/>
      <c r="M96" s="143">
        <v>51</v>
      </c>
      <c r="N96" s="140"/>
      <c r="O96" s="143">
        <v>146</v>
      </c>
      <c r="P96" s="135"/>
      <c r="Q96" s="135"/>
      <c r="R96" s="143">
        <v>146</v>
      </c>
      <c r="S96" s="277">
        <v>0</v>
      </c>
      <c r="T96" s="135"/>
      <c r="U96" s="135"/>
      <c r="V96" s="276">
        <v>0</v>
      </c>
      <c r="W96" s="143"/>
      <c r="X96" s="135">
        <v>11</v>
      </c>
      <c r="Y96" s="143">
        <v>11</v>
      </c>
      <c r="Z96" s="277"/>
      <c r="AA96" s="135"/>
      <c r="AB96" s="276"/>
      <c r="AC96" s="143"/>
      <c r="AD96" s="135"/>
      <c r="AE96" s="135"/>
      <c r="AF96" s="135"/>
      <c r="AG96" s="135"/>
      <c r="AH96" s="135"/>
      <c r="AI96" s="135"/>
      <c r="AJ96" s="143"/>
      <c r="AK96" s="140"/>
      <c r="AL96" s="140"/>
      <c r="AM96" s="277"/>
      <c r="AN96" s="135"/>
      <c r="AO96" s="135"/>
      <c r="AP96" s="135"/>
      <c r="AQ96" s="135"/>
      <c r="AR96" s="135"/>
      <c r="AS96" s="135"/>
      <c r="AT96" s="135"/>
      <c r="AU96" s="135"/>
      <c r="AV96" s="135"/>
      <c r="AW96" s="135"/>
      <c r="AX96" s="276"/>
      <c r="AY96" s="143">
        <v>0</v>
      </c>
      <c r="AZ96" s="135">
        <v>23</v>
      </c>
      <c r="BA96" s="135"/>
      <c r="BB96" s="135">
        <v>0</v>
      </c>
      <c r="BC96" s="135"/>
      <c r="BD96" s="135">
        <v>11</v>
      </c>
      <c r="BE96" s="135"/>
      <c r="BF96" s="135">
        <v>0</v>
      </c>
      <c r="BG96" s="143">
        <v>34</v>
      </c>
      <c r="BH96" s="277"/>
      <c r="BI96" s="135">
        <v>0</v>
      </c>
      <c r="BJ96" s="135">
        <v>50</v>
      </c>
      <c r="BK96" s="135"/>
      <c r="BL96" s="135"/>
      <c r="BM96" s="135"/>
      <c r="BN96" s="276">
        <v>50</v>
      </c>
      <c r="BO96" s="143"/>
      <c r="BP96" s="140"/>
      <c r="BQ96" s="140"/>
      <c r="BR96" s="143">
        <v>0</v>
      </c>
      <c r="BS96" s="135">
        <v>0</v>
      </c>
      <c r="BT96" s="135"/>
      <c r="BU96" s="135"/>
      <c r="BV96" s="135"/>
      <c r="BW96" s="135"/>
      <c r="BX96" s="143">
        <v>0</v>
      </c>
      <c r="BY96" s="277">
        <v>0</v>
      </c>
      <c r="BZ96" s="135">
        <v>0</v>
      </c>
      <c r="CA96" s="135">
        <v>0</v>
      </c>
      <c r="CB96" s="135">
        <v>0</v>
      </c>
      <c r="CC96" s="135">
        <v>4</v>
      </c>
      <c r="CD96" s="135">
        <v>0</v>
      </c>
      <c r="CE96" s="135"/>
      <c r="CF96" s="135"/>
      <c r="CG96" s="135"/>
      <c r="CH96" s="135"/>
      <c r="CI96" s="135"/>
      <c r="CJ96" s="276">
        <v>4</v>
      </c>
      <c r="CK96" s="143"/>
      <c r="CL96" s="135">
        <v>0</v>
      </c>
      <c r="CM96" s="143">
        <v>0</v>
      </c>
      <c r="CN96" s="140"/>
      <c r="CO96" s="140">
        <v>0</v>
      </c>
      <c r="CP96" s="143"/>
      <c r="CQ96" s="135"/>
      <c r="CR96" s="135"/>
      <c r="CS96" s="143"/>
      <c r="CT96" s="140">
        <v>365</v>
      </c>
      <c r="CU96" s="143">
        <v>1</v>
      </c>
      <c r="CV96" s="135"/>
      <c r="CW96" s="135">
        <v>0</v>
      </c>
      <c r="CX96" s="143">
        <v>1</v>
      </c>
      <c r="CY96" s="140">
        <v>10</v>
      </c>
      <c r="CZ96" s="140">
        <v>0</v>
      </c>
      <c r="DA96" s="143">
        <v>0</v>
      </c>
      <c r="DB96" s="135"/>
      <c r="DC96" s="135"/>
      <c r="DD96" s="143">
        <v>0</v>
      </c>
      <c r="DE96" s="140">
        <v>672</v>
      </c>
      <c r="DF96" s="356">
        <f>672/1534554</f>
        <v>4.3791225333223853E-4</v>
      </c>
    </row>
    <row r="97" spans="2:110" x14ac:dyDescent="0.2">
      <c r="B97" s="138" t="s">
        <v>178</v>
      </c>
      <c r="C97" s="366"/>
      <c r="D97" s="374">
        <v>0</v>
      </c>
      <c r="E97" s="374"/>
      <c r="F97" s="367">
        <v>0</v>
      </c>
      <c r="G97" s="143">
        <v>1</v>
      </c>
      <c r="H97" s="135">
        <v>0</v>
      </c>
      <c r="I97" s="135"/>
      <c r="J97" s="135">
        <v>9</v>
      </c>
      <c r="K97" s="135">
        <v>0</v>
      </c>
      <c r="L97" s="135"/>
      <c r="M97" s="143">
        <v>10</v>
      </c>
      <c r="N97" s="140"/>
      <c r="O97" s="143">
        <v>256</v>
      </c>
      <c r="P97" s="135">
        <v>0</v>
      </c>
      <c r="Q97" s="135"/>
      <c r="R97" s="143">
        <v>256</v>
      </c>
      <c r="S97" s="277">
        <v>0</v>
      </c>
      <c r="T97" s="135">
        <v>0</v>
      </c>
      <c r="U97" s="135"/>
      <c r="V97" s="276">
        <v>0</v>
      </c>
      <c r="W97" s="143"/>
      <c r="X97" s="135">
        <v>3</v>
      </c>
      <c r="Y97" s="143">
        <v>3</v>
      </c>
      <c r="Z97" s="277">
        <v>0</v>
      </c>
      <c r="AA97" s="135"/>
      <c r="AB97" s="276">
        <v>0</v>
      </c>
      <c r="AC97" s="143">
        <v>0</v>
      </c>
      <c r="AD97" s="135">
        <v>0</v>
      </c>
      <c r="AE97" s="135"/>
      <c r="AF97" s="135"/>
      <c r="AG97" s="135"/>
      <c r="AH97" s="135"/>
      <c r="AI97" s="135"/>
      <c r="AJ97" s="143">
        <v>0</v>
      </c>
      <c r="AK97" s="140"/>
      <c r="AL97" s="140"/>
      <c r="AM97" s="277"/>
      <c r="AN97" s="135"/>
      <c r="AO97" s="135"/>
      <c r="AP97" s="135">
        <v>0</v>
      </c>
      <c r="AQ97" s="135"/>
      <c r="AR97" s="135"/>
      <c r="AS97" s="135">
        <v>0</v>
      </c>
      <c r="AT97" s="135"/>
      <c r="AU97" s="135">
        <v>0</v>
      </c>
      <c r="AV97" s="135"/>
      <c r="AW97" s="135"/>
      <c r="AX97" s="276">
        <v>0</v>
      </c>
      <c r="AY97" s="143">
        <v>0</v>
      </c>
      <c r="AZ97" s="135">
        <v>91</v>
      </c>
      <c r="BA97" s="135">
        <v>0</v>
      </c>
      <c r="BB97" s="135">
        <v>0</v>
      </c>
      <c r="BC97" s="135"/>
      <c r="BD97" s="135">
        <v>5</v>
      </c>
      <c r="BE97" s="135">
        <v>0</v>
      </c>
      <c r="BF97" s="135">
        <v>0</v>
      </c>
      <c r="BG97" s="143">
        <v>96</v>
      </c>
      <c r="BH97" s="277">
        <v>0</v>
      </c>
      <c r="BI97" s="135">
        <v>21</v>
      </c>
      <c r="BJ97" s="135">
        <v>37</v>
      </c>
      <c r="BK97" s="135"/>
      <c r="BL97" s="135"/>
      <c r="BM97" s="135"/>
      <c r="BN97" s="276">
        <v>58</v>
      </c>
      <c r="BO97" s="143"/>
      <c r="BP97" s="140">
        <v>0</v>
      </c>
      <c r="BQ97" s="140"/>
      <c r="BR97" s="143">
        <v>0</v>
      </c>
      <c r="BS97" s="135">
        <v>0</v>
      </c>
      <c r="BT97" s="135"/>
      <c r="BU97" s="135"/>
      <c r="BV97" s="135"/>
      <c r="BW97" s="135"/>
      <c r="BX97" s="143">
        <v>0</v>
      </c>
      <c r="BY97" s="277">
        <v>12</v>
      </c>
      <c r="BZ97" s="135">
        <v>0</v>
      </c>
      <c r="CA97" s="135">
        <v>15</v>
      </c>
      <c r="CB97" s="135">
        <v>0</v>
      </c>
      <c r="CC97" s="135">
        <v>11</v>
      </c>
      <c r="CD97" s="135">
        <v>0</v>
      </c>
      <c r="CE97" s="135">
        <v>0</v>
      </c>
      <c r="CF97" s="135">
        <v>0</v>
      </c>
      <c r="CG97" s="135"/>
      <c r="CH97" s="135">
        <v>0</v>
      </c>
      <c r="CI97" s="135">
        <v>0</v>
      </c>
      <c r="CJ97" s="276">
        <v>38</v>
      </c>
      <c r="CK97" s="143"/>
      <c r="CL97" s="135"/>
      <c r="CM97" s="143"/>
      <c r="CN97" s="140"/>
      <c r="CO97" s="140">
        <v>0</v>
      </c>
      <c r="CP97" s="143">
        <v>0</v>
      </c>
      <c r="CQ97" s="135"/>
      <c r="CR97" s="135"/>
      <c r="CS97" s="143">
        <v>0</v>
      </c>
      <c r="CT97" s="140"/>
      <c r="CU97" s="143"/>
      <c r="CV97" s="135"/>
      <c r="CW97" s="135"/>
      <c r="CX97" s="143"/>
      <c r="CY97" s="140">
        <v>2</v>
      </c>
      <c r="CZ97" s="140">
        <v>0</v>
      </c>
      <c r="DA97" s="143"/>
      <c r="DB97" s="135">
        <v>0</v>
      </c>
      <c r="DC97" s="135"/>
      <c r="DD97" s="143">
        <v>0</v>
      </c>
      <c r="DE97" s="140">
        <v>463</v>
      </c>
      <c r="DF97" s="356">
        <f>463/1534554</f>
        <v>3.0171632930480125E-4</v>
      </c>
    </row>
    <row r="98" spans="2:110" x14ac:dyDescent="0.2">
      <c r="B98" s="138" t="s">
        <v>193</v>
      </c>
      <c r="C98" s="366"/>
      <c r="D98" s="374"/>
      <c r="E98" s="374"/>
      <c r="F98" s="367"/>
      <c r="G98" s="143">
        <v>1</v>
      </c>
      <c r="H98" s="135">
        <v>0</v>
      </c>
      <c r="I98" s="135"/>
      <c r="J98" s="135">
        <v>1</v>
      </c>
      <c r="K98" s="135"/>
      <c r="L98" s="135"/>
      <c r="M98" s="143">
        <v>2</v>
      </c>
      <c r="N98" s="140"/>
      <c r="O98" s="143">
        <v>174</v>
      </c>
      <c r="P98" s="135"/>
      <c r="Q98" s="135"/>
      <c r="R98" s="143">
        <v>174</v>
      </c>
      <c r="S98" s="277">
        <v>0</v>
      </c>
      <c r="T98" s="135"/>
      <c r="U98" s="135"/>
      <c r="V98" s="276">
        <v>0</v>
      </c>
      <c r="W98" s="143"/>
      <c r="X98" s="135">
        <v>29</v>
      </c>
      <c r="Y98" s="143">
        <v>29</v>
      </c>
      <c r="Z98" s="277"/>
      <c r="AA98" s="135"/>
      <c r="AB98" s="276"/>
      <c r="AC98" s="143"/>
      <c r="AD98" s="135">
        <v>0</v>
      </c>
      <c r="AE98" s="135"/>
      <c r="AF98" s="135">
        <v>0</v>
      </c>
      <c r="AG98" s="135"/>
      <c r="AH98" s="135"/>
      <c r="AI98" s="135"/>
      <c r="AJ98" s="143">
        <v>0</v>
      </c>
      <c r="AK98" s="140"/>
      <c r="AL98" s="140"/>
      <c r="AM98" s="277"/>
      <c r="AN98" s="135"/>
      <c r="AO98" s="135"/>
      <c r="AP98" s="135"/>
      <c r="AQ98" s="135"/>
      <c r="AR98" s="135"/>
      <c r="AS98" s="135"/>
      <c r="AT98" s="135"/>
      <c r="AU98" s="135"/>
      <c r="AV98" s="135"/>
      <c r="AW98" s="135"/>
      <c r="AX98" s="276"/>
      <c r="AY98" s="143">
        <v>0</v>
      </c>
      <c r="AZ98" s="135">
        <v>10</v>
      </c>
      <c r="BA98" s="135">
        <v>0</v>
      </c>
      <c r="BB98" s="135">
        <v>0</v>
      </c>
      <c r="BC98" s="135">
        <v>0</v>
      </c>
      <c r="BD98" s="135">
        <v>35</v>
      </c>
      <c r="BE98" s="135"/>
      <c r="BF98" s="135"/>
      <c r="BG98" s="143">
        <v>45</v>
      </c>
      <c r="BH98" s="277"/>
      <c r="BI98" s="135">
        <v>1</v>
      </c>
      <c r="BJ98" s="135">
        <v>28</v>
      </c>
      <c r="BK98" s="135"/>
      <c r="BL98" s="135"/>
      <c r="BM98" s="135"/>
      <c r="BN98" s="276">
        <v>29</v>
      </c>
      <c r="BO98" s="143"/>
      <c r="BP98" s="140">
        <v>0</v>
      </c>
      <c r="BQ98" s="140"/>
      <c r="BR98" s="143">
        <v>0</v>
      </c>
      <c r="BS98" s="135">
        <v>0</v>
      </c>
      <c r="BT98" s="135"/>
      <c r="BU98" s="135"/>
      <c r="BV98" s="135"/>
      <c r="BW98" s="135"/>
      <c r="BX98" s="143">
        <v>0</v>
      </c>
      <c r="BY98" s="277">
        <v>3</v>
      </c>
      <c r="BZ98" s="135">
        <v>0</v>
      </c>
      <c r="CA98" s="135">
        <v>4</v>
      </c>
      <c r="CB98" s="135">
        <v>0</v>
      </c>
      <c r="CC98" s="135">
        <v>1</v>
      </c>
      <c r="CD98" s="135">
        <v>0</v>
      </c>
      <c r="CE98" s="135">
        <v>0</v>
      </c>
      <c r="CF98" s="135">
        <v>0</v>
      </c>
      <c r="CG98" s="135"/>
      <c r="CH98" s="135">
        <v>0</v>
      </c>
      <c r="CI98" s="135"/>
      <c r="CJ98" s="276">
        <v>8</v>
      </c>
      <c r="CK98" s="143"/>
      <c r="CL98" s="135">
        <v>0</v>
      </c>
      <c r="CM98" s="143">
        <v>0</v>
      </c>
      <c r="CN98" s="140"/>
      <c r="CO98" s="140">
        <v>0</v>
      </c>
      <c r="CP98" s="143">
        <v>0</v>
      </c>
      <c r="CQ98" s="135"/>
      <c r="CR98" s="135"/>
      <c r="CS98" s="143">
        <v>0</v>
      </c>
      <c r="CT98" s="140">
        <v>54</v>
      </c>
      <c r="CU98" s="143"/>
      <c r="CV98" s="135"/>
      <c r="CW98" s="135"/>
      <c r="CX98" s="143"/>
      <c r="CY98" s="140">
        <v>28</v>
      </c>
      <c r="CZ98" s="140">
        <v>0</v>
      </c>
      <c r="DA98" s="143">
        <v>0</v>
      </c>
      <c r="DB98" s="135"/>
      <c r="DC98" s="135"/>
      <c r="DD98" s="143">
        <v>0</v>
      </c>
      <c r="DE98" s="140">
        <v>369</v>
      </c>
      <c r="DF98" s="356">
        <f>369/1534554</f>
        <v>2.4046074624939885E-4</v>
      </c>
    </row>
    <row r="99" spans="2:110" x14ac:dyDescent="0.2">
      <c r="B99" s="138" t="s">
        <v>207</v>
      </c>
      <c r="C99" s="366">
        <v>0</v>
      </c>
      <c r="D99" s="374">
        <v>0</v>
      </c>
      <c r="E99" s="374">
        <v>0</v>
      </c>
      <c r="F99" s="367">
        <v>0</v>
      </c>
      <c r="G99" s="143">
        <v>374</v>
      </c>
      <c r="H99" s="135">
        <v>3</v>
      </c>
      <c r="I99" s="135">
        <v>0</v>
      </c>
      <c r="J99" s="135">
        <v>16</v>
      </c>
      <c r="K99" s="135">
        <v>0</v>
      </c>
      <c r="L99" s="135">
        <v>0</v>
      </c>
      <c r="M99" s="143">
        <v>393</v>
      </c>
      <c r="N99" s="140">
        <v>0</v>
      </c>
      <c r="O99" s="143">
        <v>5260</v>
      </c>
      <c r="P99" s="135">
        <v>0</v>
      </c>
      <c r="Q99" s="135"/>
      <c r="R99" s="143">
        <v>5260</v>
      </c>
      <c r="S99" s="277">
        <v>0</v>
      </c>
      <c r="T99" s="135">
        <v>0</v>
      </c>
      <c r="U99" s="135">
        <v>0</v>
      </c>
      <c r="V99" s="276">
        <v>0</v>
      </c>
      <c r="W99" s="143">
        <v>0</v>
      </c>
      <c r="X99" s="135">
        <v>16398</v>
      </c>
      <c r="Y99" s="143">
        <v>16398</v>
      </c>
      <c r="Z99" s="277">
        <v>113</v>
      </c>
      <c r="AA99" s="135"/>
      <c r="AB99" s="276">
        <v>113</v>
      </c>
      <c r="AC99" s="143">
        <v>28</v>
      </c>
      <c r="AD99" s="135">
        <v>0</v>
      </c>
      <c r="AE99" s="135">
        <v>91</v>
      </c>
      <c r="AF99" s="135">
        <v>32</v>
      </c>
      <c r="AG99" s="135">
        <v>10</v>
      </c>
      <c r="AH99" s="135">
        <v>2</v>
      </c>
      <c r="AI99" s="135">
        <v>7</v>
      </c>
      <c r="AJ99" s="143">
        <v>170</v>
      </c>
      <c r="AK99" s="140">
        <v>0</v>
      </c>
      <c r="AL99" s="140">
        <v>861</v>
      </c>
      <c r="AM99" s="277">
        <v>0</v>
      </c>
      <c r="AN99" s="135">
        <v>0</v>
      </c>
      <c r="AO99" s="135">
        <v>0</v>
      </c>
      <c r="AP99" s="135">
        <v>0</v>
      </c>
      <c r="AQ99" s="135">
        <v>0</v>
      </c>
      <c r="AR99" s="135"/>
      <c r="AS99" s="135">
        <v>0</v>
      </c>
      <c r="AT99" s="135">
        <v>0</v>
      </c>
      <c r="AU99" s="135">
        <v>0</v>
      </c>
      <c r="AV99" s="135">
        <v>0</v>
      </c>
      <c r="AW99" s="135">
        <v>0</v>
      </c>
      <c r="AX99" s="276">
        <v>0</v>
      </c>
      <c r="AY99" s="143">
        <v>0</v>
      </c>
      <c r="AZ99" s="135">
        <v>4195</v>
      </c>
      <c r="BA99" s="135">
        <v>0</v>
      </c>
      <c r="BB99" s="135">
        <v>0</v>
      </c>
      <c r="BC99" s="135">
        <v>0</v>
      </c>
      <c r="BD99" s="135">
        <v>22189</v>
      </c>
      <c r="BE99" s="135">
        <v>0</v>
      </c>
      <c r="BF99" s="135">
        <v>0</v>
      </c>
      <c r="BG99" s="143">
        <v>26384</v>
      </c>
      <c r="BH99" s="277">
        <v>0</v>
      </c>
      <c r="BI99" s="135">
        <v>3411</v>
      </c>
      <c r="BJ99" s="135">
        <v>918</v>
      </c>
      <c r="BK99" s="135">
        <v>3</v>
      </c>
      <c r="BL99" s="135"/>
      <c r="BM99" s="135"/>
      <c r="BN99" s="276">
        <v>4332</v>
      </c>
      <c r="BO99" s="143">
        <v>0</v>
      </c>
      <c r="BP99" s="140">
        <v>0</v>
      </c>
      <c r="BQ99" s="140"/>
      <c r="BR99" s="143">
        <v>0</v>
      </c>
      <c r="BS99" s="135">
        <v>0</v>
      </c>
      <c r="BT99" s="135">
        <v>0</v>
      </c>
      <c r="BU99" s="135"/>
      <c r="BV99" s="135"/>
      <c r="BW99" s="135">
        <v>0</v>
      </c>
      <c r="BX99" s="143">
        <v>0</v>
      </c>
      <c r="BY99" s="277">
        <v>120</v>
      </c>
      <c r="BZ99" s="135">
        <v>0</v>
      </c>
      <c r="CA99" s="135">
        <v>173</v>
      </c>
      <c r="CB99" s="135">
        <v>0</v>
      </c>
      <c r="CC99" s="135">
        <v>56</v>
      </c>
      <c r="CD99" s="135">
        <v>0</v>
      </c>
      <c r="CE99" s="135">
        <v>0</v>
      </c>
      <c r="CF99" s="135">
        <v>0</v>
      </c>
      <c r="CG99" s="135">
        <v>0</v>
      </c>
      <c r="CH99" s="135">
        <v>0</v>
      </c>
      <c r="CI99" s="135"/>
      <c r="CJ99" s="276">
        <v>349</v>
      </c>
      <c r="CK99" s="143">
        <v>0</v>
      </c>
      <c r="CL99" s="135">
        <v>9537</v>
      </c>
      <c r="CM99" s="143">
        <v>9537</v>
      </c>
      <c r="CN99" s="140">
        <v>0</v>
      </c>
      <c r="CO99" s="140">
        <v>0</v>
      </c>
      <c r="CP99" s="143">
        <v>822</v>
      </c>
      <c r="CQ99" s="135">
        <v>65</v>
      </c>
      <c r="CR99" s="135">
        <v>724</v>
      </c>
      <c r="CS99" s="143">
        <v>1611</v>
      </c>
      <c r="CT99" s="140">
        <v>10784</v>
      </c>
      <c r="CU99" s="143">
        <v>602</v>
      </c>
      <c r="CV99" s="135">
        <v>0</v>
      </c>
      <c r="CW99" s="135">
        <v>0</v>
      </c>
      <c r="CX99" s="143">
        <v>602</v>
      </c>
      <c r="CY99" s="140">
        <v>14873</v>
      </c>
      <c r="CZ99" s="140">
        <v>0</v>
      </c>
      <c r="DA99" s="143">
        <v>136</v>
      </c>
      <c r="DB99" s="135">
        <v>150</v>
      </c>
      <c r="DC99" s="135">
        <v>2120</v>
      </c>
      <c r="DD99" s="143">
        <v>2406</v>
      </c>
      <c r="DE99" s="140">
        <v>94073</v>
      </c>
      <c r="DF99" s="356">
        <f>94073/1534554</f>
        <v>6.1303153880541188E-2</v>
      </c>
    </row>
    <row r="100" spans="2:110" x14ac:dyDescent="0.2">
      <c r="B100" s="138" t="s">
        <v>234</v>
      </c>
      <c r="C100" s="366"/>
      <c r="D100" s="374"/>
      <c r="E100" s="374"/>
      <c r="F100" s="367"/>
      <c r="G100" s="143"/>
      <c r="H100" s="135"/>
      <c r="I100" s="135"/>
      <c r="J100" s="135"/>
      <c r="K100" s="135"/>
      <c r="L100" s="135"/>
      <c r="M100" s="143"/>
      <c r="N100" s="140"/>
      <c r="O100" s="143">
        <v>1</v>
      </c>
      <c r="P100" s="135"/>
      <c r="Q100" s="135"/>
      <c r="R100" s="143">
        <v>1</v>
      </c>
      <c r="S100" s="277"/>
      <c r="T100" s="135"/>
      <c r="U100" s="135"/>
      <c r="V100" s="276"/>
      <c r="W100" s="143"/>
      <c r="X100" s="135">
        <v>8</v>
      </c>
      <c r="Y100" s="143">
        <v>8</v>
      </c>
      <c r="Z100" s="277"/>
      <c r="AA100" s="135"/>
      <c r="AB100" s="276"/>
      <c r="AC100" s="143"/>
      <c r="AD100" s="135"/>
      <c r="AE100" s="135"/>
      <c r="AF100" s="135"/>
      <c r="AG100" s="135"/>
      <c r="AH100" s="135"/>
      <c r="AI100" s="135"/>
      <c r="AJ100" s="143"/>
      <c r="AK100" s="140"/>
      <c r="AL100" s="140"/>
      <c r="AM100" s="277"/>
      <c r="AN100" s="135"/>
      <c r="AO100" s="135"/>
      <c r="AP100" s="135"/>
      <c r="AQ100" s="135"/>
      <c r="AR100" s="135"/>
      <c r="AS100" s="135"/>
      <c r="AT100" s="135"/>
      <c r="AU100" s="135"/>
      <c r="AV100" s="135"/>
      <c r="AW100" s="135"/>
      <c r="AX100" s="276"/>
      <c r="AY100" s="143"/>
      <c r="AZ100" s="135">
        <v>2</v>
      </c>
      <c r="BA100" s="135"/>
      <c r="BB100" s="135"/>
      <c r="BC100" s="135"/>
      <c r="BD100" s="135">
        <v>9</v>
      </c>
      <c r="BE100" s="135"/>
      <c r="BF100" s="135"/>
      <c r="BG100" s="143">
        <v>11</v>
      </c>
      <c r="BH100" s="277">
        <v>0</v>
      </c>
      <c r="BI100" s="135">
        <v>2</v>
      </c>
      <c r="BJ100" s="135">
        <v>1</v>
      </c>
      <c r="BK100" s="135"/>
      <c r="BL100" s="135"/>
      <c r="BM100" s="135"/>
      <c r="BN100" s="276">
        <v>3</v>
      </c>
      <c r="BO100" s="143"/>
      <c r="BP100" s="140"/>
      <c r="BQ100" s="140"/>
      <c r="BR100" s="143">
        <v>0</v>
      </c>
      <c r="BS100" s="135">
        <v>0</v>
      </c>
      <c r="BT100" s="135"/>
      <c r="BU100" s="135"/>
      <c r="BV100" s="135"/>
      <c r="BW100" s="135"/>
      <c r="BX100" s="143">
        <v>0</v>
      </c>
      <c r="BY100" s="277">
        <v>0</v>
      </c>
      <c r="BZ100" s="135">
        <v>0</v>
      </c>
      <c r="CA100" s="135">
        <v>0</v>
      </c>
      <c r="CB100" s="135"/>
      <c r="CC100" s="135">
        <v>0</v>
      </c>
      <c r="CD100" s="135"/>
      <c r="CE100" s="135"/>
      <c r="CF100" s="135"/>
      <c r="CG100" s="135"/>
      <c r="CH100" s="135"/>
      <c r="CI100" s="135"/>
      <c r="CJ100" s="276">
        <v>0</v>
      </c>
      <c r="CK100" s="143"/>
      <c r="CL100" s="135"/>
      <c r="CM100" s="143"/>
      <c r="CN100" s="140"/>
      <c r="CO100" s="140">
        <v>0</v>
      </c>
      <c r="CP100" s="143"/>
      <c r="CQ100" s="135"/>
      <c r="CR100" s="135"/>
      <c r="CS100" s="143"/>
      <c r="CT100" s="140">
        <v>12</v>
      </c>
      <c r="CU100" s="143"/>
      <c r="CV100" s="135"/>
      <c r="CW100" s="135"/>
      <c r="CX100" s="143"/>
      <c r="CY100" s="140">
        <v>8</v>
      </c>
      <c r="CZ100" s="140"/>
      <c r="DA100" s="143"/>
      <c r="DB100" s="135"/>
      <c r="DC100" s="135"/>
      <c r="DD100" s="143"/>
      <c r="DE100" s="140">
        <v>43</v>
      </c>
      <c r="DF100" s="356">
        <f>43/1534554</f>
        <v>2.8021170972152168E-5</v>
      </c>
    </row>
    <row r="101" spans="2:110" x14ac:dyDescent="0.2">
      <c r="B101" s="138" t="s">
        <v>245</v>
      </c>
      <c r="C101" s="366"/>
      <c r="D101" s="374"/>
      <c r="E101" s="374"/>
      <c r="F101" s="367"/>
      <c r="G101" s="143"/>
      <c r="H101" s="135">
        <v>0</v>
      </c>
      <c r="I101" s="135"/>
      <c r="J101" s="135"/>
      <c r="K101" s="135"/>
      <c r="L101" s="135">
        <v>0</v>
      </c>
      <c r="M101" s="143">
        <v>0</v>
      </c>
      <c r="N101" s="140"/>
      <c r="O101" s="143">
        <v>3</v>
      </c>
      <c r="P101" s="135">
        <v>0</v>
      </c>
      <c r="Q101" s="135"/>
      <c r="R101" s="143">
        <v>3</v>
      </c>
      <c r="S101" s="277"/>
      <c r="T101" s="135">
        <v>0</v>
      </c>
      <c r="U101" s="135"/>
      <c r="V101" s="276">
        <v>0</v>
      </c>
      <c r="W101" s="143"/>
      <c r="X101" s="135">
        <v>2</v>
      </c>
      <c r="Y101" s="143">
        <v>2</v>
      </c>
      <c r="Z101" s="277">
        <v>0</v>
      </c>
      <c r="AA101" s="135"/>
      <c r="AB101" s="276">
        <v>0</v>
      </c>
      <c r="AC101" s="143"/>
      <c r="AD101" s="135"/>
      <c r="AE101" s="135"/>
      <c r="AF101" s="135"/>
      <c r="AG101" s="135"/>
      <c r="AH101" s="135"/>
      <c r="AI101" s="135"/>
      <c r="AJ101" s="143"/>
      <c r="AK101" s="140"/>
      <c r="AL101" s="140">
        <v>0</v>
      </c>
      <c r="AM101" s="277"/>
      <c r="AN101" s="135">
        <v>0</v>
      </c>
      <c r="AO101" s="135"/>
      <c r="AP101" s="135"/>
      <c r="AQ101" s="135"/>
      <c r="AR101" s="135"/>
      <c r="AS101" s="135"/>
      <c r="AT101" s="135"/>
      <c r="AU101" s="135"/>
      <c r="AV101" s="135"/>
      <c r="AW101" s="135"/>
      <c r="AX101" s="276">
        <v>0</v>
      </c>
      <c r="AY101" s="143"/>
      <c r="AZ101" s="135">
        <v>0</v>
      </c>
      <c r="BA101" s="135">
        <v>0</v>
      </c>
      <c r="BB101" s="135">
        <v>0</v>
      </c>
      <c r="BC101" s="135"/>
      <c r="BD101" s="135">
        <v>2</v>
      </c>
      <c r="BE101" s="135"/>
      <c r="BF101" s="135"/>
      <c r="BG101" s="143">
        <v>2</v>
      </c>
      <c r="BH101" s="277"/>
      <c r="BI101" s="135">
        <v>0</v>
      </c>
      <c r="BJ101" s="135">
        <v>0</v>
      </c>
      <c r="BK101" s="135"/>
      <c r="BL101" s="135"/>
      <c r="BM101" s="135"/>
      <c r="BN101" s="276">
        <v>0</v>
      </c>
      <c r="BO101" s="143"/>
      <c r="BP101" s="140">
        <v>0</v>
      </c>
      <c r="BQ101" s="140"/>
      <c r="BR101" s="143">
        <v>0</v>
      </c>
      <c r="BS101" s="135">
        <v>0</v>
      </c>
      <c r="BT101" s="135"/>
      <c r="BU101" s="135"/>
      <c r="BV101" s="135"/>
      <c r="BW101" s="135"/>
      <c r="BX101" s="143">
        <v>0</v>
      </c>
      <c r="BY101" s="277">
        <v>0</v>
      </c>
      <c r="BZ101" s="135">
        <v>0</v>
      </c>
      <c r="CA101" s="135">
        <v>0</v>
      </c>
      <c r="CB101" s="135">
        <v>0</v>
      </c>
      <c r="CC101" s="135">
        <v>0</v>
      </c>
      <c r="CD101" s="135">
        <v>0</v>
      </c>
      <c r="CE101" s="135">
        <v>0</v>
      </c>
      <c r="CF101" s="135">
        <v>0</v>
      </c>
      <c r="CG101" s="135"/>
      <c r="CH101" s="135">
        <v>0</v>
      </c>
      <c r="CI101" s="135"/>
      <c r="CJ101" s="276">
        <v>0</v>
      </c>
      <c r="CK101" s="143"/>
      <c r="CL101" s="135"/>
      <c r="CM101" s="143"/>
      <c r="CN101" s="140"/>
      <c r="CO101" s="140">
        <v>0</v>
      </c>
      <c r="CP101" s="143"/>
      <c r="CQ101" s="135"/>
      <c r="CR101" s="135">
        <v>3</v>
      </c>
      <c r="CS101" s="143">
        <v>3</v>
      </c>
      <c r="CT101" s="140"/>
      <c r="CU101" s="143"/>
      <c r="CV101" s="135"/>
      <c r="CW101" s="135"/>
      <c r="CX101" s="143"/>
      <c r="CY101" s="140">
        <v>2</v>
      </c>
      <c r="CZ101" s="140">
        <v>0</v>
      </c>
      <c r="DA101" s="143">
        <v>0</v>
      </c>
      <c r="DB101" s="135"/>
      <c r="DC101" s="135">
        <v>4</v>
      </c>
      <c r="DD101" s="143">
        <v>4</v>
      </c>
      <c r="DE101" s="140">
        <v>16</v>
      </c>
      <c r="DF101" s="356">
        <f>16/1534554</f>
        <v>1.0426482222196156E-5</v>
      </c>
    </row>
    <row r="102" spans="2:110" ht="13.5" thickBot="1" x14ac:dyDescent="0.25">
      <c r="B102" s="248" t="s">
        <v>247</v>
      </c>
      <c r="C102" s="364">
        <v>0</v>
      </c>
      <c r="D102" s="373">
        <v>0</v>
      </c>
      <c r="E102" s="373">
        <v>0</v>
      </c>
      <c r="F102" s="365">
        <v>0</v>
      </c>
      <c r="G102" s="275">
        <v>670</v>
      </c>
      <c r="H102" s="273">
        <v>5</v>
      </c>
      <c r="I102" s="273">
        <v>0</v>
      </c>
      <c r="J102" s="273">
        <v>36</v>
      </c>
      <c r="K102" s="273">
        <v>0</v>
      </c>
      <c r="L102" s="273">
        <v>0</v>
      </c>
      <c r="M102" s="275">
        <v>711</v>
      </c>
      <c r="N102" s="271">
        <v>0</v>
      </c>
      <c r="O102" s="275">
        <v>1735</v>
      </c>
      <c r="P102" s="273">
        <v>0</v>
      </c>
      <c r="Q102" s="273"/>
      <c r="R102" s="275">
        <v>1735</v>
      </c>
      <c r="S102" s="274">
        <v>0</v>
      </c>
      <c r="T102" s="273">
        <v>0</v>
      </c>
      <c r="U102" s="273">
        <v>0</v>
      </c>
      <c r="V102" s="272">
        <v>0</v>
      </c>
      <c r="W102" s="275">
        <v>0</v>
      </c>
      <c r="X102" s="273">
        <v>11</v>
      </c>
      <c r="Y102" s="275">
        <v>11</v>
      </c>
      <c r="Z102" s="274">
        <v>235</v>
      </c>
      <c r="AA102" s="273"/>
      <c r="AB102" s="272">
        <v>235</v>
      </c>
      <c r="AC102" s="275">
        <v>26</v>
      </c>
      <c r="AD102" s="273">
        <v>0</v>
      </c>
      <c r="AE102" s="273">
        <v>116</v>
      </c>
      <c r="AF102" s="273">
        <v>2</v>
      </c>
      <c r="AG102" s="273">
        <v>0</v>
      </c>
      <c r="AH102" s="273">
        <v>0</v>
      </c>
      <c r="AI102" s="273">
        <v>0</v>
      </c>
      <c r="AJ102" s="275">
        <v>144</v>
      </c>
      <c r="AK102" s="271"/>
      <c r="AL102" s="271">
        <v>151</v>
      </c>
      <c r="AM102" s="274">
        <v>0</v>
      </c>
      <c r="AN102" s="273">
        <v>0</v>
      </c>
      <c r="AO102" s="273">
        <v>0</v>
      </c>
      <c r="AP102" s="273">
        <v>0</v>
      </c>
      <c r="AQ102" s="273">
        <v>0</v>
      </c>
      <c r="AR102" s="273">
        <v>0</v>
      </c>
      <c r="AS102" s="273">
        <v>0</v>
      </c>
      <c r="AT102" s="273">
        <v>0</v>
      </c>
      <c r="AU102" s="273">
        <v>0</v>
      </c>
      <c r="AV102" s="273">
        <v>0</v>
      </c>
      <c r="AW102" s="273">
        <v>0</v>
      </c>
      <c r="AX102" s="272">
        <v>0</v>
      </c>
      <c r="AY102" s="275">
        <v>0</v>
      </c>
      <c r="AZ102" s="273">
        <v>734</v>
      </c>
      <c r="BA102" s="273">
        <v>0</v>
      </c>
      <c r="BB102" s="273">
        <v>0</v>
      </c>
      <c r="BC102" s="273">
        <v>0</v>
      </c>
      <c r="BD102" s="273">
        <v>12</v>
      </c>
      <c r="BE102" s="273">
        <v>0</v>
      </c>
      <c r="BF102" s="273">
        <v>0</v>
      </c>
      <c r="BG102" s="275">
        <v>746</v>
      </c>
      <c r="BH102" s="274">
        <v>0</v>
      </c>
      <c r="BI102" s="273">
        <v>23</v>
      </c>
      <c r="BJ102" s="273">
        <v>173</v>
      </c>
      <c r="BK102" s="273">
        <v>5</v>
      </c>
      <c r="BL102" s="273">
        <v>0</v>
      </c>
      <c r="BM102" s="273"/>
      <c r="BN102" s="272">
        <v>201</v>
      </c>
      <c r="BO102" s="275">
        <v>0</v>
      </c>
      <c r="BP102" s="271">
        <v>0</v>
      </c>
      <c r="BQ102" s="271"/>
      <c r="BR102" s="275">
        <v>0</v>
      </c>
      <c r="BS102" s="273">
        <v>0</v>
      </c>
      <c r="BT102" s="273">
        <v>0</v>
      </c>
      <c r="BU102" s="273"/>
      <c r="BV102" s="273"/>
      <c r="BW102" s="273"/>
      <c r="BX102" s="275">
        <v>0</v>
      </c>
      <c r="BY102" s="274">
        <v>389</v>
      </c>
      <c r="BZ102" s="273">
        <v>0</v>
      </c>
      <c r="CA102" s="273">
        <v>306</v>
      </c>
      <c r="CB102" s="273">
        <v>4</v>
      </c>
      <c r="CC102" s="273">
        <v>194</v>
      </c>
      <c r="CD102" s="273">
        <v>0</v>
      </c>
      <c r="CE102" s="273">
        <v>0</v>
      </c>
      <c r="CF102" s="273">
        <v>0</v>
      </c>
      <c r="CG102" s="273">
        <v>0</v>
      </c>
      <c r="CH102" s="273">
        <v>0</v>
      </c>
      <c r="CI102" s="273">
        <v>0</v>
      </c>
      <c r="CJ102" s="272">
        <v>893</v>
      </c>
      <c r="CK102" s="275">
        <v>0</v>
      </c>
      <c r="CL102" s="273">
        <v>63</v>
      </c>
      <c r="CM102" s="275">
        <v>63</v>
      </c>
      <c r="CN102" s="271">
        <v>0</v>
      </c>
      <c r="CO102" s="271">
        <v>0</v>
      </c>
      <c r="CP102" s="275">
        <v>248</v>
      </c>
      <c r="CQ102" s="273">
        <v>62</v>
      </c>
      <c r="CR102" s="273">
        <v>289</v>
      </c>
      <c r="CS102" s="275">
        <v>599</v>
      </c>
      <c r="CT102" s="271">
        <v>11</v>
      </c>
      <c r="CU102" s="275">
        <v>320</v>
      </c>
      <c r="CV102" s="273">
        <v>0</v>
      </c>
      <c r="CW102" s="273">
        <v>0</v>
      </c>
      <c r="CX102" s="275">
        <v>320</v>
      </c>
      <c r="CY102" s="271">
        <v>3</v>
      </c>
      <c r="CZ102" s="271">
        <v>0</v>
      </c>
      <c r="DA102" s="275">
        <v>65</v>
      </c>
      <c r="DB102" s="273">
        <v>565</v>
      </c>
      <c r="DC102" s="273">
        <v>304</v>
      </c>
      <c r="DD102" s="275">
        <v>934</v>
      </c>
      <c r="DE102" s="271">
        <v>6757</v>
      </c>
      <c r="DF102" s="354">
        <f>6757/1534554</f>
        <v>4.4032337734612138E-3</v>
      </c>
    </row>
    <row r="103" spans="2:110" ht="13.5" thickBot="1" x14ac:dyDescent="0.25">
      <c r="B103" s="139" t="s">
        <v>550</v>
      </c>
      <c r="C103" s="368">
        <v>0</v>
      </c>
      <c r="D103" s="375">
        <v>0</v>
      </c>
      <c r="E103" s="375">
        <v>0</v>
      </c>
      <c r="F103" s="369">
        <v>0</v>
      </c>
      <c r="G103" s="144">
        <v>1258</v>
      </c>
      <c r="H103" s="136">
        <v>8</v>
      </c>
      <c r="I103" s="136">
        <v>0</v>
      </c>
      <c r="J103" s="136">
        <v>84</v>
      </c>
      <c r="K103" s="136">
        <v>0</v>
      </c>
      <c r="L103" s="136">
        <v>0</v>
      </c>
      <c r="M103" s="144">
        <v>1350</v>
      </c>
      <c r="N103" s="141">
        <v>0</v>
      </c>
      <c r="O103" s="144">
        <v>9787</v>
      </c>
      <c r="P103" s="136">
        <v>0</v>
      </c>
      <c r="Q103" s="136"/>
      <c r="R103" s="144">
        <v>9787</v>
      </c>
      <c r="S103" s="270">
        <v>0</v>
      </c>
      <c r="T103" s="136">
        <v>0</v>
      </c>
      <c r="U103" s="136">
        <v>0</v>
      </c>
      <c r="V103" s="269">
        <v>0</v>
      </c>
      <c r="W103" s="144">
        <v>0</v>
      </c>
      <c r="X103" s="136">
        <v>16605</v>
      </c>
      <c r="Y103" s="144">
        <v>16605</v>
      </c>
      <c r="Z103" s="270">
        <v>805</v>
      </c>
      <c r="AA103" s="136">
        <v>0</v>
      </c>
      <c r="AB103" s="269">
        <v>805</v>
      </c>
      <c r="AC103" s="144">
        <v>62</v>
      </c>
      <c r="AD103" s="136">
        <v>0</v>
      </c>
      <c r="AE103" s="136">
        <v>217</v>
      </c>
      <c r="AF103" s="136">
        <v>41</v>
      </c>
      <c r="AG103" s="136">
        <v>10</v>
      </c>
      <c r="AH103" s="136">
        <v>2</v>
      </c>
      <c r="AI103" s="136">
        <v>7</v>
      </c>
      <c r="AJ103" s="144">
        <v>339</v>
      </c>
      <c r="AK103" s="141">
        <v>0</v>
      </c>
      <c r="AL103" s="141">
        <v>1478</v>
      </c>
      <c r="AM103" s="270">
        <v>0</v>
      </c>
      <c r="AN103" s="136">
        <v>0</v>
      </c>
      <c r="AO103" s="136">
        <v>0</v>
      </c>
      <c r="AP103" s="136">
        <v>0</v>
      </c>
      <c r="AQ103" s="136">
        <v>0</v>
      </c>
      <c r="AR103" s="136">
        <v>0</v>
      </c>
      <c r="AS103" s="136">
        <v>0</v>
      </c>
      <c r="AT103" s="136">
        <v>0</v>
      </c>
      <c r="AU103" s="136">
        <v>0</v>
      </c>
      <c r="AV103" s="136">
        <v>0</v>
      </c>
      <c r="AW103" s="136">
        <v>0</v>
      </c>
      <c r="AX103" s="269">
        <v>0</v>
      </c>
      <c r="AY103" s="144">
        <v>0</v>
      </c>
      <c r="AZ103" s="136">
        <v>5404</v>
      </c>
      <c r="BA103" s="136">
        <v>0</v>
      </c>
      <c r="BB103" s="136">
        <v>0</v>
      </c>
      <c r="BC103" s="136">
        <v>0</v>
      </c>
      <c r="BD103" s="136">
        <v>22383</v>
      </c>
      <c r="BE103" s="136">
        <v>0</v>
      </c>
      <c r="BF103" s="136">
        <v>0</v>
      </c>
      <c r="BG103" s="144">
        <v>27787</v>
      </c>
      <c r="BH103" s="270">
        <v>0</v>
      </c>
      <c r="BI103" s="136">
        <v>3480</v>
      </c>
      <c r="BJ103" s="136">
        <v>1400</v>
      </c>
      <c r="BK103" s="136">
        <v>11</v>
      </c>
      <c r="BL103" s="136">
        <v>0</v>
      </c>
      <c r="BM103" s="136"/>
      <c r="BN103" s="269">
        <v>4891</v>
      </c>
      <c r="BO103" s="144">
        <v>0</v>
      </c>
      <c r="BP103" s="141">
        <v>0</v>
      </c>
      <c r="BQ103" s="141">
        <v>0</v>
      </c>
      <c r="BR103" s="144">
        <v>0</v>
      </c>
      <c r="BS103" s="136">
        <v>0</v>
      </c>
      <c r="BT103" s="136">
        <v>0</v>
      </c>
      <c r="BU103" s="136"/>
      <c r="BV103" s="136"/>
      <c r="BW103" s="136">
        <v>0</v>
      </c>
      <c r="BX103" s="144">
        <v>0</v>
      </c>
      <c r="BY103" s="270">
        <v>607</v>
      </c>
      <c r="BZ103" s="136">
        <v>0</v>
      </c>
      <c r="CA103" s="136">
        <v>550</v>
      </c>
      <c r="CB103" s="136">
        <v>4</v>
      </c>
      <c r="CC103" s="136">
        <v>321</v>
      </c>
      <c r="CD103" s="136">
        <v>0</v>
      </c>
      <c r="CE103" s="136">
        <v>0</v>
      </c>
      <c r="CF103" s="136">
        <v>0</v>
      </c>
      <c r="CG103" s="136">
        <v>0</v>
      </c>
      <c r="CH103" s="136">
        <v>0</v>
      </c>
      <c r="CI103" s="136">
        <v>0</v>
      </c>
      <c r="CJ103" s="269">
        <v>1482</v>
      </c>
      <c r="CK103" s="144">
        <v>0</v>
      </c>
      <c r="CL103" s="136">
        <v>9783</v>
      </c>
      <c r="CM103" s="144">
        <v>9783</v>
      </c>
      <c r="CN103" s="141">
        <v>0</v>
      </c>
      <c r="CO103" s="141">
        <v>0</v>
      </c>
      <c r="CP103" s="144">
        <v>3601</v>
      </c>
      <c r="CQ103" s="136">
        <v>172</v>
      </c>
      <c r="CR103" s="136">
        <v>1820</v>
      </c>
      <c r="CS103" s="144">
        <v>5593</v>
      </c>
      <c r="CT103" s="141">
        <v>11788</v>
      </c>
      <c r="CU103" s="144">
        <v>1658</v>
      </c>
      <c r="CV103" s="136">
        <v>0</v>
      </c>
      <c r="CW103" s="136">
        <v>0</v>
      </c>
      <c r="CX103" s="144">
        <v>1658</v>
      </c>
      <c r="CY103" s="141">
        <v>15021</v>
      </c>
      <c r="CZ103" s="141">
        <v>0</v>
      </c>
      <c r="DA103" s="144">
        <v>234</v>
      </c>
      <c r="DB103" s="136">
        <v>953</v>
      </c>
      <c r="DC103" s="136">
        <v>3754</v>
      </c>
      <c r="DD103" s="144">
        <v>4941</v>
      </c>
      <c r="DE103" s="141">
        <v>113308</v>
      </c>
      <c r="DF103" s="355">
        <f>113308/1534554</f>
        <v>7.3837740477037631E-2</v>
      </c>
    </row>
    <row r="104" spans="2:110" x14ac:dyDescent="0.2">
      <c r="B104" s="248" t="s">
        <v>23</v>
      </c>
      <c r="C104" s="364"/>
      <c r="D104" s="373"/>
      <c r="E104" s="373"/>
      <c r="F104" s="365"/>
      <c r="G104" s="275">
        <v>10023</v>
      </c>
      <c r="H104" s="273">
        <v>680</v>
      </c>
      <c r="I104" s="273">
        <v>0</v>
      </c>
      <c r="J104" s="273">
        <v>5781</v>
      </c>
      <c r="K104" s="273">
        <v>0</v>
      </c>
      <c r="L104" s="273">
        <v>0</v>
      </c>
      <c r="M104" s="275">
        <v>16484</v>
      </c>
      <c r="N104" s="271"/>
      <c r="O104" s="275">
        <v>277431</v>
      </c>
      <c r="P104" s="273">
        <v>0</v>
      </c>
      <c r="Q104" s="273"/>
      <c r="R104" s="275">
        <v>277431</v>
      </c>
      <c r="S104" s="274">
        <v>0</v>
      </c>
      <c r="T104" s="273"/>
      <c r="U104" s="273"/>
      <c r="V104" s="272">
        <v>0</v>
      </c>
      <c r="W104" s="275"/>
      <c r="X104" s="273">
        <v>5</v>
      </c>
      <c r="Y104" s="275">
        <v>5</v>
      </c>
      <c r="Z104" s="274">
        <v>0</v>
      </c>
      <c r="AA104" s="273"/>
      <c r="AB104" s="272">
        <v>0</v>
      </c>
      <c r="AC104" s="275">
        <v>11655</v>
      </c>
      <c r="AD104" s="273">
        <v>0</v>
      </c>
      <c r="AE104" s="273">
        <v>2608</v>
      </c>
      <c r="AF104" s="273"/>
      <c r="AG104" s="273"/>
      <c r="AH104" s="273"/>
      <c r="AI104" s="273"/>
      <c r="AJ104" s="275">
        <v>14263</v>
      </c>
      <c r="AK104" s="271"/>
      <c r="AL104" s="271"/>
      <c r="AM104" s="274"/>
      <c r="AN104" s="273">
        <v>0</v>
      </c>
      <c r="AO104" s="273">
        <v>0</v>
      </c>
      <c r="AP104" s="273"/>
      <c r="AQ104" s="273"/>
      <c r="AR104" s="273"/>
      <c r="AS104" s="273"/>
      <c r="AT104" s="273"/>
      <c r="AU104" s="273">
        <v>0</v>
      </c>
      <c r="AV104" s="273"/>
      <c r="AW104" s="273"/>
      <c r="AX104" s="272">
        <v>0</v>
      </c>
      <c r="AY104" s="275">
        <v>0</v>
      </c>
      <c r="AZ104" s="273">
        <v>89053</v>
      </c>
      <c r="BA104" s="273">
        <v>0</v>
      </c>
      <c r="BB104" s="273">
        <v>0</v>
      </c>
      <c r="BC104" s="273">
        <v>0</v>
      </c>
      <c r="BD104" s="273">
        <v>841</v>
      </c>
      <c r="BE104" s="273">
        <v>0</v>
      </c>
      <c r="BF104" s="273"/>
      <c r="BG104" s="275">
        <v>89894</v>
      </c>
      <c r="BH104" s="274">
        <v>0</v>
      </c>
      <c r="BI104" s="273">
        <v>3239</v>
      </c>
      <c r="BJ104" s="273">
        <v>8806</v>
      </c>
      <c r="BK104" s="273">
        <v>2602</v>
      </c>
      <c r="BL104" s="273">
        <v>0</v>
      </c>
      <c r="BM104" s="273">
        <v>0</v>
      </c>
      <c r="BN104" s="272">
        <v>14647</v>
      </c>
      <c r="BO104" s="275"/>
      <c r="BP104" s="271">
        <v>0</v>
      </c>
      <c r="BQ104" s="271"/>
      <c r="BR104" s="275">
        <v>0</v>
      </c>
      <c r="BS104" s="273">
        <v>0</v>
      </c>
      <c r="BT104" s="273">
        <v>0</v>
      </c>
      <c r="BU104" s="273"/>
      <c r="BV104" s="273"/>
      <c r="BW104" s="273"/>
      <c r="BX104" s="275">
        <v>0</v>
      </c>
      <c r="BY104" s="274">
        <v>387</v>
      </c>
      <c r="BZ104" s="273">
        <v>0</v>
      </c>
      <c r="CA104" s="273">
        <v>6067</v>
      </c>
      <c r="CB104" s="273">
        <v>6</v>
      </c>
      <c r="CC104" s="273">
        <v>48836</v>
      </c>
      <c r="CD104" s="273">
        <v>0</v>
      </c>
      <c r="CE104" s="273">
        <v>0</v>
      </c>
      <c r="CF104" s="273">
        <v>0</v>
      </c>
      <c r="CG104" s="273"/>
      <c r="CH104" s="273">
        <v>0</v>
      </c>
      <c r="CI104" s="273">
        <v>0</v>
      </c>
      <c r="CJ104" s="272">
        <v>55296</v>
      </c>
      <c r="CK104" s="275"/>
      <c r="CL104" s="273">
        <v>0</v>
      </c>
      <c r="CM104" s="275">
        <v>0</v>
      </c>
      <c r="CN104" s="271"/>
      <c r="CO104" s="271"/>
      <c r="CP104" s="275"/>
      <c r="CQ104" s="273"/>
      <c r="CR104" s="273"/>
      <c r="CS104" s="275"/>
      <c r="CT104" s="271">
        <v>4</v>
      </c>
      <c r="CU104" s="275"/>
      <c r="CV104" s="273"/>
      <c r="CW104" s="273"/>
      <c r="CX104" s="275"/>
      <c r="CY104" s="271">
        <v>0</v>
      </c>
      <c r="CZ104" s="271">
        <v>0</v>
      </c>
      <c r="DA104" s="275">
        <v>0</v>
      </c>
      <c r="DB104" s="273"/>
      <c r="DC104" s="273"/>
      <c r="DD104" s="275">
        <v>0</v>
      </c>
      <c r="DE104" s="271">
        <v>468024</v>
      </c>
      <c r="DF104" s="354">
        <f>468024/1534554</f>
        <v>0.30499024472257086</v>
      </c>
    </row>
    <row r="105" spans="2:110" x14ac:dyDescent="0.2">
      <c r="B105" s="138" t="s">
        <v>33</v>
      </c>
      <c r="C105" s="366"/>
      <c r="D105" s="374"/>
      <c r="E105" s="374"/>
      <c r="F105" s="367"/>
      <c r="G105" s="143">
        <v>777</v>
      </c>
      <c r="H105" s="135">
        <v>132</v>
      </c>
      <c r="I105" s="135">
        <v>0</v>
      </c>
      <c r="J105" s="135">
        <v>421</v>
      </c>
      <c r="K105" s="135">
        <v>0</v>
      </c>
      <c r="L105" s="135">
        <v>0</v>
      </c>
      <c r="M105" s="143">
        <v>1330</v>
      </c>
      <c r="N105" s="140"/>
      <c r="O105" s="143">
        <v>22140</v>
      </c>
      <c r="P105" s="135">
        <v>0</v>
      </c>
      <c r="Q105" s="135"/>
      <c r="R105" s="143">
        <v>22140</v>
      </c>
      <c r="S105" s="277">
        <v>0</v>
      </c>
      <c r="T105" s="135"/>
      <c r="U105" s="135"/>
      <c r="V105" s="276">
        <v>0</v>
      </c>
      <c r="W105" s="143"/>
      <c r="X105" s="135"/>
      <c r="Y105" s="143"/>
      <c r="Z105" s="277">
        <v>0</v>
      </c>
      <c r="AA105" s="135"/>
      <c r="AB105" s="276">
        <v>0</v>
      </c>
      <c r="AC105" s="143">
        <v>1588</v>
      </c>
      <c r="AD105" s="135">
        <v>0</v>
      </c>
      <c r="AE105" s="135">
        <v>514</v>
      </c>
      <c r="AF105" s="135"/>
      <c r="AG105" s="135"/>
      <c r="AH105" s="135"/>
      <c r="AI105" s="135"/>
      <c r="AJ105" s="143">
        <v>2102</v>
      </c>
      <c r="AK105" s="140"/>
      <c r="AL105" s="140"/>
      <c r="AM105" s="277"/>
      <c r="AN105" s="135"/>
      <c r="AO105" s="135"/>
      <c r="AP105" s="135"/>
      <c r="AQ105" s="135"/>
      <c r="AR105" s="135"/>
      <c r="AS105" s="135"/>
      <c r="AT105" s="135"/>
      <c r="AU105" s="135"/>
      <c r="AV105" s="135"/>
      <c r="AW105" s="135"/>
      <c r="AX105" s="276"/>
      <c r="AY105" s="143"/>
      <c r="AZ105" s="135">
        <v>9620</v>
      </c>
      <c r="BA105" s="135">
        <v>0</v>
      </c>
      <c r="BB105" s="135">
        <v>0</v>
      </c>
      <c r="BC105" s="135"/>
      <c r="BD105" s="135">
        <v>113</v>
      </c>
      <c r="BE105" s="135">
        <v>0</v>
      </c>
      <c r="BF105" s="135"/>
      <c r="BG105" s="143">
        <v>9733</v>
      </c>
      <c r="BH105" s="277">
        <v>0</v>
      </c>
      <c r="BI105" s="135">
        <v>347</v>
      </c>
      <c r="BJ105" s="135">
        <v>683</v>
      </c>
      <c r="BK105" s="135">
        <v>271</v>
      </c>
      <c r="BL105" s="135">
        <v>0</v>
      </c>
      <c r="BM105" s="135">
        <v>0</v>
      </c>
      <c r="BN105" s="276">
        <v>1301</v>
      </c>
      <c r="BO105" s="143"/>
      <c r="BP105" s="140">
        <v>0</v>
      </c>
      <c r="BQ105" s="140"/>
      <c r="BR105" s="143">
        <v>0</v>
      </c>
      <c r="BS105" s="135">
        <v>0</v>
      </c>
      <c r="BT105" s="135">
        <v>0</v>
      </c>
      <c r="BU105" s="135"/>
      <c r="BV105" s="135"/>
      <c r="BW105" s="135"/>
      <c r="BX105" s="143">
        <v>0</v>
      </c>
      <c r="BY105" s="277">
        <v>482</v>
      </c>
      <c r="BZ105" s="135">
        <v>0</v>
      </c>
      <c r="CA105" s="135">
        <v>1341</v>
      </c>
      <c r="CB105" s="135">
        <v>7</v>
      </c>
      <c r="CC105" s="135">
        <v>2916</v>
      </c>
      <c r="CD105" s="135">
        <v>0</v>
      </c>
      <c r="CE105" s="135">
        <v>0</v>
      </c>
      <c r="CF105" s="135">
        <v>0</v>
      </c>
      <c r="CG105" s="135"/>
      <c r="CH105" s="135">
        <v>0</v>
      </c>
      <c r="CI105" s="135">
        <v>0</v>
      </c>
      <c r="CJ105" s="276">
        <v>4746</v>
      </c>
      <c r="CK105" s="143"/>
      <c r="CL105" s="135"/>
      <c r="CM105" s="143"/>
      <c r="CN105" s="140"/>
      <c r="CO105" s="140"/>
      <c r="CP105" s="143">
        <v>0</v>
      </c>
      <c r="CQ105" s="135"/>
      <c r="CR105" s="135"/>
      <c r="CS105" s="143">
        <v>0</v>
      </c>
      <c r="CT105" s="140"/>
      <c r="CU105" s="143"/>
      <c r="CV105" s="135"/>
      <c r="CW105" s="135"/>
      <c r="CX105" s="143"/>
      <c r="CY105" s="140">
        <v>0</v>
      </c>
      <c r="CZ105" s="140">
        <v>0</v>
      </c>
      <c r="DA105" s="143">
        <v>0</v>
      </c>
      <c r="DB105" s="135"/>
      <c r="DC105" s="135"/>
      <c r="DD105" s="143">
        <v>0</v>
      </c>
      <c r="DE105" s="140">
        <v>41352</v>
      </c>
      <c r="DF105" s="356">
        <f>41352/1534554</f>
        <v>2.6947243303265964E-2</v>
      </c>
    </row>
    <row r="106" spans="2:110" x14ac:dyDescent="0.2">
      <c r="B106" s="138" t="s">
        <v>107</v>
      </c>
      <c r="C106" s="366"/>
      <c r="D106" s="374">
        <v>0</v>
      </c>
      <c r="E106" s="374"/>
      <c r="F106" s="367">
        <v>0</v>
      </c>
      <c r="G106" s="143">
        <v>60</v>
      </c>
      <c r="H106" s="135">
        <v>0</v>
      </c>
      <c r="I106" s="135"/>
      <c r="J106" s="135">
        <v>51</v>
      </c>
      <c r="K106" s="135"/>
      <c r="L106" s="135"/>
      <c r="M106" s="143">
        <v>111</v>
      </c>
      <c r="N106" s="140"/>
      <c r="O106" s="143">
        <v>1300</v>
      </c>
      <c r="P106" s="135">
        <v>0</v>
      </c>
      <c r="Q106" s="135"/>
      <c r="R106" s="143">
        <v>1300</v>
      </c>
      <c r="S106" s="277">
        <v>0</v>
      </c>
      <c r="T106" s="135">
        <v>0</v>
      </c>
      <c r="U106" s="135"/>
      <c r="V106" s="276">
        <v>0</v>
      </c>
      <c r="W106" s="143"/>
      <c r="X106" s="135"/>
      <c r="Y106" s="143"/>
      <c r="Z106" s="277">
        <v>3</v>
      </c>
      <c r="AA106" s="135"/>
      <c r="AB106" s="276">
        <v>3</v>
      </c>
      <c r="AC106" s="143">
        <v>38</v>
      </c>
      <c r="AD106" s="135"/>
      <c r="AE106" s="135"/>
      <c r="AF106" s="135"/>
      <c r="AG106" s="135"/>
      <c r="AH106" s="135"/>
      <c r="AI106" s="135"/>
      <c r="AJ106" s="143">
        <v>38</v>
      </c>
      <c r="AK106" s="140"/>
      <c r="AL106" s="140"/>
      <c r="AM106" s="277"/>
      <c r="AN106" s="135"/>
      <c r="AO106" s="135"/>
      <c r="AP106" s="135"/>
      <c r="AQ106" s="135"/>
      <c r="AR106" s="135"/>
      <c r="AS106" s="135">
        <v>0</v>
      </c>
      <c r="AT106" s="135"/>
      <c r="AU106" s="135">
        <v>0</v>
      </c>
      <c r="AV106" s="135"/>
      <c r="AW106" s="135"/>
      <c r="AX106" s="276">
        <v>0</v>
      </c>
      <c r="AY106" s="143"/>
      <c r="AZ106" s="135">
        <v>374</v>
      </c>
      <c r="BA106" s="135">
        <v>0</v>
      </c>
      <c r="BB106" s="135">
        <v>0</v>
      </c>
      <c r="BC106" s="135">
        <v>0</v>
      </c>
      <c r="BD106" s="135">
        <v>0</v>
      </c>
      <c r="BE106" s="135"/>
      <c r="BF106" s="135"/>
      <c r="BG106" s="143">
        <v>374</v>
      </c>
      <c r="BH106" s="277">
        <v>0</v>
      </c>
      <c r="BI106" s="135">
        <v>34</v>
      </c>
      <c r="BJ106" s="135">
        <v>82</v>
      </c>
      <c r="BK106" s="135"/>
      <c r="BL106" s="135"/>
      <c r="BM106" s="135"/>
      <c r="BN106" s="276">
        <v>116</v>
      </c>
      <c r="BO106" s="143"/>
      <c r="BP106" s="140">
        <v>0</v>
      </c>
      <c r="BQ106" s="140"/>
      <c r="BR106" s="143">
        <v>0</v>
      </c>
      <c r="BS106" s="135">
        <v>0</v>
      </c>
      <c r="BT106" s="135"/>
      <c r="BU106" s="135"/>
      <c r="BV106" s="135"/>
      <c r="BW106" s="135"/>
      <c r="BX106" s="143">
        <v>0</v>
      </c>
      <c r="BY106" s="277">
        <v>5</v>
      </c>
      <c r="BZ106" s="135">
        <v>0</v>
      </c>
      <c r="CA106" s="135">
        <v>42</v>
      </c>
      <c r="CB106" s="135">
        <v>0</v>
      </c>
      <c r="CC106" s="135">
        <v>80</v>
      </c>
      <c r="CD106" s="135">
        <v>0</v>
      </c>
      <c r="CE106" s="135"/>
      <c r="CF106" s="135"/>
      <c r="CG106" s="135">
        <v>0</v>
      </c>
      <c r="CH106" s="135">
        <v>0</v>
      </c>
      <c r="CI106" s="135"/>
      <c r="CJ106" s="276">
        <v>127</v>
      </c>
      <c r="CK106" s="143"/>
      <c r="CL106" s="135"/>
      <c r="CM106" s="143"/>
      <c r="CN106" s="140"/>
      <c r="CO106" s="140"/>
      <c r="CP106" s="143"/>
      <c r="CQ106" s="135"/>
      <c r="CR106" s="135"/>
      <c r="CS106" s="143"/>
      <c r="CT106" s="140"/>
      <c r="CU106" s="143">
        <v>5</v>
      </c>
      <c r="CV106" s="135"/>
      <c r="CW106" s="135">
        <v>0</v>
      </c>
      <c r="CX106" s="143">
        <v>5</v>
      </c>
      <c r="CY106" s="140"/>
      <c r="CZ106" s="140">
        <v>0</v>
      </c>
      <c r="DA106" s="143">
        <v>0</v>
      </c>
      <c r="DB106" s="135"/>
      <c r="DC106" s="135"/>
      <c r="DD106" s="143">
        <v>0</v>
      </c>
      <c r="DE106" s="140">
        <v>2074</v>
      </c>
      <c r="DF106" s="356">
        <f>2074/1534554</f>
        <v>1.3515327580521767E-3</v>
      </c>
    </row>
    <row r="107" spans="2:110" x14ac:dyDescent="0.2">
      <c r="B107" s="138" t="s">
        <v>129</v>
      </c>
      <c r="C107" s="366">
        <v>0</v>
      </c>
      <c r="D107" s="374"/>
      <c r="E107" s="374"/>
      <c r="F107" s="367">
        <v>0</v>
      </c>
      <c r="G107" s="143">
        <v>114</v>
      </c>
      <c r="H107" s="135">
        <v>2</v>
      </c>
      <c r="I107" s="135"/>
      <c r="J107" s="135">
        <v>31</v>
      </c>
      <c r="K107" s="135"/>
      <c r="L107" s="135"/>
      <c r="M107" s="143">
        <v>147</v>
      </c>
      <c r="N107" s="140"/>
      <c r="O107" s="143">
        <v>2511</v>
      </c>
      <c r="P107" s="135">
        <v>0</v>
      </c>
      <c r="Q107" s="135"/>
      <c r="R107" s="143">
        <v>2511</v>
      </c>
      <c r="S107" s="277">
        <v>0</v>
      </c>
      <c r="T107" s="135"/>
      <c r="U107" s="135"/>
      <c r="V107" s="276">
        <v>0</v>
      </c>
      <c r="W107" s="143"/>
      <c r="X107" s="135"/>
      <c r="Y107" s="143"/>
      <c r="Z107" s="277"/>
      <c r="AA107" s="135"/>
      <c r="AB107" s="276"/>
      <c r="AC107" s="143">
        <v>4</v>
      </c>
      <c r="AD107" s="135"/>
      <c r="AE107" s="135">
        <v>1</v>
      </c>
      <c r="AF107" s="135"/>
      <c r="AG107" s="135"/>
      <c r="AH107" s="135"/>
      <c r="AI107" s="135"/>
      <c r="AJ107" s="143">
        <v>5</v>
      </c>
      <c r="AK107" s="140"/>
      <c r="AL107" s="140"/>
      <c r="AM107" s="277"/>
      <c r="AN107" s="135"/>
      <c r="AO107" s="135">
        <v>0</v>
      </c>
      <c r="AP107" s="135"/>
      <c r="AQ107" s="135"/>
      <c r="AR107" s="135"/>
      <c r="AS107" s="135">
        <v>0</v>
      </c>
      <c r="AT107" s="135"/>
      <c r="AU107" s="135"/>
      <c r="AV107" s="135"/>
      <c r="AW107" s="135"/>
      <c r="AX107" s="276">
        <v>0</v>
      </c>
      <c r="AY107" s="143"/>
      <c r="AZ107" s="135">
        <v>2848</v>
      </c>
      <c r="BA107" s="135">
        <v>0</v>
      </c>
      <c r="BB107" s="135">
        <v>0</v>
      </c>
      <c r="BC107" s="135">
        <v>0</v>
      </c>
      <c r="BD107" s="135">
        <v>1</v>
      </c>
      <c r="BE107" s="135"/>
      <c r="BF107" s="135"/>
      <c r="BG107" s="143">
        <v>2849</v>
      </c>
      <c r="BH107" s="277">
        <v>0</v>
      </c>
      <c r="BI107" s="135">
        <v>5</v>
      </c>
      <c r="BJ107" s="135">
        <v>83</v>
      </c>
      <c r="BK107" s="135">
        <v>7</v>
      </c>
      <c r="BL107" s="135"/>
      <c r="BM107" s="135"/>
      <c r="BN107" s="276">
        <v>95</v>
      </c>
      <c r="BO107" s="143"/>
      <c r="BP107" s="140">
        <v>0</v>
      </c>
      <c r="BQ107" s="140"/>
      <c r="BR107" s="143">
        <v>0</v>
      </c>
      <c r="BS107" s="135">
        <v>0</v>
      </c>
      <c r="BT107" s="135"/>
      <c r="BU107" s="135"/>
      <c r="BV107" s="135"/>
      <c r="BW107" s="135"/>
      <c r="BX107" s="143">
        <v>0</v>
      </c>
      <c r="BY107" s="277">
        <v>8</v>
      </c>
      <c r="BZ107" s="135">
        <v>0</v>
      </c>
      <c r="CA107" s="135">
        <v>66</v>
      </c>
      <c r="CB107" s="135">
        <v>0</v>
      </c>
      <c r="CC107" s="135">
        <v>72</v>
      </c>
      <c r="CD107" s="135">
        <v>0</v>
      </c>
      <c r="CE107" s="135">
        <v>0</v>
      </c>
      <c r="CF107" s="135">
        <v>0</v>
      </c>
      <c r="CG107" s="135"/>
      <c r="CH107" s="135"/>
      <c r="CI107" s="135"/>
      <c r="CJ107" s="276">
        <v>146</v>
      </c>
      <c r="CK107" s="143"/>
      <c r="CL107" s="135"/>
      <c r="CM107" s="143"/>
      <c r="CN107" s="140"/>
      <c r="CO107" s="140"/>
      <c r="CP107" s="143"/>
      <c r="CQ107" s="135"/>
      <c r="CR107" s="135"/>
      <c r="CS107" s="143"/>
      <c r="CT107" s="140"/>
      <c r="CU107" s="143"/>
      <c r="CV107" s="135"/>
      <c r="CW107" s="135"/>
      <c r="CX107" s="143"/>
      <c r="CY107" s="140"/>
      <c r="CZ107" s="140">
        <v>0</v>
      </c>
      <c r="DA107" s="143">
        <v>2</v>
      </c>
      <c r="DB107" s="135"/>
      <c r="DC107" s="135"/>
      <c r="DD107" s="143">
        <v>2</v>
      </c>
      <c r="DE107" s="140">
        <v>5755</v>
      </c>
      <c r="DF107" s="356">
        <f>5755/1534554</f>
        <v>3.7502753242961797E-3</v>
      </c>
    </row>
    <row r="108" spans="2:110" x14ac:dyDescent="0.2">
      <c r="B108" s="138" t="s">
        <v>132</v>
      </c>
      <c r="C108" s="366"/>
      <c r="D108" s="374"/>
      <c r="E108" s="374"/>
      <c r="F108" s="367"/>
      <c r="G108" s="143">
        <v>634</v>
      </c>
      <c r="H108" s="135">
        <v>56</v>
      </c>
      <c r="I108" s="135">
        <v>0</v>
      </c>
      <c r="J108" s="135">
        <v>1176</v>
      </c>
      <c r="K108" s="135">
        <v>0</v>
      </c>
      <c r="L108" s="135"/>
      <c r="M108" s="143">
        <v>1866</v>
      </c>
      <c r="N108" s="140"/>
      <c r="O108" s="143">
        <v>40995</v>
      </c>
      <c r="P108" s="135">
        <v>0</v>
      </c>
      <c r="Q108" s="135"/>
      <c r="R108" s="143">
        <v>40995</v>
      </c>
      <c r="S108" s="277">
        <v>0</v>
      </c>
      <c r="T108" s="135"/>
      <c r="U108" s="135"/>
      <c r="V108" s="276">
        <v>0</v>
      </c>
      <c r="W108" s="143"/>
      <c r="X108" s="135">
        <v>1</v>
      </c>
      <c r="Y108" s="143">
        <v>1</v>
      </c>
      <c r="Z108" s="277"/>
      <c r="AA108" s="135"/>
      <c r="AB108" s="276"/>
      <c r="AC108" s="143">
        <v>917</v>
      </c>
      <c r="AD108" s="135">
        <v>0</v>
      </c>
      <c r="AE108" s="135">
        <v>348</v>
      </c>
      <c r="AF108" s="135"/>
      <c r="AG108" s="135"/>
      <c r="AH108" s="135"/>
      <c r="AI108" s="135"/>
      <c r="AJ108" s="143">
        <v>1265</v>
      </c>
      <c r="AK108" s="140"/>
      <c r="AL108" s="140"/>
      <c r="AM108" s="277"/>
      <c r="AN108" s="135"/>
      <c r="AO108" s="135"/>
      <c r="AP108" s="135"/>
      <c r="AQ108" s="135"/>
      <c r="AR108" s="135"/>
      <c r="AS108" s="135"/>
      <c r="AT108" s="135"/>
      <c r="AU108" s="135"/>
      <c r="AV108" s="135"/>
      <c r="AW108" s="135"/>
      <c r="AX108" s="276"/>
      <c r="AY108" s="143">
        <v>0</v>
      </c>
      <c r="AZ108" s="135">
        <v>15936</v>
      </c>
      <c r="BA108" s="135">
        <v>0</v>
      </c>
      <c r="BB108" s="135">
        <v>0</v>
      </c>
      <c r="BC108" s="135"/>
      <c r="BD108" s="135">
        <v>103</v>
      </c>
      <c r="BE108" s="135">
        <v>0</v>
      </c>
      <c r="BF108" s="135"/>
      <c r="BG108" s="143">
        <v>16039</v>
      </c>
      <c r="BH108" s="277">
        <v>0</v>
      </c>
      <c r="BI108" s="135">
        <v>361</v>
      </c>
      <c r="BJ108" s="135">
        <v>1484</v>
      </c>
      <c r="BK108" s="135">
        <v>530</v>
      </c>
      <c r="BL108" s="135"/>
      <c r="BM108" s="135">
        <v>0</v>
      </c>
      <c r="BN108" s="276">
        <v>2375</v>
      </c>
      <c r="BO108" s="143"/>
      <c r="BP108" s="140">
        <v>0</v>
      </c>
      <c r="BQ108" s="140"/>
      <c r="BR108" s="143">
        <v>0</v>
      </c>
      <c r="BS108" s="135">
        <v>0</v>
      </c>
      <c r="BT108" s="135"/>
      <c r="BU108" s="135"/>
      <c r="BV108" s="135"/>
      <c r="BW108" s="135"/>
      <c r="BX108" s="143">
        <v>0</v>
      </c>
      <c r="BY108" s="277">
        <v>109</v>
      </c>
      <c r="BZ108" s="135">
        <v>0</v>
      </c>
      <c r="CA108" s="135">
        <v>833</v>
      </c>
      <c r="CB108" s="135">
        <v>0</v>
      </c>
      <c r="CC108" s="135">
        <v>5228</v>
      </c>
      <c r="CD108" s="135">
        <v>0</v>
      </c>
      <c r="CE108" s="135">
        <v>0</v>
      </c>
      <c r="CF108" s="135">
        <v>0</v>
      </c>
      <c r="CG108" s="135"/>
      <c r="CH108" s="135">
        <v>0</v>
      </c>
      <c r="CI108" s="135"/>
      <c r="CJ108" s="276">
        <v>6170</v>
      </c>
      <c r="CK108" s="143"/>
      <c r="CL108" s="135"/>
      <c r="CM108" s="143"/>
      <c r="CN108" s="140"/>
      <c r="CO108" s="140"/>
      <c r="CP108" s="143"/>
      <c r="CQ108" s="135"/>
      <c r="CR108" s="135"/>
      <c r="CS108" s="143"/>
      <c r="CT108" s="140">
        <v>1</v>
      </c>
      <c r="CU108" s="143"/>
      <c r="CV108" s="135"/>
      <c r="CW108" s="135"/>
      <c r="CX108" s="143"/>
      <c r="CY108" s="140">
        <v>1</v>
      </c>
      <c r="CZ108" s="140">
        <v>0</v>
      </c>
      <c r="DA108" s="143">
        <v>0</v>
      </c>
      <c r="DB108" s="135"/>
      <c r="DC108" s="135"/>
      <c r="DD108" s="143">
        <v>0</v>
      </c>
      <c r="DE108" s="140">
        <v>68713</v>
      </c>
      <c r="DF108" s="356">
        <f>68713/1534554</f>
        <v>4.4777179558360282E-2</v>
      </c>
    </row>
    <row r="109" spans="2:110" x14ac:dyDescent="0.2">
      <c r="B109" s="138" t="s">
        <v>172</v>
      </c>
      <c r="C109" s="366"/>
      <c r="D109" s="374"/>
      <c r="E109" s="374"/>
      <c r="F109" s="367"/>
      <c r="G109" s="143">
        <v>253</v>
      </c>
      <c r="H109" s="135">
        <v>9</v>
      </c>
      <c r="I109" s="135">
        <v>0</v>
      </c>
      <c r="J109" s="135">
        <v>188</v>
      </c>
      <c r="K109" s="135"/>
      <c r="L109" s="135"/>
      <c r="M109" s="143">
        <v>450</v>
      </c>
      <c r="N109" s="140"/>
      <c r="O109" s="143">
        <v>18262</v>
      </c>
      <c r="P109" s="135">
        <v>0</v>
      </c>
      <c r="Q109" s="135"/>
      <c r="R109" s="143">
        <v>18262</v>
      </c>
      <c r="S109" s="277">
        <v>0</v>
      </c>
      <c r="T109" s="135"/>
      <c r="U109" s="135"/>
      <c r="V109" s="276">
        <v>0</v>
      </c>
      <c r="W109" s="143"/>
      <c r="X109" s="135"/>
      <c r="Y109" s="143"/>
      <c r="Z109" s="277"/>
      <c r="AA109" s="135"/>
      <c r="AB109" s="276"/>
      <c r="AC109" s="143">
        <v>150</v>
      </c>
      <c r="AD109" s="135">
        <v>0</v>
      </c>
      <c r="AE109" s="135">
        <v>121</v>
      </c>
      <c r="AF109" s="135"/>
      <c r="AG109" s="135"/>
      <c r="AH109" s="135"/>
      <c r="AI109" s="135"/>
      <c r="AJ109" s="143">
        <v>271</v>
      </c>
      <c r="AK109" s="140"/>
      <c r="AL109" s="140"/>
      <c r="AM109" s="277"/>
      <c r="AN109" s="135"/>
      <c r="AO109" s="135"/>
      <c r="AP109" s="135"/>
      <c r="AQ109" s="135"/>
      <c r="AR109" s="135"/>
      <c r="AS109" s="135"/>
      <c r="AT109" s="135"/>
      <c r="AU109" s="135"/>
      <c r="AV109" s="135"/>
      <c r="AW109" s="135"/>
      <c r="AX109" s="276"/>
      <c r="AY109" s="143">
        <v>0</v>
      </c>
      <c r="AZ109" s="135">
        <v>8658</v>
      </c>
      <c r="BA109" s="135">
        <v>0</v>
      </c>
      <c r="BB109" s="135">
        <v>0</v>
      </c>
      <c r="BC109" s="135"/>
      <c r="BD109" s="135">
        <v>21</v>
      </c>
      <c r="BE109" s="135"/>
      <c r="BF109" s="135"/>
      <c r="BG109" s="143">
        <v>8679</v>
      </c>
      <c r="BH109" s="277"/>
      <c r="BI109" s="135">
        <v>307</v>
      </c>
      <c r="BJ109" s="135">
        <v>416</v>
      </c>
      <c r="BK109" s="135">
        <v>36</v>
      </c>
      <c r="BL109" s="135"/>
      <c r="BM109" s="135"/>
      <c r="BN109" s="276">
        <v>759</v>
      </c>
      <c r="BO109" s="143"/>
      <c r="BP109" s="140">
        <v>0</v>
      </c>
      <c r="BQ109" s="140"/>
      <c r="BR109" s="143"/>
      <c r="BS109" s="135">
        <v>0</v>
      </c>
      <c r="BT109" s="135"/>
      <c r="BU109" s="135"/>
      <c r="BV109" s="135"/>
      <c r="BW109" s="135"/>
      <c r="BX109" s="143">
        <v>0</v>
      </c>
      <c r="BY109" s="277">
        <v>8</v>
      </c>
      <c r="BZ109" s="135">
        <v>0</v>
      </c>
      <c r="CA109" s="135">
        <v>268</v>
      </c>
      <c r="CB109" s="135">
        <v>0</v>
      </c>
      <c r="CC109" s="135">
        <v>1413</v>
      </c>
      <c r="CD109" s="135">
        <v>0</v>
      </c>
      <c r="CE109" s="135">
        <v>0</v>
      </c>
      <c r="CF109" s="135">
        <v>0</v>
      </c>
      <c r="CG109" s="135"/>
      <c r="CH109" s="135">
        <v>0</v>
      </c>
      <c r="CI109" s="135"/>
      <c r="CJ109" s="276">
        <v>1689</v>
      </c>
      <c r="CK109" s="143"/>
      <c r="CL109" s="135"/>
      <c r="CM109" s="143"/>
      <c r="CN109" s="140"/>
      <c r="CO109" s="140"/>
      <c r="CP109" s="143"/>
      <c r="CQ109" s="135"/>
      <c r="CR109" s="135"/>
      <c r="CS109" s="143"/>
      <c r="CT109" s="140"/>
      <c r="CU109" s="143"/>
      <c r="CV109" s="135"/>
      <c r="CW109" s="135"/>
      <c r="CX109" s="143"/>
      <c r="CY109" s="140"/>
      <c r="CZ109" s="140">
        <v>0</v>
      </c>
      <c r="DA109" s="143">
        <v>2</v>
      </c>
      <c r="DB109" s="135">
        <v>1</v>
      </c>
      <c r="DC109" s="135"/>
      <c r="DD109" s="143">
        <v>3</v>
      </c>
      <c r="DE109" s="140">
        <v>30113</v>
      </c>
      <c r="DF109" s="356">
        <f>30113/1534554</f>
        <v>1.9623291197312053E-2</v>
      </c>
    </row>
    <row r="110" spans="2:110" ht="13.5" thickBot="1" x14ac:dyDescent="0.25">
      <c r="B110" s="248" t="s">
        <v>259</v>
      </c>
      <c r="C110" s="364"/>
      <c r="D110" s="373"/>
      <c r="E110" s="373"/>
      <c r="F110" s="365"/>
      <c r="G110" s="275">
        <v>101</v>
      </c>
      <c r="H110" s="273">
        <v>8</v>
      </c>
      <c r="I110" s="273"/>
      <c r="J110" s="273">
        <v>63</v>
      </c>
      <c r="K110" s="273">
        <v>0</v>
      </c>
      <c r="L110" s="273">
        <v>0</v>
      </c>
      <c r="M110" s="275">
        <v>172</v>
      </c>
      <c r="N110" s="271"/>
      <c r="O110" s="275">
        <v>3673</v>
      </c>
      <c r="P110" s="273">
        <v>0</v>
      </c>
      <c r="Q110" s="273"/>
      <c r="R110" s="275">
        <v>3673</v>
      </c>
      <c r="S110" s="274">
        <v>0</v>
      </c>
      <c r="T110" s="273"/>
      <c r="U110" s="273"/>
      <c r="V110" s="272">
        <v>0</v>
      </c>
      <c r="W110" s="275"/>
      <c r="X110" s="273"/>
      <c r="Y110" s="275"/>
      <c r="Z110" s="274"/>
      <c r="AA110" s="273"/>
      <c r="AB110" s="272"/>
      <c r="AC110" s="275">
        <v>232</v>
      </c>
      <c r="AD110" s="273">
        <v>0</v>
      </c>
      <c r="AE110" s="273">
        <v>20</v>
      </c>
      <c r="AF110" s="273"/>
      <c r="AG110" s="273"/>
      <c r="AH110" s="273"/>
      <c r="AI110" s="273"/>
      <c r="AJ110" s="275">
        <v>252</v>
      </c>
      <c r="AK110" s="271"/>
      <c r="AL110" s="271"/>
      <c r="AM110" s="274"/>
      <c r="AN110" s="273"/>
      <c r="AO110" s="273"/>
      <c r="AP110" s="273"/>
      <c r="AQ110" s="273"/>
      <c r="AR110" s="273"/>
      <c r="AS110" s="273"/>
      <c r="AT110" s="273"/>
      <c r="AU110" s="273"/>
      <c r="AV110" s="273"/>
      <c r="AW110" s="273"/>
      <c r="AX110" s="272"/>
      <c r="AY110" s="275"/>
      <c r="AZ110" s="273">
        <v>1767</v>
      </c>
      <c r="BA110" s="273">
        <v>0</v>
      </c>
      <c r="BB110" s="273">
        <v>0</v>
      </c>
      <c r="BC110" s="273"/>
      <c r="BD110" s="273">
        <v>18</v>
      </c>
      <c r="BE110" s="273">
        <v>0</v>
      </c>
      <c r="BF110" s="273"/>
      <c r="BG110" s="275">
        <v>1785</v>
      </c>
      <c r="BH110" s="274"/>
      <c r="BI110" s="273">
        <v>73</v>
      </c>
      <c r="BJ110" s="273">
        <v>121</v>
      </c>
      <c r="BK110" s="273">
        <v>37</v>
      </c>
      <c r="BL110" s="273">
        <v>0</v>
      </c>
      <c r="BM110" s="273"/>
      <c r="BN110" s="272">
        <v>231</v>
      </c>
      <c r="BO110" s="275"/>
      <c r="BP110" s="271"/>
      <c r="BQ110" s="271"/>
      <c r="BR110" s="275">
        <v>0</v>
      </c>
      <c r="BS110" s="273">
        <v>0</v>
      </c>
      <c r="BT110" s="273"/>
      <c r="BU110" s="273"/>
      <c r="BV110" s="273"/>
      <c r="BW110" s="273"/>
      <c r="BX110" s="275">
        <v>0</v>
      </c>
      <c r="BY110" s="274">
        <v>22</v>
      </c>
      <c r="BZ110" s="273">
        <v>0</v>
      </c>
      <c r="CA110" s="273">
        <v>131</v>
      </c>
      <c r="CB110" s="273">
        <v>0</v>
      </c>
      <c r="CC110" s="273">
        <v>273</v>
      </c>
      <c r="CD110" s="273">
        <v>0</v>
      </c>
      <c r="CE110" s="273">
        <v>0</v>
      </c>
      <c r="CF110" s="273">
        <v>0</v>
      </c>
      <c r="CG110" s="273"/>
      <c r="CH110" s="273">
        <v>0</v>
      </c>
      <c r="CI110" s="273"/>
      <c r="CJ110" s="272">
        <v>426</v>
      </c>
      <c r="CK110" s="275"/>
      <c r="CL110" s="273">
        <v>0</v>
      </c>
      <c r="CM110" s="275">
        <v>0</v>
      </c>
      <c r="CN110" s="271"/>
      <c r="CO110" s="271"/>
      <c r="CP110" s="275"/>
      <c r="CQ110" s="273"/>
      <c r="CR110" s="273"/>
      <c r="CS110" s="275"/>
      <c r="CT110" s="271"/>
      <c r="CU110" s="275"/>
      <c r="CV110" s="273"/>
      <c r="CW110" s="273"/>
      <c r="CX110" s="275"/>
      <c r="CY110" s="271">
        <v>0</v>
      </c>
      <c r="CZ110" s="271"/>
      <c r="DA110" s="275">
        <v>0</v>
      </c>
      <c r="DB110" s="273"/>
      <c r="DC110" s="273"/>
      <c r="DD110" s="275">
        <v>0</v>
      </c>
      <c r="DE110" s="271">
        <v>6539</v>
      </c>
      <c r="DF110" s="354">
        <f>6539/1534554</f>
        <v>4.2611729531837911E-3</v>
      </c>
    </row>
    <row r="111" spans="2:110" ht="13.5" thickBot="1" x14ac:dyDescent="0.25">
      <c r="B111" s="139" t="s">
        <v>551</v>
      </c>
      <c r="C111" s="368">
        <v>0</v>
      </c>
      <c r="D111" s="375">
        <v>0</v>
      </c>
      <c r="E111" s="375"/>
      <c r="F111" s="369">
        <v>0</v>
      </c>
      <c r="G111" s="144">
        <v>11962</v>
      </c>
      <c r="H111" s="136">
        <v>887</v>
      </c>
      <c r="I111" s="136">
        <v>0</v>
      </c>
      <c r="J111" s="136">
        <v>7711</v>
      </c>
      <c r="K111" s="136">
        <v>0</v>
      </c>
      <c r="L111" s="136">
        <v>0</v>
      </c>
      <c r="M111" s="144">
        <v>20560</v>
      </c>
      <c r="N111" s="141"/>
      <c r="O111" s="144">
        <v>366312</v>
      </c>
      <c r="P111" s="136">
        <v>0</v>
      </c>
      <c r="Q111" s="136"/>
      <c r="R111" s="144">
        <v>366312</v>
      </c>
      <c r="S111" s="270">
        <v>0</v>
      </c>
      <c r="T111" s="136">
        <v>0</v>
      </c>
      <c r="U111" s="136"/>
      <c r="V111" s="269">
        <v>0</v>
      </c>
      <c r="W111" s="144"/>
      <c r="X111" s="136">
        <v>6</v>
      </c>
      <c r="Y111" s="144">
        <v>6</v>
      </c>
      <c r="Z111" s="270">
        <v>3</v>
      </c>
      <c r="AA111" s="136"/>
      <c r="AB111" s="269">
        <v>3</v>
      </c>
      <c r="AC111" s="144">
        <v>14584</v>
      </c>
      <c r="AD111" s="136">
        <v>0</v>
      </c>
      <c r="AE111" s="136">
        <v>3612</v>
      </c>
      <c r="AF111" s="136"/>
      <c r="AG111" s="136"/>
      <c r="AH111" s="136"/>
      <c r="AI111" s="136"/>
      <c r="AJ111" s="144">
        <v>18196</v>
      </c>
      <c r="AK111" s="141"/>
      <c r="AL111" s="141"/>
      <c r="AM111" s="270"/>
      <c r="AN111" s="136">
        <v>0</v>
      </c>
      <c r="AO111" s="136">
        <v>0</v>
      </c>
      <c r="AP111" s="136"/>
      <c r="AQ111" s="136"/>
      <c r="AR111" s="136"/>
      <c r="AS111" s="136">
        <v>0</v>
      </c>
      <c r="AT111" s="136"/>
      <c r="AU111" s="136">
        <v>0</v>
      </c>
      <c r="AV111" s="136"/>
      <c r="AW111" s="136"/>
      <c r="AX111" s="269">
        <v>0</v>
      </c>
      <c r="AY111" s="144">
        <v>0</v>
      </c>
      <c r="AZ111" s="136">
        <v>128256</v>
      </c>
      <c r="BA111" s="136">
        <v>0</v>
      </c>
      <c r="BB111" s="136">
        <v>0</v>
      </c>
      <c r="BC111" s="136">
        <v>0</v>
      </c>
      <c r="BD111" s="136">
        <v>1097</v>
      </c>
      <c r="BE111" s="136">
        <v>0</v>
      </c>
      <c r="BF111" s="136"/>
      <c r="BG111" s="144">
        <v>129353</v>
      </c>
      <c r="BH111" s="270">
        <v>0</v>
      </c>
      <c r="BI111" s="136">
        <v>4366</v>
      </c>
      <c r="BJ111" s="136">
        <v>11675</v>
      </c>
      <c r="BK111" s="136">
        <v>3483</v>
      </c>
      <c r="BL111" s="136">
        <v>0</v>
      </c>
      <c r="BM111" s="136">
        <v>0</v>
      </c>
      <c r="BN111" s="269">
        <v>19524</v>
      </c>
      <c r="BO111" s="144"/>
      <c r="BP111" s="141">
        <v>0</v>
      </c>
      <c r="BQ111" s="141"/>
      <c r="BR111" s="144">
        <v>0</v>
      </c>
      <c r="BS111" s="136">
        <v>0</v>
      </c>
      <c r="BT111" s="136">
        <v>0</v>
      </c>
      <c r="BU111" s="136"/>
      <c r="BV111" s="136"/>
      <c r="BW111" s="136"/>
      <c r="BX111" s="144">
        <v>0</v>
      </c>
      <c r="BY111" s="270">
        <v>1021</v>
      </c>
      <c r="BZ111" s="136">
        <v>0</v>
      </c>
      <c r="CA111" s="136">
        <v>8748</v>
      </c>
      <c r="CB111" s="136">
        <v>13</v>
      </c>
      <c r="CC111" s="136">
        <v>58818</v>
      </c>
      <c r="CD111" s="136">
        <v>0</v>
      </c>
      <c r="CE111" s="136">
        <v>0</v>
      </c>
      <c r="CF111" s="136">
        <v>0</v>
      </c>
      <c r="CG111" s="136">
        <v>0</v>
      </c>
      <c r="CH111" s="136">
        <v>0</v>
      </c>
      <c r="CI111" s="136">
        <v>0</v>
      </c>
      <c r="CJ111" s="269">
        <v>68600</v>
      </c>
      <c r="CK111" s="144"/>
      <c r="CL111" s="136">
        <v>0</v>
      </c>
      <c r="CM111" s="144">
        <v>0</v>
      </c>
      <c r="CN111" s="141"/>
      <c r="CO111" s="141"/>
      <c r="CP111" s="144">
        <v>0</v>
      </c>
      <c r="CQ111" s="136"/>
      <c r="CR111" s="136"/>
      <c r="CS111" s="144">
        <v>0</v>
      </c>
      <c r="CT111" s="141">
        <v>5</v>
      </c>
      <c r="CU111" s="144">
        <v>5</v>
      </c>
      <c r="CV111" s="136"/>
      <c r="CW111" s="136">
        <v>0</v>
      </c>
      <c r="CX111" s="144">
        <v>5</v>
      </c>
      <c r="CY111" s="141">
        <v>1</v>
      </c>
      <c r="CZ111" s="141">
        <v>0</v>
      </c>
      <c r="DA111" s="144">
        <v>4</v>
      </c>
      <c r="DB111" s="136">
        <v>1</v>
      </c>
      <c r="DC111" s="136"/>
      <c r="DD111" s="144">
        <v>5</v>
      </c>
      <c r="DE111" s="141">
        <v>622570</v>
      </c>
      <c r="DF111" s="355">
        <f>622570/1534554</f>
        <v>0.40570093981704131</v>
      </c>
    </row>
    <row r="112" spans="2:110" ht="13.5" thickBot="1" x14ac:dyDescent="0.25">
      <c r="B112" s="139" t="s">
        <v>552</v>
      </c>
      <c r="C112" s="368"/>
      <c r="D112" s="375"/>
      <c r="E112" s="375">
        <v>0</v>
      </c>
      <c r="F112" s="369">
        <v>0</v>
      </c>
      <c r="G112" s="144"/>
      <c r="H112" s="136">
        <v>0</v>
      </c>
      <c r="I112" s="136"/>
      <c r="J112" s="136"/>
      <c r="K112" s="136"/>
      <c r="L112" s="136"/>
      <c r="M112" s="144">
        <v>0</v>
      </c>
      <c r="N112" s="141"/>
      <c r="O112" s="144">
        <v>1</v>
      </c>
      <c r="P112" s="136"/>
      <c r="Q112" s="136"/>
      <c r="R112" s="144">
        <v>1</v>
      </c>
      <c r="S112" s="270"/>
      <c r="T112" s="136"/>
      <c r="U112" s="136"/>
      <c r="V112" s="269"/>
      <c r="W112" s="144"/>
      <c r="X112" s="136"/>
      <c r="Y112" s="144"/>
      <c r="Z112" s="270"/>
      <c r="AA112" s="136"/>
      <c r="AB112" s="269"/>
      <c r="AC112" s="144">
        <v>1</v>
      </c>
      <c r="AD112" s="136"/>
      <c r="AE112" s="136"/>
      <c r="AF112" s="136"/>
      <c r="AG112" s="136"/>
      <c r="AH112" s="136"/>
      <c r="AI112" s="136"/>
      <c r="AJ112" s="144">
        <v>1</v>
      </c>
      <c r="AK112" s="141"/>
      <c r="AL112" s="141"/>
      <c r="AM112" s="270"/>
      <c r="AN112" s="136"/>
      <c r="AO112" s="136">
        <v>0</v>
      </c>
      <c r="AP112" s="136">
        <v>0</v>
      </c>
      <c r="AQ112" s="136"/>
      <c r="AR112" s="136"/>
      <c r="AS112" s="136"/>
      <c r="AT112" s="136"/>
      <c r="AU112" s="136">
        <v>0</v>
      </c>
      <c r="AV112" s="136">
        <v>0</v>
      </c>
      <c r="AW112" s="136"/>
      <c r="AX112" s="269">
        <v>0</v>
      </c>
      <c r="AY112" s="144">
        <v>0</v>
      </c>
      <c r="AZ112" s="136">
        <v>0</v>
      </c>
      <c r="BA112" s="136">
        <v>0</v>
      </c>
      <c r="BB112" s="136">
        <v>0</v>
      </c>
      <c r="BC112" s="136">
        <v>0</v>
      </c>
      <c r="BD112" s="136"/>
      <c r="BE112" s="136"/>
      <c r="BF112" s="136">
        <v>0</v>
      </c>
      <c r="BG112" s="144">
        <v>0</v>
      </c>
      <c r="BH112" s="270">
        <v>0</v>
      </c>
      <c r="BI112" s="136"/>
      <c r="BJ112" s="136"/>
      <c r="BK112" s="136"/>
      <c r="BL112" s="136"/>
      <c r="BM112" s="136"/>
      <c r="BN112" s="269">
        <v>0</v>
      </c>
      <c r="BO112" s="144"/>
      <c r="BP112" s="141">
        <v>0</v>
      </c>
      <c r="BQ112" s="141"/>
      <c r="BR112" s="144">
        <v>0</v>
      </c>
      <c r="BS112" s="136">
        <v>0</v>
      </c>
      <c r="BT112" s="136"/>
      <c r="BU112" s="136"/>
      <c r="BV112" s="136"/>
      <c r="BW112" s="136"/>
      <c r="BX112" s="144">
        <v>0</v>
      </c>
      <c r="BY112" s="270">
        <v>2</v>
      </c>
      <c r="BZ112" s="136">
        <v>0</v>
      </c>
      <c r="CA112" s="136">
        <v>0</v>
      </c>
      <c r="CB112" s="136"/>
      <c r="CC112" s="136">
        <v>0</v>
      </c>
      <c r="CD112" s="136"/>
      <c r="CE112" s="136"/>
      <c r="CF112" s="136"/>
      <c r="CG112" s="136"/>
      <c r="CH112" s="136"/>
      <c r="CI112" s="136"/>
      <c r="CJ112" s="269">
        <v>2</v>
      </c>
      <c r="CK112" s="144"/>
      <c r="CL112" s="136"/>
      <c r="CM112" s="144"/>
      <c r="CN112" s="141"/>
      <c r="CO112" s="141"/>
      <c r="CP112" s="144">
        <v>7</v>
      </c>
      <c r="CQ112" s="136"/>
      <c r="CR112" s="136">
        <v>3</v>
      </c>
      <c r="CS112" s="144">
        <v>10</v>
      </c>
      <c r="CT112" s="141"/>
      <c r="CU112" s="144">
        <v>7</v>
      </c>
      <c r="CV112" s="136">
        <v>0</v>
      </c>
      <c r="CW112" s="136"/>
      <c r="CX112" s="144">
        <v>7</v>
      </c>
      <c r="CY112" s="141">
        <v>0</v>
      </c>
      <c r="CZ112" s="141">
        <v>0</v>
      </c>
      <c r="DA112" s="144"/>
      <c r="DB112" s="136"/>
      <c r="DC112" s="136"/>
      <c r="DD112" s="144"/>
      <c r="DE112" s="141">
        <v>21</v>
      </c>
      <c r="DF112" s="355">
        <f>21/1534554</f>
        <v>1.3684757916632454E-5</v>
      </c>
    </row>
    <row r="113" spans="2:110" ht="13.5" thickBot="1" x14ac:dyDescent="0.25">
      <c r="B113" s="139" t="s">
        <v>553</v>
      </c>
      <c r="C113" s="368"/>
      <c r="D113" s="375"/>
      <c r="E113" s="375"/>
      <c r="F113" s="369"/>
      <c r="G113" s="144">
        <v>14</v>
      </c>
      <c r="H113" s="136"/>
      <c r="I113" s="136"/>
      <c r="J113" s="136"/>
      <c r="K113" s="136"/>
      <c r="L113" s="136"/>
      <c r="M113" s="144">
        <v>14</v>
      </c>
      <c r="N113" s="141"/>
      <c r="O113" s="144">
        <v>25</v>
      </c>
      <c r="P113" s="136"/>
      <c r="Q113" s="136"/>
      <c r="R113" s="144">
        <v>25</v>
      </c>
      <c r="S113" s="270">
        <v>0</v>
      </c>
      <c r="T113" s="136"/>
      <c r="U113" s="136"/>
      <c r="V113" s="269">
        <v>0</v>
      </c>
      <c r="W113" s="144"/>
      <c r="X113" s="136"/>
      <c r="Y113" s="144"/>
      <c r="Z113" s="270"/>
      <c r="AA113" s="136"/>
      <c r="AB113" s="269"/>
      <c r="AC113" s="144"/>
      <c r="AD113" s="136"/>
      <c r="AE113" s="136">
        <v>3</v>
      </c>
      <c r="AF113" s="136"/>
      <c r="AG113" s="136"/>
      <c r="AH113" s="136"/>
      <c r="AI113" s="136"/>
      <c r="AJ113" s="144">
        <v>3</v>
      </c>
      <c r="AK113" s="141"/>
      <c r="AL113" s="141"/>
      <c r="AM113" s="270"/>
      <c r="AN113" s="136"/>
      <c r="AO113" s="136"/>
      <c r="AP113" s="136"/>
      <c r="AQ113" s="136"/>
      <c r="AR113" s="136"/>
      <c r="AS113" s="136"/>
      <c r="AT113" s="136"/>
      <c r="AU113" s="136"/>
      <c r="AV113" s="136"/>
      <c r="AW113" s="136"/>
      <c r="AX113" s="269"/>
      <c r="AY113" s="144"/>
      <c r="AZ113" s="136">
        <v>3</v>
      </c>
      <c r="BA113" s="136">
        <v>0</v>
      </c>
      <c r="BB113" s="136">
        <v>0</v>
      </c>
      <c r="BC113" s="136"/>
      <c r="BD113" s="136"/>
      <c r="BE113" s="136"/>
      <c r="BF113" s="136"/>
      <c r="BG113" s="144">
        <v>3</v>
      </c>
      <c r="BH113" s="270">
        <v>0</v>
      </c>
      <c r="BI113" s="136">
        <v>0</v>
      </c>
      <c r="BJ113" s="136">
        <v>1</v>
      </c>
      <c r="BK113" s="136"/>
      <c r="BL113" s="136"/>
      <c r="BM113" s="136"/>
      <c r="BN113" s="269">
        <v>1</v>
      </c>
      <c r="BO113" s="144"/>
      <c r="BP113" s="141">
        <v>0</v>
      </c>
      <c r="BQ113" s="141"/>
      <c r="BR113" s="144">
        <v>0</v>
      </c>
      <c r="BS113" s="136"/>
      <c r="BT113" s="136"/>
      <c r="BU113" s="136"/>
      <c r="BV113" s="136"/>
      <c r="BW113" s="136"/>
      <c r="BX113" s="144">
        <v>0</v>
      </c>
      <c r="BY113" s="270">
        <v>0</v>
      </c>
      <c r="BZ113" s="136"/>
      <c r="CA113" s="136">
        <v>1</v>
      </c>
      <c r="CB113" s="136"/>
      <c r="CC113" s="136">
        <v>0</v>
      </c>
      <c r="CD113" s="136"/>
      <c r="CE113" s="136"/>
      <c r="CF113" s="136"/>
      <c r="CG113" s="136"/>
      <c r="CH113" s="136">
        <v>0</v>
      </c>
      <c r="CI113" s="136"/>
      <c r="CJ113" s="269">
        <v>1</v>
      </c>
      <c r="CK113" s="144"/>
      <c r="CL113" s="136"/>
      <c r="CM113" s="144"/>
      <c r="CN113" s="141"/>
      <c r="CO113" s="141"/>
      <c r="CP113" s="144"/>
      <c r="CQ113" s="136"/>
      <c r="CR113" s="136"/>
      <c r="CS113" s="144"/>
      <c r="CT113" s="141"/>
      <c r="CU113" s="144">
        <v>3</v>
      </c>
      <c r="CV113" s="136">
        <v>0</v>
      </c>
      <c r="CW113" s="136"/>
      <c r="CX113" s="144">
        <v>3</v>
      </c>
      <c r="CY113" s="141"/>
      <c r="CZ113" s="141"/>
      <c r="DA113" s="144"/>
      <c r="DB113" s="136"/>
      <c r="DC113" s="136"/>
      <c r="DD113" s="144"/>
      <c r="DE113" s="141">
        <v>50</v>
      </c>
      <c r="DF113" s="355">
        <f>50/1534554</f>
        <v>3.2582756944362985E-5</v>
      </c>
    </row>
    <row r="114" spans="2:110" ht="13.5" thickBot="1" x14ac:dyDescent="0.25">
      <c r="B114" s="139" t="s">
        <v>537</v>
      </c>
      <c r="C114" s="368">
        <v>0</v>
      </c>
      <c r="D114" s="375">
        <v>0</v>
      </c>
      <c r="E114" s="375">
        <v>0</v>
      </c>
      <c r="F114" s="369">
        <v>0</v>
      </c>
      <c r="G114" s="144">
        <v>36605</v>
      </c>
      <c r="H114" s="136">
        <v>1614</v>
      </c>
      <c r="I114" s="136">
        <v>0</v>
      </c>
      <c r="J114" s="136">
        <v>19097</v>
      </c>
      <c r="K114" s="136">
        <v>0</v>
      </c>
      <c r="L114" s="136">
        <v>0</v>
      </c>
      <c r="M114" s="144">
        <v>57316</v>
      </c>
      <c r="N114" s="141">
        <v>0</v>
      </c>
      <c r="O114" s="144">
        <v>732728</v>
      </c>
      <c r="P114" s="136">
        <v>0</v>
      </c>
      <c r="Q114" s="136">
        <v>20</v>
      </c>
      <c r="R114" s="144">
        <v>732748</v>
      </c>
      <c r="S114" s="270">
        <v>0</v>
      </c>
      <c r="T114" s="136">
        <v>0</v>
      </c>
      <c r="U114" s="136">
        <v>0</v>
      </c>
      <c r="V114" s="269">
        <v>0</v>
      </c>
      <c r="W114" s="144">
        <v>0</v>
      </c>
      <c r="X114" s="136">
        <v>16666</v>
      </c>
      <c r="Y114" s="144">
        <v>16666</v>
      </c>
      <c r="Z114" s="270">
        <v>1800</v>
      </c>
      <c r="AA114" s="136">
        <v>0</v>
      </c>
      <c r="AB114" s="269">
        <v>1800</v>
      </c>
      <c r="AC114" s="144">
        <v>21633</v>
      </c>
      <c r="AD114" s="136">
        <v>0</v>
      </c>
      <c r="AE114" s="136">
        <v>10767</v>
      </c>
      <c r="AF114" s="136">
        <v>146</v>
      </c>
      <c r="AG114" s="136">
        <v>14</v>
      </c>
      <c r="AH114" s="136">
        <v>8</v>
      </c>
      <c r="AI114" s="136">
        <v>34</v>
      </c>
      <c r="AJ114" s="144">
        <v>32602</v>
      </c>
      <c r="AK114" s="141">
        <v>0</v>
      </c>
      <c r="AL114" s="141">
        <v>1655</v>
      </c>
      <c r="AM114" s="270">
        <v>0</v>
      </c>
      <c r="AN114" s="136">
        <v>0</v>
      </c>
      <c r="AO114" s="136">
        <v>0</v>
      </c>
      <c r="AP114" s="136">
        <v>0</v>
      </c>
      <c r="AQ114" s="136">
        <v>0</v>
      </c>
      <c r="AR114" s="136">
        <v>0</v>
      </c>
      <c r="AS114" s="136">
        <v>0</v>
      </c>
      <c r="AT114" s="136">
        <v>0</v>
      </c>
      <c r="AU114" s="136">
        <v>0</v>
      </c>
      <c r="AV114" s="136">
        <v>0</v>
      </c>
      <c r="AW114" s="136">
        <v>0</v>
      </c>
      <c r="AX114" s="269">
        <v>0</v>
      </c>
      <c r="AY114" s="144">
        <v>0</v>
      </c>
      <c r="AZ114" s="136">
        <v>277795</v>
      </c>
      <c r="BA114" s="136">
        <v>0</v>
      </c>
      <c r="BB114" s="136">
        <v>0</v>
      </c>
      <c r="BC114" s="136">
        <v>0</v>
      </c>
      <c r="BD114" s="136">
        <v>24109</v>
      </c>
      <c r="BE114" s="136">
        <v>0</v>
      </c>
      <c r="BF114" s="136">
        <v>0</v>
      </c>
      <c r="BG114" s="144">
        <v>301904</v>
      </c>
      <c r="BH114" s="270">
        <v>0</v>
      </c>
      <c r="BI114" s="136">
        <v>12257</v>
      </c>
      <c r="BJ114" s="136">
        <v>37700</v>
      </c>
      <c r="BK114" s="136">
        <v>6420</v>
      </c>
      <c r="BL114" s="136">
        <v>0</v>
      </c>
      <c r="BM114" s="136">
        <v>0</v>
      </c>
      <c r="BN114" s="269">
        <v>56377</v>
      </c>
      <c r="BO114" s="144">
        <v>0</v>
      </c>
      <c r="BP114" s="141">
        <v>0</v>
      </c>
      <c r="BQ114" s="141">
        <v>0</v>
      </c>
      <c r="BR114" s="144">
        <v>0</v>
      </c>
      <c r="BS114" s="136">
        <v>0</v>
      </c>
      <c r="BT114" s="136">
        <v>0</v>
      </c>
      <c r="BU114" s="136">
        <v>0</v>
      </c>
      <c r="BV114" s="136">
        <v>0</v>
      </c>
      <c r="BW114" s="136">
        <v>0</v>
      </c>
      <c r="BX114" s="144">
        <v>0</v>
      </c>
      <c r="BY114" s="270">
        <v>95649</v>
      </c>
      <c r="BZ114" s="136">
        <v>0</v>
      </c>
      <c r="CA114" s="136">
        <v>61650</v>
      </c>
      <c r="CB114" s="136">
        <v>167</v>
      </c>
      <c r="CC114" s="136">
        <v>117915</v>
      </c>
      <c r="CD114" s="136">
        <v>0</v>
      </c>
      <c r="CE114" s="136">
        <v>0</v>
      </c>
      <c r="CF114" s="136">
        <v>0</v>
      </c>
      <c r="CG114" s="136">
        <v>0</v>
      </c>
      <c r="CH114" s="136">
        <v>0</v>
      </c>
      <c r="CI114" s="136">
        <v>0</v>
      </c>
      <c r="CJ114" s="269">
        <v>275381</v>
      </c>
      <c r="CK114" s="144">
        <v>0</v>
      </c>
      <c r="CL114" s="136">
        <v>9899</v>
      </c>
      <c r="CM114" s="144">
        <v>9899</v>
      </c>
      <c r="CN114" s="141">
        <v>0</v>
      </c>
      <c r="CO114" s="141">
        <v>0</v>
      </c>
      <c r="CP114" s="144">
        <v>4934</v>
      </c>
      <c r="CQ114" s="136">
        <v>378</v>
      </c>
      <c r="CR114" s="136">
        <v>2870</v>
      </c>
      <c r="CS114" s="144">
        <v>8182</v>
      </c>
      <c r="CT114" s="141">
        <v>13252</v>
      </c>
      <c r="CU114" s="144">
        <v>3403</v>
      </c>
      <c r="CV114" s="136">
        <v>0</v>
      </c>
      <c r="CW114" s="136">
        <v>0</v>
      </c>
      <c r="CX114" s="144">
        <v>3403</v>
      </c>
      <c r="CY114" s="141">
        <v>15034</v>
      </c>
      <c r="CZ114" s="141">
        <v>0</v>
      </c>
      <c r="DA114" s="144">
        <v>1462</v>
      </c>
      <c r="DB114" s="136">
        <v>2641</v>
      </c>
      <c r="DC114" s="136">
        <v>4232</v>
      </c>
      <c r="DD114" s="144">
        <v>8335</v>
      </c>
      <c r="DE114" s="141">
        <v>1534554</v>
      </c>
      <c r="DF114" s="355">
        <f>1534554/1534554</f>
        <v>1</v>
      </c>
    </row>
  </sheetData>
  <mergeCells count="23">
    <mergeCell ref="CN1:DF1"/>
    <mergeCell ref="BH2:BN2"/>
    <mergeCell ref="BR2:BX2"/>
    <mergeCell ref="BY2:CJ2"/>
    <mergeCell ref="CK2:CM2"/>
    <mergeCell ref="CP2:CS2"/>
    <mergeCell ref="CU2:CX2"/>
    <mergeCell ref="DA2:DD2"/>
    <mergeCell ref="DF2:DF3"/>
    <mergeCell ref="DE2:DE3"/>
    <mergeCell ref="B1:AB1"/>
    <mergeCell ref="AC1:AX1"/>
    <mergeCell ref="AY1:BQ1"/>
    <mergeCell ref="BR1:CM1"/>
    <mergeCell ref="Z2:AB2"/>
    <mergeCell ref="AC2:AJ2"/>
    <mergeCell ref="AM2:AX2"/>
    <mergeCell ref="AY2:BG2"/>
    <mergeCell ref="C2:F2"/>
    <mergeCell ref="G2:M2"/>
    <mergeCell ref="O2:R2"/>
    <mergeCell ref="S2:V2"/>
    <mergeCell ref="W2:Y2"/>
  </mergeCells>
  <printOptions horizontalCentered="1" verticalCentered="1"/>
  <pageMargins left="7.874015748031496E-2" right="7.874015748031496E-2" top="7.874015748031496E-2" bottom="7.874015748031496E-2" header="3.937007874015748E-2" footer="3.937007874015748E-2"/>
  <pageSetup scale="61" orientation="landscape" r:id="rId1"/>
  <headerFooter alignWithMargins="0"/>
  <rowBreaks count="1" manualBreakCount="1">
    <brk id="58" min="1" max="109" man="1"/>
  </rowBreaks>
  <colBreaks count="3" manualBreakCount="3">
    <brk id="50" max="113" man="1"/>
    <brk id="69" max="113" man="1"/>
    <brk id="91" max="113"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A1:M72"/>
  <sheetViews>
    <sheetView view="pageBreakPreview" zoomScaleNormal="100" zoomScaleSheetLayoutView="100" workbookViewId="0">
      <selection activeCell="M1" sqref="M1"/>
    </sheetView>
  </sheetViews>
  <sheetFormatPr defaultColWidth="9.140625" defaultRowHeight="12.75" x14ac:dyDescent="0.2"/>
  <cols>
    <col min="1" max="1" width="9.140625" style="119"/>
    <col min="2" max="2" width="11.5703125" customWidth="1"/>
    <col min="3" max="3" width="29" style="6" customWidth="1"/>
    <col min="4" max="6" width="8.28515625" customWidth="1"/>
    <col min="7" max="7" width="9.140625" bestFit="1" customWidth="1"/>
    <col min="8" max="10" width="8.28515625" customWidth="1"/>
    <col min="11" max="12" width="9.42578125" customWidth="1"/>
  </cols>
  <sheetData>
    <row r="1" spans="2:13" ht="30" customHeight="1" x14ac:dyDescent="0.2">
      <c r="B1" s="483" t="s">
        <v>629</v>
      </c>
      <c r="C1" s="483"/>
      <c r="D1" s="483"/>
      <c r="E1" s="483"/>
      <c r="F1" s="483"/>
      <c r="G1" s="483"/>
      <c r="H1" s="483"/>
      <c r="I1" s="483"/>
      <c r="J1" s="483"/>
      <c r="K1" s="483"/>
      <c r="L1" s="483"/>
    </row>
    <row r="2" spans="2:13" s="129" customFormat="1" ht="12.75" customHeight="1" thickBot="1" x14ac:dyDescent="0.25">
      <c r="B2" s="266"/>
      <c r="C2" s="280"/>
      <c r="D2" s="265"/>
      <c r="E2" s="265"/>
      <c r="F2" s="265"/>
      <c r="G2" s="265"/>
      <c r="H2" s="265"/>
      <c r="I2" s="265"/>
      <c r="J2" s="265"/>
      <c r="K2" s="265"/>
      <c r="L2" s="265"/>
      <c r="M2" s="265"/>
    </row>
    <row r="3" spans="2:13" ht="16.5" customHeight="1" x14ac:dyDescent="0.2">
      <c r="B3" s="37"/>
      <c r="C3" s="281"/>
      <c r="D3" s="282"/>
      <c r="E3" s="484" t="s">
        <v>1</v>
      </c>
      <c r="F3" s="484"/>
      <c r="G3" s="484"/>
      <c r="H3" s="484" t="s">
        <v>506</v>
      </c>
      <c r="I3" s="484"/>
      <c r="J3" s="484"/>
      <c r="K3" s="484" t="s">
        <v>266</v>
      </c>
      <c r="L3" s="484"/>
      <c r="M3" s="129"/>
    </row>
    <row r="4" spans="2:13" ht="16.5" customHeight="1" thickBot="1" x14ac:dyDescent="0.25">
      <c r="B4" s="449" t="s">
        <v>556</v>
      </c>
      <c r="C4" s="449"/>
      <c r="D4" s="449"/>
      <c r="E4" s="377">
        <v>2021</v>
      </c>
      <c r="F4" s="377">
        <v>2022</v>
      </c>
      <c r="G4" s="377">
        <v>2023</v>
      </c>
      <c r="H4" s="377">
        <v>2021</v>
      </c>
      <c r="I4" s="377">
        <v>2022</v>
      </c>
      <c r="J4" s="377">
        <v>2023</v>
      </c>
      <c r="K4" s="377" t="s">
        <v>589</v>
      </c>
      <c r="L4" s="377" t="s">
        <v>607</v>
      </c>
    </row>
    <row r="5" spans="2:13" ht="16.5" customHeight="1" x14ac:dyDescent="0.2">
      <c r="B5" s="447" t="s">
        <v>301</v>
      </c>
      <c r="C5" s="89" t="s">
        <v>614</v>
      </c>
      <c r="D5" s="434" t="s">
        <v>269</v>
      </c>
      <c r="E5" s="147">
        <v>30</v>
      </c>
      <c r="F5" s="148"/>
      <c r="G5" s="148"/>
      <c r="H5" s="149">
        <v>3.3598010997748937E-2</v>
      </c>
      <c r="I5" s="149"/>
      <c r="J5" s="149"/>
      <c r="K5" s="149">
        <v>-100</v>
      </c>
      <c r="L5" s="149"/>
    </row>
    <row r="6" spans="2:13" ht="16.5" customHeight="1" x14ac:dyDescent="0.2">
      <c r="B6" s="448"/>
      <c r="C6" s="90" t="s">
        <v>360</v>
      </c>
      <c r="D6" s="469"/>
      <c r="E6" s="150">
        <v>16</v>
      </c>
      <c r="F6" s="151"/>
      <c r="G6" s="151"/>
      <c r="H6" s="152">
        <v>1.791893919879943E-2</v>
      </c>
      <c r="I6" s="152"/>
      <c r="J6" s="152"/>
      <c r="K6" s="152">
        <v>-100</v>
      </c>
      <c r="L6" s="152"/>
    </row>
    <row r="7" spans="2:13" ht="16.5" customHeight="1" x14ac:dyDescent="0.2">
      <c r="B7" s="448"/>
      <c r="C7" s="90" t="s">
        <v>361</v>
      </c>
      <c r="D7" s="469"/>
      <c r="E7" s="150">
        <v>8</v>
      </c>
      <c r="F7" s="151"/>
      <c r="G7" s="151"/>
      <c r="H7" s="152">
        <v>8.959469599399715E-3</v>
      </c>
      <c r="I7" s="152"/>
      <c r="J7" s="152"/>
      <c r="K7" s="152">
        <v>-100</v>
      </c>
      <c r="L7" s="152"/>
    </row>
    <row r="8" spans="2:13" ht="16.5" customHeight="1" thickBot="1" x14ac:dyDescent="0.25">
      <c r="B8" s="449"/>
      <c r="C8" s="358" t="s">
        <v>17</v>
      </c>
      <c r="D8" s="92" t="s">
        <v>264</v>
      </c>
      <c r="E8" s="153">
        <v>54</v>
      </c>
      <c r="F8" s="154"/>
      <c r="G8" s="154"/>
      <c r="H8" s="155">
        <v>6.0476419795948082E-2</v>
      </c>
      <c r="I8" s="155"/>
      <c r="J8" s="155"/>
      <c r="K8" s="155">
        <v>-100</v>
      </c>
      <c r="L8" s="155"/>
    </row>
    <row r="9" spans="2:13" ht="16.5" customHeight="1" x14ac:dyDescent="0.2">
      <c r="B9" s="451" t="s">
        <v>306</v>
      </c>
      <c r="C9" s="84" t="s">
        <v>366</v>
      </c>
      <c r="D9" s="472" t="s">
        <v>269</v>
      </c>
      <c r="E9" s="2"/>
      <c r="F9" s="284">
        <v>526</v>
      </c>
      <c r="G9" s="284">
        <v>19097</v>
      </c>
      <c r="H9" s="3"/>
      <c r="I9" s="3">
        <v>5.7065488615109551E-2</v>
      </c>
      <c r="J9" s="3">
        <v>1.244465818733</v>
      </c>
      <c r="K9" s="3"/>
      <c r="L9" s="3">
        <v>3530.6083650190112</v>
      </c>
    </row>
    <row r="10" spans="2:13" ht="16.5" customHeight="1" x14ac:dyDescent="0.2">
      <c r="B10" s="451"/>
      <c r="C10" s="84" t="s">
        <v>369</v>
      </c>
      <c r="D10" s="472"/>
      <c r="E10" s="2"/>
      <c r="F10" s="284">
        <v>23167</v>
      </c>
      <c r="G10" s="284">
        <v>36605</v>
      </c>
      <c r="H10" s="3"/>
      <c r="I10" s="3">
        <v>2.5133767580727056</v>
      </c>
      <c r="J10" s="3">
        <v>2.3853836358968143</v>
      </c>
      <c r="K10" s="3"/>
      <c r="L10" s="3">
        <v>58.004920792506582</v>
      </c>
    </row>
    <row r="11" spans="2:13" ht="16.5" customHeight="1" x14ac:dyDescent="0.2">
      <c r="B11" s="451"/>
      <c r="C11" s="84" t="s">
        <v>368</v>
      </c>
      <c r="D11" s="472"/>
      <c r="E11" s="2"/>
      <c r="F11" s="284">
        <v>39</v>
      </c>
      <c r="G11" s="2"/>
      <c r="H11" s="3"/>
      <c r="I11" s="3">
        <v>4.2310913611963361E-3</v>
      </c>
      <c r="J11" s="3"/>
      <c r="K11" s="3"/>
      <c r="L11" s="3">
        <v>-100</v>
      </c>
    </row>
    <row r="12" spans="2:13" ht="16.5" customHeight="1" x14ac:dyDescent="0.2">
      <c r="B12" s="451"/>
      <c r="C12" s="84" t="s">
        <v>367</v>
      </c>
      <c r="D12" s="472"/>
      <c r="E12" s="2"/>
      <c r="F12" s="284">
        <v>479</v>
      </c>
      <c r="G12" s="284">
        <v>1614</v>
      </c>
      <c r="H12" s="3"/>
      <c r="I12" s="3">
        <v>5.1966481077257556E-2</v>
      </c>
      <c r="J12" s="3">
        <v>0.10517713941640372</v>
      </c>
      <c r="K12" s="3"/>
      <c r="L12" s="3">
        <v>236.95198329853864</v>
      </c>
    </row>
    <row r="13" spans="2:13" ht="16.5" customHeight="1" x14ac:dyDescent="0.2">
      <c r="B13" s="451"/>
      <c r="C13" s="84" t="s">
        <v>595</v>
      </c>
      <c r="D13" s="472"/>
      <c r="E13" s="2"/>
      <c r="F13" s="284">
        <v>978</v>
      </c>
      <c r="G13" s="2"/>
      <c r="H13" s="3"/>
      <c r="I13" s="3">
        <v>0.10610275259615426</v>
      </c>
      <c r="J13" s="3"/>
      <c r="K13" s="3"/>
      <c r="L13" s="3">
        <v>-100</v>
      </c>
    </row>
    <row r="14" spans="2:13" ht="16.5" customHeight="1" thickBot="1" x14ac:dyDescent="0.25">
      <c r="B14" s="451"/>
      <c r="C14" s="359" t="s">
        <v>17</v>
      </c>
      <c r="D14" s="85" t="s">
        <v>264</v>
      </c>
      <c r="E14" s="145"/>
      <c r="F14" s="127">
        <v>25189</v>
      </c>
      <c r="G14" s="127">
        <v>57316</v>
      </c>
      <c r="H14" s="128"/>
      <c r="I14" s="128">
        <v>2.7327425717224232</v>
      </c>
      <c r="J14" s="128">
        <v>3.735026594046218</v>
      </c>
      <c r="K14" s="128"/>
      <c r="L14" s="128">
        <v>127.54376910556195</v>
      </c>
    </row>
    <row r="15" spans="2:13" ht="16.5" customHeight="1" x14ac:dyDescent="0.2">
      <c r="B15" s="447" t="s">
        <v>309</v>
      </c>
      <c r="C15" s="89" t="s">
        <v>615</v>
      </c>
      <c r="D15" s="434" t="s">
        <v>269</v>
      </c>
      <c r="E15" s="148"/>
      <c r="F15" s="148"/>
      <c r="G15" s="147">
        <v>20</v>
      </c>
      <c r="H15" s="149"/>
      <c r="I15" s="149"/>
      <c r="J15" s="149">
        <v>1.3033102777745195E-3</v>
      </c>
      <c r="K15" s="149"/>
      <c r="L15" s="149"/>
    </row>
    <row r="16" spans="2:13" ht="16.5" customHeight="1" x14ac:dyDescent="0.2">
      <c r="B16" s="448"/>
      <c r="C16" s="90" t="s">
        <v>376</v>
      </c>
      <c r="D16" s="469"/>
      <c r="E16" s="150">
        <v>8605</v>
      </c>
      <c r="F16" s="150">
        <v>466697</v>
      </c>
      <c r="G16" s="150">
        <v>732728</v>
      </c>
      <c r="H16" s="152">
        <v>9.6370294878543188</v>
      </c>
      <c r="I16" s="152">
        <v>50.631734487083236</v>
      </c>
      <c r="J16" s="152">
        <v>47.748596660658407</v>
      </c>
      <c r="K16" s="152">
        <v>5323.556072051133</v>
      </c>
      <c r="L16" s="152">
        <v>57.002937666194555</v>
      </c>
    </row>
    <row r="17" spans="2:12" ht="16.5" customHeight="1" thickBot="1" x14ac:dyDescent="0.25">
      <c r="B17" s="449"/>
      <c r="C17" s="358" t="s">
        <v>17</v>
      </c>
      <c r="D17" s="92" t="s">
        <v>264</v>
      </c>
      <c r="E17" s="153">
        <v>8605</v>
      </c>
      <c r="F17" s="153">
        <v>466697</v>
      </c>
      <c r="G17" s="153">
        <v>732748</v>
      </c>
      <c r="H17" s="155">
        <v>9.6370294878543188</v>
      </c>
      <c r="I17" s="155">
        <v>50.631734487083236</v>
      </c>
      <c r="J17" s="155">
        <v>47.749899970936184</v>
      </c>
      <c r="K17" s="155">
        <v>5323.556072051133</v>
      </c>
      <c r="L17" s="155">
        <v>57.007223101926947</v>
      </c>
    </row>
    <row r="18" spans="2:12" ht="16.5" customHeight="1" x14ac:dyDescent="0.2">
      <c r="B18" s="451" t="s">
        <v>311</v>
      </c>
      <c r="C18" s="84" t="s">
        <v>601</v>
      </c>
      <c r="D18" s="472" t="s">
        <v>269</v>
      </c>
      <c r="E18" s="2"/>
      <c r="F18" s="284">
        <v>5214</v>
      </c>
      <c r="G18" s="284">
        <v>16666</v>
      </c>
      <c r="H18" s="3"/>
      <c r="I18" s="3">
        <v>0.5656643681353255</v>
      </c>
      <c r="J18" s="3">
        <v>1.086048454469507</v>
      </c>
      <c r="K18" s="3"/>
      <c r="L18" s="3">
        <v>219.63943229766014</v>
      </c>
    </row>
    <row r="19" spans="2:12" ht="16.5" customHeight="1" x14ac:dyDescent="0.2">
      <c r="B19" s="451"/>
      <c r="C19" s="84" t="s">
        <v>499</v>
      </c>
      <c r="D19" s="472"/>
      <c r="E19" s="284">
        <v>9</v>
      </c>
      <c r="F19" s="2"/>
      <c r="G19" s="2"/>
      <c r="H19" s="3">
        <v>1.007940329932468E-2</v>
      </c>
      <c r="I19" s="3"/>
      <c r="J19" s="3"/>
      <c r="K19" s="3">
        <v>-100</v>
      </c>
      <c r="L19" s="3"/>
    </row>
    <row r="20" spans="2:12" ht="16.5" customHeight="1" thickBot="1" x14ac:dyDescent="0.25">
      <c r="B20" s="451"/>
      <c r="C20" s="359" t="s">
        <v>17</v>
      </c>
      <c r="D20" s="85" t="s">
        <v>264</v>
      </c>
      <c r="E20" s="127">
        <v>9</v>
      </c>
      <c r="F20" s="127">
        <v>5214</v>
      </c>
      <c r="G20" s="127">
        <v>16666</v>
      </c>
      <c r="H20" s="128">
        <v>1.007940329932468E-2</v>
      </c>
      <c r="I20" s="128">
        <v>0.5656643681353255</v>
      </c>
      <c r="J20" s="128">
        <v>1.086048454469507</v>
      </c>
      <c r="K20" s="128">
        <v>57833.333333333336</v>
      </c>
      <c r="L20" s="128">
        <v>219.63943229766014</v>
      </c>
    </row>
    <row r="21" spans="2:12" ht="16.5" customHeight="1" thickBot="1" x14ac:dyDescent="0.25">
      <c r="B21" s="158" t="s">
        <v>313</v>
      </c>
      <c r="C21" s="91" t="s">
        <v>382</v>
      </c>
      <c r="D21" s="87" t="s">
        <v>269</v>
      </c>
      <c r="E21" s="156">
        <v>69</v>
      </c>
      <c r="F21" s="156">
        <v>579</v>
      </c>
      <c r="G21" s="156">
        <v>1800</v>
      </c>
      <c r="H21" s="157">
        <v>7.727542529482255E-2</v>
      </c>
      <c r="I21" s="157">
        <v>6.281543328545329E-2</v>
      </c>
      <c r="J21" s="157">
        <v>0.11729792499970676</v>
      </c>
      <c r="K21" s="157">
        <v>739.13043478260875</v>
      </c>
      <c r="L21" s="157">
        <v>210.88082901554404</v>
      </c>
    </row>
    <row r="22" spans="2:12" ht="16.5" customHeight="1" x14ac:dyDescent="0.2">
      <c r="B22" s="451" t="s">
        <v>314</v>
      </c>
      <c r="C22" s="84" t="s">
        <v>389</v>
      </c>
      <c r="D22" s="472" t="s">
        <v>269</v>
      </c>
      <c r="E22" s="284">
        <v>60</v>
      </c>
      <c r="F22" s="284">
        <v>6390</v>
      </c>
      <c r="G22" s="284">
        <v>10767</v>
      </c>
      <c r="H22" s="3">
        <v>6.7196021995497873E-2</v>
      </c>
      <c r="I22" s="3">
        <v>0.69324804610370727</v>
      </c>
      <c r="J22" s="3">
        <v>0.70163708803991254</v>
      </c>
      <c r="K22" s="3">
        <v>10550</v>
      </c>
      <c r="L22" s="3">
        <v>68.497652582159631</v>
      </c>
    </row>
    <row r="23" spans="2:12" ht="16.5" customHeight="1" x14ac:dyDescent="0.2">
      <c r="B23" s="451"/>
      <c r="C23" s="84" t="s">
        <v>384</v>
      </c>
      <c r="D23" s="472"/>
      <c r="E23" s="2"/>
      <c r="F23" s="284">
        <v>4</v>
      </c>
      <c r="G23" s="284">
        <v>34</v>
      </c>
      <c r="H23" s="3"/>
      <c r="I23" s="3">
        <v>4.3395808832782928E-4</v>
      </c>
      <c r="J23" s="3">
        <v>2.2156274722166833E-3</v>
      </c>
      <c r="K23" s="3"/>
      <c r="L23" s="3">
        <v>750</v>
      </c>
    </row>
    <row r="24" spans="2:12" ht="16.5" customHeight="1" x14ac:dyDescent="0.2">
      <c r="B24" s="451"/>
      <c r="C24" s="84" t="s">
        <v>383</v>
      </c>
      <c r="D24" s="472"/>
      <c r="E24" s="284">
        <v>1</v>
      </c>
      <c r="F24" s="284">
        <v>5</v>
      </c>
      <c r="G24" s="284">
        <v>8</v>
      </c>
      <c r="H24" s="3">
        <v>1.1199336999249644E-3</v>
      </c>
      <c r="I24" s="3">
        <v>5.4244761040978667E-4</v>
      </c>
      <c r="J24" s="3">
        <v>5.2132411110980775E-4</v>
      </c>
      <c r="K24" s="3">
        <v>400</v>
      </c>
      <c r="L24" s="3">
        <v>60</v>
      </c>
    </row>
    <row r="25" spans="2:12" ht="16.5" customHeight="1" x14ac:dyDescent="0.2">
      <c r="B25" s="451"/>
      <c r="C25" s="84" t="s">
        <v>597</v>
      </c>
      <c r="D25" s="472"/>
      <c r="E25" s="2"/>
      <c r="F25" s="284">
        <v>381</v>
      </c>
      <c r="G25" s="2"/>
      <c r="H25" s="3"/>
      <c r="I25" s="3">
        <v>4.1334507913225738E-2</v>
      </c>
      <c r="J25" s="3"/>
      <c r="K25" s="3"/>
      <c r="L25" s="3">
        <v>-100</v>
      </c>
    </row>
    <row r="26" spans="2:12" ht="16.5" customHeight="1" x14ac:dyDescent="0.2">
      <c r="B26" s="451"/>
      <c r="C26" s="84" t="s">
        <v>388</v>
      </c>
      <c r="D26" s="472"/>
      <c r="E26" s="284">
        <v>2</v>
      </c>
      <c r="F26" s="284">
        <v>46</v>
      </c>
      <c r="G26" s="284">
        <v>146</v>
      </c>
      <c r="H26" s="3">
        <v>2.2398673998499288E-3</v>
      </c>
      <c r="I26" s="3">
        <v>4.9905180157700365E-3</v>
      </c>
      <c r="J26" s="3">
        <v>9.5141650277539916E-3</v>
      </c>
      <c r="K26" s="3">
        <v>2200</v>
      </c>
      <c r="L26" s="3">
        <v>217.39130434782609</v>
      </c>
    </row>
    <row r="27" spans="2:12" ht="16.5" customHeight="1" x14ac:dyDescent="0.2">
      <c r="B27" s="451"/>
      <c r="C27" s="84" t="s">
        <v>387</v>
      </c>
      <c r="D27" s="472"/>
      <c r="E27" s="2"/>
      <c r="F27" s="2"/>
      <c r="G27" s="284">
        <v>14</v>
      </c>
      <c r="H27" s="3"/>
      <c r="I27" s="3"/>
      <c r="J27" s="3">
        <v>9.123171944421637E-4</v>
      </c>
      <c r="K27" s="3"/>
      <c r="L27" s="3"/>
    </row>
    <row r="28" spans="2:12" ht="16.5" customHeight="1" x14ac:dyDescent="0.2">
      <c r="B28" s="451"/>
      <c r="C28" s="84" t="s">
        <v>385</v>
      </c>
      <c r="D28" s="472"/>
      <c r="E28" s="284">
        <v>7</v>
      </c>
      <c r="F28" s="284">
        <v>13671</v>
      </c>
      <c r="G28" s="284">
        <v>21633</v>
      </c>
      <c r="H28" s="3">
        <v>7.8395358994747515E-3</v>
      </c>
      <c r="I28" s="3">
        <v>1.4831602563824386</v>
      </c>
      <c r="J28" s="3">
        <v>1.409725561954809</v>
      </c>
      <c r="K28" s="3">
        <v>195200</v>
      </c>
      <c r="L28" s="3">
        <v>58.240070221637041</v>
      </c>
    </row>
    <row r="29" spans="2:12" ht="16.5" customHeight="1" thickBot="1" x14ac:dyDescent="0.25">
      <c r="B29" s="451"/>
      <c r="C29" s="359" t="s">
        <v>17</v>
      </c>
      <c r="D29" s="85" t="s">
        <v>264</v>
      </c>
      <c r="E29" s="127">
        <v>70</v>
      </c>
      <c r="F29" s="127">
        <v>20497</v>
      </c>
      <c r="G29" s="127">
        <v>32602</v>
      </c>
      <c r="H29" s="128">
        <v>7.8395358994747505E-2</v>
      </c>
      <c r="I29" s="128">
        <v>2.2237097341138794</v>
      </c>
      <c r="J29" s="128">
        <v>2.1245260838002444</v>
      </c>
      <c r="K29" s="128">
        <v>29181.428571428572</v>
      </c>
      <c r="L29" s="128">
        <v>59.057423037517687</v>
      </c>
    </row>
    <row r="30" spans="2:12" ht="16.5" customHeight="1" thickBot="1" x14ac:dyDescent="0.25">
      <c r="B30" s="158" t="s">
        <v>323</v>
      </c>
      <c r="C30" s="91" t="s">
        <v>404</v>
      </c>
      <c r="D30" s="87" t="s">
        <v>269</v>
      </c>
      <c r="E30" s="156">
        <v>420</v>
      </c>
      <c r="F30" s="156">
        <v>236</v>
      </c>
      <c r="G30" s="156">
        <v>1655</v>
      </c>
      <c r="H30" s="157">
        <v>0.47037215396848508</v>
      </c>
      <c r="I30" s="157">
        <v>2.5603527211341928E-2</v>
      </c>
      <c r="J30" s="157">
        <v>0.10784892548584149</v>
      </c>
      <c r="K30" s="157">
        <v>-43.80952380952381</v>
      </c>
      <c r="L30" s="157">
        <v>601.27118644067798</v>
      </c>
    </row>
    <row r="31" spans="2:12" ht="16.5" customHeight="1" x14ac:dyDescent="0.2">
      <c r="B31" s="451" t="s">
        <v>325</v>
      </c>
      <c r="C31" s="84" t="s">
        <v>410</v>
      </c>
      <c r="D31" s="472" t="s">
        <v>269</v>
      </c>
      <c r="E31" s="284">
        <v>4</v>
      </c>
      <c r="F31" s="2"/>
      <c r="G31" s="2"/>
      <c r="H31" s="3">
        <v>4.4797347996998575E-3</v>
      </c>
      <c r="I31" s="3"/>
      <c r="J31" s="3"/>
      <c r="K31" s="3">
        <v>-100</v>
      </c>
      <c r="L31" s="3"/>
    </row>
    <row r="32" spans="2:12" ht="16.5" customHeight="1" x14ac:dyDescent="0.2">
      <c r="B32" s="451"/>
      <c r="C32" s="84" t="s">
        <v>408</v>
      </c>
      <c r="D32" s="472"/>
      <c r="E32" s="284">
        <v>1</v>
      </c>
      <c r="F32" s="2"/>
      <c r="G32" s="2"/>
      <c r="H32" s="3">
        <v>1.1199336999249644E-3</v>
      </c>
      <c r="I32" s="3"/>
      <c r="J32" s="3"/>
      <c r="K32" s="3">
        <v>-100</v>
      </c>
      <c r="L32" s="3"/>
    </row>
    <row r="33" spans="2:12" ht="16.5" customHeight="1" x14ac:dyDescent="0.2">
      <c r="B33" s="451"/>
      <c r="C33" s="84" t="s">
        <v>419</v>
      </c>
      <c r="D33" s="472"/>
      <c r="E33" s="284">
        <v>38</v>
      </c>
      <c r="F33" s="2"/>
      <c r="G33" s="2"/>
      <c r="H33" s="3">
        <v>4.2557480597148652E-2</v>
      </c>
      <c r="I33" s="3"/>
      <c r="J33" s="3"/>
      <c r="K33" s="3">
        <v>-100</v>
      </c>
      <c r="L33" s="3"/>
    </row>
    <row r="34" spans="2:12" ht="16.5" customHeight="1" thickBot="1" x14ac:dyDescent="0.25">
      <c r="B34" s="451"/>
      <c r="C34" s="359" t="s">
        <v>17</v>
      </c>
      <c r="D34" s="85" t="s">
        <v>264</v>
      </c>
      <c r="E34" s="127">
        <v>43</v>
      </c>
      <c r="F34" s="145"/>
      <c r="G34" s="145"/>
      <c r="H34" s="128">
        <v>4.8157149096773474E-2</v>
      </c>
      <c r="I34" s="128"/>
      <c r="J34" s="128"/>
      <c r="K34" s="128">
        <v>-100</v>
      </c>
      <c r="L34" s="128"/>
    </row>
    <row r="35" spans="2:12" ht="16.5" customHeight="1" x14ac:dyDescent="0.2">
      <c r="B35" s="447" t="s">
        <v>328</v>
      </c>
      <c r="C35" s="89" t="s">
        <v>438</v>
      </c>
      <c r="D35" s="434" t="s">
        <v>269</v>
      </c>
      <c r="E35" s="147">
        <v>1699</v>
      </c>
      <c r="F35" s="147">
        <v>118637</v>
      </c>
      <c r="G35" s="147">
        <v>277795</v>
      </c>
      <c r="H35" s="149">
        <v>1.9027673561725147</v>
      </c>
      <c r="I35" s="149">
        <v>12.870871431237171</v>
      </c>
      <c r="J35" s="149">
        <v>18.102653930718631</v>
      </c>
      <c r="K35" s="149">
        <v>6882.7545615067684</v>
      </c>
      <c r="L35" s="149">
        <v>134.15544897460319</v>
      </c>
    </row>
    <row r="36" spans="2:12" ht="16.5" customHeight="1" x14ac:dyDescent="0.2">
      <c r="B36" s="448"/>
      <c r="C36" s="90" t="s">
        <v>437</v>
      </c>
      <c r="D36" s="469"/>
      <c r="E36" s="151"/>
      <c r="F36" s="150">
        <v>11751</v>
      </c>
      <c r="G36" s="150">
        <v>24109</v>
      </c>
      <c r="H36" s="152"/>
      <c r="I36" s="152">
        <v>1.2748603739850806</v>
      </c>
      <c r="J36" s="152">
        <v>1.5710753743432946</v>
      </c>
      <c r="K36" s="152"/>
      <c r="L36" s="152">
        <v>105.16551782826994</v>
      </c>
    </row>
    <row r="37" spans="2:12" ht="16.5" customHeight="1" thickBot="1" x14ac:dyDescent="0.25">
      <c r="B37" s="449"/>
      <c r="C37" s="358" t="s">
        <v>17</v>
      </c>
      <c r="D37" s="92" t="s">
        <v>264</v>
      </c>
      <c r="E37" s="153">
        <v>1699</v>
      </c>
      <c r="F37" s="153">
        <v>130388</v>
      </c>
      <c r="G37" s="153">
        <v>301904</v>
      </c>
      <c r="H37" s="155">
        <v>1.9027673561725147</v>
      </c>
      <c r="I37" s="155">
        <v>14.145731805222251</v>
      </c>
      <c r="J37" s="155">
        <v>19.673729305061926</v>
      </c>
      <c r="K37" s="155">
        <v>7574.3967039434965</v>
      </c>
      <c r="L37" s="155">
        <v>131.54278001043042</v>
      </c>
    </row>
    <row r="38" spans="2:12" ht="16.5" customHeight="1" x14ac:dyDescent="0.2">
      <c r="B38" s="451" t="s">
        <v>329</v>
      </c>
      <c r="C38" s="84" t="s">
        <v>439</v>
      </c>
      <c r="D38" s="472" t="s">
        <v>269</v>
      </c>
      <c r="E38" s="2"/>
      <c r="F38" s="284">
        <v>7771</v>
      </c>
      <c r="G38" s="284">
        <v>12257</v>
      </c>
      <c r="H38" s="3"/>
      <c r="I38" s="3">
        <v>0.84307207609889034</v>
      </c>
      <c r="J38" s="3">
        <v>0.79873370373411423</v>
      </c>
      <c r="K38" s="3"/>
      <c r="L38" s="3">
        <v>57.727448204864238</v>
      </c>
    </row>
    <row r="39" spans="2:12" ht="16.5" customHeight="1" x14ac:dyDescent="0.2">
      <c r="B39" s="451"/>
      <c r="C39" s="84" t="s">
        <v>443</v>
      </c>
      <c r="D39" s="472"/>
      <c r="E39" s="2"/>
      <c r="F39" s="284">
        <v>4673</v>
      </c>
      <c r="G39" s="284">
        <v>6420</v>
      </c>
      <c r="H39" s="3"/>
      <c r="I39" s="3">
        <v>0.50697153668898653</v>
      </c>
      <c r="J39" s="3">
        <v>0.41836259916562074</v>
      </c>
      <c r="K39" s="3"/>
      <c r="L39" s="3">
        <v>37.384977530494332</v>
      </c>
    </row>
    <row r="40" spans="2:12" ht="16.5" customHeight="1" x14ac:dyDescent="0.2">
      <c r="B40" s="451"/>
      <c r="C40" s="84" t="s">
        <v>440</v>
      </c>
      <c r="D40" s="472"/>
      <c r="E40" s="2"/>
      <c r="F40" s="284">
        <v>33572</v>
      </c>
      <c r="G40" s="284">
        <v>37700</v>
      </c>
      <c r="H40" s="3"/>
      <c r="I40" s="3">
        <v>3.6422102353354715</v>
      </c>
      <c r="J40" s="3">
        <v>2.4567398736049695</v>
      </c>
      <c r="K40" s="3"/>
      <c r="L40" s="3">
        <v>12.295960919814132</v>
      </c>
    </row>
    <row r="41" spans="2:12" ht="16.5" customHeight="1" thickBot="1" x14ac:dyDescent="0.25">
      <c r="B41" s="451"/>
      <c r="C41" s="359" t="s">
        <v>17</v>
      </c>
      <c r="D41" s="85" t="s">
        <v>264</v>
      </c>
      <c r="E41" s="145"/>
      <c r="F41" s="127">
        <v>46016</v>
      </c>
      <c r="G41" s="127">
        <v>56377</v>
      </c>
      <c r="H41" s="128"/>
      <c r="I41" s="128">
        <v>4.9922538481233483</v>
      </c>
      <c r="J41" s="128">
        <v>3.6738361765047043</v>
      </c>
      <c r="K41" s="128"/>
      <c r="L41" s="128">
        <v>22.516081363004172</v>
      </c>
    </row>
    <row r="42" spans="2:12" ht="16.5" customHeight="1" thickBot="1" x14ac:dyDescent="0.25">
      <c r="B42" s="158" t="s">
        <v>332</v>
      </c>
      <c r="C42" s="91" t="s">
        <v>447</v>
      </c>
      <c r="D42" s="87" t="s">
        <v>269</v>
      </c>
      <c r="E42" s="156">
        <v>39</v>
      </c>
      <c r="F42" s="283"/>
      <c r="G42" s="283"/>
      <c r="H42" s="157">
        <v>4.3677414297073613E-2</v>
      </c>
      <c r="I42" s="157"/>
      <c r="J42" s="157"/>
      <c r="K42" s="157">
        <v>-100</v>
      </c>
      <c r="L42" s="157"/>
    </row>
    <row r="43" spans="2:12" ht="16.5" customHeight="1" thickBot="1" x14ac:dyDescent="0.25">
      <c r="B43" s="158" t="s">
        <v>336</v>
      </c>
      <c r="C43" s="91" t="s">
        <v>451</v>
      </c>
      <c r="D43" s="87" t="s">
        <v>269</v>
      </c>
      <c r="E43" s="156">
        <v>1207</v>
      </c>
      <c r="F43" s="283"/>
      <c r="G43" s="283"/>
      <c r="H43" s="157">
        <v>1.3517599758094321</v>
      </c>
      <c r="I43" s="157"/>
      <c r="J43" s="157"/>
      <c r="K43" s="157">
        <v>-100</v>
      </c>
      <c r="L43" s="157"/>
    </row>
    <row r="44" spans="2:12" ht="16.5" customHeight="1" x14ac:dyDescent="0.2">
      <c r="B44" s="451" t="s">
        <v>341</v>
      </c>
      <c r="C44" s="84" t="s">
        <v>424</v>
      </c>
      <c r="D44" s="472" t="s">
        <v>269</v>
      </c>
      <c r="E44" s="284">
        <v>231</v>
      </c>
      <c r="F44" s="2"/>
      <c r="G44" s="2"/>
      <c r="H44" s="3">
        <v>0.25870468468266677</v>
      </c>
      <c r="I44" s="3"/>
      <c r="J44" s="3"/>
      <c r="K44" s="3">
        <v>-100</v>
      </c>
      <c r="L44" s="3"/>
    </row>
    <row r="45" spans="2:12" ht="16.5" customHeight="1" x14ac:dyDescent="0.2">
      <c r="B45" s="451"/>
      <c r="C45" s="84" t="s">
        <v>427</v>
      </c>
      <c r="D45" s="472"/>
      <c r="E45" s="284">
        <v>1</v>
      </c>
      <c r="F45" s="2"/>
      <c r="G45" s="2"/>
      <c r="H45" s="3">
        <v>1.1199336999249644E-3</v>
      </c>
      <c r="I45" s="3"/>
      <c r="J45" s="3"/>
      <c r="K45" s="3">
        <v>-100</v>
      </c>
      <c r="L45" s="3"/>
    </row>
    <row r="46" spans="2:12" ht="16.5" customHeight="1" x14ac:dyDescent="0.2">
      <c r="B46" s="451"/>
      <c r="C46" s="84" t="s">
        <v>423</v>
      </c>
      <c r="D46" s="472"/>
      <c r="E46" s="284">
        <v>14</v>
      </c>
      <c r="F46" s="2"/>
      <c r="G46" s="2"/>
      <c r="H46" s="3">
        <v>1.5679071798949503E-2</v>
      </c>
      <c r="I46" s="3"/>
      <c r="J46" s="3"/>
      <c r="K46" s="3">
        <v>-100</v>
      </c>
      <c r="L46" s="3"/>
    </row>
    <row r="47" spans="2:12" ht="16.5" customHeight="1" x14ac:dyDescent="0.2">
      <c r="B47" s="451"/>
      <c r="C47" s="84" t="s">
        <v>425</v>
      </c>
      <c r="D47" s="472"/>
      <c r="E47" s="284">
        <v>4</v>
      </c>
      <c r="F47" s="2"/>
      <c r="G47" s="2"/>
      <c r="H47" s="3">
        <v>4.4797347996998575E-3</v>
      </c>
      <c r="I47" s="3"/>
      <c r="J47" s="3"/>
      <c r="K47" s="3">
        <v>-100</v>
      </c>
      <c r="L47" s="3"/>
    </row>
    <row r="48" spans="2:12" ht="16.5" customHeight="1" thickBot="1" x14ac:dyDescent="0.25">
      <c r="B48" s="451"/>
      <c r="C48" s="359" t="s">
        <v>17</v>
      </c>
      <c r="D48" s="85" t="s">
        <v>264</v>
      </c>
      <c r="E48" s="127">
        <v>250</v>
      </c>
      <c r="F48" s="145"/>
      <c r="G48" s="145"/>
      <c r="H48" s="128">
        <v>0.27998342498124112</v>
      </c>
      <c r="I48" s="128"/>
      <c r="J48" s="128"/>
      <c r="K48" s="128">
        <v>-100</v>
      </c>
      <c r="L48" s="128"/>
    </row>
    <row r="49" spans="2:12" ht="16.5" customHeight="1" x14ac:dyDescent="0.2">
      <c r="B49" s="447" t="s">
        <v>342</v>
      </c>
      <c r="C49" s="89" t="s">
        <v>458</v>
      </c>
      <c r="D49" s="434" t="s">
        <v>269</v>
      </c>
      <c r="E49" s="148"/>
      <c r="F49" s="147">
        <v>84173</v>
      </c>
      <c r="G49" s="147">
        <v>95649</v>
      </c>
      <c r="H49" s="149"/>
      <c r="I49" s="149">
        <v>9.1318885422045941</v>
      </c>
      <c r="J49" s="149">
        <v>6.2330162379427509</v>
      </c>
      <c r="K49" s="149"/>
      <c r="L49" s="149">
        <v>13.6338255735212</v>
      </c>
    </row>
    <row r="50" spans="2:12" ht="16.5" customHeight="1" x14ac:dyDescent="0.2">
      <c r="B50" s="448"/>
      <c r="C50" s="90" t="s">
        <v>467</v>
      </c>
      <c r="D50" s="469"/>
      <c r="E50" s="151"/>
      <c r="F50" s="150">
        <v>181</v>
      </c>
      <c r="G50" s="151"/>
      <c r="H50" s="152"/>
      <c r="I50" s="152">
        <v>1.9636603496834274E-2</v>
      </c>
      <c r="J50" s="152"/>
      <c r="K50" s="152"/>
      <c r="L50" s="152">
        <v>-100</v>
      </c>
    </row>
    <row r="51" spans="2:12" ht="16.5" customHeight="1" x14ac:dyDescent="0.2">
      <c r="B51" s="448"/>
      <c r="C51" s="90" t="s">
        <v>465</v>
      </c>
      <c r="D51" s="469"/>
      <c r="E51" s="150">
        <v>196</v>
      </c>
      <c r="F51" s="150">
        <v>1507</v>
      </c>
      <c r="G51" s="151"/>
      <c r="H51" s="152">
        <v>0.21950700518529304</v>
      </c>
      <c r="I51" s="152">
        <v>0.16349370977750968</v>
      </c>
      <c r="J51" s="152"/>
      <c r="K51" s="152">
        <v>668.87755102040819</v>
      </c>
      <c r="L51" s="152">
        <v>-100</v>
      </c>
    </row>
    <row r="52" spans="2:12" ht="16.5" customHeight="1" x14ac:dyDescent="0.2">
      <c r="B52" s="448"/>
      <c r="C52" s="90" t="s">
        <v>464</v>
      </c>
      <c r="D52" s="469"/>
      <c r="E52" s="150">
        <v>45116</v>
      </c>
      <c r="F52" s="150">
        <v>36116</v>
      </c>
      <c r="G52" s="150">
        <v>61650</v>
      </c>
      <c r="H52" s="152">
        <v>50.526928805814698</v>
      </c>
      <c r="I52" s="152">
        <v>3.9182075795119706</v>
      </c>
      <c r="J52" s="152">
        <v>4.017453931239956</v>
      </c>
      <c r="K52" s="152">
        <v>-19.948577001507225</v>
      </c>
      <c r="L52" s="152">
        <v>70.699966773729102</v>
      </c>
    </row>
    <row r="53" spans="2:12" ht="16.5" customHeight="1" x14ac:dyDescent="0.2">
      <c r="B53" s="448"/>
      <c r="C53" s="90" t="s">
        <v>459</v>
      </c>
      <c r="D53" s="469"/>
      <c r="E53" s="151"/>
      <c r="F53" s="150">
        <v>216</v>
      </c>
      <c r="G53" s="150">
        <v>167</v>
      </c>
      <c r="H53" s="152"/>
      <c r="I53" s="152">
        <v>2.3433736769702781E-2</v>
      </c>
      <c r="J53" s="152">
        <v>1.0882640819417238E-2</v>
      </c>
      <c r="K53" s="152"/>
      <c r="L53" s="152">
        <v>-22.685185185185187</v>
      </c>
    </row>
    <row r="54" spans="2:12" ht="16.5" customHeight="1" x14ac:dyDescent="0.2">
      <c r="B54" s="448"/>
      <c r="C54" s="90" t="s">
        <v>460</v>
      </c>
      <c r="D54" s="469"/>
      <c r="E54" s="151"/>
      <c r="F54" s="150">
        <v>75032</v>
      </c>
      <c r="G54" s="150">
        <v>117915</v>
      </c>
      <c r="H54" s="152"/>
      <c r="I54" s="152">
        <v>8.1401858208534215</v>
      </c>
      <c r="J54" s="152">
        <v>7.6839915701891233</v>
      </c>
      <c r="K54" s="152"/>
      <c r="L54" s="152">
        <v>57.152948075487792</v>
      </c>
    </row>
    <row r="55" spans="2:12" ht="16.5" customHeight="1" thickBot="1" x14ac:dyDescent="0.25">
      <c r="B55" s="449"/>
      <c r="C55" s="358" t="s">
        <v>17</v>
      </c>
      <c r="D55" s="92" t="s">
        <v>264</v>
      </c>
      <c r="E55" s="153">
        <v>45312</v>
      </c>
      <c r="F55" s="153">
        <v>197225</v>
      </c>
      <c r="G55" s="153">
        <v>275381</v>
      </c>
      <c r="H55" s="155">
        <v>50.746435810999991</v>
      </c>
      <c r="I55" s="155">
        <v>21.396845992614033</v>
      </c>
      <c r="J55" s="155">
        <v>17.945344380191248</v>
      </c>
      <c r="K55" s="155">
        <v>335.25997528248587</v>
      </c>
      <c r="L55" s="155">
        <v>39.627836227658769</v>
      </c>
    </row>
    <row r="56" spans="2:12" ht="16.5" customHeight="1" x14ac:dyDescent="0.2">
      <c r="B56" s="451" t="s">
        <v>344</v>
      </c>
      <c r="C56" s="84" t="s">
        <v>471</v>
      </c>
      <c r="D56" s="472" t="s">
        <v>269</v>
      </c>
      <c r="E56" s="284">
        <v>24</v>
      </c>
      <c r="F56" s="284">
        <v>9</v>
      </c>
      <c r="G56" s="2"/>
      <c r="H56" s="3">
        <v>2.6878408798199145E-2</v>
      </c>
      <c r="I56" s="3">
        <v>9.764056987376159E-4</v>
      </c>
      <c r="J56" s="3"/>
      <c r="K56" s="3">
        <v>-62.5</v>
      </c>
      <c r="L56" s="3">
        <v>-100</v>
      </c>
    </row>
    <row r="57" spans="2:12" ht="16.5" customHeight="1" x14ac:dyDescent="0.2">
      <c r="B57" s="451"/>
      <c r="C57" s="84" t="s">
        <v>472</v>
      </c>
      <c r="D57" s="472"/>
      <c r="E57" s="284">
        <v>108</v>
      </c>
      <c r="F57" s="284">
        <v>336</v>
      </c>
      <c r="G57" s="284">
        <v>9899</v>
      </c>
      <c r="H57" s="3">
        <v>0.12095283959189616</v>
      </c>
      <c r="I57" s="3">
        <v>3.6452479419537664E-2</v>
      </c>
      <c r="J57" s="3">
        <v>0.64507342198449846</v>
      </c>
      <c r="K57" s="3">
        <v>211.11111111111111</v>
      </c>
      <c r="L57" s="3">
        <v>2846.1309523809523</v>
      </c>
    </row>
    <row r="58" spans="2:12" ht="16.5" customHeight="1" thickBot="1" x14ac:dyDescent="0.25">
      <c r="B58" s="451"/>
      <c r="C58" s="359" t="s">
        <v>17</v>
      </c>
      <c r="D58" s="85" t="s">
        <v>264</v>
      </c>
      <c r="E58" s="127">
        <v>132</v>
      </c>
      <c r="F58" s="127">
        <v>345</v>
      </c>
      <c r="G58" s="127">
        <v>9899</v>
      </c>
      <c r="H58" s="128">
        <v>0.14783124839009532</v>
      </c>
      <c r="I58" s="128">
        <v>3.7428885118275274E-2</v>
      </c>
      <c r="J58" s="128">
        <v>0.64507342198449846</v>
      </c>
      <c r="K58" s="128">
        <v>161.36363636363637</v>
      </c>
      <c r="L58" s="128">
        <v>2769.2753623188405</v>
      </c>
    </row>
    <row r="59" spans="2:12" ht="16.5" customHeight="1" thickBot="1" x14ac:dyDescent="0.25">
      <c r="B59" s="158" t="s">
        <v>346</v>
      </c>
      <c r="C59" s="91" t="s">
        <v>475</v>
      </c>
      <c r="D59" s="87" t="s">
        <v>269</v>
      </c>
      <c r="E59" s="156">
        <v>6308</v>
      </c>
      <c r="F59" s="283"/>
      <c r="G59" s="283"/>
      <c r="H59" s="157">
        <v>7.0645417791266754</v>
      </c>
      <c r="I59" s="157"/>
      <c r="J59" s="157"/>
      <c r="K59" s="157">
        <v>-100</v>
      </c>
      <c r="L59" s="157"/>
    </row>
    <row r="60" spans="2:12" ht="16.5" customHeight="1" x14ac:dyDescent="0.2">
      <c r="B60" s="451" t="s">
        <v>347</v>
      </c>
      <c r="C60" s="84" t="s">
        <v>477</v>
      </c>
      <c r="D60" s="472" t="s">
        <v>269</v>
      </c>
      <c r="E60" s="284">
        <v>9135</v>
      </c>
      <c r="F60" s="284">
        <v>4750</v>
      </c>
      <c r="G60" s="284">
        <v>4934</v>
      </c>
      <c r="H60" s="3">
        <v>10.230594348814551</v>
      </c>
      <c r="I60" s="3">
        <v>0.5153252298892973</v>
      </c>
      <c r="J60" s="3">
        <v>0.32152664552697396</v>
      </c>
      <c r="K60" s="3">
        <v>-48.002189381499726</v>
      </c>
      <c r="L60" s="3">
        <v>3.8736842105263158</v>
      </c>
    </row>
    <row r="61" spans="2:12" ht="16.5" customHeight="1" x14ac:dyDescent="0.2">
      <c r="B61" s="451"/>
      <c r="C61" s="84" t="s">
        <v>358</v>
      </c>
      <c r="D61" s="472"/>
      <c r="E61" s="284">
        <v>2272</v>
      </c>
      <c r="F61" s="284">
        <v>479</v>
      </c>
      <c r="G61" s="284">
        <v>378</v>
      </c>
      <c r="H61" s="3">
        <v>2.5444893662295192</v>
      </c>
      <c r="I61" s="3">
        <v>5.1966481077257556E-2</v>
      </c>
      <c r="J61" s="3">
        <v>2.463256424993842E-2</v>
      </c>
      <c r="K61" s="3">
        <v>-78.917253521126767</v>
      </c>
      <c r="L61" s="3">
        <v>-21.085594989561585</v>
      </c>
    </row>
    <row r="62" spans="2:12" ht="16.5" customHeight="1" x14ac:dyDescent="0.2">
      <c r="B62" s="451"/>
      <c r="C62" s="84" t="s">
        <v>476</v>
      </c>
      <c r="D62" s="472"/>
      <c r="E62" s="284">
        <v>9540</v>
      </c>
      <c r="F62" s="284">
        <v>2584</v>
      </c>
      <c r="G62" s="284">
        <v>2870</v>
      </c>
      <c r="H62" s="3">
        <v>10.684167497284161</v>
      </c>
      <c r="I62" s="3">
        <v>0.28033692505977775</v>
      </c>
      <c r="J62" s="3">
        <v>0.18702502486064354</v>
      </c>
      <c r="K62" s="3">
        <v>-72.914046121593287</v>
      </c>
      <c r="L62" s="3">
        <v>11.06811145510836</v>
      </c>
    </row>
    <row r="63" spans="2:12" ht="16.5" customHeight="1" thickBot="1" x14ac:dyDescent="0.25">
      <c r="B63" s="451"/>
      <c r="C63" s="359" t="s">
        <v>17</v>
      </c>
      <c r="D63" s="85" t="s">
        <v>264</v>
      </c>
      <c r="E63" s="127">
        <v>20947</v>
      </c>
      <c r="F63" s="127">
        <v>7813</v>
      </c>
      <c r="G63" s="127">
        <v>8182</v>
      </c>
      <c r="H63" s="128">
        <v>23.45925121232823</v>
      </c>
      <c r="I63" s="128">
        <v>0.84762863602633254</v>
      </c>
      <c r="J63" s="128">
        <v>0.53318423463755593</v>
      </c>
      <c r="K63" s="128">
        <v>-62.701102783214779</v>
      </c>
      <c r="L63" s="128">
        <v>4.722897734544989</v>
      </c>
    </row>
    <row r="64" spans="2:12" ht="16.5" customHeight="1" thickBot="1" x14ac:dyDescent="0.25">
      <c r="B64" s="158" t="s">
        <v>348</v>
      </c>
      <c r="C64" s="91" t="s">
        <v>479</v>
      </c>
      <c r="D64" s="87" t="s">
        <v>269</v>
      </c>
      <c r="E64" s="283"/>
      <c r="F64" s="156">
        <v>11602</v>
      </c>
      <c r="G64" s="156">
        <v>13252</v>
      </c>
      <c r="H64" s="157"/>
      <c r="I64" s="157">
        <v>1.2586954351948689</v>
      </c>
      <c r="J64" s="157">
        <v>0.86357339005339662</v>
      </c>
      <c r="K64" s="157"/>
      <c r="L64" s="157">
        <v>14.221685916221341</v>
      </c>
    </row>
    <row r="65" spans="2:12" ht="16.5" customHeight="1" thickBot="1" x14ac:dyDescent="0.25">
      <c r="B65" s="158" t="s">
        <v>352</v>
      </c>
      <c r="C65" s="91" t="s">
        <v>485</v>
      </c>
      <c r="D65" s="87" t="s">
        <v>269</v>
      </c>
      <c r="E65" s="156">
        <v>175</v>
      </c>
      <c r="F65" s="156">
        <v>1869</v>
      </c>
      <c r="G65" s="156">
        <v>3403</v>
      </c>
      <c r="H65" s="157">
        <v>0.19598839748686878</v>
      </c>
      <c r="I65" s="157">
        <v>0.20276691677117825</v>
      </c>
      <c r="J65" s="157">
        <v>0.2217582437633345</v>
      </c>
      <c r="K65" s="157">
        <v>968</v>
      </c>
      <c r="L65" s="157">
        <v>82.075976457998934</v>
      </c>
    </row>
    <row r="66" spans="2:12" ht="16.5" customHeight="1" thickBot="1" x14ac:dyDescent="0.25">
      <c r="B66" s="158" t="s">
        <v>353</v>
      </c>
      <c r="C66" s="91" t="s">
        <v>486</v>
      </c>
      <c r="D66" s="87" t="s">
        <v>269</v>
      </c>
      <c r="E66" s="156">
        <v>3003</v>
      </c>
      <c r="F66" s="156">
        <v>4552</v>
      </c>
      <c r="G66" s="156">
        <v>15034</v>
      </c>
      <c r="H66" s="157">
        <v>3.3631609008746683</v>
      </c>
      <c r="I66" s="157">
        <v>0.49384430451706973</v>
      </c>
      <c r="J66" s="157">
        <v>0.97969833580310628</v>
      </c>
      <c r="K66" s="157">
        <v>51.581751581751583</v>
      </c>
      <c r="L66" s="157">
        <v>230.27240773286468</v>
      </c>
    </row>
    <row r="67" spans="2:12" ht="16.5" customHeight="1" thickBot="1" x14ac:dyDescent="0.25">
      <c r="B67" s="158" t="s">
        <v>356</v>
      </c>
      <c r="C67" s="91" t="s">
        <v>503</v>
      </c>
      <c r="D67" s="87" t="s">
        <v>269</v>
      </c>
      <c r="E67" s="156">
        <v>949</v>
      </c>
      <c r="F67" s="283"/>
      <c r="G67" s="283"/>
      <c r="H67" s="157">
        <v>1.0628170812287911</v>
      </c>
      <c r="I67" s="157"/>
      <c r="J67" s="157"/>
      <c r="K67" s="157">
        <v>-100</v>
      </c>
      <c r="L67" s="157"/>
    </row>
    <row r="68" spans="2:12" ht="16.5" customHeight="1" x14ac:dyDescent="0.2">
      <c r="B68" s="451" t="s">
        <v>357</v>
      </c>
      <c r="C68" s="84" t="s">
        <v>495</v>
      </c>
      <c r="D68" s="472" t="s">
        <v>269</v>
      </c>
      <c r="E68" s="2"/>
      <c r="F68" s="284">
        <v>442</v>
      </c>
      <c r="G68" s="284">
        <v>1462</v>
      </c>
      <c r="H68" s="3"/>
      <c r="I68" s="3">
        <v>4.7952368760225135E-2</v>
      </c>
      <c r="J68" s="3">
        <v>9.5271981305317374E-2</v>
      </c>
      <c r="K68" s="3"/>
      <c r="L68" s="3">
        <v>230.76923076923077</v>
      </c>
    </row>
    <row r="69" spans="2:12" ht="16.5" customHeight="1" x14ac:dyDescent="0.2">
      <c r="B69" s="451"/>
      <c r="C69" s="84" t="s">
        <v>496</v>
      </c>
      <c r="D69" s="472"/>
      <c r="E69" s="2"/>
      <c r="F69" s="284">
        <v>1140</v>
      </c>
      <c r="G69" s="284">
        <v>2641</v>
      </c>
      <c r="H69" s="3"/>
      <c r="I69" s="3">
        <v>0.12367805517343135</v>
      </c>
      <c r="J69" s="3">
        <v>0.1721021221801253</v>
      </c>
      <c r="K69" s="3"/>
      <c r="L69" s="3">
        <v>131.66666666666666</v>
      </c>
    </row>
    <row r="70" spans="2:12" ht="16.5" customHeight="1" x14ac:dyDescent="0.2">
      <c r="B70" s="451"/>
      <c r="C70" s="84" t="s">
        <v>494</v>
      </c>
      <c r="D70" s="472"/>
      <c r="E70" s="2"/>
      <c r="F70" s="284">
        <v>1944</v>
      </c>
      <c r="G70" s="284">
        <v>4232</v>
      </c>
      <c r="H70" s="3"/>
      <c r="I70" s="3">
        <v>0.21090363092732503</v>
      </c>
      <c r="J70" s="3">
        <v>0.27578045477708835</v>
      </c>
      <c r="K70" s="3"/>
      <c r="L70" s="3">
        <v>117.6954732510288</v>
      </c>
    </row>
    <row r="71" spans="2:12" ht="16.5" customHeight="1" thickBot="1" x14ac:dyDescent="0.25">
      <c r="B71" s="451"/>
      <c r="C71" s="359" t="s">
        <v>17</v>
      </c>
      <c r="D71" s="146" t="s">
        <v>264</v>
      </c>
      <c r="E71" s="145"/>
      <c r="F71" s="127">
        <v>3526</v>
      </c>
      <c r="G71" s="127">
        <v>8335</v>
      </c>
      <c r="H71" s="128"/>
      <c r="I71" s="128">
        <v>0.38253405486098152</v>
      </c>
      <c r="J71" s="128">
        <v>0.54315455826253101</v>
      </c>
      <c r="K71" s="128"/>
      <c r="L71" s="128">
        <v>136.38684061259218</v>
      </c>
    </row>
    <row r="72" spans="2:12" ht="16.5" customHeight="1" thickBot="1" x14ac:dyDescent="0.25">
      <c r="B72" s="64" t="s">
        <v>17</v>
      </c>
      <c r="C72" s="91" t="s">
        <v>264</v>
      </c>
      <c r="D72" s="158"/>
      <c r="E72" s="156">
        <v>89291</v>
      </c>
      <c r="F72" s="156">
        <v>921748</v>
      </c>
      <c r="G72" s="156">
        <v>1534554</v>
      </c>
      <c r="H72" s="157">
        <v>100</v>
      </c>
      <c r="I72" s="157">
        <v>100</v>
      </c>
      <c r="J72" s="157">
        <v>100</v>
      </c>
      <c r="K72" s="157">
        <v>932.29664803843616</v>
      </c>
      <c r="L72" s="157">
        <v>66.483030068955941</v>
      </c>
    </row>
  </sheetData>
  <mergeCells count="31">
    <mergeCell ref="B38:B41"/>
    <mergeCell ref="D38:D40"/>
    <mergeCell ref="B68:B71"/>
    <mergeCell ref="D68:D70"/>
    <mergeCell ref="B44:B48"/>
    <mergeCell ref="D44:D47"/>
    <mergeCell ref="B49:B55"/>
    <mergeCell ref="D49:D54"/>
    <mergeCell ref="B56:B58"/>
    <mergeCell ref="D56:D57"/>
    <mergeCell ref="B60:B63"/>
    <mergeCell ref="D60:D62"/>
    <mergeCell ref="D22:D28"/>
    <mergeCell ref="B31:B34"/>
    <mergeCell ref="D31:D33"/>
    <mergeCell ref="B35:B37"/>
    <mergeCell ref="D35:D36"/>
    <mergeCell ref="B22:B29"/>
    <mergeCell ref="D5:D7"/>
    <mergeCell ref="B1:L1"/>
    <mergeCell ref="E3:G3"/>
    <mergeCell ref="H3:J3"/>
    <mergeCell ref="K3:L3"/>
    <mergeCell ref="B5:B8"/>
    <mergeCell ref="B4:D4"/>
    <mergeCell ref="B9:B14"/>
    <mergeCell ref="D9:D13"/>
    <mergeCell ref="B15:B17"/>
    <mergeCell ref="D15:D16"/>
    <mergeCell ref="B18:B20"/>
    <mergeCell ref="D18:D19"/>
  </mergeCells>
  <printOptions horizontalCentered="1"/>
  <pageMargins left="0.19685039370078741" right="0.19685039370078741" top="0.15748031496062992" bottom="0.15748031496062992" header="0.15748031496062992" footer="0.15748031496062992"/>
  <pageSetup scale="6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A1:G18"/>
  <sheetViews>
    <sheetView view="pageBreakPreview" zoomScaleNormal="100" zoomScaleSheetLayoutView="100" workbookViewId="0"/>
  </sheetViews>
  <sheetFormatPr defaultColWidth="9.140625" defaultRowHeight="12.75" x14ac:dyDescent="0.2"/>
  <cols>
    <col min="1" max="1" width="9.140625" style="129"/>
    <col min="2" max="2" width="15.7109375" style="6" customWidth="1"/>
    <col min="3" max="5" width="14.7109375" customWidth="1"/>
    <col min="6" max="7" width="15.7109375" customWidth="1"/>
  </cols>
  <sheetData>
    <row r="1" spans="2:7" ht="18" customHeight="1" x14ac:dyDescent="0.2">
      <c r="B1" s="483" t="s">
        <v>630</v>
      </c>
      <c r="C1" s="485"/>
      <c r="D1" s="485"/>
      <c r="E1" s="485"/>
      <c r="F1" s="485"/>
      <c r="G1" s="485"/>
    </row>
    <row r="2" spans="2:7" s="129" customFormat="1" ht="18" customHeight="1" thickBot="1" x14ac:dyDescent="0.25">
      <c r="B2" s="133"/>
    </row>
    <row r="3" spans="2:7" ht="18" customHeight="1" thickBot="1" x14ac:dyDescent="0.25">
      <c r="B3" s="131" t="s">
        <v>264</v>
      </c>
      <c r="C3" s="486" t="s">
        <v>1</v>
      </c>
      <c r="D3" s="486"/>
      <c r="E3" s="486"/>
      <c r="F3" s="486" t="s">
        <v>266</v>
      </c>
      <c r="G3" s="486"/>
    </row>
    <row r="4" spans="2:7" ht="18" customHeight="1" thickBot="1" x14ac:dyDescent="0.25">
      <c r="B4" s="132" t="s">
        <v>265</v>
      </c>
      <c r="C4" s="93">
        <v>2021</v>
      </c>
      <c r="D4" s="93">
        <v>2022</v>
      </c>
      <c r="E4" s="93">
        <v>2023</v>
      </c>
      <c r="F4" s="88" t="s">
        <v>589</v>
      </c>
      <c r="G4" s="88" t="s">
        <v>607</v>
      </c>
    </row>
    <row r="5" spans="2:7" ht="18" customHeight="1" x14ac:dyDescent="0.2">
      <c r="B5" s="130" t="s">
        <v>5</v>
      </c>
      <c r="C5" s="165">
        <v>582216</v>
      </c>
      <c r="D5" s="165">
        <v>1608241</v>
      </c>
      <c r="E5" s="165">
        <v>2342645</v>
      </c>
      <c r="F5" s="170">
        <v>176.22755128680765</v>
      </c>
      <c r="G5" s="170">
        <v>45.665046470025324</v>
      </c>
    </row>
    <row r="6" spans="2:7" ht="18" customHeight="1" x14ac:dyDescent="0.2">
      <c r="B6" s="130" t="s">
        <v>6</v>
      </c>
      <c r="C6" s="165">
        <v>506266</v>
      </c>
      <c r="D6" s="165">
        <v>1415758</v>
      </c>
      <c r="E6" s="165">
        <v>1957731</v>
      </c>
      <c r="F6" s="170">
        <v>179.64706300640376</v>
      </c>
      <c r="G6" s="170">
        <v>38.281471833463065</v>
      </c>
    </row>
    <row r="7" spans="2:7" ht="18" customHeight="1" x14ac:dyDescent="0.2">
      <c r="B7" s="130" t="s">
        <v>7</v>
      </c>
      <c r="C7" s="165">
        <v>776192</v>
      </c>
      <c r="D7" s="165">
        <v>1969106</v>
      </c>
      <c r="E7" s="165">
        <v>2310660</v>
      </c>
      <c r="F7" s="170">
        <v>153.68800502968338</v>
      </c>
      <c r="G7" s="170">
        <v>17.345638071287173</v>
      </c>
    </row>
    <row r="8" spans="2:7" ht="18" customHeight="1" x14ac:dyDescent="0.2">
      <c r="B8" s="130" t="s">
        <v>8</v>
      </c>
      <c r="C8" s="165">
        <v>910230</v>
      </c>
      <c r="D8" s="165">
        <v>2403043</v>
      </c>
      <c r="E8" s="165">
        <v>2977645</v>
      </c>
      <c r="F8" s="170">
        <v>164.00393307186096</v>
      </c>
      <c r="G8" s="170">
        <v>23.911432296467439</v>
      </c>
    </row>
    <row r="9" spans="2:7" ht="18" customHeight="1" x14ac:dyDescent="0.2">
      <c r="B9" s="130" t="s">
        <v>9</v>
      </c>
      <c r="C9" s="165">
        <v>766928</v>
      </c>
      <c r="D9" s="165">
        <v>3500731</v>
      </c>
      <c r="E9" s="165">
        <v>4181534</v>
      </c>
      <c r="F9" s="170">
        <v>356.46149312582145</v>
      </c>
      <c r="G9" s="170">
        <v>19.447452546339608</v>
      </c>
    </row>
    <row r="10" spans="2:7" ht="18" customHeight="1" x14ac:dyDescent="0.2">
      <c r="B10" s="130" t="s">
        <v>10</v>
      </c>
      <c r="C10" s="165">
        <v>1507737</v>
      </c>
      <c r="D10" s="165">
        <v>4538431</v>
      </c>
      <c r="E10" s="165">
        <v>5210962</v>
      </c>
      <c r="F10" s="170">
        <v>201.00945987264356</v>
      </c>
      <c r="G10" s="170">
        <v>14.81857937247476</v>
      </c>
    </row>
    <row r="11" spans="2:7" ht="18" customHeight="1" x14ac:dyDescent="0.2">
      <c r="B11" s="130" t="s">
        <v>11</v>
      </c>
      <c r="C11" s="165">
        <v>3350237</v>
      </c>
      <c r="D11" s="165">
        <v>5713250</v>
      </c>
      <c r="E11" s="165">
        <v>6255588</v>
      </c>
      <c r="F11" s="170">
        <v>70.532711566375752</v>
      </c>
      <c r="G11" s="170">
        <v>9.4926355401916602</v>
      </c>
    </row>
    <row r="12" spans="2:7" ht="18" customHeight="1" x14ac:dyDescent="0.2">
      <c r="B12" s="130" t="s">
        <v>12</v>
      </c>
      <c r="C12" s="165">
        <v>4593059</v>
      </c>
      <c r="D12" s="165">
        <v>7101168</v>
      </c>
      <c r="E12" s="165">
        <v>7480707</v>
      </c>
      <c r="F12" s="170">
        <v>54.606505163552221</v>
      </c>
      <c r="G12" s="170">
        <v>5.3447404708633846</v>
      </c>
    </row>
    <row r="13" spans="2:7" ht="18" customHeight="1" x14ac:dyDescent="0.2">
      <c r="B13" s="130" t="s">
        <v>13</v>
      </c>
      <c r="C13" s="165">
        <v>3664055</v>
      </c>
      <c r="D13" s="165">
        <v>5881570</v>
      </c>
      <c r="E13" s="165">
        <v>6078183</v>
      </c>
      <c r="F13" s="170">
        <v>60.520789125709086</v>
      </c>
      <c r="G13" s="170">
        <v>3.3428659354560093</v>
      </c>
    </row>
    <row r="14" spans="2:7" ht="18" customHeight="1" x14ac:dyDescent="0.2">
      <c r="B14" s="130" t="s">
        <v>14</v>
      </c>
      <c r="C14" s="165">
        <v>3802633</v>
      </c>
      <c r="D14" s="165">
        <v>5230041</v>
      </c>
      <c r="E14" s="165">
        <v>5556992</v>
      </c>
      <c r="F14" s="170">
        <v>37.537358982578652</v>
      </c>
      <c r="G14" s="170">
        <v>6.25140414769215</v>
      </c>
    </row>
    <row r="15" spans="2:7" ht="18" customHeight="1" x14ac:dyDescent="0.2">
      <c r="B15" s="130" t="s">
        <v>15</v>
      </c>
      <c r="C15" s="165">
        <v>2102260</v>
      </c>
      <c r="D15" s="165">
        <v>2958804</v>
      </c>
      <c r="E15" s="165">
        <v>2973631</v>
      </c>
      <c r="F15" s="170">
        <v>40.743961260738445</v>
      </c>
      <c r="G15" s="170">
        <v>0.50111463956382374</v>
      </c>
    </row>
    <row r="16" spans="2:7" ht="18" customHeight="1" thickBot="1" x14ac:dyDescent="0.25">
      <c r="B16" s="130" t="s">
        <v>16</v>
      </c>
      <c r="C16" s="165">
        <v>1671443</v>
      </c>
      <c r="D16" s="165">
        <v>2266424</v>
      </c>
      <c r="E16" s="165">
        <v>2323253</v>
      </c>
      <c r="F16" s="170">
        <v>35.596846557136558</v>
      </c>
      <c r="G16" s="170">
        <v>2.5074302072339507</v>
      </c>
    </row>
    <row r="17" spans="2:7" ht="18" customHeight="1" thickBot="1" x14ac:dyDescent="0.25">
      <c r="B17" s="166" t="s">
        <v>17</v>
      </c>
      <c r="C17" s="167">
        <v>24233256</v>
      </c>
      <c r="D17" s="167">
        <v>44586567</v>
      </c>
      <c r="E17" s="167">
        <v>49649531</v>
      </c>
      <c r="F17" s="171">
        <v>83.989171739860296</v>
      </c>
      <c r="G17" s="171">
        <v>11.355357320961716</v>
      </c>
    </row>
    <row r="18" spans="2:7" ht="12" customHeight="1" x14ac:dyDescent="0.2"/>
  </sheetData>
  <mergeCells count="3">
    <mergeCell ref="B1:G1"/>
    <mergeCell ref="C3:E3"/>
    <mergeCell ref="F3:G3"/>
  </mergeCells>
  <printOptions horizontalCentered="1"/>
  <pageMargins left="0.59055118110236227" right="0.59055118110236227" top="0.98425196850393704" bottom="0.98425196850393704" header="0.51181102362204722" footer="0.51181102362204722"/>
  <pageSetup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B1:H122"/>
  <sheetViews>
    <sheetView view="pageBreakPreview" zoomScaleNormal="100" zoomScaleSheetLayoutView="100" workbookViewId="0"/>
  </sheetViews>
  <sheetFormatPr defaultColWidth="9.140625" defaultRowHeight="12" x14ac:dyDescent="0.2"/>
  <cols>
    <col min="1" max="1" width="9.140625" style="94"/>
    <col min="2" max="2" width="30.42578125" style="96" customWidth="1"/>
    <col min="3" max="7" width="13" style="94" customWidth="1"/>
    <col min="8" max="8" width="11.140625" style="94" customWidth="1"/>
    <col min="9" max="9" width="9.140625" style="94" customWidth="1"/>
    <col min="10" max="16384" width="9.140625" style="94"/>
  </cols>
  <sheetData>
    <row r="1" spans="2:8" ht="30" customHeight="1" x14ac:dyDescent="0.2">
      <c r="B1" s="491" t="s">
        <v>631</v>
      </c>
      <c r="C1" s="492"/>
      <c r="D1" s="492"/>
      <c r="E1" s="492"/>
      <c r="F1" s="492"/>
      <c r="G1" s="492"/>
      <c r="H1" s="492"/>
    </row>
    <row r="2" spans="2:8" ht="12.75" customHeight="1" thickBot="1" x14ac:dyDescent="0.25">
      <c r="B2" s="169"/>
    </row>
    <row r="3" spans="2:8" ht="12.75" customHeight="1" thickBot="1" x14ac:dyDescent="0.25">
      <c r="B3" s="69" t="s">
        <v>264</v>
      </c>
      <c r="C3" s="452" t="s">
        <v>268</v>
      </c>
      <c r="D3" s="452"/>
      <c r="E3" s="452"/>
      <c r="F3" s="452"/>
      <c r="G3" s="493" t="s">
        <v>17</v>
      </c>
      <c r="H3" s="494" t="s">
        <v>273</v>
      </c>
    </row>
    <row r="4" spans="2:8" ht="12.75" customHeight="1" thickBot="1" x14ac:dyDescent="0.25">
      <c r="B4" s="163" t="s">
        <v>267</v>
      </c>
      <c r="C4" s="177" t="s">
        <v>558</v>
      </c>
      <c r="D4" s="177" t="s">
        <v>297</v>
      </c>
      <c r="E4" s="177" t="s">
        <v>298</v>
      </c>
      <c r="F4" s="177" t="s">
        <v>299</v>
      </c>
      <c r="G4" s="493"/>
      <c r="H4" s="494"/>
    </row>
    <row r="5" spans="2:8" ht="12.75" customHeight="1" x14ac:dyDescent="0.2">
      <c r="B5" s="46" t="s">
        <v>63</v>
      </c>
      <c r="C5" s="47">
        <v>711</v>
      </c>
      <c r="D5" s="47">
        <v>293173</v>
      </c>
      <c r="E5" s="47">
        <v>318</v>
      </c>
      <c r="F5" s="47">
        <v>7</v>
      </c>
      <c r="G5" s="60">
        <v>294209</v>
      </c>
      <c r="H5" s="48">
        <v>0.59257155923587679</v>
      </c>
    </row>
    <row r="6" spans="2:8" ht="12.75" customHeight="1" x14ac:dyDescent="0.2">
      <c r="B6" s="46" t="s">
        <v>85</v>
      </c>
      <c r="C6" s="47">
        <v>1966</v>
      </c>
      <c r="D6" s="47">
        <v>247150</v>
      </c>
      <c r="E6" s="47">
        <v>1083</v>
      </c>
      <c r="F6" s="47">
        <v>36</v>
      </c>
      <c r="G6" s="60">
        <v>250235</v>
      </c>
      <c r="H6" s="48">
        <v>0.50400274677317702</v>
      </c>
    </row>
    <row r="7" spans="2:8" ht="12.75" customHeight="1" x14ac:dyDescent="0.2">
      <c r="B7" s="46" t="s">
        <v>105</v>
      </c>
      <c r="C7" s="47">
        <v>5644</v>
      </c>
      <c r="D7" s="47">
        <v>62417</v>
      </c>
      <c r="E7" s="47">
        <v>273</v>
      </c>
      <c r="F7" s="49">
        <v>20</v>
      </c>
      <c r="G7" s="60">
        <v>68354</v>
      </c>
      <c r="H7" s="48">
        <v>0.13767300238948885</v>
      </c>
    </row>
    <row r="8" spans="2:8" ht="12.75" customHeight="1" x14ac:dyDescent="0.2">
      <c r="B8" s="46" t="s">
        <v>155</v>
      </c>
      <c r="C8" s="47">
        <v>2468</v>
      </c>
      <c r="D8" s="47">
        <v>198010</v>
      </c>
      <c r="E8" s="47">
        <v>366</v>
      </c>
      <c r="F8" s="49">
        <v>6</v>
      </c>
      <c r="G8" s="60">
        <v>200850</v>
      </c>
      <c r="H8" s="48">
        <v>0.40453554334682434</v>
      </c>
    </row>
    <row r="9" spans="2:8" ht="12.75" customHeight="1" x14ac:dyDescent="0.2">
      <c r="B9" s="46" t="s">
        <v>173</v>
      </c>
      <c r="C9" s="47">
        <v>7990</v>
      </c>
      <c r="D9" s="47">
        <v>174653</v>
      </c>
      <c r="E9" s="47">
        <v>381</v>
      </c>
      <c r="F9" s="49">
        <v>12</v>
      </c>
      <c r="G9" s="60">
        <v>183036</v>
      </c>
      <c r="H9" s="48">
        <v>0.36865605034617549</v>
      </c>
    </row>
    <row r="10" spans="2:8" ht="12.75" customHeight="1" x14ac:dyDescent="0.2">
      <c r="B10" s="46" t="s">
        <v>227</v>
      </c>
      <c r="C10" s="47">
        <v>36</v>
      </c>
      <c r="D10" s="47">
        <v>19312</v>
      </c>
      <c r="E10" s="47">
        <v>24</v>
      </c>
      <c r="F10" s="49"/>
      <c r="G10" s="60">
        <v>19372</v>
      </c>
      <c r="H10" s="48">
        <v>3.9017488402861247E-2</v>
      </c>
    </row>
    <row r="11" spans="2:8" ht="12.75" customHeight="1" x14ac:dyDescent="0.2">
      <c r="B11" s="46" t="s">
        <v>243</v>
      </c>
      <c r="C11" s="47">
        <v>1085</v>
      </c>
      <c r="D11" s="47">
        <v>174455</v>
      </c>
      <c r="E11" s="47">
        <v>585</v>
      </c>
      <c r="F11" s="49">
        <v>20</v>
      </c>
      <c r="G11" s="60">
        <v>176145</v>
      </c>
      <c r="H11" s="48">
        <v>0.35477676516219259</v>
      </c>
    </row>
    <row r="12" spans="2:8" ht="12.75" customHeight="1" thickBot="1" x14ac:dyDescent="0.25">
      <c r="B12" s="46" t="s">
        <v>274</v>
      </c>
      <c r="C12" s="47">
        <v>3437</v>
      </c>
      <c r="D12" s="47">
        <v>224372</v>
      </c>
      <c r="E12" s="47">
        <v>306</v>
      </c>
      <c r="F12" s="49">
        <v>8</v>
      </c>
      <c r="G12" s="60">
        <v>228123</v>
      </c>
      <c r="H12" s="48">
        <v>0.45946657582727218</v>
      </c>
    </row>
    <row r="13" spans="2:8" ht="12.75" customHeight="1" thickBot="1" x14ac:dyDescent="0.25">
      <c r="B13" s="104" t="s">
        <v>275</v>
      </c>
      <c r="C13" s="100">
        <v>23337</v>
      </c>
      <c r="D13" s="100">
        <v>1393542</v>
      </c>
      <c r="E13" s="100">
        <v>3336</v>
      </c>
      <c r="F13" s="100">
        <v>109</v>
      </c>
      <c r="G13" s="57">
        <v>1420324</v>
      </c>
      <c r="H13" s="101">
        <v>2.8606997314838685</v>
      </c>
    </row>
    <row r="14" spans="2:8" ht="12.75" customHeight="1" x14ac:dyDescent="0.2">
      <c r="B14" s="46" t="s">
        <v>29</v>
      </c>
      <c r="C14" s="47">
        <v>10525</v>
      </c>
      <c r="D14" s="47">
        <v>37415</v>
      </c>
      <c r="E14" s="47">
        <v>404</v>
      </c>
      <c r="F14" s="49">
        <v>57</v>
      </c>
      <c r="G14" s="60">
        <v>48401</v>
      </c>
      <c r="H14" s="48">
        <v>9.7485311593376381E-2</v>
      </c>
    </row>
    <row r="15" spans="2:8" ht="12.75" customHeight="1" x14ac:dyDescent="0.2">
      <c r="B15" s="46" t="s">
        <v>56</v>
      </c>
      <c r="C15" s="47">
        <v>24998</v>
      </c>
      <c r="D15" s="47">
        <v>81025</v>
      </c>
      <c r="E15" s="47">
        <v>837</v>
      </c>
      <c r="F15" s="49">
        <v>73</v>
      </c>
      <c r="G15" s="60">
        <v>106933</v>
      </c>
      <c r="H15" s="48">
        <v>0.21537564977199886</v>
      </c>
    </row>
    <row r="16" spans="2:8" ht="12.75" customHeight="1" x14ac:dyDescent="0.2">
      <c r="B16" s="46" t="s">
        <v>140</v>
      </c>
      <c r="C16" s="47">
        <v>11036</v>
      </c>
      <c r="D16" s="47">
        <v>58022</v>
      </c>
      <c r="E16" s="47">
        <v>677</v>
      </c>
      <c r="F16" s="49">
        <v>71</v>
      </c>
      <c r="G16" s="60">
        <v>69806</v>
      </c>
      <c r="H16" s="48">
        <v>0.14059750131375864</v>
      </c>
    </row>
    <row r="17" spans="2:8" ht="12.75" customHeight="1" x14ac:dyDescent="0.2">
      <c r="B17" s="46" t="s">
        <v>233</v>
      </c>
      <c r="C17" s="47">
        <v>7640</v>
      </c>
      <c r="D17" s="47">
        <v>17776</v>
      </c>
      <c r="E17" s="47">
        <v>289</v>
      </c>
      <c r="F17" s="49">
        <v>53</v>
      </c>
      <c r="G17" s="60">
        <v>25758</v>
      </c>
      <c r="H17" s="48">
        <v>5.1879644140042327E-2</v>
      </c>
    </row>
    <row r="18" spans="2:8" ht="12.75" customHeight="1" x14ac:dyDescent="0.2">
      <c r="B18" s="46" t="s">
        <v>253</v>
      </c>
      <c r="C18" s="47">
        <v>1488</v>
      </c>
      <c r="D18" s="47">
        <v>21200</v>
      </c>
      <c r="E18" s="47">
        <v>104</v>
      </c>
      <c r="F18" s="49">
        <v>12</v>
      </c>
      <c r="G18" s="60">
        <v>22804</v>
      </c>
      <c r="H18" s="48">
        <v>4.5929940405680769E-2</v>
      </c>
    </row>
    <row r="19" spans="2:8" ht="12.75" customHeight="1" thickBot="1" x14ac:dyDescent="0.25">
      <c r="B19" s="46" t="s">
        <v>276</v>
      </c>
      <c r="C19" s="47">
        <v>7693</v>
      </c>
      <c r="D19" s="47">
        <v>39948</v>
      </c>
      <c r="E19" s="47">
        <v>897</v>
      </c>
      <c r="F19" s="49">
        <v>55</v>
      </c>
      <c r="G19" s="60">
        <v>48593</v>
      </c>
      <c r="H19" s="48">
        <v>9.7872022194932712E-2</v>
      </c>
    </row>
    <row r="20" spans="2:8" ht="12.75" customHeight="1" thickBot="1" x14ac:dyDescent="0.25">
      <c r="B20" s="104" t="s">
        <v>277</v>
      </c>
      <c r="C20" s="100">
        <v>63380</v>
      </c>
      <c r="D20" s="100">
        <v>255386</v>
      </c>
      <c r="E20" s="100">
        <v>3208</v>
      </c>
      <c r="F20" s="125">
        <v>321</v>
      </c>
      <c r="G20" s="57">
        <v>322295</v>
      </c>
      <c r="H20" s="101">
        <v>0.64914006941978963</v>
      </c>
    </row>
    <row r="21" spans="2:8" ht="12.75" customHeight="1" thickBot="1" x14ac:dyDescent="0.25">
      <c r="B21" s="104" t="s">
        <v>278</v>
      </c>
      <c r="C21" s="100">
        <v>3099</v>
      </c>
      <c r="D21" s="100">
        <v>45765</v>
      </c>
      <c r="E21" s="100">
        <v>1370</v>
      </c>
      <c r="F21" s="125">
        <v>14</v>
      </c>
      <c r="G21" s="57">
        <v>50248</v>
      </c>
      <c r="H21" s="101">
        <v>0.10120538701563968</v>
      </c>
    </row>
    <row r="22" spans="2:8" ht="12.75" customHeight="1" thickBot="1" x14ac:dyDescent="0.25">
      <c r="B22" s="104" t="s">
        <v>279</v>
      </c>
      <c r="C22" s="100">
        <v>8147</v>
      </c>
      <c r="D22" s="100">
        <v>24165</v>
      </c>
      <c r="E22" s="100">
        <v>188</v>
      </c>
      <c r="F22" s="125">
        <v>12</v>
      </c>
      <c r="G22" s="57">
        <v>32512</v>
      </c>
      <c r="H22" s="101">
        <v>6.5482995196873062E-2</v>
      </c>
    </row>
    <row r="23" spans="2:8" ht="12.75" customHeight="1" thickBot="1" x14ac:dyDescent="0.25">
      <c r="B23" s="104" t="s">
        <v>280</v>
      </c>
      <c r="C23" s="100">
        <v>74626</v>
      </c>
      <c r="D23" s="100">
        <v>325316</v>
      </c>
      <c r="E23" s="100">
        <v>4766</v>
      </c>
      <c r="F23" s="125">
        <v>347</v>
      </c>
      <c r="G23" s="57">
        <v>405055</v>
      </c>
      <c r="H23" s="101">
        <v>0.81582845163230244</v>
      </c>
    </row>
    <row r="24" spans="2:8" ht="12.75" customHeight="1" x14ac:dyDescent="0.2">
      <c r="B24" s="46" t="s">
        <v>37</v>
      </c>
      <c r="C24" s="47">
        <v>436</v>
      </c>
      <c r="D24" s="47">
        <v>64590</v>
      </c>
      <c r="E24" s="47">
        <v>237</v>
      </c>
      <c r="F24" s="49">
        <v>0</v>
      </c>
      <c r="G24" s="60">
        <v>65263</v>
      </c>
      <c r="H24" s="48">
        <v>0.13144736452797509</v>
      </c>
    </row>
    <row r="25" spans="2:8" ht="12.75" customHeight="1" x14ac:dyDescent="0.2">
      <c r="B25" s="46" t="s">
        <v>49</v>
      </c>
      <c r="C25" s="47">
        <v>375</v>
      </c>
      <c r="D25" s="47">
        <v>121233</v>
      </c>
      <c r="E25" s="47">
        <v>647</v>
      </c>
      <c r="F25" s="49"/>
      <c r="G25" s="60">
        <v>122255</v>
      </c>
      <c r="H25" s="48">
        <v>0.24623596142328111</v>
      </c>
    </row>
    <row r="26" spans="2:8" ht="12.75" customHeight="1" x14ac:dyDescent="0.2">
      <c r="B26" s="46" t="s">
        <v>116</v>
      </c>
      <c r="C26" s="47">
        <v>495</v>
      </c>
      <c r="D26" s="47">
        <v>508063</v>
      </c>
      <c r="E26" s="47">
        <v>578168</v>
      </c>
      <c r="F26" s="49">
        <v>21</v>
      </c>
      <c r="G26" s="60">
        <v>1086747</v>
      </c>
      <c r="H26" s="48">
        <v>2.1888363859872109</v>
      </c>
    </row>
    <row r="27" spans="2:8" ht="12.75" customHeight="1" x14ac:dyDescent="0.2">
      <c r="B27" s="46" t="s">
        <v>122</v>
      </c>
      <c r="C27" s="47">
        <v>57595</v>
      </c>
      <c r="D27" s="47">
        <v>714739</v>
      </c>
      <c r="E27" s="47">
        <v>6808</v>
      </c>
      <c r="F27" s="49">
        <v>35</v>
      </c>
      <c r="G27" s="60">
        <v>779177</v>
      </c>
      <c r="H27" s="48">
        <v>1.5693541999419893</v>
      </c>
    </row>
    <row r="28" spans="2:8" ht="12.75" customHeight="1" x14ac:dyDescent="0.2">
      <c r="B28" s="46" t="s">
        <v>134</v>
      </c>
      <c r="C28" s="47">
        <v>153</v>
      </c>
      <c r="D28" s="47">
        <v>67902</v>
      </c>
      <c r="E28" s="47">
        <v>335</v>
      </c>
      <c r="F28" s="49"/>
      <c r="G28" s="60">
        <v>68390</v>
      </c>
      <c r="H28" s="48">
        <v>0.13774551062728066</v>
      </c>
    </row>
    <row r="29" spans="2:8" ht="12.75" customHeight="1" x14ac:dyDescent="0.2">
      <c r="B29" s="46" t="s">
        <v>145</v>
      </c>
      <c r="C29" s="47">
        <v>913</v>
      </c>
      <c r="D29" s="47">
        <v>361974</v>
      </c>
      <c r="E29" s="47">
        <v>2074</v>
      </c>
      <c r="F29" s="49">
        <v>2</v>
      </c>
      <c r="G29" s="60">
        <v>364963</v>
      </c>
      <c r="H29" s="48">
        <v>0.73507844414481982</v>
      </c>
    </row>
    <row r="30" spans="2:8" ht="12.75" customHeight="1" x14ac:dyDescent="0.2">
      <c r="B30" s="46" t="s">
        <v>146</v>
      </c>
      <c r="C30" s="47">
        <v>25403</v>
      </c>
      <c r="D30" s="47">
        <v>170638</v>
      </c>
      <c r="E30" s="47">
        <v>1308</v>
      </c>
      <c r="F30" s="49">
        <v>5</v>
      </c>
      <c r="G30" s="60">
        <v>197354</v>
      </c>
      <c r="H30" s="48">
        <v>0.39749418781015272</v>
      </c>
    </row>
    <row r="31" spans="2:8" ht="12.75" customHeight="1" x14ac:dyDescent="0.2">
      <c r="B31" s="46" t="s">
        <v>158</v>
      </c>
      <c r="C31" s="47">
        <v>3678</v>
      </c>
      <c r="D31" s="47">
        <v>253531</v>
      </c>
      <c r="E31" s="47">
        <v>1926</v>
      </c>
      <c r="F31" s="49">
        <v>31</v>
      </c>
      <c r="G31" s="60">
        <v>259166</v>
      </c>
      <c r="H31" s="48">
        <v>0.52199083209869601</v>
      </c>
    </row>
    <row r="32" spans="2:8" ht="12.75" customHeight="1" x14ac:dyDescent="0.2">
      <c r="B32" s="46" t="s">
        <v>230</v>
      </c>
      <c r="C32" s="47">
        <v>1385</v>
      </c>
      <c r="D32" s="47">
        <v>809648</v>
      </c>
      <c r="E32" s="47">
        <v>9302</v>
      </c>
      <c r="F32" s="49">
        <v>5</v>
      </c>
      <c r="G32" s="60">
        <v>820340</v>
      </c>
      <c r="H32" s="48">
        <v>1.6522613275037785</v>
      </c>
    </row>
    <row r="33" spans="2:8" ht="12.75" customHeight="1" x14ac:dyDescent="0.2">
      <c r="B33" s="46" t="s">
        <v>250</v>
      </c>
      <c r="C33" s="47">
        <v>751</v>
      </c>
      <c r="D33" s="47">
        <v>383615</v>
      </c>
      <c r="E33" s="47">
        <v>8690</v>
      </c>
      <c r="F33" s="49">
        <v>20</v>
      </c>
      <c r="G33" s="60">
        <v>393076</v>
      </c>
      <c r="H33" s="48">
        <v>0.79170133550707655</v>
      </c>
    </row>
    <row r="34" spans="2:8" ht="12.75" customHeight="1" x14ac:dyDescent="0.2">
      <c r="B34" s="46" t="s">
        <v>257</v>
      </c>
      <c r="C34" s="47">
        <v>45</v>
      </c>
      <c r="D34" s="47">
        <v>36792</v>
      </c>
      <c r="E34" s="47">
        <v>126</v>
      </c>
      <c r="F34" s="49"/>
      <c r="G34" s="60">
        <v>36963</v>
      </c>
      <c r="H34" s="48">
        <v>7.4447833152744183E-2</v>
      </c>
    </row>
    <row r="35" spans="2:8" ht="12.75" customHeight="1" thickBot="1" x14ac:dyDescent="0.25">
      <c r="B35" s="46" t="s">
        <v>281</v>
      </c>
      <c r="C35" s="47">
        <v>8327</v>
      </c>
      <c r="D35" s="47">
        <v>341912</v>
      </c>
      <c r="E35" s="47">
        <v>311201</v>
      </c>
      <c r="F35" s="47">
        <v>5717</v>
      </c>
      <c r="G35" s="60">
        <v>667157</v>
      </c>
      <c r="H35" s="48">
        <v>1.3437327333464641</v>
      </c>
    </row>
    <row r="36" spans="2:8" ht="12.75" customHeight="1" thickBot="1" x14ac:dyDescent="0.25">
      <c r="B36" s="104" t="s">
        <v>282</v>
      </c>
      <c r="C36" s="100">
        <v>99556</v>
      </c>
      <c r="D36" s="100">
        <v>3834637</v>
      </c>
      <c r="E36" s="100">
        <v>920822</v>
      </c>
      <c r="F36" s="100">
        <v>5836</v>
      </c>
      <c r="G36" s="57">
        <v>4860851</v>
      </c>
      <c r="H36" s="101">
        <v>9.7903261160714692</v>
      </c>
    </row>
    <row r="37" spans="2:8" ht="12.75" customHeight="1" x14ac:dyDescent="0.2">
      <c r="B37" s="46" t="s">
        <v>38</v>
      </c>
      <c r="C37" s="47">
        <v>558</v>
      </c>
      <c r="D37" s="47">
        <v>23461</v>
      </c>
      <c r="E37" s="47">
        <v>65</v>
      </c>
      <c r="F37" s="49">
        <v>0</v>
      </c>
      <c r="G37" s="60">
        <v>24084</v>
      </c>
      <c r="H37" s="48">
        <v>4.850801108272302E-2</v>
      </c>
    </row>
    <row r="38" spans="2:8" ht="12.75" customHeight="1" x14ac:dyDescent="0.2">
      <c r="B38" s="46" t="s">
        <v>69</v>
      </c>
      <c r="C38" s="47">
        <v>8004</v>
      </c>
      <c r="D38" s="47">
        <v>236801</v>
      </c>
      <c r="E38" s="47">
        <v>1843</v>
      </c>
      <c r="F38" s="49">
        <v>70</v>
      </c>
      <c r="G38" s="60">
        <v>246718</v>
      </c>
      <c r="H38" s="48">
        <v>0.49691909476446011</v>
      </c>
    </row>
    <row r="39" spans="2:8" ht="12.75" customHeight="1" x14ac:dyDescent="0.2">
      <c r="B39" s="46" t="s">
        <v>78</v>
      </c>
      <c r="C39" s="47">
        <v>11230</v>
      </c>
      <c r="D39" s="47">
        <v>166645</v>
      </c>
      <c r="E39" s="47">
        <v>901</v>
      </c>
      <c r="F39" s="49">
        <v>17</v>
      </c>
      <c r="G39" s="60">
        <v>178793</v>
      </c>
      <c r="H39" s="48">
        <v>0.36011014887532372</v>
      </c>
    </row>
    <row r="40" spans="2:8" ht="12.75" customHeight="1" x14ac:dyDescent="0.2">
      <c r="B40" s="46" t="s">
        <v>88</v>
      </c>
      <c r="C40" s="47">
        <v>57496</v>
      </c>
      <c r="D40" s="47">
        <v>62575</v>
      </c>
      <c r="E40" s="47">
        <v>250</v>
      </c>
      <c r="F40" s="49">
        <v>3</v>
      </c>
      <c r="G40" s="60">
        <v>120324</v>
      </c>
      <c r="H40" s="48">
        <v>0.2423467001128369</v>
      </c>
    </row>
    <row r="41" spans="2:8" ht="12.75" customHeight="1" x14ac:dyDescent="0.2">
      <c r="B41" s="46" t="s">
        <v>112</v>
      </c>
      <c r="C41" s="47">
        <v>35808</v>
      </c>
      <c r="D41" s="47">
        <v>237478</v>
      </c>
      <c r="E41" s="47">
        <v>434</v>
      </c>
      <c r="F41" s="49">
        <v>19</v>
      </c>
      <c r="G41" s="60">
        <v>273739</v>
      </c>
      <c r="H41" s="48">
        <v>0.5513425695803652</v>
      </c>
    </row>
    <row r="42" spans="2:8" ht="12.75" customHeight="1" x14ac:dyDescent="0.2">
      <c r="B42" s="46" t="s">
        <v>119</v>
      </c>
      <c r="C42" s="47">
        <v>5331</v>
      </c>
      <c r="D42" s="47">
        <v>1342346</v>
      </c>
      <c r="E42" s="47">
        <v>1158327</v>
      </c>
      <c r="F42" s="47">
        <v>154</v>
      </c>
      <c r="G42" s="60">
        <v>2506158</v>
      </c>
      <c r="H42" s="48">
        <v>5.04769722799597</v>
      </c>
    </row>
    <row r="43" spans="2:8" ht="12.75" customHeight="1" x14ac:dyDescent="0.2">
      <c r="B43" s="46" t="s">
        <v>165</v>
      </c>
      <c r="C43" s="47">
        <v>1732</v>
      </c>
      <c r="D43" s="47">
        <v>93380</v>
      </c>
      <c r="E43" s="47">
        <v>1300</v>
      </c>
      <c r="F43" s="49">
        <v>197</v>
      </c>
      <c r="G43" s="60">
        <v>96609</v>
      </c>
      <c r="H43" s="48">
        <v>0.19458189846747997</v>
      </c>
    </row>
    <row r="44" spans="2:8" ht="12.75" customHeight="1" x14ac:dyDescent="0.2">
      <c r="B44" s="46" t="s">
        <v>194</v>
      </c>
      <c r="C44" s="47">
        <v>867</v>
      </c>
      <c r="D44" s="47">
        <v>143420</v>
      </c>
      <c r="E44" s="47">
        <v>606</v>
      </c>
      <c r="F44" s="49">
        <v>10</v>
      </c>
      <c r="G44" s="60">
        <v>144903</v>
      </c>
      <c r="H44" s="48">
        <v>0.29185169946519735</v>
      </c>
    </row>
    <row r="45" spans="2:8" ht="12.75" customHeight="1" x14ac:dyDescent="0.2">
      <c r="B45" s="46" t="s">
        <v>220</v>
      </c>
      <c r="C45" s="47">
        <v>2075</v>
      </c>
      <c r="D45" s="47">
        <v>36624</v>
      </c>
      <c r="E45" s="47">
        <v>311</v>
      </c>
      <c r="F45" s="49">
        <v>26</v>
      </c>
      <c r="G45" s="60">
        <v>39036</v>
      </c>
      <c r="H45" s="48">
        <v>7.8623099178922753E-2</v>
      </c>
    </row>
    <row r="46" spans="2:8" ht="12.75" customHeight="1" x14ac:dyDescent="0.2">
      <c r="B46" s="46" t="s">
        <v>237</v>
      </c>
      <c r="C46" s="47">
        <v>1639</v>
      </c>
      <c r="D46" s="47">
        <v>37160</v>
      </c>
      <c r="E46" s="47">
        <v>534</v>
      </c>
      <c r="F46" s="49">
        <v>5</v>
      </c>
      <c r="G46" s="60">
        <v>39338</v>
      </c>
      <c r="H46" s="48">
        <v>7.9231362729287408E-2</v>
      </c>
    </row>
    <row r="47" spans="2:8" ht="12.75" customHeight="1" thickBot="1" x14ac:dyDescent="0.25">
      <c r="B47" s="46" t="s">
        <v>283</v>
      </c>
      <c r="C47" s="47">
        <v>9143</v>
      </c>
      <c r="D47" s="47">
        <v>231950</v>
      </c>
      <c r="E47" s="47">
        <v>3455</v>
      </c>
      <c r="F47" s="47">
        <v>86</v>
      </c>
      <c r="G47" s="60">
        <v>244634</v>
      </c>
      <c r="H47" s="48">
        <v>0.49272167344340073</v>
      </c>
    </row>
    <row r="48" spans="2:8" ht="12.75" customHeight="1" thickBot="1" x14ac:dyDescent="0.25">
      <c r="B48" s="104" t="s">
        <v>284</v>
      </c>
      <c r="C48" s="100">
        <v>133883</v>
      </c>
      <c r="D48" s="100">
        <v>2611840</v>
      </c>
      <c r="E48" s="100">
        <v>1168026</v>
      </c>
      <c r="F48" s="100">
        <v>587</v>
      </c>
      <c r="G48" s="57">
        <v>3914336</v>
      </c>
      <c r="H48" s="101">
        <v>7.8839334856959677</v>
      </c>
    </row>
    <row r="49" spans="2:8" ht="12.75" customHeight="1" thickBot="1" x14ac:dyDescent="0.25">
      <c r="B49" s="104" t="s">
        <v>285</v>
      </c>
      <c r="C49" s="100">
        <v>233439</v>
      </c>
      <c r="D49" s="100">
        <v>6446477</v>
      </c>
      <c r="E49" s="100">
        <v>2088848</v>
      </c>
      <c r="F49" s="100">
        <v>6423</v>
      </c>
      <c r="G49" s="57">
        <v>8775187</v>
      </c>
      <c r="H49" s="101">
        <v>17.674259601767435</v>
      </c>
    </row>
    <row r="50" spans="2:8" ht="12.75" customHeight="1" x14ac:dyDescent="0.2">
      <c r="B50" s="46" t="s">
        <v>22</v>
      </c>
      <c r="C50" s="47">
        <v>198643</v>
      </c>
      <c r="D50" s="47">
        <v>5624585</v>
      </c>
      <c r="E50" s="47">
        <v>372638</v>
      </c>
      <c r="F50" s="47">
        <v>2396</v>
      </c>
      <c r="G50" s="60">
        <v>6198262</v>
      </c>
      <c r="H50" s="48">
        <v>12.484029305332209</v>
      </c>
    </row>
    <row r="51" spans="2:8" ht="12.75" customHeight="1" x14ac:dyDescent="0.2">
      <c r="B51" s="46" t="s">
        <v>34</v>
      </c>
      <c r="C51" s="47">
        <v>16001</v>
      </c>
      <c r="D51" s="47">
        <v>400000</v>
      </c>
      <c r="E51" s="47">
        <v>80036</v>
      </c>
      <c r="F51" s="47">
        <v>586</v>
      </c>
      <c r="G51" s="60">
        <v>496623</v>
      </c>
      <c r="H51" s="48">
        <v>1.0002571826912121</v>
      </c>
    </row>
    <row r="52" spans="2:8" ht="12.75" customHeight="1" x14ac:dyDescent="0.2">
      <c r="B52" s="46" t="s">
        <v>43</v>
      </c>
      <c r="C52" s="47">
        <v>23512</v>
      </c>
      <c r="D52" s="47">
        <v>516641</v>
      </c>
      <c r="E52" s="47">
        <v>60654</v>
      </c>
      <c r="F52" s="47">
        <v>208</v>
      </c>
      <c r="G52" s="60">
        <v>601015</v>
      </c>
      <c r="H52" s="48">
        <v>1.2105149593457389</v>
      </c>
    </row>
    <row r="53" spans="2:8" ht="12.75" customHeight="1" x14ac:dyDescent="0.2">
      <c r="B53" s="46" t="s">
        <v>68</v>
      </c>
      <c r="C53" s="47">
        <v>7669</v>
      </c>
      <c r="D53" s="47">
        <v>370413</v>
      </c>
      <c r="E53" s="47">
        <v>5757</v>
      </c>
      <c r="F53" s="47">
        <v>79</v>
      </c>
      <c r="G53" s="60">
        <v>383918</v>
      </c>
      <c r="H53" s="48">
        <v>0.77325604545992588</v>
      </c>
    </row>
    <row r="54" spans="2:8" ht="12.75" customHeight="1" x14ac:dyDescent="0.2">
      <c r="B54" s="46" t="s">
        <v>70</v>
      </c>
      <c r="C54" s="47">
        <v>7536</v>
      </c>
      <c r="D54" s="47">
        <v>303549</v>
      </c>
      <c r="E54" s="47">
        <v>8869</v>
      </c>
      <c r="F54" s="47">
        <v>111</v>
      </c>
      <c r="G54" s="60">
        <v>320065</v>
      </c>
      <c r="H54" s="48">
        <v>0.64464858691213012</v>
      </c>
    </row>
    <row r="55" spans="2:8" ht="12.75" customHeight="1" x14ac:dyDescent="0.2">
      <c r="B55" s="46" t="s">
        <v>90</v>
      </c>
      <c r="C55" s="47">
        <v>7028</v>
      </c>
      <c r="D55" s="47">
        <v>106949</v>
      </c>
      <c r="E55" s="47">
        <v>3339</v>
      </c>
      <c r="F55" s="49">
        <v>57</v>
      </c>
      <c r="G55" s="60">
        <v>117373</v>
      </c>
      <c r="H55" s="48">
        <v>0.23640303873162469</v>
      </c>
    </row>
    <row r="56" spans="2:8" ht="12.75" customHeight="1" x14ac:dyDescent="0.2">
      <c r="B56" s="46" t="s">
        <v>91</v>
      </c>
      <c r="C56" s="47">
        <v>58566</v>
      </c>
      <c r="D56" s="47">
        <v>866919</v>
      </c>
      <c r="E56" s="47">
        <v>106085</v>
      </c>
      <c r="F56" s="47">
        <v>906</v>
      </c>
      <c r="G56" s="60">
        <v>1032476</v>
      </c>
      <c r="H56" s="48">
        <v>2.0795282033983362</v>
      </c>
    </row>
    <row r="57" spans="2:8" ht="12.75" customHeight="1" x14ac:dyDescent="0.2">
      <c r="B57" s="46" t="s">
        <v>113</v>
      </c>
      <c r="C57" s="47">
        <v>51835</v>
      </c>
      <c r="D57" s="47">
        <v>1085567</v>
      </c>
      <c r="E57" s="47">
        <v>98228</v>
      </c>
      <c r="F57" s="47">
        <v>450</v>
      </c>
      <c r="G57" s="60">
        <v>1236080</v>
      </c>
      <c r="H57" s="48">
        <v>2.4896106269362344</v>
      </c>
    </row>
    <row r="58" spans="2:8" ht="12.75" customHeight="1" x14ac:dyDescent="0.2">
      <c r="B58" s="46" t="s">
        <v>118</v>
      </c>
      <c r="C58" s="47">
        <v>236472</v>
      </c>
      <c r="D58" s="47">
        <v>3524143</v>
      </c>
      <c r="E58" s="47">
        <v>42781</v>
      </c>
      <c r="F58" s="47">
        <v>1198</v>
      </c>
      <c r="G58" s="60">
        <v>3804594</v>
      </c>
      <c r="H58" s="48">
        <v>7.6629001792584912</v>
      </c>
    </row>
    <row r="59" spans="2:8" ht="12.75" customHeight="1" x14ac:dyDescent="0.2">
      <c r="B59" s="46" t="s">
        <v>120</v>
      </c>
      <c r="C59" s="47">
        <v>23196</v>
      </c>
      <c r="D59" s="47">
        <v>138846</v>
      </c>
      <c r="E59" s="47">
        <v>1134</v>
      </c>
      <c r="F59" s="49">
        <v>145</v>
      </c>
      <c r="G59" s="60">
        <v>163321</v>
      </c>
      <c r="H59" s="48">
        <v>0.32894771956657554</v>
      </c>
    </row>
    <row r="60" spans="2:8" ht="12.75" customHeight="1" x14ac:dyDescent="0.2">
      <c r="B60" s="46" t="s">
        <v>121</v>
      </c>
      <c r="C60" s="47">
        <v>54162</v>
      </c>
      <c r="D60" s="47">
        <v>264567</v>
      </c>
      <c r="E60" s="47">
        <v>5997</v>
      </c>
      <c r="F60" s="49">
        <v>757</v>
      </c>
      <c r="G60" s="60">
        <v>325483</v>
      </c>
      <c r="H60" s="48">
        <v>0.65556107669979802</v>
      </c>
    </row>
    <row r="61" spans="2:8" ht="30" customHeight="1" x14ac:dyDescent="0.2">
      <c r="B61" s="491" t="s">
        <v>631</v>
      </c>
      <c r="C61" s="492"/>
      <c r="D61" s="492"/>
      <c r="E61" s="492"/>
      <c r="F61" s="492"/>
      <c r="G61" s="492"/>
      <c r="H61" s="492"/>
    </row>
    <row r="62" spans="2:8" ht="12.75" customHeight="1" thickBot="1" x14ac:dyDescent="0.25">
      <c r="B62" s="169"/>
      <c r="C62" s="168"/>
      <c r="D62" s="168"/>
      <c r="E62" s="168"/>
      <c r="F62" s="168"/>
      <c r="G62" s="168"/>
      <c r="H62" s="168"/>
    </row>
    <row r="63" spans="2:8" ht="12.75" customHeight="1" thickBot="1" x14ac:dyDescent="0.25">
      <c r="B63" s="69" t="s">
        <v>264</v>
      </c>
      <c r="C63" s="452" t="s">
        <v>268</v>
      </c>
      <c r="D63" s="452"/>
      <c r="E63" s="452"/>
      <c r="F63" s="452"/>
      <c r="G63" s="487" t="s">
        <v>17</v>
      </c>
      <c r="H63" s="489" t="s">
        <v>273</v>
      </c>
    </row>
    <row r="64" spans="2:8" ht="12.75" customHeight="1" thickBot="1" x14ac:dyDescent="0.25">
      <c r="B64" s="163" t="s">
        <v>267</v>
      </c>
      <c r="C64" s="177" t="s">
        <v>558</v>
      </c>
      <c r="D64" s="177" t="s">
        <v>297</v>
      </c>
      <c r="E64" s="177" t="s">
        <v>298</v>
      </c>
      <c r="F64" s="177" t="s">
        <v>299</v>
      </c>
      <c r="G64" s="488"/>
      <c r="H64" s="490"/>
    </row>
    <row r="65" spans="2:8" ht="12.75" customHeight="1" x14ac:dyDescent="0.2">
      <c r="B65" s="46" t="s">
        <v>123</v>
      </c>
      <c r="C65" s="47">
        <v>7859</v>
      </c>
      <c r="D65" s="47">
        <v>334632</v>
      </c>
      <c r="E65" s="47">
        <v>23889</v>
      </c>
      <c r="F65" s="47">
        <v>96</v>
      </c>
      <c r="G65" s="60">
        <v>366476</v>
      </c>
      <c r="H65" s="48">
        <v>0.73812580424979246</v>
      </c>
    </row>
    <row r="66" spans="2:8" ht="12.75" customHeight="1" x14ac:dyDescent="0.2">
      <c r="B66" s="46" t="s">
        <v>124</v>
      </c>
      <c r="C66" s="47">
        <v>17608</v>
      </c>
      <c r="D66" s="47">
        <v>362526</v>
      </c>
      <c r="E66" s="47">
        <v>11100</v>
      </c>
      <c r="F66" s="47">
        <v>222</v>
      </c>
      <c r="G66" s="60">
        <v>391456</v>
      </c>
      <c r="H66" s="48">
        <v>0.78843846480644497</v>
      </c>
    </row>
    <row r="67" spans="2:8" ht="12.75" customHeight="1" x14ac:dyDescent="0.2">
      <c r="B67" s="46" t="s">
        <v>125</v>
      </c>
      <c r="C67" s="47">
        <v>143415</v>
      </c>
      <c r="D67" s="47">
        <v>440413</v>
      </c>
      <c r="E67" s="47">
        <v>15060</v>
      </c>
      <c r="F67" s="47">
        <v>839</v>
      </c>
      <c r="G67" s="60">
        <v>599727</v>
      </c>
      <c r="H67" s="48">
        <v>1.207920775726965</v>
      </c>
    </row>
    <row r="68" spans="2:8" ht="12.75" customHeight="1" x14ac:dyDescent="0.2">
      <c r="B68" s="46" t="s">
        <v>126</v>
      </c>
      <c r="C68" s="47">
        <v>586</v>
      </c>
      <c r="D68" s="47">
        <v>3328</v>
      </c>
      <c r="E68" s="47">
        <v>38</v>
      </c>
      <c r="F68" s="49">
        <v>6</v>
      </c>
      <c r="G68" s="60">
        <v>3958</v>
      </c>
      <c r="H68" s="48">
        <v>7.9718779216665717E-3</v>
      </c>
    </row>
    <row r="69" spans="2:8" ht="12.75" customHeight="1" x14ac:dyDescent="0.2">
      <c r="B69" s="46" t="s">
        <v>159</v>
      </c>
      <c r="C69" s="47">
        <v>1464</v>
      </c>
      <c r="D69" s="47">
        <v>13867</v>
      </c>
      <c r="E69" s="47">
        <v>348</v>
      </c>
      <c r="F69" s="49">
        <v>4</v>
      </c>
      <c r="G69" s="60">
        <v>15683</v>
      </c>
      <c r="H69" s="48">
        <v>3.1587408146916837E-2</v>
      </c>
    </row>
    <row r="70" spans="2:8" ht="12.75" customHeight="1" x14ac:dyDescent="0.2">
      <c r="B70" s="46" t="s">
        <v>160</v>
      </c>
      <c r="C70" s="47">
        <v>7327</v>
      </c>
      <c r="D70" s="47">
        <v>200691</v>
      </c>
      <c r="E70" s="47">
        <v>14006</v>
      </c>
      <c r="F70" s="47">
        <v>108</v>
      </c>
      <c r="G70" s="60">
        <v>222132</v>
      </c>
      <c r="H70" s="48">
        <v>0.4473999965880846</v>
      </c>
    </row>
    <row r="71" spans="2:8" ht="12.75" customHeight="1" x14ac:dyDescent="0.2">
      <c r="B71" s="46" t="s">
        <v>191</v>
      </c>
      <c r="C71" s="47">
        <v>6665</v>
      </c>
      <c r="D71" s="47">
        <v>190783</v>
      </c>
      <c r="E71" s="47">
        <v>6479</v>
      </c>
      <c r="F71" s="47">
        <v>87</v>
      </c>
      <c r="G71" s="60">
        <v>204014</v>
      </c>
      <c r="H71" s="48">
        <v>0.41090821180163817</v>
      </c>
    </row>
    <row r="72" spans="2:8" ht="12.75" customHeight="1" x14ac:dyDescent="0.2">
      <c r="B72" s="46" t="s">
        <v>201</v>
      </c>
      <c r="C72" s="47">
        <v>85299</v>
      </c>
      <c r="D72" s="47">
        <v>1420098</v>
      </c>
      <c r="E72" s="47">
        <v>33142</v>
      </c>
      <c r="F72" s="47">
        <v>177</v>
      </c>
      <c r="G72" s="60">
        <v>1538716</v>
      </c>
      <c r="H72" s="48">
        <v>3.0991551561685449</v>
      </c>
    </row>
    <row r="73" spans="2:8" ht="12.75" customHeight="1" x14ac:dyDescent="0.2">
      <c r="B73" s="46" t="s">
        <v>202</v>
      </c>
      <c r="C73" s="47">
        <v>12392</v>
      </c>
      <c r="D73" s="47">
        <v>78925</v>
      </c>
      <c r="E73" s="47">
        <v>2714</v>
      </c>
      <c r="F73" s="47">
        <v>112</v>
      </c>
      <c r="G73" s="60">
        <v>94143</v>
      </c>
      <c r="H73" s="48">
        <v>0.18961508417874079</v>
      </c>
    </row>
    <row r="74" spans="2:8" ht="12.75" customHeight="1" x14ac:dyDescent="0.2">
      <c r="B74" s="46" t="s">
        <v>221</v>
      </c>
      <c r="C74" s="47">
        <v>2904</v>
      </c>
      <c r="D74" s="47">
        <v>228779</v>
      </c>
      <c r="E74" s="47">
        <v>3424</v>
      </c>
      <c r="F74" s="47">
        <v>34</v>
      </c>
      <c r="G74" s="60">
        <v>235141</v>
      </c>
      <c r="H74" s="48">
        <v>0.47360165396124287</v>
      </c>
    </row>
    <row r="75" spans="2:8" ht="12.75" customHeight="1" x14ac:dyDescent="0.2">
      <c r="B75" s="46" t="s">
        <v>261</v>
      </c>
      <c r="C75" s="47">
        <v>93804</v>
      </c>
      <c r="D75" s="47">
        <v>114125</v>
      </c>
      <c r="E75" s="47">
        <v>477308</v>
      </c>
      <c r="F75" s="47">
        <v>25</v>
      </c>
      <c r="G75" s="60">
        <v>685262</v>
      </c>
      <c r="H75" s="48">
        <v>1.3801983346025968</v>
      </c>
    </row>
    <row r="76" spans="2:8" ht="12.75" customHeight="1" thickBot="1" x14ac:dyDescent="0.25">
      <c r="B76" s="46" t="s">
        <v>590</v>
      </c>
      <c r="C76" s="47"/>
      <c r="D76" s="47"/>
      <c r="E76" s="47"/>
      <c r="F76" s="47"/>
      <c r="G76" s="60"/>
      <c r="H76" s="48"/>
    </row>
    <row r="77" spans="2:8" ht="12.75" customHeight="1" thickBot="1" x14ac:dyDescent="0.25">
      <c r="B77" s="104" t="s">
        <v>286</v>
      </c>
      <c r="C77" s="100">
        <v>1063943</v>
      </c>
      <c r="D77" s="100">
        <v>16590346</v>
      </c>
      <c r="E77" s="100">
        <v>1373026</v>
      </c>
      <c r="F77" s="100">
        <v>8603</v>
      </c>
      <c r="G77" s="57">
        <v>19035918</v>
      </c>
      <c r="H77" s="101">
        <v>38.340579692484908</v>
      </c>
    </row>
    <row r="78" spans="2:8" ht="12.75" customHeight="1" x14ac:dyDescent="0.2">
      <c r="B78" s="46" t="s">
        <v>30</v>
      </c>
      <c r="C78" s="47">
        <v>5795</v>
      </c>
      <c r="D78" s="47">
        <v>101711</v>
      </c>
      <c r="E78" s="47">
        <v>35277</v>
      </c>
      <c r="F78" s="49">
        <v>6</v>
      </c>
      <c r="G78" s="60">
        <v>142789</v>
      </c>
      <c r="H78" s="48">
        <v>0.28759385461264481</v>
      </c>
    </row>
    <row r="79" spans="2:8" ht="12.75" customHeight="1" x14ac:dyDescent="0.2">
      <c r="B79" s="46" t="s">
        <v>53</v>
      </c>
      <c r="C79" s="47">
        <v>1228</v>
      </c>
      <c r="D79" s="47">
        <v>121291</v>
      </c>
      <c r="E79" s="47">
        <v>54520</v>
      </c>
      <c r="F79" s="47">
        <v>11</v>
      </c>
      <c r="G79" s="60">
        <v>177050</v>
      </c>
      <c r="H79" s="48">
        <v>0.35659954169557012</v>
      </c>
    </row>
    <row r="80" spans="2:8" ht="12.75" customHeight="1" x14ac:dyDescent="0.2">
      <c r="B80" s="46" t="s">
        <v>58</v>
      </c>
      <c r="C80" s="47">
        <v>24353</v>
      </c>
      <c r="D80" s="47">
        <v>264606</v>
      </c>
      <c r="E80" s="47">
        <v>2609889</v>
      </c>
      <c r="F80" s="47">
        <v>5265</v>
      </c>
      <c r="G80" s="60">
        <v>2904113</v>
      </c>
      <c r="H80" s="48">
        <v>5.8492254438415543</v>
      </c>
    </row>
    <row r="81" spans="2:8" ht="12.75" customHeight="1" x14ac:dyDescent="0.2">
      <c r="B81" s="46" t="s">
        <v>81</v>
      </c>
      <c r="C81" s="47">
        <v>1545</v>
      </c>
      <c r="D81" s="47">
        <v>93673</v>
      </c>
      <c r="E81" s="47">
        <v>856</v>
      </c>
      <c r="F81" s="49">
        <v>8</v>
      </c>
      <c r="G81" s="60">
        <v>96082</v>
      </c>
      <c r="H81" s="48">
        <v>0.1935204584309165</v>
      </c>
    </row>
    <row r="82" spans="2:8" ht="12.75" customHeight="1" x14ac:dyDescent="0.2">
      <c r="B82" s="46" t="s">
        <v>106</v>
      </c>
      <c r="C82" s="47">
        <v>3775</v>
      </c>
      <c r="D82" s="47">
        <v>9037</v>
      </c>
      <c r="E82" s="47">
        <v>1846</v>
      </c>
      <c r="F82" s="49">
        <v>8</v>
      </c>
      <c r="G82" s="60">
        <v>14666</v>
      </c>
      <c r="H82" s="48">
        <v>2.9539050429298115E-2</v>
      </c>
    </row>
    <row r="83" spans="2:8" ht="12.75" customHeight="1" x14ac:dyDescent="0.2">
      <c r="B83" s="46" t="s">
        <v>111</v>
      </c>
      <c r="C83" s="47">
        <v>4972</v>
      </c>
      <c r="D83" s="47">
        <v>56732</v>
      </c>
      <c r="E83" s="47">
        <v>5003</v>
      </c>
      <c r="F83" s="47">
        <v>32</v>
      </c>
      <c r="G83" s="60">
        <v>66739</v>
      </c>
      <c r="H83" s="48">
        <v>0.13442020227743945</v>
      </c>
    </row>
    <row r="84" spans="2:8" ht="12.75" customHeight="1" x14ac:dyDescent="0.2">
      <c r="B84" s="46" t="s">
        <v>133</v>
      </c>
      <c r="C84" s="47">
        <v>1713</v>
      </c>
      <c r="D84" s="47">
        <v>18059</v>
      </c>
      <c r="E84" s="47">
        <v>9890</v>
      </c>
      <c r="F84" s="47">
        <v>1</v>
      </c>
      <c r="G84" s="60">
        <v>29663</v>
      </c>
      <c r="H84" s="48">
        <v>5.9744773822737622E-2</v>
      </c>
    </row>
    <row r="85" spans="2:8" ht="12.75" customHeight="1" x14ac:dyDescent="0.2">
      <c r="B85" s="46" t="s">
        <v>143</v>
      </c>
      <c r="C85" s="47">
        <v>329</v>
      </c>
      <c r="D85" s="47">
        <v>153086</v>
      </c>
      <c r="E85" s="47">
        <v>21490</v>
      </c>
      <c r="F85" s="49">
        <v>2</v>
      </c>
      <c r="G85" s="60">
        <v>174907</v>
      </c>
      <c r="H85" s="48">
        <v>0.35228328742924075</v>
      </c>
    </row>
    <row r="86" spans="2:8" ht="12.75" customHeight="1" x14ac:dyDescent="0.2">
      <c r="B86" s="46" t="s">
        <v>148</v>
      </c>
      <c r="C86" s="47">
        <v>1919</v>
      </c>
      <c r="D86" s="47">
        <v>88366</v>
      </c>
      <c r="E86" s="47">
        <v>160513</v>
      </c>
      <c r="F86" s="47">
        <v>9</v>
      </c>
      <c r="G86" s="60">
        <v>250807</v>
      </c>
      <c r="H86" s="48">
        <v>0.50515482210698026</v>
      </c>
    </row>
    <row r="87" spans="2:8" ht="12.75" customHeight="1" x14ac:dyDescent="0.2">
      <c r="B87" s="46" t="s">
        <v>153</v>
      </c>
      <c r="C87" s="47">
        <v>2548</v>
      </c>
      <c r="D87" s="47">
        <v>112893</v>
      </c>
      <c r="E87" s="47">
        <v>2213</v>
      </c>
      <c r="F87" s="49">
        <v>4</v>
      </c>
      <c r="G87" s="60">
        <v>117658</v>
      </c>
      <c r="H87" s="48">
        <v>0.23697706228080986</v>
      </c>
    </row>
    <row r="88" spans="2:8" ht="12.75" customHeight="1" x14ac:dyDescent="0.2">
      <c r="B88" s="46" t="s">
        <v>157</v>
      </c>
      <c r="C88" s="47">
        <v>4158</v>
      </c>
      <c r="D88" s="47">
        <v>271360</v>
      </c>
      <c r="E88" s="47">
        <v>2430</v>
      </c>
      <c r="F88" s="49">
        <v>11</v>
      </c>
      <c r="G88" s="60">
        <v>277959</v>
      </c>
      <c r="H88" s="48">
        <v>0.55984214634373886</v>
      </c>
    </row>
    <row r="89" spans="2:8" ht="12.75" customHeight="1" x14ac:dyDescent="0.2">
      <c r="B89" s="46" t="s">
        <v>167</v>
      </c>
      <c r="C89" s="47">
        <v>2721</v>
      </c>
      <c r="D89" s="47">
        <v>11644</v>
      </c>
      <c r="E89" s="47">
        <v>137</v>
      </c>
      <c r="F89" s="49">
        <v>3</v>
      </c>
      <c r="G89" s="60">
        <v>14505</v>
      </c>
      <c r="H89" s="48">
        <v>2.9214777476951392E-2</v>
      </c>
    </row>
    <row r="90" spans="2:8" ht="12.75" customHeight="1" x14ac:dyDescent="0.2">
      <c r="B90" s="46" t="s">
        <v>205</v>
      </c>
      <c r="C90" s="47">
        <v>20595</v>
      </c>
      <c r="D90" s="47">
        <v>567861</v>
      </c>
      <c r="E90" s="47">
        <v>399824</v>
      </c>
      <c r="F90" s="47">
        <v>403</v>
      </c>
      <c r="G90" s="60">
        <v>988683</v>
      </c>
      <c r="H90" s="48">
        <v>1.991323946242312</v>
      </c>
    </row>
    <row r="91" spans="2:8" ht="12.75" customHeight="1" x14ac:dyDescent="0.2">
      <c r="B91" s="46" t="s">
        <v>218</v>
      </c>
      <c r="C91" s="47">
        <v>5878</v>
      </c>
      <c r="D91" s="47">
        <v>160217</v>
      </c>
      <c r="E91" s="47">
        <v>143609</v>
      </c>
      <c r="F91" s="47">
        <v>324</v>
      </c>
      <c r="G91" s="60">
        <v>310028</v>
      </c>
      <c r="H91" s="48">
        <v>0.62443288739222935</v>
      </c>
    </row>
    <row r="92" spans="2:8" ht="12.75" customHeight="1" x14ac:dyDescent="0.2">
      <c r="B92" s="46" t="s">
        <v>222</v>
      </c>
      <c r="C92" s="47">
        <v>4764</v>
      </c>
      <c r="D92" s="47">
        <v>46759</v>
      </c>
      <c r="E92" s="47">
        <v>2009</v>
      </c>
      <c r="F92" s="47">
        <v>28</v>
      </c>
      <c r="G92" s="60">
        <v>53560</v>
      </c>
      <c r="H92" s="48">
        <v>0.10787614489248649</v>
      </c>
    </row>
    <row r="93" spans="2:8" ht="12.75" customHeight="1" thickBot="1" x14ac:dyDescent="0.25">
      <c r="B93" s="46" t="s">
        <v>287</v>
      </c>
      <c r="C93" s="47">
        <v>201</v>
      </c>
      <c r="D93" s="47">
        <v>2911</v>
      </c>
      <c r="E93" s="47">
        <v>132</v>
      </c>
      <c r="F93" s="47">
        <v>4</v>
      </c>
      <c r="G93" s="60">
        <v>3248</v>
      </c>
      <c r="H93" s="48">
        <v>6.5418543429947001E-3</v>
      </c>
    </row>
    <row r="94" spans="2:8" ht="12.75" customHeight="1" thickBot="1" x14ac:dyDescent="0.25">
      <c r="B94" s="104" t="s">
        <v>288</v>
      </c>
      <c r="C94" s="100">
        <v>86494</v>
      </c>
      <c r="D94" s="100">
        <v>2080206</v>
      </c>
      <c r="E94" s="100">
        <v>3449638</v>
      </c>
      <c r="F94" s="100">
        <v>6119</v>
      </c>
      <c r="G94" s="57">
        <v>5622457</v>
      </c>
      <c r="H94" s="101">
        <v>11.324290253617905</v>
      </c>
    </row>
    <row r="95" spans="2:8" ht="12.75" customHeight="1" thickBot="1" x14ac:dyDescent="0.25">
      <c r="B95" s="104" t="s">
        <v>289</v>
      </c>
      <c r="C95" s="100">
        <v>1150437</v>
      </c>
      <c r="D95" s="100">
        <v>18670552</v>
      </c>
      <c r="E95" s="100">
        <v>4822664</v>
      </c>
      <c r="F95" s="100">
        <v>14722</v>
      </c>
      <c r="G95" s="57">
        <v>24658375</v>
      </c>
      <c r="H95" s="101">
        <v>49.664869946102812</v>
      </c>
    </row>
    <row r="96" spans="2:8" ht="12.75" customHeight="1" x14ac:dyDescent="0.2">
      <c r="B96" s="46" t="s">
        <v>35</v>
      </c>
      <c r="C96" s="47">
        <v>26323</v>
      </c>
      <c r="D96" s="47">
        <v>454128</v>
      </c>
      <c r="E96" s="47">
        <v>374881</v>
      </c>
      <c r="F96" s="47">
        <v>30</v>
      </c>
      <c r="G96" s="60">
        <v>855362</v>
      </c>
      <c r="H96" s="48">
        <v>1.7227997581689141</v>
      </c>
    </row>
    <row r="97" spans="2:8" ht="12.75" customHeight="1" x14ac:dyDescent="0.2">
      <c r="B97" s="46" t="s">
        <v>47</v>
      </c>
      <c r="C97" s="47">
        <v>3780</v>
      </c>
      <c r="D97" s="47">
        <v>270766</v>
      </c>
      <c r="E97" s="47">
        <v>36007</v>
      </c>
      <c r="F97" s="49">
        <v>64</v>
      </c>
      <c r="G97" s="60">
        <v>310617</v>
      </c>
      <c r="H97" s="48">
        <v>0.62561920272721205</v>
      </c>
    </row>
    <row r="98" spans="2:8" ht="12.75" customHeight="1" x14ac:dyDescent="0.2">
      <c r="B98" s="46" t="s">
        <v>80</v>
      </c>
      <c r="C98" s="47">
        <v>177</v>
      </c>
      <c r="D98" s="47">
        <v>16419</v>
      </c>
      <c r="E98" s="47">
        <v>15817</v>
      </c>
      <c r="F98" s="49">
        <v>3</v>
      </c>
      <c r="G98" s="60">
        <v>32416</v>
      </c>
      <c r="H98" s="48">
        <v>6.5289639896094889E-2</v>
      </c>
    </row>
    <row r="99" spans="2:8" ht="12.75" customHeight="1" x14ac:dyDescent="0.2">
      <c r="B99" s="46" t="s">
        <v>109</v>
      </c>
      <c r="C99" s="47">
        <v>9907</v>
      </c>
      <c r="D99" s="47">
        <v>125258</v>
      </c>
      <c r="E99" s="47">
        <v>1503448</v>
      </c>
      <c r="F99" s="47">
        <v>29</v>
      </c>
      <c r="G99" s="60">
        <v>1638642</v>
      </c>
      <c r="H99" s="48">
        <v>3.3004178831014537</v>
      </c>
    </row>
    <row r="100" spans="2:8" ht="12.75" customHeight="1" x14ac:dyDescent="0.2">
      <c r="B100" s="46" t="s">
        <v>136</v>
      </c>
      <c r="C100" s="47">
        <v>4795</v>
      </c>
      <c r="D100" s="47">
        <v>804192</v>
      </c>
      <c r="E100" s="47">
        <v>19119</v>
      </c>
      <c r="F100" s="49">
        <v>40</v>
      </c>
      <c r="G100" s="60">
        <v>828146</v>
      </c>
      <c r="H100" s="48">
        <v>1.6679835303983033</v>
      </c>
    </row>
    <row r="101" spans="2:8" ht="12.75" customHeight="1" x14ac:dyDescent="0.2">
      <c r="B101" s="46" t="s">
        <v>138</v>
      </c>
      <c r="C101" s="47">
        <v>1212</v>
      </c>
      <c r="D101" s="47">
        <v>164082</v>
      </c>
      <c r="E101" s="47">
        <v>5730</v>
      </c>
      <c r="F101" s="49">
        <v>8</v>
      </c>
      <c r="G101" s="60">
        <v>171032</v>
      </c>
      <c r="H101" s="48">
        <v>0.34447858127803865</v>
      </c>
    </row>
    <row r="102" spans="2:8" ht="12.75" customHeight="1" x14ac:dyDescent="0.2">
      <c r="B102" s="46" t="s">
        <v>178</v>
      </c>
      <c r="C102" s="47">
        <v>2095</v>
      </c>
      <c r="D102" s="47">
        <v>214059</v>
      </c>
      <c r="E102" s="47">
        <v>73104</v>
      </c>
      <c r="F102" s="47">
        <v>40</v>
      </c>
      <c r="G102" s="60">
        <v>289298</v>
      </c>
      <c r="H102" s="48">
        <v>0.58268022713044354</v>
      </c>
    </row>
    <row r="103" spans="2:8" ht="12.75" customHeight="1" x14ac:dyDescent="0.2">
      <c r="B103" s="46" t="s">
        <v>193</v>
      </c>
      <c r="C103" s="47">
        <v>911</v>
      </c>
      <c r="D103" s="47">
        <v>451120</v>
      </c>
      <c r="E103" s="47">
        <v>20421</v>
      </c>
      <c r="F103" s="49">
        <v>7</v>
      </c>
      <c r="G103" s="60">
        <v>472459</v>
      </c>
      <c r="H103" s="48">
        <v>0.95158804219117399</v>
      </c>
    </row>
    <row r="104" spans="2:8" ht="12.75" customHeight="1" x14ac:dyDescent="0.2">
      <c r="B104" s="46" t="s">
        <v>207</v>
      </c>
      <c r="C104" s="47">
        <v>147824</v>
      </c>
      <c r="D104" s="47">
        <v>6001592</v>
      </c>
      <c r="E104" s="47">
        <v>285629</v>
      </c>
      <c r="F104" s="47">
        <v>1446</v>
      </c>
      <c r="G104" s="60">
        <v>6436491</v>
      </c>
      <c r="H104" s="48">
        <v>12.963850554801816</v>
      </c>
    </row>
    <row r="105" spans="2:8" ht="12.75" customHeight="1" x14ac:dyDescent="0.2">
      <c r="B105" s="46" t="s">
        <v>234</v>
      </c>
      <c r="C105" s="47">
        <v>62</v>
      </c>
      <c r="D105" s="47">
        <v>75758</v>
      </c>
      <c r="E105" s="47">
        <v>3053</v>
      </c>
      <c r="F105" s="49">
        <v>5</v>
      </c>
      <c r="G105" s="60">
        <v>78878</v>
      </c>
      <c r="H105" s="48">
        <v>0.15886957723729556</v>
      </c>
    </row>
    <row r="106" spans="2:8" ht="12.75" customHeight="1" x14ac:dyDescent="0.2">
      <c r="B106" s="46" t="s">
        <v>245</v>
      </c>
      <c r="C106" s="47">
        <v>219</v>
      </c>
      <c r="D106" s="47">
        <v>111739</v>
      </c>
      <c r="E106" s="47">
        <v>8307</v>
      </c>
      <c r="F106" s="49">
        <v>2</v>
      </c>
      <c r="G106" s="60">
        <v>120267</v>
      </c>
      <c r="H106" s="48">
        <v>0.24223189540299989</v>
      </c>
    </row>
    <row r="107" spans="2:8" ht="12.75" customHeight="1" thickBot="1" x14ac:dyDescent="0.25">
      <c r="B107" s="46" t="s">
        <v>247</v>
      </c>
      <c r="C107" s="47">
        <v>33775</v>
      </c>
      <c r="D107" s="47">
        <v>496888</v>
      </c>
      <c r="E107" s="47">
        <v>325871</v>
      </c>
      <c r="F107" s="47">
        <v>526</v>
      </c>
      <c r="G107" s="60">
        <v>857060</v>
      </c>
      <c r="H107" s="48">
        <v>1.7262197300514279</v>
      </c>
    </row>
    <row r="108" spans="2:8" ht="12.75" customHeight="1" thickBot="1" x14ac:dyDescent="0.25">
      <c r="B108" s="104" t="s">
        <v>290</v>
      </c>
      <c r="C108" s="100">
        <v>231080</v>
      </c>
      <c r="D108" s="100">
        <v>9186001</v>
      </c>
      <c r="E108" s="100">
        <v>2671387</v>
      </c>
      <c r="F108" s="100">
        <v>2200</v>
      </c>
      <c r="G108" s="57">
        <v>12090668</v>
      </c>
      <c r="H108" s="101">
        <v>24.352028622385173</v>
      </c>
    </row>
    <row r="109" spans="2:8" ht="12.75" customHeight="1" x14ac:dyDescent="0.2">
      <c r="B109" s="46" t="s">
        <v>23</v>
      </c>
      <c r="C109" s="47">
        <v>518897</v>
      </c>
      <c r="D109" s="47">
        <v>818005</v>
      </c>
      <c r="E109" s="47">
        <v>12214</v>
      </c>
      <c r="F109" s="47">
        <v>760</v>
      </c>
      <c r="G109" s="60">
        <v>1349876</v>
      </c>
      <c r="H109" s="48">
        <v>2.7188091665961558</v>
      </c>
    </row>
    <row r="110" spans="2:8" ht="12.75" customHeight="1" x14ac:dyDescent="0.2">
      <c r="B110" s="46" t="s">
        <v>33</v>
      </c>
      <c r="C110" s="47">
        <v>53449</v>
      </c>
      <c r="D110" s="47">
        <v>136517</v>
      </c>
      <c r="E110" s="47">
        <v>3783</v>
      </c>
      <c r="F110" s="47">
        <v>340</v>
      </c>
      <c r="G110" s="60">
        <v>194089</v>
      </c>
      <c r="H110" s="48">
        <v>0.39091809346597856</v>
      </c>
    </row>
    <row r="111" spans="2:8" ht="12.75" customHeight="1" x14ac:dyDescent="0.2">
      <c r="B111" s="46" t="s">
        <v>107</v>
      </c>
      <c r="C111" s="47">
        <v>5429</v>
      </c>
      <c r="D111" s="47">
        <v>148165</v>
      </c>
      <c r="E111" s="47">
        <v>5447</v>
      </c>
      <c r="F111" s="49">
        <v>208</v>
      </c>
      <c r="G111" s="60">
        <v>159249</v>
      </c>
      <c r="H111" s="48">
        <v>0.32074623222523491</v>
      </c>
    </row>
    <row r="112" spans="2:8" ht="12.75" customHeight="1" x14ac:dyDescent="0.2">
      <c r="B112" s="46" t="s">
        <v>129</v>
      </c>
      <c r="C112" s="47">
        <v>7139</v>
      </c>
      <c r="D112" s="47">
        <v>69324</v>
      </c>
      <c r="E112" s="47">
        <v>1003</v>
      </c>
      <c r="F112" s="49">
        <v>313</v>
      </c>
      <c r="G112" s="60">
        <v>77779</v>
      </c>
      <c r="H112" s="48">
        <v>0.15665606186692882</v>
      </c>
    </row>
    <row r="113" spans="2:8" ht="12.75" customHeight="1" x14ac:dyDescent="0.2">
      <c r="B113" s="46" t="s">
        <v>132</v>
      </c>
      <c r="C113" s="47">
        <v>76401</v>
      </c>
      <c r="D113" s="47">
        <v>175129</v>
      </c>
      <c r="E113" s="47">
        <v>3012</v>
      </c>
      <c r="F113" s="49">
        <v>190</v>
      </c>
      <c r="G113" s="60">
        <v>254732</v>
      </c>
      <c r="H113" s="48">
        <v>0.51306023414400426</v>
      </c>
    </row>
    <row r="114" spans="2:8" ht="12.75" customHeight="1" x14ac:dyDescent="0.2">
      <c r="B114" s="46" t="s">
        <v>172</v>
      </c>
      <c r="C114" s="47">
        <v>53672</v>
      </c>
      <c r="D114" s="47">
        <v>100844</v>
      </c>
      <c r="E114" s="47">
        <v>652</v>
      </c>
      <c r="F114" s="49">
        <v>77</v>
      </c>
      <c r="G114" s="60">
        <v>155245</v>
      </c>
      <c r="H114" s="48">
        <v>0.31268170488861213</v>
      </c>
    </row>
    <row r="115" spans="2:8" ht="12.75" customHeight="1" thickBot="1" x14ac:dyDescent="0.25">
      <c r="B115" s="46" t="s">
        <v>259</v>
      </c>
      <c r="C115" s="47">
        <v>8528</v>
      </c>
      <c r="D115" s="47">
        <v>21674</v>
      </c>
      <c r="E115" s="47">
        <v>707</v>
      </c>
      <c r="F115" s="47">
        <v>111</v>
      </c>
      <c r="G115" s="60">
        <v>31020</v>
      </c>
      <c r="H115" s="48">
        <v>6.2477931563945689E-2</v>
      </c>
    </row>
    <row r="116" spans="2:8" ht="12.75" customHeight="1" thickBot="1" x14ac:dyDescent="0.25">
      <c r="B116" s="52" t="s">
        <v>291</v>
      </c>
      <c r="C116" s="100">
        <v>723515</v>
      </c>
      <c r="D116" s="100">
        <v>1469658</v>
      </c>
      <c r="E116" s="100">
        <v>26818</v>
      </c>
      <c r="F116" s="100">
        <v>1999</v>
      </c>
      <c r="G116" s="57">
        <v>2221990</v>
      </c>
      <c r="H116" s="101">
        <v>4.4753494247508598</v>
      </c>
    </row>
    <row r="117" spans="2:8" ht="12.75" customHeight="1" thickBot="1" x14ac:dyDescent="0.25">
      <c r="B117" s="52" t="s">
        <v>292</v>
      </c>
      <c r="C117" s="100">
        <v>228</v>
      </c>
      <c r="D117" s="100">
        <v>74872</v>
      </c>
      <c r="E117" s="100">
        <v>1821</v>
      </c>
      <c r="F117" s="100">
        <v>6</v>
      </c>
      <c r="G117" s="57">
        <v>76927</v>
      </c>
      <c r="H117" s="101">
        <v>0.15494003357252256</v>
      </c>
    </row>
    <row r="118" spans="2:8" ht="12.75" customHeight="1" thickBot="1" x14ac:dyDescent="0.25">
      <c r="B118" s="52" t="s">
        <v>293</v>
      </c>
      <c r="C118" s="100">
        <v>93</v>
      </c>
      <c r="D118" s="100">
        <v>846</v>
      </c>
      <c r="E118" s="100">
        <v>65</v>
      </c>
      <c r="F118" s="125">
        <v>1</v>
      </c>
      <c r="G118" s="57">
        <v>1005</v>
      </c>
      <c r="H118" s="101">
        <v>2.0241883050214514E-3</v>
      </c>
    </row>
    <row r="119" spans="2:8" ht="12.75" customHeight="1" thickBot="1" x14ac:dyDescent="0.25">
      <c r="B119" s="56" t="s">
        <v>294</v>
      </c>
      <c r="C119" s="57">
        <v>2436755</v>
      </c>
      <c r="D119" s="57">
        <v>37567264</v>
      </c>
      <c r="E119" s="57">
        <v>9619705</v>
      </c>
      <c r="F119" s="57">
        <v>25807</v>
      </c>
      <c r="G119" s="57">
        <v>49649531</v>
      </c>
      <c r="H119" s="101">
        <v>100</v>
      </c>
    </row>
    <row r="120" spans="2:8" ht="12.75" customHeight="1" x14ac:dyDescent="0.2"/>
    <row r="121" spans="2:8" ht="12.75" customHeight="1" x14ac:dyDescent="0.2"/>
    <row r="122" spans="2:8" ht="12.75" customHeight="1" x14ac:dyDescent="0.2"/>
  </sheetData>
  <mergeCells count="8">
    <mergeCell ref="C63:F63"/>
    <mergeCell ref="G63:G64"/>
    <mergeCell ref="H63:H64"/>
    <mergeCell ref="B1:H1"/>
    <mergeCell ref="C3:F3"/>
    <mergeCell ref="G3:G4"/>
    <mergeCell ref="H3:H4"/>
    <mergeCell ref="B61:H61"/>
  </mergeCells>
  <printOptions horizontalCentered="1"/>
  <pageMargins left="0.74803149606299213" right="0.74803149606299213" top="0.98425196850393704" bottom="0.98425196850393704" header="0.51181102362204722" footer="0.51181102362204722"/>
  <pageSetup scale="85"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A1:H18"/>
  <sheetViews>
    <sheetView view="pageBreakPreview" zoomScale="96" zoomScaleNormal="100" zoomScaleSheetLayoutView="96" workbookViewId="0"/>
  </sheetViews>
  <sheetFormatPr defaultColWidth="9.140625" defaultRowHeight="12.75" x14ac:dyDescent="0.2"/>
  <cols>
    <col min="1" max="1" width="9.140625" style="159"/>
    <col min="2" max="2" width="14.140625" style="6" customWidth="1"/>
    <col min="3" max="5" width="13.85546875" customWidth="1"/>
    <col min="6" max="6" width="13.7109375" customWidth="1"/>
    <col min="7" max="8" width="15.85546875" customWidth="1"/>
  </cols>
  <sheetData>
    <row r="1" spans="2:8" ht="30" customHeight="1" x14ac:dyDescent="0.2">
      <c r="B1" s="483" t="s">
        <v>632</v>
      </c>
      <c r="C1" s="485"/>
      <c r="D1" s="485"/>
      <c r="E1" s="485"/>
      <c r="F1" s="485"/>
      <c r="G1" s="485"/>
      <c r="H1" s="485"/>
    </row>
    <row r="2" spans="2:8" s="159" customFormat="1" ht="9" customHeight="1" thickBot="1" x14ac:dyDescent="0.25">
      <c r="B2" s="164"/>
    </row>
    <row r="3" spans="2:8" ht="18" customHeight="1" x14ac:dyDescent="0.2">
      <c r="B3" s="37" t="s">
        <v>264</v>
      </c>
      <c r="C3" s="484" t="s">
        <v>268</v>
      </c>
      <c r="D3" s="484"/>
      <c r="E3" s="484"/>
      <c r="F3" s="484"/>
      <c r="G3" s="495" t="s">
        <v>17</v>
      </c>
      <c r="H3" s="434" t="s">
        <v>295</v>
      </c>
    </row>
    <row r="4" spans="2:8" s="160" customFormat="1" ht="18" customHeight="1" thickBot="1" x14ac:dyDescent="0.25">
      <c r="B4" s="162" t="s">
        <v>265</v>
      </c>
      <c r="C4" s="178" t="s">
        <v>296</v>
      </c>
      <c r="D4" s="178" t="s">
        <v>297</v>
      </c>
      <c r="E4" s="178" t="s">
        <v>298</v>
      </c>
      <c r="F4" s="178" t="s">
        <v>299</v>
      </c>
      <c r="G4" s="496"/>
      <c r="H4" s="435"/>
    </row>
    <row r="5" spans="2:8" ht="16.5" customHeight="1" x14ac:dyDescent="0.2">
      <c r="B5" s="161" t="s">
        <v>5</v>
      </c>
      <c r="C5" s="61">
        <v>30092</v>
      </c>
      <c r="D5" s="61">
        <v>1708757</v>
      </c>
      <c r="E5" s="61">
        <v>602366</v>
      </c>
      <c r="F5" s="61">
        <v>1430</v>
      </c>
      <c r="G5" s="62">
        <v>2342645</v>
      </c>
      <c r="H5" s="63">
        <v>4.7183627978278384</v>
      </c>
    </row>
    <row r="6" spans="2:8" ht="16.5" customHeight="1" x14ac:dyDescent="0.2">
      <c r="B6" s="161" t="s">
        <v>6</v>
      </c>
      <c r="C6" s="61">
        <v>21943</v>
      </c>
      <c r="D6" s="61">
        <v>1411002</v>
      </c>
      <c r="E6" s="61">
        <v>523713</v>
      </c>
      <c r="F6" s="61">
        <v>1073</v>
      </c>
      <c r="G6" s="62">
        <v>1957731</v>
      </c>
      <c r="H6" s="63">
        <v>3.9431006911223392</v>
      </c>
    </row>
    <row r="7" spans="2:8" ht="16.5" customHeight="1" x14ac:dyDescent="0.2">
      <c r="B7" s="161" t="s">
        <v>7</v>
      </c>
      <c r="C7" s="61">
        <v>50148</v>
      </c>
      <c r="D7" s="61">
        <v>1598910</v>
      </c>
      <c r="E7" s="61">
        <v>660193</v>
      </c>
      <c r="F7" s="61">
        <v>1409</v>
      </c>
      <c r="G7" s="62">
        <v>2310660</v>
      </c>
      <c r="H7" s="63">
        <v>4.6539412426675293</v>
      </c>
    </row>
    <row r="8" spans="2:8" ht="16.5" customHeight="1" x14ac:dyDescent="0.2">
      <c r="B8" s="161" t="s">
        <v>8</v>
      </c>
      <c r="C8" s="61">
        <v>133546</v>
      </c>
      <c r="D8" s="61">
        <v>2146308</v>
      </c>
      <c r="E8" s="61">
        <v>696025</v>
      </c>
      <c r="F8" s="61">
        <v>1766</v>
      </c>
      <c r="G8" s="62">
        <v>2977645</v>
      </c>
      <c r="H8" s="63">
        <v>5.9973275477667656</v>
      </c>
    </row>
    <row r="9" spans="2:8" ht="16.5" customHeight="1" x14ac:dyDescent="0.2">
      <c r="B9" s="161" t="s">
        <v>9</v>
      </c>
      <c r="C9" s="61">
        <v>263628</v>
      </c>
      <c r="D9" s="61">
        <v>3214281</v>
      </c>
      <c r="E9" s="61">
        <v>701448</v>
      </c>
      <c r="F9" s="61">
        <v>2177</v>
      </c>
      <c r="G9" s="62">
        <v>4181534</v>
      </c>
      <c r="H9" s="63">
        <v>8.422101711293104</v>
      </c>
    </row>
    <row r="10" spans="2:8" ht="16.5" customHeight="1" x14ac:dyDescent="0.2">
      <c r="B10" s="161" t="s">
        <v>10</v>
      </c>
      <c r="C10" s="61">
        <v>295704</v>
      </c>
      <c r="D10" s="61">
        <v>4081317</v>
      </c>
      <c r="E10" s="61">
        <v>832042</v>
      </c>
      <c r="F10" s="61">
        <v>1899</v>
      </c>
      <c r="G10" s="62">
        <v>5210962</v>
      </c>
      <c r="H10" s="63">
        <v>10.495490883891733</v>
      </c>
    </row>
    <row r="11" spans="2:8" ht="16.5" customHeight="1" x14ac:dyDescent="0.2">
      <c r="B11" s="161" t="s">
        <v>11</v>
      </c>
      <c r="C11" s="61">
        <v>340038</v>
      </c>
      <c r="D11" s="61">
        <v>4944916</v>
      </c>
      <c r="E11" s="61">
        <v>968146</v>
      </c>
      <c r="F11" s="61">
        <v>2488</v>
      </c>
      <c r="G11" s="62">
        <v>6255588</v>
      </c>
      <c r="H11" s="63">
        <v>12.599490617544806</v>
      </c>
    </row>
    <row r="12" spans="2:8" ht="16.5" customHeight="1" x14ac:dyDescent="0.2">
      <c r="B12" s="161" t="s">
        <v>12</v>
      </c>
      <c r="C12" s="61">
        <v>369779</v>
      </c>
      <c r="D12" s="61">
        <v>5732088</v>
      </c>
      <c r="E12" s="61">
        <v>1374693</v>
      </c>
      <c r="F12" s="61">
        <v>4147</v>
      </c>
      <c r="G12" s="62">
        <v>7480707</v>
      </c>
      <c r="H12" s="63">
        <v>15.067024500191151</v>
      </c>
    </row>
    <row r="13" spans="2:8" ht="16.5" customHeight="1" x14ac:dyDescent="0.2">
      <c r="B13" s="161" t="s">
        <v>13</v>
      </c>
      <c r="C13" s="61">
        <v>331520</v>
      </c>
      <c r="D13" s="61">
        <v>4680209</v>
      </c>
      <c r="E13" s="61">
        <v>1063177</v>
      </c>
      <c r="F13" s="61">
        <v>3277</v>
      </c>
      <c r="G13" s="62">
        <v>6078183</v>
      </c>
      <c r="H13" s="63">
        <v>12.242176064059899</v>
      </c>
    </row>
    <row r="14" spans="2:8" ht="16.5" customHeight="1" x14ac:dyDescent="0.2">
      <c r="B14" s="161" t="s">
        <v>14</v>
      </c>
      <c r="C14" s="61">
        <v>400135</v>
      </c>
      <c r="D14" s="61">
        <v>4338000</v>
      </c>
      <c r="E14" s="61">
        <v>816386</v>
      </c>
      <c r="F14" s="61">
        <v>2471</v>
      </c>
      <c r="G14" s="62">
        <v>5556992</v>
      </c>
      <c r="H14" s="63">
        <v>11.192436037311209</v>
      </c>
    </row>
    <row r="15" spans="2:8" ht="16.5" customHeight="1" x14ac:dyDescent="0.2">
      <c r="B15" s="161" t="s">
        <v>15</v>
      </c>
      <c r="C15" s="61">
        <v>152990</v>
      </c>
      <c r="D15" s="61">
        <v>2128639</v>
      </c>
      <c r="E15" s="61">
        <v>689994</v>
      </c>
      <c r="F15" s="61">
        <v>2008</v>
      </c>
      <c r="G15" s="62">
        <v>2973631</v>
      </c>
      <c r="H15" s="63">
        <v>5.9892428792529779</v>
      </c>
    </row>
    <row r="16" spans="2:8" ht="16.5" customHeight="1" thickBot="1" x14ac:dyDescent="0.25">
      <c r="B16" s="161" t="s">
        <v>16</v>
      </c>
      <c r="C16" s="61">
        <v>47232</v>
      </c>
      <c r="D16" s="61">
        <v>1582837</v>
      </c>
      <c r="E16" s="61">
        <v>691522</v>
      </c>
      <c r="F16" s="61">
        <v>1662</v>
      </c>
      <c r="G16" s="62">
        <v>2323253</v>
      </c>
      <c r="H16" s="63">
        <v>4.6793050270706482</v>
      </c>
    </row>
    <row r="17" spans="2:8" ht="16.5" customHeight="1" thickBot="1" x14ac:dyDescent="0.25">
      <c r="B17" s="181" t="s">
        <v>17</v>
      </c>
      <c r="C17" s="180">
        <v>2436755</v>
      </c>
      <c r="D17" s="180">
        <v>37567264</v>
      </c>
      <c r="E17" s="180">
        <v>9619705</v>
      </c>
      <c r="F17" s="180">
        <v>25807</v>
      </c>
      <c r="G17" s="180">
        <v>49649531</v>
      </c>
      <c r="H17" s="253">
        <v>100</v>
      </c>
    </row>
    <row r="18" spans="2:8" ht="16.5" customHeight="1" thickBot="1" x14ac:dyDescent="0.25">
      <c r="B18" s="64" t="s">
        <v>295</v>
      </c>
      <c r="C18" s="67">
        <v>4.9079114161219364</v>
      </c>
      <c r="D18" s="67">
        <v>75.664891980550635</v>
      </c>
      <c r="E18" s="67">
        <v>19.375218267419282</v>
      </c>
      <c r="F18" s="67">
        <v>5.1978335908147856E-2</v>
      </c>
      <c r="G18" s="179">
        <v>100</v>
      </c>
      <c r="H18" s="68"/>
    </row>
  </sheetData>
  <mergeCells count="4">
    <mergeCell ref="B1:H1"/>
    <mergeCell ref="C3:F3"/>
    <mergeCell ref="G3:G4"/>
    <mergeCell ref="H3:H4"/>
  </mergeCells>
  <printOptions horizontalCentered="1"/>
  <pageMargins left="0.51181102362204722" right="0.51181102362204722" top="0.98425196850393704" bottom="0.98425196850393704" header="0.51181102362204722" footer="0.51181102362204722"/>
  <pageSetup scale="96"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A1:H66"/>
  <sheetViews>
    <sheetView view="pageBreakPreview" zoomScale="93" zoomScaleNormal="100" zoomScaleSheetLayoutView="93" workbookViewId="0"/>
  </sheetViews>
  <sheetFormatPr defaultColWidth="9.140625" defaultRowHeight="12.75" x14ac:dyDescent="0.2"/>
  <cols>
    <col min="1" max="1" width="9.140625" style="159"/>
    <col min="2" max="2" width="16.28515625" style="6" customWidth="1"/>
    <col min="3" max="8" width="13" customWidth="1"/>
  </cols>
  <sheetData>
    <row r="1" spans="2:8" ht="30" customHeight="1" x14ac:dyDescent="0.2">
      <c r="B1" s="483" t="s">
        <v>633</v>
      </c>
      <c r="C1" s="485"/>
      <c r="D1" s="485"/>
      <c r="E1" s="485"/>
      <c r="F1" s="485"/>
      <c r="G1" s="485"/>
      <c r="H1" s="485"/>
    </row>
    <row r="2" spans="2:8" s="172" customFormat="1" ht="12" customHeight="1" thickBot="1" x14ac:dyDescent="0.25">
      <c r="B2" s="176"/>
    </row>
    <row r="3" spans="2:8" ht="15" customHeight="1" x14ac:dyDescent="0.2">
      <c r="B3" s="174" t="s">
        <v>264</v>
      </c>
      <c r="C3" s="484" t="s">
        <v>268</v>
      </c>
      <c r="D3" s="484"/>
      <c r="E3" s="484"/>
      <c r="F3" s="484"/>
      <c r="G3" s="497"/>
      <c r="H3" s="497"/>
    </row>
    <row r="4" spans="2:8" ht="15" customHeight="1" thickBot="1" x14ac:dyDescent="0.25">
      <c r="B4" s="175" t="s">
        <v>300</v>
      </c>
      <c r="C4" s="178" t="s">
        <v>296</v>
      </c>
      <c r="D4" s="178" t="s">
        <v>297</v>
      </c>
      <c r="E4" s="178" t="s">
        <v>298</v>
      </c>
      <c r="F4" s="178" t="s">
        <v>299</v>
      </c>
      <c r="G4" s="187" t="s">
        <v>17</v>
      </c>
      <c r="H4" s="178" t="s">
        <v>295</v>
      </c>
    </row>
    <row r="5" spans="2:8" ht="15" customHeight="1" x14ac:dyDescent="0.2">
      <c r="B5" s="173" t="s">
        <v>301</v>
      </c>
      <c r="C5" s="184">
        <v>1543</v>
      </c>
      <c r="D5" s="184">
        <v>163591</v>
      </c>
      <c r="E5" s="185"/>
      <c r="F5" s="185"/>
      <c r="G5" s="188">
        <v>165134</v>
      </c>
      <c r="H5" s="287">
        <v>0.33259931498647993</v>
      </c>
    </row>
    <row r="6" spans="2:8" ht="15" customHeight="1" x14ac:dyDescent="0.2">
      <c r="B6" s="173" t="s">
        <v>302</v>
      </c>
      <c r="C6" s="185"/>
      <c r="D6" s="184">
        <v>257</v>
      </c>
      <c r="E6" s="185"/>
      <c r="F6" s="185"/>
      <c r="G6" s="188">
        <v>257</v>
      </c>
      <c r="H6" s="287">
        <v>5.1762825312488857E-4</v>
      </c>
    </row>
    <row r="7" spans="2:8" ht="15" customHeight="1" x14ac:dyDescent="0.2">
      <c r="B7" s="173" t="s">
        <v>303</v>
      </c>
      <c r="C7" s="185"/>
      <c r="D7" s="185">
        <v>4196</v>
      </c>
      <c r="E7" s="184">
        <v>383075</v>
      </c>
      <c r="F7" s="185"/>
      <c r="G7" s="188">
        <v>387271</v>
      </c>
      <c r="H7" s="287">
        <v>0.78000938216314675</v>
      </c>
    </row>
    <row r="8" spans="2:8" ht="15" customHeight="1" x14ac:dyDescent="0.2">
      <c r="B8" s="173" t="s">
        <v>304</v>
      </c>
      <c r="C8" s="185"/>
      <c r="D8" s="184">
        <v>31</v>
      </c>
      <c r="E8" s="185"/>
      <c r="F8" s="185"/>
      <c r="G8" s="188">
        <v>31</v>
      </c>
      <c r="H8" s="287">
        <v>6.2437649209616904E-5</v>
      </c>
    </row>
    <row r="9" spans="2:8" ht="15" customHeight="1" x14ac:dyDescent="0.2">
      <c r="B9" s="173" t="s">
        <v>305</v>
      </c>
      <c r="C9" s="185"/>
      <c r="D9" s="184">
        <v>636487</v>
      </c>
      <c r="E9" s="185"/>
      <c r="F9" s="185"/>
      <c r="G9" s="188">
        <v>636487</v>
      </c>
      <c r="H9" s="287">
        <v>1.2819597429832721</v>
      </c>
    </row>
    <row r="10" spans="2:8" ht="15" customHeight="1" x14ac:dyDescent="0.2">
      <c r="B10" s="173" t="s">
        <v>306</v>
      </c>
      <c r="C10" s="184">
        <v>95068</v>
      </c>
      <c r="D10" s="184">
        <v>14670137</v>
      </c>
      <c r="E10" s="185"/>
      <c r="F10" s="185"/>
      <c r="G10" s="188">
        <v>14765205</v>
      </c>
      <c r="H10" s="287">
        <v>29.738860977357469</v>
      </c>
    </row>
    <row r="11" spans="2:8" ht="15" customHeight="1" x14ac:dyDescent="0.2">
      <c r="B11" s="173" t="s">
        <v>307</v>
      </c>
      <c r="C11" s="185"/>
      <c r="D11" s="185"/>
      <c r="E11" s="184">
        <v>100166</v>
      </c>
      <c r="F11" s="185"/>
      <c r="G11" s="188">
        <v>100166</v>
      </c>
      <c r="H11" s="287">
        <v>0.20174611518485441</v>
      </c>
    </row>
    <row r="12" spans="2:8" ht="15" customHeight="1" x14ac:dyDescent="0.2">
      <c r="B12" s="173" t="s">
        <v>308</v>
      </c>
      <c r="C12" s="184">
        <v>510</v>
      </c>
      <c r="D12" s="184"/>
      <c r="E12" s="184">
        <v>1856954</v>
      </c>
      <c r="F12" s="185"/>
      <c r="G12" s="188">
        <v>1857464</v>
      </c>
      <c r="H12" s="287">
        <v>3.7411511500481245</v>
      </c>
    </row>
    <row r="13" spans="2:8" ht="15" customHeight="1" x14ac:dyDescent="0.2">
      <c r="B13" s="173" t="s">
        <v>309</v>
      </c>
      <c r="C13" s="184">
        <v>800036</v>
      </c>
      <c r="D13" s="185"/>
      <c r="E13" s="185"/>
      <c r="F13" s="185"/>
      <c r="G13" s="188">
        <v>800036</v>
      </c>
      <c r="H13" s="287">
        <v>1.6113666813891958</v>
      </c>
    </row>
    <row r="14" spans="2:8" ht="15" customHeight="1" x14ac:dyDescent="0.2">
      <c r="B14" s="173" t="s">
        <v>310</v>
      </c>
      <c r="C14" s="184">
        <v>30784</v>
      </c>
      <c r="D14" s="184">
        <v>8114</v>
      </c>
      <c r="E14" s="185"/>
      <c r="F14" s="185"/>
      <c r="G14" s="188">
        <v>38898</v>
      </c>
      <c r="H14" s="287">
        <v>7.8345150934054142E-2</v>
      </c>
    </row>
    <row r="15" spans="2:8" ht="15" customHeight="1" x14ac:dyDescent="0.2">
      <c r="B15" s="173" t="s">
        <v>311</v>
      </c>
      <c r="C15" s="184">
        <v>17890</v>
      </c>
      <c r="D15" s="185"/>
      <c r="E15" s="185"/>
      <c r="F15" s="185"/>
      <c r="G15" s="188">
        <v>17890</v>
      </c>
      <c r="H15" s="287">
        <v>3.603256594709827E-2</v>
      </c>
    </row>
    <row r="16" spans="2:8" ht="15" customHeight="1" x14ac:dyDescent="0.2">
      <c r="B16" s="173" t="s">
        <v>312</v>
      </c>
      <c r="C16" s="185"/>
      <c r="D16" s="184">
        <v>1</v>
      </c>
      <c r="E16" s="185"/>
      <c r="F16" s="185"/>
      <c r="G16" s="188">
        <v>1</v>
      </c>
      <c r="H16" s="287">
        <v>2.014117716439255E-6</v>
      </c>
    </row>
    <row r="17" spans="2:8" ht="15" customHeight="1" x14ac:dyDescent="0.2">
      <c r="B17" s="173" t="s">
        <v>591</v>
      </c>
      <c r="C17" s="184"/>
      <c r="D17" s="184">
        <v>1</v>
      </c>
      <c r="E17" s="185"/>
      <c r="F17" s="185"/>
      <c r="G17" s="188">
        <v>1</v>
      </c>
      <c r="H17" s="287">
        <v>2.014117716439255E-6</v>
      </c>
    </row>
    <row r="18" spans="2:8" ht="15" customHeight="1" x14ac:dyDescent="0.2">
      <c r="B18" s="173" t="s">
        <v>313</v>
      </c>
      <c r="C18" s="184">
        <v>5274</v>
      </c>
      <c r="D18" s="184">
        <v>691</v>
      </c>
      <c r="E18" s="185"/>
      <c r="F18" s="185"/>
      <c r="G18" s="188">
        <v>5965</v>
      </c>
      <c r="H18" s="287">
        <v>1.2014212178560156E-2</v>
      </c>
    </row>
    <row r="19" spans="2:8" ht="15" customHeight="1" x14ac:dyDescent="0.2">
      <c r="B19" s="173" t="s">
        <v>314</v>
      </c>
      <c r="C19" s="185">
        <v>35199</v>
      </c>
      <c r="D19" s="184">
        <v>76</v>
      </c>
      <c r="E19" s="185"/>
      <c r="F19" s="185"/>
      <c r="G19" s="188">
        <v>35275</v>
      </c>
      <c r="H19" s="287">
        <v>7.1048002447394717E-2</v>
      </c>
    </row>
    <row r="20" spans="2:8" ht="15" customHeight="1" x14ac:dyDescent="0.2">
      <c r="B20" s="173" t="s">
        <v>315</v>
      </c>
      <c r="C20" s="185"/>
      <c r="D20" s="184">
        <v>19265</v>
      </c>
      <c r="E20" s="185"/>
      <c r="F20" s="185"/>
      <c r="G20" s="188">
        <v>19265</v>
      </c>
      <c r="H20" s="287">
        <v>3.8801977807202244E-2</v>
      </c>
    </row>
    <row r="21" spans="2:8" ht="15" customHeight="1" x14ac:dyDescent="0.2">
      <c r="B21" s="173" t="s">
        <v>316</v>
      </c>
      <c r="C21" s="185"/>
      <c r="D21" s="185">
        <v>25271</v>
      </c>
      <c r="E21" s="184"/>
      <c r="F21" s="184"/>
      <c r="G21" s="188">
        <v>25271</v>
      </c>
      <c r="H21" s="287">
        <v>5.0898768812136411E-2</v>
      </c>
    </row>
    <row r="22" spans="2:8" ht="15" customHeight="1" x14ac:dyDescent="0.2">
      <c r="B22" s="173" t="s">
        <v>317</v>
      </c>
      <c r="C22" s="185">
        <v>248</v>
      </c>
      <c r="D22" s="184"/>
      <c r="E22" s="185">
        <v>4668239</v>
      </c>
      <c r="F22" s="185">
        <v>20008</v>
      </c>
      <c r="G22" s="188">
        <v>4688495</v>
      </c>
      <c r="H22" s="287">
        <v>9.4431808429368651</v>
      </c>
    </row>
    <row r="23" spans="2:8" ht="15" customHeight="1" x14ac:dyDescent="0.2">
      <c r="B23" s="173" t="s">
        <v>318</v>
      </c>
      <c r="C23" s="185"/>
      <c r="D23" s="184">
        <v>16467</v>
      </c>
      <c r="E23" s="185"/>
      <c r="F23" s="185"/>
      <c r="G23" s="188">
        <v>16467</v>
      </c>
      <c r="H23" s="287">
        <v>3.3166476436605211E-2</v>
      </c>
    </row>
    <row r="24" spans="2:8" ht="15" customHeight="1" x14ac:dyDescent="0.2">
      <c r="B24" s="173" t="s">
        <v>319</v>
      </c>
      <c r="C24" s="185"/>
      <c r="D24" s="184">
        <v>16</v>
      </c>
      <c r="E24" s="185"/>
      <c r="F24" s="185"/>
      <c r="G24" s="188">
        <v>16</v>
      </c>
      <c r="H24" s="287">
        <v>3.222588346302808E-5</v>
      </c>
    </row>
    <row r="25" spans="2:8" ht="15" customHeight="1" x14ac:dyDescent="0.2">
      <c r="B25" s="173" t="s">
        <v>320</v>
      </c>
      <c r="C25" s="185"/>
      <c r="D25" s="184">
        <v>5983</v>
      </c>
      <c r="E25" s="185"/>
      <c r="F25" s="185"/>
      <c r="G25" s="188">
        <v>5983</v>
      </c>
      <c r="H25" s="287">
        <v>1.2050466297456063E-2</v>
      </c>
    </row>
    <row r="26" spans="2:8" ht="15" customHeight="1" x14ac:dyDescent="0.2">
      <c r="B26" s="173" t="s">
        <v>321</v>
      </c>
      <c r="C26" s="185"/>
      <c r="D26" s="184">
        <v>32286</v>
      </c>
      <c r="E26" s="184"/>
      <c r="F26" s="185"/>
      <c r="G26" s="188">
        <v>32286</v>
      </c>
      <c r="H26" s="287">
        <v>6.5027804592957789E-2</v>
      </c>
    </row>
    <row r="27" spans="2:8" ht="15" customHeight="1" x14ac:dyDescent="0.2">
      <c r="B27" s="173" t="s">
        <v>322</v>
      </c>
      <c r="C27" s="184"/>
      <c r="D27" s="185">
        <v>60701</v>
      </c>
      <c r="E27" s="185">
        <v>70976</v>
      </c>
      <c r="F27" s="185"/>
      <c r="G27" s="188">
        <v>131677</v>
      </c>
      <c r="H27" s="287">
        <v>0.26521297854757175</v>
      </c>
    </row>
    <row r="28" spans="2:8" ht="15" customHeight="1" x14ac:dyDescent="0.2">
      <c r="B28" s="173" t="s">
        <v>323</v>
      </c>
      <c r="C28" s="185">
        <v>3011</v>
      </c>
      <c r="D28" s="185"/>
      <c r="E28" s="184"/>
      <c r="F28" s="185"/>
      <c r="G28" s="188">
        <v>3011</v>
      </c>
      <c r="H28" s="287">
        <v>6.0645084441985969E-3</v>
      </c>
    </row>
    <row r="29" spans="2:8" ht="15" customHeight="1" x14ac:dyDescent="0.2">
      <c r="B29" s="173" t="s">
        <v>324</v>
      </c>
      <c r="C29" s="184"/>
      <c r="D29" s="184"/>
      <c r="E29" s="184">
        <v>202902</v>
      </c>
      <c r="F29" s="185"/>
      <c r="G29" s="188">
        <v>202902</v>
      </c>
      <c r="H29" s="287">
        <v>0.40866851290095774</v>
      </c>
    </row>
    <row r="30" spans="2:8" ht="15" customHeight="1" x14ac:dyDescent="0.2">
      <c r="B30" s="173" t="s">
        <v>325</v>
      </c>
      <c r="C30" s="185">
        <v>7154</v>
      </c>
      <c r="D30" s="184">
        <v>1036</v>
      </c>
      <c r="E30" s="184">
        <v>105643</v>
      </c>
      <c r="F30" s="185"/>
      <c r="G30" s="188">
        <v>113833</v>
      </c>
      <c r="H30" s="287">
        <v>0.22927306201542971</v>
      </c>
    </row>
    <row r="31" spans="2:8" ht="15" customHeight="1" x14ac:dyDescent="0.2">
      <c r="B31" s="173" t="s">
        <v>326</v>
      </c>
      <c r="C31" s="185"/>
      <c r="D31" s="184">
        <v>2610</v>
      </c>
      <c r="E31" s="185">
        <v>335201</v>
      </c>
      <c r="F31" s="185"/>
      <c r="G31" s="188">
        <v>337811</v>
      </c>
      <c r="H31" s="287">
        <v>0.68039111990806111</v>
      </c>
    </row>
    <row r="32" spans="2:8" ht="15" customHeight="1" x14ac:dyDescent="0.2">
      <c r="B32" s="173" t="s">
        <v>327</v>
      </c>
      <c r="C32" s="184"/>
      <c r="D32" s="184">
        <v>12597</v>
      </c>
      <c r="E32" s="185"/>
      <c r="F32" s="185"/>
      <c r="G32" s="188">
        <v>12597</v>
      </c>
      <c r="H32" s="287">
        <v>2.5371840873985294E-2</v>
      </c>
    </row>
    <row r="33" spans="2:8" ht="15" customHeight="1" x14ac:dyDescent="0.2">
      <c r="B33" s="173" t="s">
        <v>328</v>
      </c>
      <c r="C33" s="184">
        <v>404866</v>
      </c>
      <c r="D33" s="184">
        <v>17300715</v>
      </c>
      <c r="E33" s="185"/>
      <c r="F33" s="185"/>
      <c r="G33" s="188">
        <v>17705581</v>
      </c>
      <c r="H33" s="287">
        <v>35.661124371950258</v>
      </c>
    </row>
    <row r="34" spans="2:8" ht="15" customHeight="1" x14ac:dyDescent="0.2">
      <c r="B34" s="173" t="s">
        <v>329</v>
      </c>
      <c r="C34" s="185">
        <v>141307</v>
      </c>
      <c r="D34" s="184">
        <v>1366922</v>
      </c>
      <c r="E34" s="185"/>
      <c r="F34" s="185"/>
      <c r="G34" s="188">
        <v>1508229</v>
      </c>
      <c r="H34" s="287">
        <v>3.0377507493474609</v>
      </c>
    </row>
    <row r="35" spans="2:8" ht="15" customHeight="1" x14ac:dyDescent="0.2">
      <c r="B35" s="173" t="s">
        <v>330</v>
      </c>
      <c r="C35" s="185"/>
      <c r="D35" s="184">
        <v>556</v>
      </c>
      <c r="E35" s="185"/>
      <c r="F35" s="185"/>
      <c r="G35" s="188">
        <v>556</v>
      </c>
      <c r="H35" s="287">
        <v>1.1198494503402258E-3</v>
      </c>
    </row>
    <row r="36" spans="2:8" ht="15" customHeight="1" x14ac:dyDescent="0.2">
      <c r="B36" s="173" t="s">
        <v>331</v>
      </c>
      <c r="C36" s="184"/>
      <c r="D36" s="184">
        <v>51</v>
      </c>
      <c r="E36" s="185"/>
      <c r="F36" s="185"/>
      <c r="G36" s="188">
        <v>51</v>
      </c>
      <c r="H36" s="287">
        <v>1.02720003538402E-4</v>
      </c>
    </row>
    <row r="37" spans="2:8" ht="15" customHeight="1" x14ac:dyDescent="0.2">
      <c r="B37" s="173" t="s">
        <v>332</v>
      </c>
      <c r="C37" s="185">
        <v>456</v>
      </c>
      <c r="D37" s="184">
        <v>8</v>
      </c>
      <c r="E37" s="185"/>
      <c r="F37" s="185"/>
      <c r="G37" s="188">
        <v>464</v>
      </c>
      <c r="H37" s="287">
        <v>9.345506204278143E-4</v>
      </c>
    </row>
    <row r="38" spans="2:8" ht="15" customHeight="1" x14ac:dyDescent="0.2">
      <c r="B38" s="173" t="s">
        <v>333</v>
      </c>
      <c r="C38" s="185"/>
      <c r="D38" s="185">
        <v>124764</v>
      </c>
      <c r="E38" s="184"/>
      <c r="F38" s="185"/>
      <c r="G38" s="188">
        <v>124764</v>
      </c>
      <c r="H38" s="287">
        <v>0.25128938277382723</v>
      </c>
    </row>
    <row r="39" spans="2:8" ht="15" customHeight="1" x14ac:dyDescent="0.2">
      <c r="B39" s="173" t="s">
        <v>334</v>
      </c>
      <c r="C39" s="185">
        <v>0</v>
      </c>
      <c r="D39" s="185"/>
      <c r="E39" s="184">
        <v>636941</v>
      </c>
      <c r="F39" s="184"/>
      <c r="G39" s="188">
        <v>636941</v>
      </c>
      <c r="H39" s="287">
        <v>1.2828741524265355</v>
      </c>
    </row>
    <row r="40" spans="2:8" ht="15" customHeight="1" x14ac:dyDescent="0.2">
      <c r="B40" s="173" t="s">
        <v>335</v>
      </c>
      <c r="C40" s="184"/>
      <c r="D40" s="184"/>
      <c r="E40" s="185">
        <v>99303</v>
      </c>
      <c r="F40" s="185">
        <v>5704</v>
      </c>
      <c r="G40" s="188">
        <v>105007</v>
      </c>
      <c r="H40" s="287">
        <v>0.21149645905013684</v>
      </c>
    </row>
    <row r="41" spans="2:8" ht="15" customHeight="1" x14ac:dyDescent="0.2">
      <c r="B41" s="173" t="s">
        <v>336</v>
      </c>
      <c r="C41" s="185">
        <v>28300</v>
      </c>
      <c r="D41" s="184">
        <v>721</v>
      </c>
      <c r="E41" s="185"/>
      <c r="F41" s="185"/>
      <c r="G41" s="188">
        <v>29021</v>
      </c>
      <c r="H41" s="287">
        <v>5.8451710248783616E-2</v>
      </c>
    </row>
    <row r="42" spans="2:8" ht="15" customHeight="1" x14ac:dyDescent="0.2">
      <c r="B42" s="173" t="s">
        <v>337</v>
      </c>
      <c r="C42" s="185"/>
      <c r="D42" s="184">
        <v>36870</v>
      </c>
      <c r="E42" s="185"/>
      <c r="F42" s="185"/>
      <c r="G42" s="188">
        <v>36870</v>
      </c>
      <c r="H42" s="287">
        <v>7.4260520205115338E-2</v>
      </c>
    </row>
    <row r="43" spans="2:8" ht="15" customHeight="1" x14ac:dyDescent="0.2">
      <c r="B43" s="173" t="s">
        <v>338</v>
      </c>
      <c r="C43" s="185"/>
      <c r="D43" s="184">
        <v>10457</v>
      </c>
      <c r="E43" s="185"/>
      <c r="F43" s="185"/>
      <c r="G43" s="188">
        <v>10457</v>
      </c>
      <c r="H43" s="287">
        <v>2.1061628960805288E-2</v>
      </c>
    </row>
    <row r="44" spans="2:8" ht="15" customHeight="1" x14ac:dyDescent="0.2">
      <c r="B44" s="173" t="s">
        <v>339</v>
      </c>
      <c r="C44" s="185"/>
      <c r="D44" s="184">
        <v>322</v>
      </c>
      <c r="E44" s="185"/>
      <c r="F44" s="185"/>
      <c r="G44" s="188">
        <v>322</v>
      </c>
      <c r="H44" s="287">
        <v>6.4854590469344011E-4</v>
      </c>
    </row>
    <row r="45" spans="2:8" ht="15" customHeight="1" x14ac:dyDescent="0.2">
      <c r="B45" s="173" t="s">
        <v>340</v>
      </c>
      <c r="C45" s="184"/>
      <c r="D45" s="185">
        <v>11</v>
      </c>
      <c r="E45" s="185"/>
      <c r="F45" s="185"/>
      <c r="G45" s="188">
        <v>11</v>
      </c>
      <c r="H45" s="287">
        <v>2.2155294880831806E-5</v>
      </c>
    </row>
    <row r="46" spans="2:8" ht="15" customHeight="1" x14ac:dyDescent="0.2">
      <c r="B46" s="173" t="s">
        <v>341</v>
      </c>
      <c r="C46" s="184">
        <v>60916</v>
      </c>
      <c r="D46" s="184"/>
      <c r="E46" s="185"/>
      <c r="F46" s="185"/>
      <c r="G46" s="188">
        <v>60916</v>
      </c>
      <c r="H46" s="287">
        <v>0.12269199481461365</v>
      </c>
    </row>
    <row r="47" spans="2:8" ht="15" customHeight="1" x14ac:dyDescent="0.2">
      <c r="B47" s="173" t="s">
        <v>342</v>
      </c>
      <c r="C47" s="185">
        <v>696073</v>
      </c>
      <c r="D47" s="184">
        <v>2611900</v>
      </c>
      <c r="E47" s="185"/>
      <c r="F47" s="185"/>
      <c r="G47" s="188">
        <v>3307973</v>
      </c>
      <c r="H47" s="287">
        <v>6.6626470248027116</v>
      </c>
    </row>
    <row r="48" spans="2:8" ht="15" customHeight="1" x14ac:dyDescent="0.2">
      <c r="B48" s="173" t="s">
        <v>592</v>
      </c>
      <c r="C48" s="184"/>
      <c r="D48" s="184">
        <v>1</v>
      </c>
      <c r="E48" s="185"/>
      <c r="F48" s="185"/>
      <c r="G48" s="188">
        <v>1</v>
      </c>
      <c r="H48" s="287">
        <v>2.014117716439255E-6</v>
      </c>
    </row>
    <row r="49" spans="2:8" ht="15" customHeight="1" x14ac:dyDescent="0.2">
      <c r="B49" s="173" t="s">
        <v>343</v>
      </c>
      <c r="C49" s="184"/>
      <c r="D49" s="185">
        <v>6763</v>
      </c>
      <c r="E49" s="185"/>
      <c r="F49" s="185"/>
      <c r="G49" s="188">
        <v>6763</v>
      </c>
      <c r="H49" s="287">
        <v>1.3621478116278682E-2</v>
      </c>
    </row>
    <row r="50" spans="2:8" ht="15" customHeight="1" x14ac:dyDescent="0.2">
      <c r="B50" s="173" t="s">
        <v>344</v>
      </c>
      <c r="C50" s="184">
        <v>15833</v>
      </c>
      <c r="D50" s="185">
        <v>5307</v>
      </c>
      <c r="E50" s="185"/>
      <c r="F50" s="185"/>
      <c r="G50" s="188">
        <v>21140</v>
      </c>
      <c r="H50" s="287">
        <v>4.257844852552585E-2</v>
      </c>
    </row>
    <row r="51" spans="2:8" ht="15" customHeight="1" x14ac:dyDescent="0.2">
      <c r="B51" s="173" t="s">
        <v>345</v>
      </c>
      <c r="C51" s="184">
        <v>290</v>
      </c>
      <c r="D51" s="184"/>
      <c r="E51" s="185"/>
      <c r="F51" s="185"/>
      <c r="G51" s="188">
        <v>290</v>
      </c>
      <c r="H51" s="287">
        <v>5.8409413776738394E-4</v>
      </c>
    </row>
    <row r="52" spans="2:8" ht="15" customHeight="1" x14ac:dyDescent="0.2">
      <c r="B52" s="173" t="s">
        <v>346</v>
      </c>
      <c r="C52" s="184">
        <v>7038</v>
      </c>
      <c r="D52" s="184"/>
      <c r="E52" s="185"/>
      <c r="F52" s="185"/>
      <c r="G52" s="188">
        <v>7038</v>
      </c>
      <c r="H52" s="287">
        <v>1.4175360488299477E-2</v>
      </c>
    </row>
    <row r="53" spans="2:8" ht="15" customHeight="1" x14ac:dyDescent="0.2">
      <c r="B53" s="173" t="s">
        <v>347</v>
      </c>
      <c r="C53" s="185">
        <v>18121</v>
      </c>
      <c r="D53" s="184">
        <v>46712</v>
      </c>
      <c r="E53" s="185"/>
      <c r="F53" s="185"/>
      <c r="G53" s="188">
        <v>64833</v>
      </c>
      <c r="H53" s="287">
        <v>0.13058129390990622</v>
      </c>
    </row>
    <row r="54" spans="2:8" ht="15" customHeight="1" x14ac:dyDescent="0.2">
      <c r="B54" s="173" t="s">
        <v>348</v>
      </c>
      <c r="C54" s="185">
        <v>13483</v>
      </c>
      <c r="D54" s="184">
        <v>0</v>
      </c>
      <c r="E54" s="184"/>
      <c r="F54" s="185"/>
      <c r="G54" s="188">
        <v>13483</v>
      </c>
      <c r="H54" s="287">
        <v>2.7156349170750476E-2</v>
      </c>
    </row>
    <row r="55" spans="2:8" ht="15" customHeight="1" x14ac:dyDescent="0.2">
      <c r="B55" s="173" t="s">
        <v>349</v>
      </c>
      <c r="C55" s="185"/>
      <c r="D55" s="185">
        <v>103</v>
      </c>
      <c r="E55" s="184"/>
      <c r="F55" s="185"/>
      <c r="G55" s="188">
        <v>103</v>
      </c>
      <c r="H55" s="287">
        <v>2.0745412479324327E-4</v>
      </c>
    </row>
    <row r="56" spans="2:8" ht="15" customHeight="1" x14ac:dyDescent="0.2">
      <c r="B56" s="173" t="s">
        <v>350</v>
      </c>
      <c r="C56" s="184"/>
      <c r="D56" s="184">
        <v>154</v>
      </c>
      <c r="E56" s="185">
        <v>26753</v>
      </c>
      <c r="F56" s="185"/>
      <c r="G56" s="188">
        <v>26907</v>
      </c>
      <c r="H56" s="287">
        <v>5.4193865396231035E-2</v>
      </c>
    </row>
    <row r="57" spans="2:8" ht="15" customHeight="1" x14ac:dyDescent="0.2">
      <c r="B57" s="173" t="s">
        <v>351</v>
      </c>
      <c r="C57" s="184"/>
      <c r="D57" s="184">
        <v>4</v>
      </c>
      <c r="E57" s="185">
        <v>581426</v>
      </c>
      <c r="F57" s="185"/>
      <c r="G57" s="188">
        <v>581430</v>
      </c>
      <c r="H57" s="287">
        <v>1.1710684638692761</v>
      </c>
    </row>
    <row r="58" spans="2:8" ht="15" customHeight="1" x14ac:dyDescent="0.2">
      <c r="B58" s="173" t="s">
        <v>352</v>
      </c>
      <c r="C58" s="185">
        <v>8601</v>
      </c>
      <c r="D58" s="184">
        <v>1840</v>
      </c>
      <c r="E58" s="185"/>
      <c r="F58" s="185"/>
      <c r="G58" s="188">
        <v>10441</v>
      </c>
      <c r="H58" s="287">
        <v>2.102940307734226E-2</v>
      </c>
    </row>
    <row r="59" spans="2:8" ht="15" customHeight="1" x14ac:dyDescent="0.2">
      <c r="B59" s="173" t="s">
        <v>593</v>
      </c>
      <c r="C59" s="185"/>
      <c r="D59" s="184">
        <v>1</v>
      </c>
      <c r="E59" s="184"/>
      <c r="F59" s="184"/>
      <c r="G59" s="188">
        <v>1</v>
      </c>
      <c r="H59" s="287">
        <v>2.014117716439255E-6</v>
      </c>
    </row>
    <row r="60" spans="2:8" ht="15" customHeight="1" x14ac:dyDescent="0.2">
      <c r="B60" s="173" t="s">
        <v>353</v>
      </c>
      <c r="C60" s="184">
        <v>17849</v>
      </c>
      <c r="D60" s="185">
        <v>370263</v>
      </c>
      <c r="E60" s="185"/>
      <c r="F60" s="185"/>
      <c r="G60" s="188">
        <v>388112</v>
      </c>
      <c r="H60" s="287">
        <v>0.78170325516267214</v>
      </c>
    </row>
    <row r="61" spans="2:8" ht="15" customHeight="1" x14ac:dyDescent="0.2">
      <c r="B61" s="285" t="s">
        <v>354</v>
      </c>
      <c r="C61" s="184"/>
      <c r="D61" s="185">
        <v>13</v>
      </c>
      <c r="E61" s="185"/>
      <c r="F61" s="185"/>
      <c r="G61" s="188">
        <v>13</v>
      </c>
      <c r="H61" s="287">
        <v>2.6183530313710314E-5</v>
      </c>
    </row>
    <row r="62" spans="2:8" ht="15" customHeight="1" x14ac:dyDescent="0.2">
      <c r="B62" s="285" t="s">
        <v>355</v>
      </c>
      <c r="C62" s="184"/>
      <c r="D62" s="185">
        <v>706</v>
      </c>
      <c r="E62" s="185">
        <v>552126</v>
      </c>
      <c r="F62" s="185">
        <v>95</v>
      </c>
      <c r="G62" s="188">
        <v>552927</v>
      </c>
      <c r="H62" s="287">
        <v>1.113660066597608</v>
      </c>
    </row>
    <row r="63" spans="2:8" ht="15" customHeight="1" x14ac:dyDescent="0.2">
      <c r="B63" s="285" t="s">
        <v>356</v>
      </c>
      <c r="C63" s="184">
        <v>8311</v>
      </c>
      <c r="D63" s="185"/>
      <c r="E63" s="185"/>
      <c r="F63" s="185"/>
      <c r="G63" s="188">
        <v>8311</v>
      </c>
      <c r="H63" s="287">
        <v>1.6739332341326647E-2</v>
      </c>
    </row>
    <row r="64" spans="2:8" ht="13.5" thickBot="1" x14ac:dyDescent="0.25">
      <c r="B64" s="173" t="s">
        <v>357</v>
      </c>
      <c r="C64" s="184">
        <v>18594</v>
      </c>
      <c r="D64" s="184">
        <v>22286</v>
      </c>
      <c r="E64" s="185"/>
      <c r="F64" s="185"/>
      <c r="G64" s="188">
        <v>40880</v>
      </c>
      <c r="H64" s="287">
        <v>8.2337132248036737E-2</v>
      </c>
    </row>
    <row r="65" spans="2:8" ht="13.5" thickBot="1" x14ac:dyDescent="0.25">
      <c r="B65" s="38" t="s">
        <v>17</v>
      </c>
      <c r="C65" s="186">
        <v>2436755</v>
      </c>
      <c r="D65" s="186">
        <v>37567264</v>
      </c>
      <c r="E65" s="186">
        <v>9619705</v>
      </c>
      <c r="F65" s="186">
        <v>25807</v>
      </c>
      <c r="G65" s="186">
        <v>49649531</v>
      </c>
      <c r="H65" s="286">
        <v>100</v>
      </c>
    </row>
    <row r="66" spans="2:8" ht="13.5" thickBot="1" x14ac:dyDescent="0.25">
      <c r="B66" s="64" t="s">
        <v>295</v>
      </c>
      <c r="C66" s="286">
        <v>4.9079114161219364</v>
      </c>
      <c r="D66" s="286">
        <v>75.664891980550635</v>
      </c>
      <c r="E66" s="286">
        <v>19.375218267419282</v>
      </c>
      <c r="F66" s="286">
        <v>5.1978335908147856E-2</v>
      </c>
      <c r="G66" s="286">
        <v>100</v>
      </c>
      <c r="H66" s="189"/>
    </row>
  </sheetData>
  <mergeCells count="3">
    <mergeCell ref="B1:H1"/>
    <mergeCell ref="C3:F3"/>
    <mergeCell ref="G3:H3"/>
  </mergeCells>
  <printOptions horizontalCentered="1" verticalCentered="1"/>
  <pageMargins left="0.74803149606299213" right="0.74803149606299213" top="0.39370078740157483" bottom="0.39370078740157483" header="0.39370078740157483" footer="0.39370078740157483"/>
  <pageSetup scale="76"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D8E6"/>
  </sheetPr>
  <dimension ref="A1:Q227"/>
  <sheetViews>
    <sheetView view="pageBreakPreview" zoomScale="85" zoomScaleNormal="100" zoomScaleSheetLayoutView="85" workbookViewId="0"/>
  </sheetViews>
  <sheetFormatPr defaultColWidth="9.140625" defaultRowHeight="12.75" x14ac:dyDescent="0.2"/>
  <cols>
    <col min="1" max="1" width="9.140625" style="182"/>
    <col min="2" max="2" width="17.28515625" style="6" customWidth="1"/>
    <col min="3" max="3" width="38.85546875" style="6" customWidth="1"/>
    <col min="4" max="4" width="7.140625" customWidth="1"/>
    <col min="5" max="6" width="10" style="183" customWidth="1"/>
    <col min="7" max="7" width="10.140625" style="183" customWidth="1"/>
    <col min="8" max="10" width="10.42578125" style="183" customWidth="1"/>
    <col min="11" max="12" width="10" style="183" customWidth="1"/>
    <col min="13" max="13" width="10.140625" style="183" customWidth="1"/>
    <col min="14" max="15" width="10.42578125" style="183" customWidth="1"/>
    <col min="16" max="16" width="10.42578125" customWidth="1"/>
    <col min="17" max="17" width="11.5703125" customWidth="1"/>
    <col min="18" max="18" width="9.140625" customWidth="1"/>
  </cols>
  <sheetData>
    <row r="1" spans="2:17" ht="30" customHeight="1" thickBot="1" x14ac:dyDescent="0.25">
      <c r="B1" s="460" t="s">
        <v>634</v>
      </c>
      <c r="C1" s="498"/>
      <c r="D1" s="498"/>
      <c r="E1" s="498"/>
      <c r="F1" s="498"/>
      <c r="G1" s="498"/>
      <c r="H1" s="498"/>
      <c r="I1" s="498"/>
      <c r="J1" s="498"/>
      <c r="K1" s="498"/>
      <c r="L1" s="498"/>
      <c r="M1" s="498"/>
      <c r="N1" s="498"/>
      <c r="O1" s="498"/>
      <c r="P1" s="498"/>
      <c r="Q1" s="498"/>
    </row>
    <row r="2" spans="2:17" ht="13.5" customHeight="1" thickBot="1" x14ac:dyDescent="0.25">
      <c r="B2" s="37" t="s">
        <v>0</v>
      </c>
      <c r="C2" s="37" t="s">
        <v>0</v>
      </c>
      <c r="D2" s="122" t="s">
        <v>0</v>
      </c>
      <c r="E2" s="486" t="s">
        <v>265</v>
      </c>
      <c r="F2" s="486"/>
      <c r="G2" s="486"/>
      <c r="H2" s="486"/>
      <c r="I2" s="486"/>
      <c r="J2" s="486"/>
      <c r="K2" s="486"/>
      <c r="L2" s="486"/>
      <c r="M2" s="486"/>
      <c r="N2" s="486"/>
      <c r="O2" s="486"/>
      <c r="P2" s="486"/>
      <c r="Q2" s="192"/>
    </row>
    <row r="3" spans="2:17" ht="26.25" customHeight="1" thickBot="1" x14ac:dyDescent="0.25">
      <c r="B3" s="449" t="s">
        <v>556</v>
      </c>
      <c r="C3" s="449"/>
      <c r="D3" s="449"/>
      <c r="E3" s="193" t="s">
        <v>5</v>
      </c>
      <c r="F3" s="193" t="s">
        <v>6</v>
      </c>
      <c r="G3" s="193" t="s">
        <v>7</v>
      </c>
      <c r="H3" s="193" t="s">
        <v>8</v>
      </c>
      <c r="I3" s="193" t="s">
        <v>9</v>
      </c>
      <c r="J3" s="193" t="s">
        <v>10</v>
      </c>
      <c r="K3" s="193" t="s">
        <v>11</v>
      </c>
      <c r="L3" s="193" t="s">
        <v>12</v>
      </c>
      <c r="M3" s="193" t="s">
        <v>13</v>
      </c>
      <c r="N3" s="193" t="s">
        <v>14</v>
      </c>
      <c r="O3" s="193" t="s">
        <v>15</v>
      </c>
      <c r="P3" s="194" t="s">
        <v>16</v>
      </c>
      <c r="Q3" s="195" t="s">
        <v>17</v>
      </c>
    </row>
    <row r="4" spans="2:17" ht="13.5" customHeight="1" x14ac:dyDescent="0.2">
      <c r="B4" s="447" t="s">
        <v>301</v>
      </c>
      <c r="C4" s="89" t="s">
        <v>614</v>
      </c>
      <c r="D4" s="357" t="s">
        <v>269</v>
      </c>
      <c r="E4" s="147">
        <v>28</v>
      </c>
      <c r="F4" s="147">
        <v>20</v>
      </c>
      <c r="G4" s="147">
        <v>32</v>
      </c>
      <c r="H4" s="147">
        <v>38</v>
      </c>
      <c r="I4" s="147">
        <v>40</v>
      </c>
      <c r="J4" s="147">
        <v>63</v>
      </c>
      <c r="K4" s="147">
        <v>35</v>
      </c>
      <c r="L4" s="147">
        <v>48</v>
      </c>
      <c r="M4" s="147">
        <v>27</v>
      </c>
      <c r="N4" s="147">
        <v>38</v>
      </c>
      <c r="O4" s="147">
        <v>79</v>
      </c>
      <c r="P4" s="147">
        <v>26</v>
      </c>
      <c r="Q4" s="378">
        <v>474</v>
      </c>
    </row>
    <row r="5" spans="2:17" ht="13.5" customHeight="1" x14ac:dyDescent="0.2">
      <c r="B5" s="448"/>
      <c r="C5" s="90" t="s">
        <v>359</v>
      </c>
      <c r="D5" s="360" t="s">
        <v>270</v>
      </c>
      <c r="E5" s="150">
        <v>7862</v>
      </c>
      <c r="F5" s="150">
        <v>9272</v>
      </c>
      <c r="G5" s="150">
        <v>6856</v>
      </c>
      <c r="H5" s="150">
        <v>7633</v>
      </c>
      <c r="I5" s="150">
        <v>10071</v>
      </c>
      <c r="J5" s="150">
        <v>13805</v>
      </c>
      <c r="K5" s="150">
        <v>22044</v>
      </c>
      <c r="L5" s="150">
        <v>28151</v>
      </c>
      <c r="M5" s="150">
        <v>19981</v>
      </c>
      <c r="N5" s="150">
        <v>16967</v>
      </c>
      <c r="O5" s="150">
        <v>10057</v>
      </c>
      <c r="P5" s="150">
        <v>10892</v>
      </c>
      <c r="Q5" s="379">
        <v>163591</v>
      </c>
    </row>
    <row r="6" spans="2:17" ht="13.5" customHeight="1" x14ac:dyDescent="0.2">
      <c r="B6" s="448"/>
      <c r="C6" s="90" t="s">
        <v>360</v>
      </c>
      <c r="D6" s="469" t="s">
        <v>269</v>
      </c>
      <c r="E6" s="150">
        <v>75</v>
      </c>
      <c r="F6" s="150">
        <v>29</v>
      </c>
      <c r="G6" s="150">
        <v>66</v>
      </c>
      <c r="H6" s="150">
        <v>45</v>
      </c>
      <c r="I6" s="150">
        <v>53</v>
      </c>
      <c r="J6" s="150">
        <v>60</v>
      </c>
      <c r="K6" s="150">
        <v>47</v>
      </c>
      <c r="L6" s="150">
        <v>46</v>
      </c>
      <c r="M6" s="150">
        <v>58</v>
      </c>
      <c r="N6" s="150">
        <v>37</v>
      </c>
      <c r="O6" s="150">
        <v>39</v>
      </c>
      <c r="P6" s="150">
        <v>24</v>
      </c>
      <c r="Q6" s="379">
        <v>579</v>
      </c>
    </row>
    <row r="7" spans="2:17" ht="13.5" customHeight="1" x14ac:dyDescent="0.2">
      <c r="B7" s="448"/>
      <c r="C7" s="90" t="s">
        <v>361</v>
      </c>
      <c r="D7" s="469"/>
      <c r="E7" s="150">
        <v>20</v>
      </c>
      <c r="F7" s="150">
        <v>19</v>
      </c>
      <c r="G7" s="150">
        <v>21</v>
      </c>
      <c r="H7" s="150">
        <v>53</v>
      </c>
      <c r="I7" s="150">
        <v>39</v>
      </c>
      <c r="J7" s="150">
        <v>49</v>
      </c>
      <c r="K7" s="150">
        <v>32</v>
      </c>
      <c r="L7" s="150">
        <v>58</v>
      </c>
      <c r="M7" s="150">
        <v>44</v>
      </c>
      <c r="N7" s="150">
        <v>54</v>
      </c>
      <c r="O7" s="150">
        <v>67</v>
      </c>
      <c r="P7" s="150">
        <v>34</v>
      </c>
      <c r="Q7" s="379">
        <v>490</v>
      </c>
    </row>
    <row r="8" spans="2:17" ht="13.5" customHeight="1" thickBot="1" x14ac:dyDescent="0.25">
      <c r="B8" s="449"/>
      <c r="C8" s="358" t="s">
        <v>17</v>
      </c>
      <c r="D8" s="92" t="s">
        <v>264</v>
      </c>
      <c r="E8" s="153">
        <v>7985</v>
      </c>
      <c r="F8" s="153">
        <v>9340</v>
      </c>
      <c r="G8" s="153">
        <v>6975</v>
      </c>
      <c r="H8" s="153">
        <v>7769</v>
      </c>
      <c r="I8" s="153">
        <v>10203</v>
      </c>
      <c r="J8" s="153">
        <v>13977</v>
      </c>
      <c r="K8" s="153">
        <v>22158</v>
      </c>
      <c r="L8" s="153">
        <v>28303</v>
      </c>
      <c r="M8" s="153">
        <v>20110</v>
      </c>
      <c r="N8" s="153">
        <v>17096</v>
      </c>
      <c r="O8" s="153">
        <v>10242</v>
      </c>
      <c r="P8" s="153">
        <v>10976</v>
      </c>
      <c r="Q8" s="380">
        <v>165134</v>
      </c>
    </row>
    <row r="9" spans="2:17" ht="13.5" customHeight="1" x14ac:dyDescent="0.2">
      <c r="B9" s="451" t="s">
        <v>302</v>
      </c>
      <c r="C9" s="84" t="s">
        <v>362</v>
      </c>
      <c r="D9" s="361" t="s">
        <v>270</v>
      </c>
      <c r="E9" s="284">
        <v>1</v>
      </c>
      <c r="F9" s="284">
        <v>246</v>
      </c>
      <c r="G9" s="2"/>
      <c r="H9" s="2"/>
      <c r="I9" s="2"/>
      <c r="J9" s="2"/>
      <c r="K9" s="2"/>
      <c r="L9" s="2"/>
      <c r="M9" s="2"/>
      <c r="N9" s="2"/>
      <c r="O9" s="284">
        <v>4</v>
      </c>
      <c r="P9" s="284">
        <v>6</v>
      </c>
      <c r="Q9" s="381">
        <v>257</v>
      </c>
    </row>
    <row r="10" spans="2:17" ht="13.5" customHeight="1" thickBot="1" x14ac:dyDescent="0.25">
      <c r="B10" s="451"/>
      <c r="C10" s="359" t="s">
        <v>17</v>
      </c>
      <c r="D10" s="85" t="s">
        <v>264</v>
      </c>
      <c r="E10" s="127">
        <v>1</v>
      </c>
      <c r="F10" s="127">
        <v>246</v>
      </c>
      <c r="G10" s="145"/>
      <c r="H10" s="145"/>
      <c r="I10" s="145"/>
      <c r="J10" s="145"/>
      <c r="K10" s="145"/>
      <c r="L10" s="145"/>
      <c r="M10" s="145"/>
      <c r="N10" s="145"/>
      <c r="O10" s="127">
        <v>4</v>
      </c>
      <c r="P10" s="127">
        <v>6</v>
      </c>
      <c r="Q10" s="382">
        <v>257</v>
      </c>
    </row>
    <row r="11" spans="2:17" ht="13.5" customHeight="1" x14ac:dyDescent="0.2">
      <c r="B11" s="447" t="s">
        <v>303</v>
      </c>
      <c r="C11" s="89" t="s">
        <v>363</v>
      </c>
      <c r="D11" s="357" t="s">
        <v>271</v>
      </c>
      <c r="E11" s="147">
        <v>19278</v>
      </c>
      <c r="F11" s="147">
        <v>18105</v>
      </c>
      <c r="G11" s="147">
        <v>32995</v>
      </c>
      <c r="H11" s="147">
        <v>28392</v>
      </c>
      <c r="I11" s="147">
        <v>21275</v>
      </c>
      <c r="J11" s="147">
        <v>31856</v>
      </c>
      <c r="K11" s="147">
        <v>31522</v>
      </c>
      <c r="L11" s="147">
        <v>37377</v>
      </c>
      <c r="M11" s="147">
        <v>45378</v>
      </c>
      <c r="N11" s="147">
        <v>28491</v>
      </c>
      <c r="O11" s="147">
        <v>37574</v>
      </c>
      <c r="P11" s="147">
        <v>50832</v>
      </c>
      <c r="Q11" s="378">
        <v>383075</v>
      </c>
    </row>
    <row r="12" spans="2:17" ht="13.5" customHeight="1" x14ac:dyDescent="0.2">
      <c r="B12" s="448"/>
      <c r="C12" s="90" t="s">
        <v>594</v>
      </c>
      <c r="D12" s="360" t="s">
        <v>270</v>
      </c>
      <c r="E12" s="150">
        <v>496</v>
      </c>
      <c r="F12" s="151"/>
      <c r="G12" s="150">
        <v>272</v>
      </c>
      <c r="H12" s="150">
        <v>365</v>
      </c>
      <c r="I12" s="150">
        <v>726</v>
      </c>
      <c r="J12" s="151"/>
      <c r="K12" s="150">
        <v>138</v>
      </c>
      <c r="L12" s="150">
        <v>457</v>
      </c>
      <c r="M12" s="150">
        <v>5</v>
      </c>
      <c r="N12" s="150">
        <v>685</v>
      </c>
      <c r="O12" s="150">
        <v>823</v>
      </c>
      <c r="P12" s="150">
        <v>229</v>
      </c>
      <c r="Q12" s="379">
        <v>4196</v>
      </c>
    </row>
    <row r="13" spans="2:17" ht="13.5" customHeight="1" thickBot="1" x14ac:dyDescent="0.25">
      <c r="B13" s="449"/>
      <c r="C13" s="358" t="s">
        <v>17</v>
      </c>
      <c r="D13" s="92" t="s">
        <v>264</v>
      </c>
      <c r="E13" s="153">
        <v>19774</v>
      </c>
      <c r="F13" s="153">
        <v>18105</v>
      </c>
      <c r="G13" s="153">
        <v>33267</v>
      </c>
      <c r="H13" s="153">
        <v>28757</v>
      </c>
      <c r="I13" s="153">
        <v>22001</v>
      </c>
      <c r="J13" s="153">
        <v>31856</v>
      </c>
      <c r="K13" s="153">
        <v>31660</v>
      </c>
      <c r="L13" s="153">
        <v>37834</v>
      </c>
      <c r="M13" s="153">
        <v>45383</v>
      </c>
      <c r="N13" s="153">
        <v>29176</v>
      </c>
      <c r="O13" s="153">
        <v>38397</v>
      </c>
      <c r="P13" s="153">
        <v>51061</v>
      </c>
      <c r="Q13" s="380">
        <v>387271</v>
      </c>
    </row>
    <row r="14" spans="2:17" ht="13.5" customHeight="1" x14ac:dyDescent="0.2">
      <c r="B14" s="451" t="s">
        <v>304</v>
      </c>
      <c r="C14" s="84" t="s">
        <v>364</v>
      </c>
      <c r="D14" s="361" t="s">
        <v>270</v>
      </c>
      <c r="E14" s="284">
        <v>1</v>
      </c>
      <c r="F14" s="284">
        <v>6</v>
      </c>
      <c r="G14" s="2"/>
      <c r="H14" s="2"/>
      <c r="I14" s="2"/>
      <c r="J14" s="284">
        <v>1</v>
      </c>
      <c r="K14" s="2"/>
      <c r="L14" s="2"/>
      <c r="M14" s="2"/>
      <c r="N14" s="284">
        <v>1</v>
      </c>
      <c r="O14" s="284">
        <v>10</v>
      </c>
      <c r="P14" s="284">
        <v>12</v>
      </c>
      <c r="Q14" s="381">
        <v>31</v>
      </c>
    </row>
    <row r="15" spans="2:17" ht="13.5" customHeight="1" thickBot="1" x14ac:dyDescent="0.25">
      <c r="B15" s="451"/>
      <c r="C15" s="359" t="s">
        <v>17</v>
      </c>
      <c r="D15" s="85" t="s">
        <v>264</v>
      </c>
      <c r="E15" s="127">
        <v>1</v>
      </c>
      <c r="F15" s="127">
        <v>6</v>
      </c>
      <c r="G15" s="145"/>
      <c r="H15" s="145"/>
      <c r="I15" s="145"/>
      <c r="J15" s="127">
        <v>1</v>
      </c>
      <c r="K15" s="145"/>
      <c r="L15" s="145"/>
      <c r="M15" s="145"/>
      <c r="N15" s="127">
        <v>1</v>
      </c>
      <c r="O15" s="127">
        <v>10</v>
      </c>
      <c r="P15" s="127">
        <v>12</v>
      </c>
      <c r="Q15" s="382">
        <v>31</v>
      </c>
    </row>
    <row r="16" spans="2:17" ht="13.5" customHeight="1" x14ac:dyDescent="0.2">
      <c r="B16" s="447" t="s">
        <v>305</v>
      </c>
      <c r="C16" s="89" t="s">
        <v>365</v>
      </c>
      <c r="D16" s="357" t="s">
        <v>270</v>
      </c>
      <c r="E16" s="147">
        <v>36162</v>
      </c>
      <c r="F16" s="147">
        <v>34966</v>
      </c>
      <c r="G16" s="147">
        <v>36175</v>
      </c>
      <c r="H16" s="147">
        <v>37684</v>
      </c>
      <c r="I16" s="147">
        <v>40969</v>
      </c>
      <c r="J16" s="147">
        <v>54551</v>
      </c>
      <c r="K16" s="147">
        <v>71492</v>
      </c>
      <c r="L16" s="147">
        <v>97711</v>
      </c>
      <c r="M16" s="147">
        <v>70987</v>
      </c>
      <c r="N16" s="147">
        <v>66667</v>
      </c>
      <c r="O16" s="147">
        <v>46058</v>
      </c>
      <c r="P16" s="147">
        <v>43065</v>
      </c>
      <c r="Q16" s="378">
        <v>636487</v>
      </c>
    </row>
    <row r="17" spans="2:17" ht="13.5" customHeight="1" thickBot="1" x14ac:dyDescent="0.25">
      <c r="B17" s="449"/>
      <c r="C17" s="358" t="s">
        <v>17</v>
      </c>
      <c r="D17" s="92" t="s">
        <v>264</v>
      </c>
      <c r="E17" s="153">
        <v>36162</v>
      </c>
      <c r="F17" s="153">
        <v>34966</v>
      </c>
      <c r="G17" s="153">
        <v>36175</v>
      </c>
      <c r="H17" s="153">
        <v>37684</v>
      </c>
      <c r="I17" s="153">
        <v>40969</v>
      </c>
      <c r="J17" s="153">
        <v>54551</v>
      </c>
      <c r="K17" s="153">
        <v>71492</v>
      </c>
      <c r="L17" s="153">
        <v>97711</v>
      </c>
      <c r="M17" s="153">
        <v>70987</v>
      </c>
      <c r="N17" s="153">
        <v>66667</v>
      </c>
      <c r="O17" s="153">
        <v>46058</v>
      </c>
      <c r="P17" s="153">
        <v>43065</v>
      </c>
      <c r="Q17" s="380">
        <v>636487</v>
      </c>
    </row>
    <row r="18" spans="2:17" ht="13.5" customHeight="1" x14ac:dyDescent="0.2">
      <c r="B18" s="451" t="s">
        <v>306</v>
      </c>
      <c r="C18" s="84" t="s">
        <v>595</v>
      </c>
      <c r="D18" s="472" t="s">
        <v>269</v>
      </c>
      <c r="E18" s="284">
        <v>6</v>
      </c>
      <c r="F18" s="2"/>
      <c r="G18" s="284">
        <v>4</v>
      </c>
      <c r="H18" s="284">
        <v>18</v>
      </c>
      <c r="I18" s="284">
        <v>48</v>
      </c>
      <c r="J18" s="284">
        <v>93</v>
      </c>
      <c r="K18" s="284">
        <v>109</v>
      </c>
      <c r="L18" s="284">
        <v>184</v>
      </c>
      <c r="M18" s="284">
        <v>103</v>
      </c>
      <c r="N18" s="284">
        <v>72</v>
      </c>
      <c r="O18" s="284">
        <v>14</v>
      </c>
      <c r="P18" s="2"/>
      <c r="Q18" s="381">
        <v>651</v>
      </c>
    </row>
    <row r="19" spans="2:17" ht="13.5" customHeight="1" x14ac:dyDescent="0.2">
      <c r="B19" s="451"/>
      <c r="C19" s="84" t="s">
        <v>368</v>
      </c>
      <c r="D19" s="472"/>
      <c r="E19" s="284">
        <v>15</v>
      </c>
      <c r="F19" s="284">
        <v>4</v>
      </c>
      <c r="G19" s="284">
        <v>15</v>
      </c>
      <c r="H19" s="284">
        <v>28</v>
      </c>
      <c r="I19" s="284">
        <v>50</v>
      </c>
      <c r="J19" s="284">
        <v>20</v>
      </c>
      <c r="K19" s="284">
        <v>53</v>
      </c>
      <c r="L19" s="284">
        <v>68</v>
      </c>
      <c r="M19" s="284">
        <v>79</v>
      </c>
      <c r="N19" s="284">
        <v>73</v>
      </c>
      <c r="O19" s="284">
        <v>23</v>
      </c>
      <c r="P19" s="284">
        <v>13</v>
      </c>
      <c r="Q19" s="381">
        <v>441</v>
      </c>
    </row>
    <row r="20" spans="2:17" ht="13.5" customHeight="1" x14ac:dyDescent="0.2">
      <c r="B20" s="451"/>
      <c r="C20" s="84" t="s">
        <v>372</v>
      </c>
      <c r="D20" s="472"/>
      <c r="E20" s="284">
        <v>4</v>
      </c>
      <c r="F20" s="284">
        <v>1</v>
      </c>
      <c r="G20" s="284">
        <v>2</v>
      </c>
      <c r="H20" s="2"/>
      <c r="I20" s="284">
        <v>2</v>
      </c>
      <c r="J20" s="284">
        <v>1</v>
      </c>
      <c r="K20" s="284">
        <v>3</v>
      </c>
      <c r="L20" s="284">
        <v>2</v>
      </c>
      <c r="M20" s="284">
        <v>5</v>
      </c>
      <c r="N20" s="284">
        <v>17</v>
      </c>
      <c r="O20" s="284">
        <v>12</v>
      </c>
      <c r="P20" s="2"/>
      <c r="Q20" s="381">
        <v>49</v>
      </c>
    </row>
    <row r="21" spans="2:17" ht="13.5" customHeight="1" x14ac:dyDescent="0.2">
      <c r="B21" s="451"/>
      <c r="C21" s="84" t="s">
        <v>369</v>
      </c>
      <c r="D21" s="472"/>
      <c r="E21" s="284">
        <v>23</v>
      </c>
      <c r="F21" s="284">
        <v>44</v>
      </c>
      <c r="G21" s="284">
        <v>36</v>
      </c>
      <c r="H21" s="284">
        <v>8886</v>
      </c>
      <c r="I21" s="284">
        <v>5831</v>
      </c>
      <c r="J21" s="284">
        <v>2528</v>
      </c>
      <c r="K21" s="284">
        <v>1568</v>
      </c>
      <c r="L21" s="284">
        <v>7270</v>
      </c>
      <c r="M21" s="284">
        <v>2897</v>
      </c>
      <c r="N21" s="284">
        <v>10178</v>
      </c>
      <c r="O21" s="284">
        <v>6341</v>
      </c>
      <c r="P21" s="284">
        <v>1652</v>
      </c>
      <c r="Q21" s="381">
        <v>47254</v>
      </c>
    </row>
    <row r="22" spans="2:17" ht="13.5" customHeight="1" x14ac:dyDescent="0.2">
      <c r="B22" s="451"/>
      <c r="C22" s="84" t="s">
        <v>370</v>
      </c>
      <c r="D22" s="472" t="s">
        <v>270</v>
      </c>
      <c r="E22" s="284">
        <v>4082</v>
      </c>
      <c r="F22" s="284">
        <v>2091</v>
      </c>
      <c r="G22" s="284">
        <v>3234</v>
      </c>
      <c r="H22" s="284">
        <v>7050</v>
      </c>
      <c r="I22" s="284">
        <v>12823</v>
      </c>
      <c r="J22" s="284">
        <v>20795</v>
      </c>
      <c r="K22" s="284">
        <v>35963</v>
      </c>
      <c r="L22" s="284">
        <v>33801</v>
      </c>
      <c r="M22" s="284">
        <v>23268</v>
      </c>
      <c r="N22" s="284">
        <v>25731</v>
      </c>
      <c r="O22" s="284">
        <v>9973</v>
      </c>
      <c r="P22" s="284">
        <v>4940</v>
      </c>
      <c r="Q22" s="381">
        <v>183751</v>
      </c>
    </row>
    <row r="23" spans="2:17" ht="13.5" customHeight="1" x14ac:dyDescent="0.2">
      <c r="B23" s="451"/>
      <c r="C23" s="84" t="s">
        <v>371</v>
      </c>
      <c r="D23" s="472"/>
      <c r="E23" s="284">
        <v>231059</v>
      </c>
      <c r="F23" s="284">
        <v>190786</v>
      </c>
      <c r="G23" s="284">
        <v>262262</v>
      </c>
      <c r="H23" s="284">
        <v>738468</v>
      </c>
      <c r="I23" s="284">
        <v>1334036</v>
      </c>
      <c r="J23" s="284">
        <v>1889205</v>
      </c>
      <c r="K23" s="284">
        <v>2330145</v>
      </c>
      <c r="L23" s="284">
        <v>2576410</v>
      </c>
      <c r="M23" s="284">
        <v>2159935</v>
      </c>
      <c r="N23" s="284">
        <v>1992725</v>
      </c>
      <c r="O23" s="284">
        <v>567697</v>
      </c>
      <c r="P23" s="284">
        <v>213658</v>
      </c>
      <c r="Q23" s="381">
        <v>14486386</v>
      </c>
    </row>
    <row r="24" spans="2:17" ht="13.5" customHeight="1" x14ac:dyDescent="0.2">
      <c r="B24" s="451"/>
      <c r="C24" s="84" t="s">
        <v>367</v>
      </c>
      <c r="D24" s="472" t="s">
        <v>269</v>
      </c>
      <c r="E24" s="284">
        <v>211</v>
      </c>
      <c r="F24" s="284">
        <v>160</v>
      </c>
      <c r="G24" s="284">
        <v>333</v>
      </c>
      <c r="H24" s="284">
        <v>1333</v>
      </c>
      <c r="I24" s="284">
        <v>2391</v>
      </c>
      <c r="J24" s="284">
        <v>3454</v>
      </c>
      <c r="K24" s="284">
        <v>4235</v>
      </c>
      <c r="L24" s="284">
        <v>6124</v>
      </c>
      <c r="M24" s="284">
        <v>4929</v>
      </c>
      <c r="N24" s="284">
        <v>3338</v>
      </c>
      <c r="O24" s="284">
        <v>639</v>
      </c>
      <c r="P24" s="284">
        <v>254</v>
      </c>
      <c r="Q24" s="381">
        <v>27401</v>
      </c>
    </row>
    <row r="25" spans="2:17" ht="13.5" customHeight="1" x14ac:dyDescent="0.2">
      <c r="B25" s="451"/>
      <c r="C25" s="84" t="s">
        <v>366</v>
      </c>
      <c r="D25" s="472"/>
      <c r="E25" s="2"/>
      <c r="F25" s="284">
        <v>5</v>
      </c>
      <c r="G25" s="284">
        <v>160</v>
      </c>
      <c r="H25" s="284">
        <v>10</v>
      </c>
      <c r="I25" s="284">
        <v>1252</v>
      </c>
      <c r="J25" s="284">
        <v>3261</v>
      </c>
      <c r="K25" s="284">
        <v>29</v>
      </c>
      <c r="L25" s="284">
        <v>3</v>
      </c>
      <c r="M25" s="284">
        <v>3301</v>
      </c>
      <c r="N25" s="284">
        <v>6584</v>
      </c>
      <c r="O25" s="284">
        <v>4651</v>
      </c>
      <c r="P25" s="284">
        <v>16</v>
      </c>
      <c r="Q25" s="381">
        <v>19272</v>
      </c>
    </row>
    <row r="26" spans="2:17" ht="13.5" customHeight="1" thickBot="1" x14ac:dyDescent="0.25">
      <c r="B26" s="451"/>
      <c r="C26" s="359" t="s">
        <v>17</v>
      </c>
      <c r="D26" s="85" t="s">
        <v>264</v>
      </c>
      <c r="E26" s="127">
        <v>235400</v>
      </c>
      <c r="F26" s="127">
        <v>193091</v>
      </c>
      <c r="G26" s="127">
        <v>266046</v>
      </c>
      <c r="H26" s="127">
        <v>755793</v>
      </c>
      <c r="I26" s="127">
        <v>1356433</v>
      </c>
      <c r="J26" s="127">
        <v>1919357</v>
      </c>
      <c r="K26" s="127">
        <v>2372105</v>
      </c>
      <c r="L26" s="127">
        <v>2623862</v>
      </c>
      <c r="M26" s="127">
        <v>2194517</v>
      </c>
      <c r="N26" s="127">
        <v>2038718</v>
      </c>
      <c r="O26" s="127">
        <v>589350</v>
      </c>
      <c r="P26" s="127">
        <v>220533</v>
      </c>
      <c r="Q26" s="382">
        <v>14765205</v>
      </c>
    </row>
    <row r="27" spans="2:17" ht="13.5" customHeight="1" x14ac:dyDescent="0.2">
      <c r="B27" s="447" t="s">
        <v>308</v>
      </c>
      <c r="C27" s="89" t="s">
        <v>373</v>
      </c>
      <c r="D27" s="357" t="s">
        <v>269</v>
      </c>
      <c r="E27" s="147">
        <v>17</v>
      </c>
      <c r="F27" s="147">
        <v>43</v>
      </c>
      <c r="G27" s="147">
        <v>48</v>
      </c>
      <c r="H27" s="147">
        <v>12</v>
      </c>
      <c r="I27" s="147">
        <v>68</v>
      </c>
      <c r="J27" s="147">
        <v>29</v>
      </c>
      <c r="K27" s="147">
        <v>56</v>
      </c>
      <c r="L27" s="147">
        <v>20</v>
      </c>
      <c r="M27" s="147">
        <v>33</v>
      </c>
      <c r="N27" s="147">
        <v>85</v>
      </c>
      <c r="O27" s="147">
        <v>56</v>
      </c>
      <c r="P27" s="147">
        <v>43</v>
      </c>
      <c r="Q27" s="378">
        <v>510</v>
      </c>
    </row>
    <row r="28" spans="2:17" ht="13.5" customHeight="1" x14ac:dyDescent="0.2">
      <c r="B28" s="448"/>
      <c r="C28" s="90" t="s">
        <v>374</v>
      </c>
      <c r="D28" s="360" t="s">
        <v>271</v>
      </c>
      <c r="E28" s="150">
        <v>128409</v>
      </c>
      <c r="F28" s="150">
        <v>113616</v>
      </c>
      <c r="G28" s="150">
        <v>144431</v>
      </c>
      <c r="H28" s="150">
        <v>134480</v>
      </c>
      <c r="I28" s="150">
        <v>155106</v>
      </c>
      <c r="J28" s="150">
        <v>159800</v>
      </c>
      <c r="K28" s="150">
        <v>189119</v>
      </c>
      <c r="L28" s="150">
        <v>214902</v>
      </c>
      <c r="M28" s="150">
        <v>190544</v>
      </c>
      <c r="N28" s="150">
        <v>149972</v>
      </c>
      <c r="O28" s="150">
        <v>134848</v>
      </c>
      <c r="P28" s="150">
        <v>141727</v>
      </c>
      <c r="Q28" s="379">
        <v>1856954</v>
      </c>
    </row>
    <row r="29" spans="2:17" ht="13.5" customHeight="1" thickBot="1" x14ac:dyDescent="0.25">
      <c r="B29" s="449"/>
      <c r="C29" s="358" t="s">
        <v>17</v>
      </c>
      <c r="D29" s="92" t="s">
        <v>264</v>
      </c>
      <c r="E29" s="153">
        <v>128426</v>
      </c>
      <c r="F29" s="153">
        <v>113659</v>
      </c>
      <c r="G29" s="153">
        <v>144479</v>
      </c>
      <c r="H29" s="153">
        <v>134492</v>
      </c>
      <c r="I29" s="153">
        <v>155174</v>
      </c>
      <c r="J29" s="153">
        <v>159829</v>
      </c>
      <c r="K29" s="153">
        <v>189175</v>
      </c>
      <c r="L29" s="153">
        <v>214922</v>
      </c>
      <c r="M29" s="153">
        <v>190577</v>
      </c>
      <c r="N29" s="153">
        <v>150057</v>
      </c>
      <c r="O29" s="153">
        <v>134904</v>
      </c>
      <c r="P29" s="153">
        <v>141770</v>
      </c>
      <c r="Q29" s="380">
        <v>1857464</v>
      </c>
    </row>
    <row r="30" spans="2:17" ht="13.5" customHeight="1" x14ac:dyDescent="0.2">
      <c r="B30" s="451" t="s">
        <v>309</v>
      </c>
      <c r="C30" s="84" t="s">
        <v>375</v>
      </c>
      <c r="D30" s="472" t="s">
        <v>269</v>
      </c>
      <c r="E30" s="284">
        <v>9</v>
      </c>
      <c r="F30" s="284">
        <v>4</v>
      </c>
      <c r="G30" s="284">
        <v>10</v>
      </c>
      <c r="H30" s="284">
        <v>48</v>
      </c>
      <c r="I30" s="284">
        <v>87</v>
      </c>
      <c r="J30" s="284">
        <v>138</v>
      </c>
      <c r="K30" s="284">
        <v>147</v>
      </c>
      <c r="L30" s="284">
        <v>171</v>
      </c>
      <c r="M30" s="284">
        <v>109</v>
      </c>
      <c r="N30" s="284">
        <v>36</v>
      </c>
      <c r="O30" s="284">
        <v>6</v>
      </c>
      <c r="P30" s="284">
        <v>6</v>
      </c>
      <c r="Q30" s="381">
        <v>771</v>
      </c>
    </row>
    <row r="31" spans="2:17" ht="13.5" customHeight="1" x14ac:dyDescent="0.2">
      <c r="B31" s="451"/>
      <c r="C31" s="84" t="s">
        <v>376</v>
      </c>
      <c r="D31" s="472"/>
      <c r="E31" s="284">
        <v>3310</v>
      </c>
      <c r="F31" s="284">
        <v>1796</v>
      </c>
      <c r="G31" s="284">
        <v>14711</v>
      </c>
      <c r="H31" s="284">
        <v>42801</v>
      </c>
      <c r="I31" s="284">
        <v>97623</v>
      </c>
      <c r="J31" s="284">
        <v>104805</v>
      </c>
      <c r="K31" s="284">
        <v>116755</v>
      </c>
      <c r="L31" s="284">
        <v>129057</v>
      </c>
      <c r="M31" s="284">
        <v>111263</v>
      </c>
      <c r="N31" s="284">
        <v>132116</v>
      </c>
      <c r="O31" s="284">
        <v>40380</v>
      </c>
      <c r="P31" s="284">
        <v>4628</v>
      </c>
      <c r="Q31" s="381">
        <v>799245</v>
      </c>
    </row>
    <row r="32" spans="2:17" ht="13.5" customHeight="1" x14ac:dyDescent="0.2">
      <c r="B32" s="451"/>
      <c r="C32" s="84" t="s">
        <v>615</v>
      </c>
      <c r="D32" s="472"/>
      <c r="E32" s="2"/>
      <c r="F32" s="2"/>
      <c r="G32" s="2"/>
      <c r="H32" s="2"/>
      <c r="I32" s="2"/>
      <c r="J32" s="2"/>
      <c r="K32" s="2"/>
      <c r="L32" s="2"/>
      <c r="M32" s="284">
        <v>20</v>
      </c>
      <c r="N32" s="2"/>
      <c r="O32" s="2"/>
      <c r="P32" s="2"/>
      <c r="Q32" s="381">
        <v>20</v>
      </c>
    </row>
    <row r="33" spans="2:17" ht="13.5" customHeight="1" thickBot="1" x14ac:dyDescent="0.25">
      <c r="B33" s="451"/>
      <c r="C33" s="359" t="s">
        <v>17</v>
      </c>
      <c r="D33" s="85" t="s">
        <v>264</v>
      </c>
      <c r="E33" s="127">
        <v>3319</v>
      </c>
      <c r="F33" s="127">
        <v>1800</v>
      </c>
      <c r="G33" s="127">
        <v>14721</v>
      </c>
      <c r="H33" s="127">
        <v>42849</v>
      </c>
      <c r="I33" s="127">
        <v>97710</v>
      </c>
      <c r="J33" s="127">
        <v>104943</v>
      </c>
      <c r="K33" s="127">
        <v>116902</v>
      </c>
      <c r="L33" s="127">
        <v>129228</v>
      </c>
      <c r="M33" s="127">
        <v>111392</v>
      </c>
      <c r="N33" s="127">
        <v>132152</v>
      </c>
      <c r="O33" s="127">
        <v>40386</v>
      </c>
      <c r="P33" s="127">
        <v>4634</v>
      </c>
      <c r="Q33" s="382">
        <v>800036</v>
      </c>
    </row>
    <row r="34" spans="2:17" ht="13.5" customHeight="1" x14ac:dyDescent="0.2">
      <c r="B34" s="447" t="s">
        <v>310</v>
      </c>
      <c r="C34" s="89" t="s">
        <v>377</v>
      </c>
      <c r="D34" s="434" t="s">
        <v>269</v>
      </c>
      <c r="E34" s="147">
        <v>4</v>
      </c>
      <c r="F34" s="148"/>
      <c r="G34" s="147">
        <v>2</v>
      </c>
      <c r="H34" s="147">
        <v>1</v>
      </c>
      <c r="I34" s="148"/>
      <c r="J34" s="147">
        <v>7</v>
      </c>
      <c r="K34" s="147">
        <v>7</v>
      </c>
      <c r="L34" s="148"/>
      <c r="M34" s="148"/>
      <c r="N34" s="147">
        <v>5</v>
      </c>
      <c r="O34" s="147">
        <v>11</v>
      </c>
      <c r="P34" s="147">
        <v>1</v>
      </c>
      <c r="Q34" s="378">
        <v>38</v>
      </c>
    </row>
    <row r="35" spans="2:17" ht="13.5" customHeight="1" x14ac:dyDescent="0.2">
      <c r="B35" s="448"/>
      <c r="C35" s="90" t="s">
        <v>378</v>
      </c>
      <c r="D35" s="469"/>
      <c r="E35" s="150">
        <v>247</v>
      </c>
      <c r="F35" s="150">
        <v>256</v>
      </c>
      <c r="G35" s="150">
        <v>299</v>
      </c>
      <c r="H35" s="150">
        <v>302</v>
      </c>
      <c r="I35" s="150">
        <v>326</v>
      </c>
      <c r="J35" s="150">
        <v>260</v>
      </c>
      <c r="K35" s="150">
        <v>268</v>
      </c>
      <c r="L35" s="150">
        <v>193</v>
      </c>
      <c r="M35" s="150">
        <v>111</v>
      </c>
      <c r="N35" s="150">
        <v>205</v>
      </c>
      <c r="O35" s="150">
        <v>173</v>
      </c>
      <c r="P35" s="150">
        <v>199</v>
      </c>
      <c r="Q35" s="379">
        <v>2839</v>
      </c>
    </row>
    <row r="36" spans="2:17" ht="13.5" customHeight="1" x14ac:dyDescent="0.2">
      <c r="B36" s="448"/>
      <c r="C36" s="90" t="s">
        <v>379</v>
      </c>
      <c r="D36" s="469"/>
      <c r="E36" s="150">
        <v>380</v>
      </c>
      <c r="F36" s="150">
        <v>401</v>
      </c>
      <c r="G36" s="150">
        <v>430</v>
      </c>
      <c r="H36" s="150">
        <v>1089</v>
      </c>
      <c r="I36" s="150">
        <v>1402</v>
      </c>
      <c r="J36" s="150">
        <v>2750</v>
      </c>
      <c r="K36" s="150">
        <v>4915</v>
      </c>
      <c r="L36" s="150">
        <v>8239</v>
      </c>
      <c r="M36" s="150">
        <v>4490</v>
      </c>
      <c r="N36" s="150">
        <v>1905</v>
      </c>
      <c r="O36" s="150">
        <v>1120</v>
      </c>
      <c r="P36" s="150">
        <v>786</v>
      </c>
      <c r="Q36" s="379">
        <v>27907</v>
      </c>
    </row>
    <row r="37" spans="2:17" ht="13.5" customHeight="1" x14ac:dyDescent="0.2">
      <c r="B37" s="448"/>
      <c r="C37" s="90" t="s">
        <v>380</v>
      </c>
      <c r="D37" s="360" t="s">
        <v>270</v>
      </c>
      <c r="E37" s="151"/>
      <c r="F37" s="150">
        <v>1</v>
      </c>
      <c r="G37" s="150">
        <v>6</v>
      </c>
      <c r="H37" s="150">
        <v>210</v>
      </c>
      <c r="I37" s="150">
        <v>273</v>
      </c>
      <c r="J37" s="150">
        <v>579</v>
      </c>
      <c r="K37" s="150">
        <v>2394</v>
      </c>
      <c r="L37" s="150">
        <v>2599</v>
      </c>
      <c r="M37" s="150">
        <v>1003</v>
      </c>
      <c r="N37" s="150">
        <v>455</v>
      </c>
      <c r="O37" s="150">
        <v>374</v>
      </c>
      <c r="P37" s="150">
        <v>220</v>
      </c>
      <c r="Q37" s="379">
        <v>8114</v>
      </c>
    </row>
    <row r="38" spans="2:17" ht="13.5" customHeight="1" thickBot="1" x14ac:dyDescent="0.25">
      <c r="B38" s="449"/>
      <c r="C38" s="358" t="s">
        <v>17</v>
      </c>
      <c r="D38" s="92" t="s">
        <v>264</v>
      </c>
      <c r="E38" s="153">
        <v>631</v>
      </c>
      <c r="F38" s="153">
        <v>658</v>
      </c>
      <c r="G38" s="153">
        <v>737</v>
      </c>
      <c r="H38" s="153">
        <v>1602</v>
      </c>
      <c r="I38" s="153">
        <v>2001</v>
      </c>
      <c r="J38" s="153">
        <v>3596</v>
      </c>
      <c r="K38" s="153">
        <v>7584</v>
      </c>
      <c r="L38" s="153">
        <v>11031</v>
      </c>
      <c r="M38" s="153">
        <v>5604</v>
      </c>
      <c r="N38" s="153">
        <v>2570</v>
      </c>
      <c r="O38" s="153">
        <v>1678</v>
      </c>
      <c r="P38" s="153">
        <v>1206</v>
      </c>
      <c r="Q38" s="380">
        <v>38898</v>
      </c>
    </row>
    <row r="39" spans="2:17" ht="13.5" customHeight="1" x14ac:dyDescent="0.2">
      <c r="B39" s="451" t="s">
        <v>591</v>
      </c>
      <c r="C39" s="84" t="s">
        <v>596</v>
      </c>
      <c r="D39" s="361" t="s">
        <v>270</v>
      </c>
      <c r="E39" s="2"/>
      <c r="F39" s="2"/>
      <c r="G39" s="2"/>
      <c r="H39" s="2"/>
      <c r="I39" s="2"/>
      <c r="J39" s="2"/>
      <c r="K39" s="2"/>
      <c r="L39" s="2"/>
      <c r="M39" s="2"/>
      <c r="N39" s="2"/>
      <c r="O39" s="2"/>
      <c r="P39" s="284">
        <v>1</v>
      </c>
      <c r="Q39" s="381">
        <v>1</v>
      </c>
    </row>
    <row r="40" spans="2:17" ht="13.5" customHeight="1" thickBot="1" x14ac:dyDescent="0.25">
      <c r="B40" s="451"/>
      <c r="C40" s="359" t="s">
        <v>17</v>
      </c>
      <c r="D40" s="85" t="s">
        <v>264</v>
      </c>
      <c r="E40" s="145"/>
      <c r="F40" s="145"/>
      <c r="G40" s="145"/>
      <c r="H40" s="145"/>
      <c r="I40" s="145"/>
      <c r="J40" s="145"/>
      <c r="K40" s="145"/>
      <c r="L40" s="145"/>
      <c r="M40" s="145"/>
      <c r="N40" s="145"/>
      <c r="O40" s="145"/>
      <c r="P40" s="127">
        <v>1</v>
      </c>
      <c r="Q40" s="382">
        <v>1</v>
      </c>
    </row>
    <row r="41" spans="2:17" ht="13.5" customHeight="1" x14ac:dyDescent="0.2">
      <c r="B41" s="447" t="s">
        <v>313</v>
      </c>
      <c r="C41" s="89" t="s">
        <v>381</v>
      </c>
      <c r="D41" s="357" t="s">
        <v>270</v>
      </c>
      <c r="E41" s="147">
        <v>242</v>
      </c>
      <c r="F41" s="147">
        <v>156</v>
      </c>
      <c r="G41" s="147">
        <v>96</v>
      </c>
      <c r="H41" s="147">
        <v>24</v>
      </c>
      <c r="I41" s="147">
        <v>17</v>
      </c>
      <c r="J41" s="147">
        <v>17</v>
      </c>
      <c r="K41" s="147">
        <v>10</v>
      </c>
      <c r="L41" s="147">
        <v>16</v>
      </c>
      <c r="M41" s="147">
        <v>15</v>
      </c>
      <c r="N41" s="147">
        <v>54</v>
      </c>
      <c r="O41" s="147">
        <v>11</v>
      </c>
      <c r="P41" s="147">
        <v>33</v>
      </c>
      <c r="Q41" s="378">
        <v>691</v>
      </c>
    </row>
    <row r="42" spans="2:17" ht="13.5" customHeight="1" x14ac:dyDescent="0.2">
      <c r="B42" s="448"/>
      <c r="C42" s="90" t="s">
        <v>382</v>
      </c>
      <c r="D42" s="360" t="s">
        <v>269</v>
      </c>
      <c r="E42" s="150">
        <v>208</v>
      </c>
      <c r="F42" s="150">
        <v>291</v>
      </c>
      <c r="G42" s="150">
        <v>429</v>
      </c>
      <c r="H42" s="150">
        <v>525</v>
      </c>
      <c r="I42" s="150">
        <v>505</v>
      </c>
      <c r="J42" s="150">
        <v>453</v>
      </c>
      <c r="K42" s="150">
        <v>517</v>
      </c>
      <c r="L42" s="150">
        <v>427</v>
      </c>
      <c r="M42" s="150">
        <v>543</v>
      </c>
      <c r="N42" s="150">
        <v>559</v>
      </c>
      <c r="O42" s="150">
        <v>323</v>
      </c>
      <c r="P42" s="150">
        <v>494</v>
      </c>
      <c r="Q42" s="379">
        <v>5274</v>
      </c>
    </row>
    <row r="43" spans="2:17" ht="13.5" customHeight="1" thickBot="1" x14ac:dyDescent="0.25">
      <c r="B43" s="449"/>
      <c r="C43" s="358" t="s">
        <v>17</v>
      </c>
      <c r="D43" s="92" t="s">
        <v>264</v>
      </c>
      <c r="E43" s="153">
        <v>450</v>
      </c>
      <c r="F43" s="153">
        <v>447</v>
      </c>
      <c r="G43" s="153">
        <v>525</v>
      </c>
      <c r="H43" s="153">
        <v>549</v>
      </c>
      <c r="I43" s="153">
        <v>522</v>
      </c>
      <c r="J43" s="153">
        <v>470</v>
      </c>
      <c r="K43" s="153">
        <v>527</v>
      </c>
      <c r="L43" s="153">
        <v>443</v>
      </c>
      <c r="M43" s="153">
        <v>558</v>
      </c>
      <c r="N43" s="153">
        <v>613</v>
      </c>
      <c r="O43" s="153">
        <v>334</v>
      </c>
      <c r="P43" s="153">
        <v>527</v>
      </c>
      <c r="Q43" s="380">
        <v>5965</v>
      </c>
    </row>
    <row r="44" spans="2:17" ht="13.5" customHeight="1" x14ac:dyDescent="0.2">
      <c r="B44" s="451" t="s">
        <v>314</v>
      </c>
      <c r="C44" s="84" t="s">
        <v>383</v>
      </c>
      <c r="D44" s="472" t="s">
        <v>269</v>
      </c>
      <c r="E44" s="284">
        <v>13</v>
      </c>
      <c r="F44" s="284">
        <v>12</v>
      </c>
      <c r="G44" s="284">
        <v>1</v>
      </c>
      <c r="H44" s="284">
        <v>4</v>
      </c>
      <c r="I44" s="284">
        <v>15</v>
      </c>
      <c r="J44" s="2"/>
      <c r="K44" s="2"/>
      <c r="L44" s="284">
        <v>20</v>
      </c>
      <c r="M44" s="284">
        <v>17</v>
      </c>
      <c r="N44" s="284">
        <v>14</v>
      </c>
      <c r="O44" s="2"/>
      <c r="P44" s="284">
        <v>16</v>
      </c>
      <c r="Q44" s="381">
        <v>112</v>
      </c>
    </row>
    <row r="45" spans="2:17" ht="13.5" customHeight="1" x14ac:dyDescent="0.2">
      <c r="B45" s="451"/>
      <c r="C45" s="84" t="s">
        <v>384</v>
      </c>
      <c r="D45" s="472"/>
      <c r="E45" s="284">
        <v>13</v>
      </c>
      <c r="F45" s="284">
        <v>9</v>
      </c>
      <c r="G45" s="284">
        <v>9</v>
      </c>
      <c r="H45" s="284">
        <v>8</v>
      </c>
      <c r="I45" s="284">
        <v>4</v>
      </c>
      <c r="J45" s="284">
        <v>4</v>
      </c>
      <c r="K45" s="284">
        <v>17</v>
      </c>
      <c r="L45" s="284">
        <v>4</v>
      </c>
      <c r="M45" s="284">
        <v>49</v>
      </c>
      <c r="N45" s="2"/>
      <c r="O45" s="284">
        <v>33</v>
      </c>
      <c r="P45" s="284">
        <v>7</v>
      </c>
      <c r="Q45" s="381">
        <v>157</v>
      </c>
    </row>
    <row r="46" spans="2:17" ht="13.5" customHeight="1" x14ac:dyDescent="0.2">
      <c r="B46" s="451"/>
      <c r="C46" s="84" t="s">
        <v>385</v>
      </c>
      <c r="D46" s="472"/>
      <c r="E46" s="284">
        <v>1625</v>
      </c>
      <c r="F46" s="284">
        <v>92</v>
      </c>
      <c r="G46" s="284">
        <v>173</v>
      </c>
      <c r="H46" s="284">
        <v>3656</v>
      </c>
      <c r="I46" s="284">
        <v>2687</v>
      </c>
      <c r="J46" s="284">
        <v>1415</v>
      </c>
      <c r="K46" s="284">
        <v>2367</v>
      </c>
      <c r="L46" s="284">
        <v>2400</v>
      </c>
      <c r="M46" s="284">
        <v>4104</v>
      </c>
      <c r="N46" s="284">
        <v>4375</v>
      </c>
      <c r="O46" s="284">
        <v>124</v>
      </c>
      <c r="P46" s="284">
        <v>135</v>
      </c>
      <c r="Q46" s="381">
        <v>23153</v>
      </c>
    </row>
    <row r="47" spans="2:17" ht="13.5" customHeight="1" x14ac:dyDescent="0.2">
      <c r="B47" s="451"/>
      <c r="C47" s="84" t="s">
        <v>387</v>
      </c>
      <c r="D47" s="472"/>
      <c r="E47" s="284">
        <v>1</v>
      </c>
      <c r="F47" s="284">
        <v>4</v>
      </c>
      <c r="G47" s="284">
        <v>2</v>
      </c>
      <c r="H47" s="284">
        <v>20</v>
      </c>
      <c r="I47" s="2"/>
      <c r="J47" s="2"/>
      <c r="K47" s="284">
        <v>15</v>
      </c>
      <c r="L47" s="284">
        <v>3</v>
      </c>
      <c r="M47" s="2"/>
      <c r="N47" s="284">
        <v>12</v>
      </c>
      <c r="O47" s="284">
        <v>6</v>
      </c>
      <c r="P47" s="2"/>
      <c r="Q47" s="381">
        <v>63</v>
      </c>
    </row>
    <row r="48" spans="2:17" ht="13.5" customHeight="1" x14ac:dyDescent="0.2">
      <c r="B48" s="451"/>
      <c r="C48" s="84" t="s">
        <v>388</v>
      </c>
      <c r="D48" s="472"/>
      <c r="E48" s="284">
        <v>37</v>
      </c>
      <c r="F48" s="284">
        <v>49</v>
      </c>
      <c r="G48" s="284">
        <v>56</v>
      </c>
      <c r="H48" s="284">
        <v>67</v>
      </c>
      <c r="I48" s="284">
        <v>86</v>
      </c>
      <c r="J48" s="284">
        <v>44</v>
      </c>
      <c r="K48" s="284">
        <v>68</v>
      </c>
      <c r="L48" s="284">
        <v>61</v>
      </c>
      <c r="M48" s="284">
        <v>70</v>
      </c>
      <c r="N48" s="284">
        <v>86</v>
      </c>
      <c r="O48" s="284">
        <v>85</v>
      </c>
      <c r="P48" s="284">
        <v>92</v>
      </c>
      <c r="Q48" s="381">
        <v>801</v>
      </c>
    </row>
    <row r="49" spans="2:17" ht="13.5" customHeight="1" x14ac:dyDescent="0.2">
      <c r="B49" s="451"/>
      <c r="C49" s="84" t="s">
        <v>390</v>
      </c>
      <c r="D49" s="361" t="s">
        <v>270</v>
      </c>
      <c r="E49" s="284">
        <v>5</v>
      </c>
      <c r="F49" s="2"/>
      <c r="G49" s="284">
        <v>2</v>
      </c>
      <c r="H49" s="284">
        <v>3</v>
      </c>
      <c r="I49" s="284">
        <v>2</v>
      </c>
      <c r="J49" s="2"/>
      <c r="K49" s="284">
        <v>3</v>
      </c>
      <c r="L49" s="284">
        <v>5</v>
      </c>
      <c r="M49" s="284">
        <v>23</v>
      </c>
      <c r="N49" s="284">
        <v>18</v>
      </c>
      <c r="O49" s="284">
        <v>12</v>
      </c>
      <c r="P49" s="284">
        <v>3</v>
      </c>
      <c r="Q49" s="381">
        <v>76</v>
      </c>
    </row>
    <row r="50" spans="2:17" ht="13.5" customHeight="1" x14ac:dyDescent="0.2">
      <c r="B50" s="451"/>
      <c r="C50" s="84" t="s">
        <v>386</v>
      </c>
      <c r="D50" s="472" t="s">
        <v>269</v>
      </c>
      <c r="E50" s="2"/>
      <c r="F50" s="2"/>
      <c r="G50" s="2"/>
      <c r="H50" s="284">
        <v>4</v>
      </c>
      <c r="I50" s="284">
        <v>29</v>
      </c>
      <c r="J50" s="284">
        <v>20</v>
      </c>
      <c r="K50" s="284">
        <v>30</v>
      </c>
      <c r="L50" s="284">
        <v>37</v>
      </c>
      <c r="M50" s="284">
        <v>7</v>
      </c>
      <c r="N50" s="284">
        <v>16</v>
      </c>
      <c r="O50" s="284">
        <v>3</v>
      </c>
      <c r="P50" s="2"/>
      <c r="Q50" s="381">
        <v>146</v>
      </c>
    </row>
    <row r="51" spans="2:17" ht="13.5" customHeight="1" x14ac:dyDescent="0.2">
      <c r="B51" s="451"/>
      <c r="C51" s="84" t="s">
        <v>389</v>
      </c>
      <c r="D51" s="472"/>
      <c r="E51" s="2"/>
      <c r="F51" s="2"/>
      <c r="G51" s="2"/>
      <c r="H51" s="284">
        <v>766</v>
      </c>
      <c r="I51" s="284">
        <v>2769</v>
      </c>
      <c r="J51" s="284">
        <v>446</v>
      </c>
      <c r="K51" s="284">
        <v>3044</v>
      </c>
      <c r="L51" s="284">
        <v>341</v>
      </c>
      <c r="M51" s="284">
        <v>2303</v>
      </c>
      <c r="N51" s="284">
        <v>996</v>
      </c>
      <c r="O51" s="284">
        <v>79</v>
      </c>
      <c r="P51" s="284">
        <v>23</v>
      </c>
      <c r="Q51" s="381">
        <v>10767</v>
      </c>
    </row>
    <row r="52" spans="2:17" ht="13.5" customHeight="1" thickBot="1" x14ac:dyDescent="0.25">
      <c r="B52" s="451"/>
      <c r="C52" s="359" t="s">
        <v>17</v>
      </c>
      <c r="D52" s="85" t="s">
        <v>264</v>
      </c>
      <c r="E52" s="127">
        <v>1694</v>
      </c>
      <c r="F52" s="127">
        <v>166</v>
      </c>
      <c r="G52" s="127">
        <v>243</v>
      </c>
      <c r="H52" s="127">
        <v>4528</v>
      </c>
      <c r="I52" s="127">
        <v>5592</v>
      </c>
      <c r="J52" s="127">
        <v>1929</v>
      </c>
      <c r="K52" s="127">
        <v>5544</v>
      </c>
      <c r="L52" s="127">
        <v>2871</v>
      </c>
      <c r="M52" s="127">
        <v>6573</v>
      </c>
      <c r="N52" s="127">
        <v>5517</v>
      </c>
      <c r="O52" s="127">
        <v>342</v>
      </c>
      <c r="P52" s="127">
        <v>276</v>
      </c>
      <c r="Q52" s="382">
        <v>35275</v>
      </c>
    </row>
    <row r="53" spans="2:17" ht="13.5" customHeight="1" x14ac:dyDescent="0.2">
      <c r="B53" s="447" t="s">
        <v>315</v>
      </c>
      <c r="C53" s="89" t="s">
        <v>391</v>
      </c>
      <c r="D53" s="357" t="s">
        <v>270</v>
      </c>
      <c r="E53" s="147">
        <v>555</v>
      </c>
      <c r="F53" s="147">
        <v>580</v>
      </c>
      <c r="G53" s="147">
        <v>1797</v>
      </c>
      <c r="H53" s="147">
        <v>2488</v>
      </c>
      <c r="I53" s="147">
        <v>1382</v>
      </c>
      <c r="J53" s="147">
        <v>2228</v>
      </c>
      <c r="K53" s="147">
        <v>2971</v>
      </c>
      <c r="L53" s="147">
        <v>3236</v>
      </c>
      <c r="M53" s="147">
        <v>3764</v>
      </c>
      <c r="N53" s="147">
        <v>250</v>
      </c>
      <c r="O53" s="147">
        <v>9</v>
      </c>
      <c r="P53" s="147">
        <v>5</v>
      </c>
      <c r="Q53" s="378">
        <v>19265</v>
      </c>
    </row>
    <row r="54" spans="2:17" ht="13.5" customHeight="1" thickBot="1" x14ac:dyDescent="0.25">
      <c r="B54" s="449"/>
      <c r="C54" s="358" t="s">
        <v>17</v>
      </c>
      <c r="D54" s="92" t="s">
        <v>264</v>
      </c>
      <c r="E54" s="153">
        <v>555</v>
      </c>
      <c r="F54" s="153">
        <v>580</v>
      </c>
      <c r="G54" s="153">
        <v>1797</v>
      </c>
      <c r="H54" s="153">
        <v>2488</v>
      </c>
      <c r="I54" s="153">
        <v>1382</v>
      </c>
      <c r="J54" s="153">
        <v>2228</v>
      </c>
      <c r="K54" s="153">
        <v>2971</v>
      </c>
      <c r="L54" s="153">
        <v>3236</v>
      </c>
      <c r="M54" s="153">
        <v>3764</v>
      </c>
      <c r="N54" s="153">
        <v>250</v>
      </c>
      <c r="O54" s="153">
        <v>9</v>
      </c>
      <c r="P54" s="153">
        <v>5</v>
      </c>
      <c r="Q54" s="380">
        <v>19265</v>
      </c>
    </row>
    <row r="55" spans="2:17" ht="13.5" customHeight="1" x14ac:dyDescent="0.2">
      <c r="B55" s="451" t="s">
        <v>316</v>
      </c>
      <c r="C55" s="84" t="s">
        <v>392</v>
      </c>
      <c r="D55" s="361" t="s">
        <v>270</v>
      </c>
      <c r="E55" s="284">
        <v>1140</v>
      </c>
      <c r="F55" s="284">
        <v>539</v>
      </c>
      <c r="G55" s="284">
        <v>810</v>
      </c>
      <c r="H55" s="284">
        <v>1021</v>
      </c>
      <c r="I55" s="284">
        <v>1517</v>
      </c>
      <c r="J55" s="284">
        <v>2349</v>
      </c>
      <c r="K55" s="284">
        <v>3742</v>
      </c>
      <c r="L55" s="284">
        <v>5072</v>
      </c>
      <c r="M55" s="284">
        <v>3432</v>
      </c>
      <c r="N55" s="284">
        <v>3617</v>
      </c>
      <c r="O55" s="284">
        <v>1148</v>
      </c>
      <c r="P55" s="284">
        <v>884</v>
      </c>
      <c r="Q55" s="381">
        <v>25271</v>
      </c>
    </row>
    <row r="56" spans="2:17" ht="13.5" customHeight="1" thickBot="1" x14ac:dyDescent="0.25">
      <c r="B56" s="451"/>
      <c r="C56" s="359" t="s">
        <v>17</v>
      </c>
      <c r="D56" s="85" t="s">
        <v>264</v>
      </c>
      <c r="E56" s="127">
        <v>1140</v>
      </c>
      <c r="F56" s="127">
        <v>539</v>
      </c>
      <c r="G56" s="127">
        <v>810</v>
      </c>
      <c r="H56" s="127">
        <v>1021</v>
      </c>
      <c r="I56" s="127">
        <v>1517</v>
      </c>
      <c r="J56" s="127">
        <v>2349</v>
      </c>
      <c r="K56" s="127">
        <v>3742</v>
      </c>
      <c r="L56" s="127">
        <v>5072</v>
      </c>
      <c r="M56" s="127">
        <v>3432</v>
      </c>
      <c r="N56" s="127">
        <v>3617</v>
      </c>
      <c r="O56" s="127">
        <v>1148</v>
      </c>
      <c r="P56" s="127">
        <v>884</v>
      </c>
      <c r="Q56" s="382">
        <v>25271</v>
      </c>
    </row>
    <row r="57" spans="2:17" ht="13.5" customHeight="1" x14ac:dyDescent="0.2">
      <c r="B57" s="447" t="s">
        <v>317</v>
      </c>
      <c r="C57" s="89" t="s">
        <v>393</v>
      </c>
      <c r="D57" s="434" t="s">
        <v>271</v>
      </c>
      <c r="E57" s="147">
        <v>56653</v>
      </c>
      <c r="F57" s="147">
        <v>43165</v>
      </c>
      <c r="G57" s="147">
        <v>58061</v>
      </c>
      <c r="H57" s="147">
        <v>76856</v>
      </c>
      <c r="I57" s="147">
        <v>68807</v>
      </c>
      <c r="J57" s="147">
        <v>91541</v>
      </c>
      <c r="K57" s="147">
        <v>98082</v>
      </c>
      <c r="L57" s="147">
        <v>166024</v>
      </c>
      <c r="M57" s="147">
        <v>103796</v>
      </c>
      <c r="N57" s="147">
        <v>80957</v>
      </c>
      <c r="O57" s="147">
        <v>65386</v>
      </c>
      <c r="P57" s="147">
        <v>65613</v>
      </c>
      <c r="Q57" s="378">
        <v>974941</v>
      </c>
    </row>
    <row r="58" spans="2:17" ht="13.5" customHeight="1" x14ac:dyDescent="0.2">
      <c r="B58" s="448"/>
      <c r="C58" s="90" t="s">
        <v>394</v>
      </c>
      <c r="D58" s="469"/>
      <c r="E58" s="150">
        <v>49049</v>
      </c>
      <c r="F58" s="150">
        <v>33357</v>
      </c>
      <c r="G58" s="150">
        <v>40571</v>
      </c>
      <c r="H58" s="150">
        <v>50431</v>
      </c>
      <c r="I58" s="150">
        <v>50023</v>
      </c>
      <c r="J58" s="150">
        <v>63348</v>
      </c>
      <c r="K58" s="150">
        <v>69589</v>
      </c>
      <c r="L58" s="150">
        <v>127600</v>
      </c>
      <c r="M58" s="150">
        <v>74214</v>
      </c>
      <c r="N58" s="150">
        <v>62404</v>
      </c>
      <c r="O58" s="150">
        <v>48754</v>
      </c>
      <c r="P58" s="150">
        <v>49167</v>
      </c>
      <c r="Q58" s="379">
        <v>718507</v>
      </c>
    </row>
    <row r="59" spans="2:17" ht="13.5" customHeight="1" x14ac:dyDescent="0.2">
      <c r="B59" s="448"/>
      <c r="C59" s="90" t="s">
        <v>395</v>
      </c>
      <c r="D59" s="469"/>
      <c r="E59" s="150">
        <v>176693</v>
      </c>
      <c r="F59" s="150">
        <v>127287</v>
      </c>
      <c r="G59" s="150">
        <v>171922</v>
      </c>
      <c r="H59" s="150">
        <v>203482</v>
      </c>
      <c r="I59" s="150">
        <v>204986</v>
      </c>
      <c r="J59" s="150">
        <v>220878</v>
      </c>
      <c r="K59" s="150">
        <v>259194</v>
      </c>
      <c r="L59" s="150">
        <v>457476</v>
      </c>
      <c r="M59" s="150">
        <v>303932</v>
      </c>
      <c r="N59" s="150">
        <v>237666</v>
      </c>
      <c r="O59" s="150">
        <v>183840</v>
      </c>
      <c r="P59" s="150">
        <v>172472</v>
      </c>
      <c r="Q59" s="379">
        <v>2719828</v>
      </c>
    </row>
    <row r="60" spans="2:17" ht="13.5" customHeight="1" x14ac:dyDescent="0.2">
      <c r="B60" s="448"/>
      <c r="C60" s="90" t="s">
        <v>397</v>
      </c>
      <c r="D60" s="469"/>
      <c r="E60" s="150">
        <v>16302</v>
      </c>
      <c r="F60" s="150">
        <v>11949</v>
      </c>
      <c r="G60" s="150">
        <v>14502</v>
      </c>
      <c r="H60" s="150">
        <v>18497</v>
      </c>
      <c r="I60" s="150">
        <v>16222</v>
      </c>
      <c r="J60" s="150">
        <v>19626</v>
      </c>
      <c r="K60" s="150">
        <v>20443</v>
      </c>
      <c r="L60" s="150">
        <v>54014</v>
      </c>
      <c r="M60" s="150">
        <v>24353</v>
      </c>
      <c r="N60" s="150">
        <v>20071</v>
      </c>
      <c r="O60" s="150">
        <v>17975</v>
      </c>
      <c r="P60" s="150">
        <v>21009</v>
      </c>
      <c r="Q60" s="379">
        <v>254963</v>
      </c>
    </row>
    <row r="61" spans="2:17" ht="13.5" customHeight="1" x14ac:dyDescent="0.2">
      <c r="B61" s="448"/>
      <c r="C61" s="90" t="s">
        <v>396</v>
      </c>
      <c r="D61" s="360" t="s">
        <v>272</v>
      </c>
      <c r="E61" s="150">
        <v>1083</v>
      </c>
      <c r="F61" s="150">
        <v>847</v>
      </c>
      <c r="G61" s="150">
        <v>1013</v>
      </c>
      <c r="H61" s="150">
        <v>1403</v>
      </c>
      <c r="I61" s="150">
        <v>1819</v>
      </c>
      <c r="J61" s="150">
        <v>1583</v>
      </c>
      <c r="K61" s="150">
        <v>2164</v>
      </c>
      <c r="L61" s="150">
        <v>3806</v>
      </c>
      <c r="M61" s="150">
        <v>2586</v>
      </c>
      <c r="N61" s="150">
        <v>1631</v>
      </c>
      <c r="O61" s="150">
        <v>1198</v>
      </c>
      <c r="P61" s="150">
        <v>875</v>
      </c>
      <c r="Q61" s="379">
        <v>20008</v>
      </c>
    </row>
    <row r="62" spans="2:17" ht="13.5" customHeight="1" x14ac:dyDescent="0.2">
      <c r="B62" s="448"/>
      <c r="C62" s="90" t="s">
        <v>617</v>
      </c>
      <c r="D62" s="360" t="s">
        <v>269</v>
      </c>
      <c r="E62" s="151"/>
      <c r="F62" s="150">
        <v>8</v>
      </c>
      <c r="G62" s="150">
        <v>9</v>
      </c>
      <c r="H62" s="150">
        <v>11</v>
      </c>
      <c r="I62" s="150">
        <v>11</v>
      </c>
      <c r="J62" s="150">
        <v>36</v>
      </c>
      <c r="K62" s="150">
        <v>7</v>
      </c>
      <c r="L62" s="150">
        <v>34</v>
      </c>
      <c r="M62" s="150">
        <v>37</v>
      </c>
      <c r="N62" s="150">
        <v>31</v>
      </c>
      <c r="O62" s="150">
        <v>35</v>
      </c>
      <c r="P62" s="150">
        <v>29</v>
      </c>
      <c r="Q62" s="379">
        <v>248</v>
      </c>
    </row>
    <row r="63" spans="2:17" ht="13.5" customHeight="1" thickBot="1" x14ac:dyDescent="0.25">
      <c r="B63" s="449"/>
      <c r="C63" s="358" t="s">
        <v>17</v>
      </c>
      <c r="D63" s="92" t="s">
        <v>264</v>
      </c>
      <c r="E63" s="153">
        <v>299780</v>
      </c>
      <c r="F63" s="153">
        <v>216613</v>
      </c>
      <c r="G63" s="153">
        <v>286078</v>
      </c>
      <c r="H63" s="153">
        <v>350680</v>
      </c>
      <c r="I63" s="153">
        <v>341868</v>
      </c>
      <c r="J63" s="153">
        <v>397012</v>
      </c>
      <c r="K63" s="153">
        <v>449479</v>
      </c>
      <c r="L63" s="153">
        <v>808954</v>
      </c>
      <c r="M63" s="153">
        <v>508918</v>
      </c>
      <c r="N63" s="153">
        <v>402760</v>
      </c>
      <c r="O63" s="153">
        <v>317188</v>
      </c>
      <c r="P63" s="153">
        <v>309165</v>
      </c>
      <c r="Q63" s="380">
        <v>4688495</v>
      </c>
    </row>
    <row r="64" spans="2:17" ht="13.5" customHeight="1" x14ac:dyDescent="0.2">
      <c r="B64" s="451" t="s">
        <v>318</v>
      </c>
      <c r="C64" s="84" t="s">
        <v>398</v>
      </c>
      <c r="D64" s="361" t="s">
        <v>270</v>
      </c>
      <c r="E64" s="284">
        <v>520</v>
      </c>
      <c r="F64" s="284">
        <v>331</v>
      </c>
      <c r="G64" s="284">
        <v>265</v>
      </c>
      <c r="H64" s="284">
        <v>684</v>
      </c>
      <c r="I64" s="284">
        <v>1013</v>
      </c>
      <c r="J64" s="284">
        <v>1466</v>
      </c>
      <c r="K64" s="284">
        <v>2677</v>
      </c>
      <c r="L64" s="284">
        <v>4682</v>
      </c>
      <c r="M64" s="284">
        <v>2237</v>
      </c>
      <c r="N64" s="284">
        <v>1633</v>
      </c>
      <c r="O64" s="284">
        <v>485</v>
      </c>
      <c r="P64" s="284">
        <v>474</v>
      </c>
      <c r="Q64" s="381">
        <v>16467</v>
      </c>
    </row>
    <row r="65" spans="2:17" ht="13.5" customHeight="1" thickBot="1" x14ac:dyDescent="0.25">
      <c r="B65" s="451"/>
      <c r="C65" s="359" t="s">
        <v>17</v>
      </c>
      <c r="D65" s="85" t="s">
        <v>264</v>
      </c>
      <c r="E65" s="127">
        <v>520</v>
      </c>
      <c r="F65" s="127">
        <v>331</v>
      </c>
      <c r="G65" s="127">
        <v>265</v>
      </c>
      <c r="H65" s="127">
        <v>684</v>
      </c>
      <c r="I65" s="127">
        <v>1013</v>
      </c>
      <c r="J65" s="127">
        <v>1466</v>
      </c>
      <c r="K65" s="127">
        <v>2677</v>
      </c>
      <c r="L65" s="127">
        <v>4682</v>
      </c>
      <c r="M65" s="127">
        <v>2237</v>
      </c>
      <c r="N65" s="127">
        <v>1633</v>
      </c>
      <c r="O65" s="127">
        <v>485</v>
      </c>
      <c r="P65" s="127">
        <v>474</v>
      </c>
      <c r="Q65" s="382">
        <v>16467</v>
      </c>
    </row>
    <row r="66" spans="2:17" ht="13.5" customHeight="1" x14ac:dyDescent="0.2">
      <c r="B66" s="447" t="s">
        <v>319</v>
      </c>
      <c r="C66" s="89" t="s">
        <v>399</v>
      </c>
      <c r="D66" s="357" t="s">
        <v>270</v>
      </c>
      <c r="E66" s="147">
        <v>3</v>
      </c>
      <c r="F66" s="148"/>
      <c r="G66" s="148"/>
      <c r="H66" s="148"/>
      <c r="I66" s="148"/>
      <c r="J66" s="148"/>
      <c r="K66" s="147">
        <v>4</v>
      </c>
      <c r="L66" s="148"/>
      <c r="M66" s="148"/>
      <c r="N66" s="148"/>
      <c r="O66" s="147">
        <v>9</v>
      </c>
      <c r="P66" s="148"/>
      <c r="Q66" s="378">
        <v>16</v>
      </c>
    </row>
    <row r="67" spans="2:17" ht="13.5" customHeight="1" thickBot="1" x14ac:dyDescent="0.25">
      <c r="B67" s="449"/>
      <c r="C67" s="358" t="s">
        <v>17</v>
      </c>
      <c r="D67" s="92" t="s">
        <v>264</v>
      </c>
      <c r="E67" s="153">
        <v>3</v>
      </c>
      <c r="F67" s="154"/>
      <c r="G67" s="154"/>
      <c r="H67" s="154"/>
      <c r="I67" s="154"/>
      <c r="J67" s="154"/>
      <c r="K67" s="153">
        <v>4</v>
      </c>
      <c r="L67" s="154"/>
      <c r="M67" s="154"/>
      <c r="N67" s="154"/>
      <c r="O67" s="153">
        <v>9</v>
      </c>
      <c r="P67" s="154"/>
      <c r="Q67" s="380">
        <v>16</v>
      </c>
    </row>
    <row r="68" spans="2:17" ht="13.5" customHeight="1" x14ac:dyDescent="0.2">
      <c r="B68" s="451" t="s">
        <v>320</v>
      </c>
      <c r="C68" s="84" t="s">
        <v>400</v>
      </c>
      <c r="D68" s="361" t="s">
        <v>270</v>
      </c>
      <c r="E68" s="284">
        <v>1053</v>
      </c>
      <c r="F68" s="2"/>
      <c r="G68" s="284">
        <v>136</v>
      </c>
      <c r="H68" s="284">
        <v>460</v>
      </c>
      <c r="I68" s="284">
        <v>137</v>
      </c>
      <c r="J68" s="284">
        <v>351</v>
      </c>
      <c r="K68" s="284">
        <v>230</v>
      </c>
      <c r="L68" s="284">
        <v>1522</v>
      </c>
      <c r="M68" s="284">
        <v>1268</v>
      </c>
      <c r="N68" s="284">
        <v>6</v>
      </c>
      <c r="O68" s="284">
        <v>363</v>
      </c>
      <c r="P68" s="284">
        <v>457</v>
      </c>
      <c r="Q68" s="381">
        <v>5983</v>
      </c>
    </row>
    <row r="69" spans="2:17" ht="13.5" customHeight="1" thickBot="1" x14ac:dyDescent="0.25">
      <c r="B69" s="451"/>
      <c r="C69" s="359" t="s">
        <v>17</v>
      </c>
      <c r="D69" s="85" t="s">
        <v>264</v>
      </c>
      <c r="E69" s="127">
        <v>1053</v>
      </c>
      <c r="F69" s="145"/>
      <c r="G69" s="127">
        <v>136</v>
      </c>
      <c r="H69" s="127">
        <v>460</v>
      </c>
      <c r="I69" s="127">
        <v>137</v>
      </c>
      <c r="J69" s="127">
        <v>351</v>
      </c>
      <c r="K69" s="127">
        <v>230</v>
      </c>
      <c r="L69" s="127">
        <v>1522</v>
      </c>
      <c r="M69" s="127">
        <v>1268</v>
      </c>
      <c r="N69" s="127">
        <v>6</v>
      </c>
      <c r="O69" s="127">
        <v>363</v>
      </c>
      <c r="P69" s="127">
        <v>457</v>
      </c>
      <c r="Q69" s="382">
        <v>5983</v>
      </c>
    </row>
    <row r="70" spans="2:17" ht="13.5" customHeight="1" x14ac:dyDescent="0.2">
      <c r="B70" s="447" t="s">
        <v>321</v>
      </c>
      <c r="C70" s="89" t="s">
        <v>401</v>
      </c>
      <c r="D70" s="357" t="s">
        <v>270</v>
      </c>
      <c r="E70" s="147">
        <v>1729</v>
      </c>
      <c r="F70" s="147">
        <v>1180</v>
      </c>
      <c r="G70" s="147">
        <v>1476</v>
      </c>
      <c r="H70" s="147">
        <v>1428</v>
      </c>
      <c r="I70" s="147">
        <v>2690</v>
      </c>
      <c r="J70" s="147">
        <v>1639</v>
      </c>
      <c r="K70" s="147">
        <v>3627</v>
      </c>
      <c r="L70" s="147">
        <v>7417</v>
      </c>
      <c r="M70" s="147">
        <v>4737</v>
      </c>
      <c r="N70" s="147">
        <v>1808</v>
      </c>
      <c r="O70" s="147">
        <v>2139</v>
      </c>
      <c r="P70" s="147">
        <v>2416</v>
      </c>
      <c r="Q70" s="378">
        <v>32286</v>
      </c>
    </row>
    <row r="71" spans="2:17" ht="13.5" customHeight="1" thickBot="1" x14ac:dyDescent="0.25">
      <c r="B71" s="449"/>
      <c r="C71" s="358" t="s">
        <v>17</v>
      </c>
      <c r="D71" s="92" t="s">
        <v>264</v>
      </c>
      <c r="E71" s="153">
        <v>1729</v>
      </c>
      <c r="F71" s="153">
        <v>1180</v>
      </c>
      <c r="G71" s="153">
        <v>1476</v>
      </c>
      <c r="H71" s="153">
        <v>1428</v>
      </c>
      <c r="I71" s="153">
        <v>2690</v>
      </c>
      <c r="J71" s="153">
        <v>1639</v>
      </c>
      <c r="K71" s="153">
        <v>3627</v>
      </c>
      <c r="L71" s="153">
        <v>7417</v>
      </c>
      <c r="M71" s="153">
        <v>4737</v>
      </c>
      <c r="N71" s="153">
        <v>1808</v>
      </c>
      <c r="O71" s="153">
        <v>2139</v>
      </c>
      <c r="P71" s="153">
        <v>2416</v>
      </c>
      <c r="Q71" s="380">
        <v>32286</v>
      </c>
    </row>
    <row r="72" spans="2:17" ht="13.5" customHeight="1" x14ac:dyDescent="0.2">
      <c r="B72" s="451" t="s">
        <v>322</v>
      </c>
      <c r="C72" s="84" t="s">
        <v>402</v>
      </c>
      <c r="D72" s="361" t="s">
        <v>271</v>
      </c>
      <c r="E72" s="284">
        <v>3688</v>
      </c>
      <c r="F72" s="284">
        <v>15295</v>
      </c>
      <c r="G72" s="284">
        <v>5718</v>
      </c>
      <c r="H72" s="284">
        <v>2058</v>
      </c>
      <c r="I72" s="284">
        <v>3930</v>
      </c>
      <c r="J72" s="284">
        <v>3094</v>
      </c>
      <c r="K72" s="284">
        <v>4230</v>
      </c>
      <c r="L72" s="284">
        <v>6516</v>
      </c>
      <c r="M72" s="284">
        <v>6464</v>
      </c>
      <c r="N72" s="284">
        <v>7138</v>
      </c>
      <c r="O72" s="284">
        <v>7522</v>
      </c>
      <c r="P72" s="284">
        <v>5323</v>
      </c>
      <c r="Q72" s="381">
        <v>70976</v>
      </c>
    </row>
    <row r="73" spans="2:17" ht="13.5" customHeight="1" x14ac:dyDescent="0.2">
      <c r="B73" s="451"/>
      <c r="C73" s="84" t="s">
        <v>403</v>
      </c>
      <c r="D73" s="361" t="s">
        <v>270</v>
      </c>
      <c r="E73" s="284">
        <v>3370</v>
      </c>
      <c r="F73" s="284">
        <v>3510</v>
      </c>
      <c r="G73" s="284">
        <v>1839</v>
      </c>
      <c r="H73" s="284">
        <v>1780</v>
      </c>
      <c r="I73" s="284">
        <v>2404</v>
      </c>
      <c r="J73" s="284">
        <v>15112</v>
      </c>
      <c r="K73" s="284">
        <v>6169</v>
      </c>
      <c r="L73" s="284">
        <v>10730</v>
      </c>
      <c r="M73" s="284">
        <v>6359</v>
      </c>
      <c r="N73" s="284">
        <v>4065</v>
      </c>
      <c r="O73" s="284">
        <v>2633</v>
      </c>
      <c r="P73" s="284">
        <v>2730</v>
      </c>
      <c r="Q73" s="381">
        <v>60701</v>
      </c>
    </row>
    <row r="74" spans="2:17" ht="13.5" customHeight="1" thickBot="1" x14ac:dyDescent="0.25">
      <c r="B74" s="451"/>
      <c r="C74" s="359" t="s">
        <v>17</v>
      </c>
      <c r="D74" s="85" t="s">
        <v>264</v>
      </c>
      <c r="E74" s="127">
        <v>7058</v>
      </c>
      <c r="F74" s="127">
        <v>18805</v>
      </c>
      <c r="G74" s="127">
        <v>7557</v>
      </c>
      <c r="H74" s="127">
        <v>3838</v>
      </c>
      <c r="I74" s="127">
        <v>6334</v>
      </c>
      <c r="J74" s="127">
        <v>18206</v>
      </c>
      <c r="K74" s="127">
        <v>10399</v>
      </c>
      <c r="L74" s="127">
        <v>17246</v>
      </c>
      <c r="M74" s="127">
        <v>12823</v>
      </c>
      <c r="N74" s="127">
        <v>11203</v>
      </c>
      <c r="O74" s="127">
        <v>10155</v>
      </c>
      <c r="P74" s="127">
        <v>8053</v>
      </c>
      <c r="Q74" s="382">
        <v>131677</v>
      </c>
    </row>
    <row r="75" spans="2:17" ht="13.5" customHeight="1" x14ac:dyDescent="0.2">
      <c r="B75" s="447" t="s">
        <v>323</v>
      </c>
      <c r="C75" s="89" t="s">
        <v>404</v>
      </c>
      <c r="D75" s="357" t="s">
        <v>269</v>
      </c>
      <c r="E75" s="147">
        <v>106</v>
      </c>
      <c r="F75" s="147">
        <v>378</v>
      </c>
      <c r="G75" s="147">
        <v>510</v>
      </c>
      <c r="H75" s="147">
        <v>249</v>
      </c>
      <c r="I75" s="147">
        <v>135</v>
      </c>
      <c r="J75" s="147">
        <v>222</v>
      </c>
      <c r="K75" s="147">
        <v>229</v>
      </c>
      <c r="L75" s="147">
        <v>153</v>
      </c>
      <c r="M75" s="147">
        <v>245</v>
      </c>
      <c r="N75" s="147">
        <v>298</v>
      </c>
      <c r="O75" s="147">
        <v>306</v>
      </c>
      <c r="P75" s="147">
        <v>180</v>
      </c>
      <c r="Q75" s="378">
        <v>3011</v>
      </c>
    </row>
    <row r="76" spans="2:17" ht="13.5" customHeight="1" thickBot="1" x14ac:dyDescent="0.25">
      <c r="B76" s="449"/>
      <c r="C76" s="358" t="s">
        <v>17</v>
      </c>
      <c r="D76" s="92" t="s">
        <v>264</v>
      </c>
      <c r="E76" s="153">
        <v>106</v>
      </c>
      <c r="F76" s="153">
        <v>378</v>
      </c>
      <c r="G76" s="153">
        <v>510</v>
      </c>
      <c r="H76" s="153">
        <v>249</v>
      </c>
      <c r="I76" s="153">
        <v>135</v>
      </c>
      <c r="J76" s="153">
        <v>222</v>
      </c>
      <c r="K76" s="153">
        <v>229</v>
      </c>
      <c r="L76" s="153">
        <v>153</v>
      </c>
      <c r="M76" s="153">
        <v>245</v>
      </c>
      <c r="N76" s="153">
        <v>298</v>
      </c>
      <c r="O76" s="153">
        <v>306</v>
      </c>
      <c r="P76" s="153">
        <v>180</v>
      </c>
      <c r="Q76" s="380">
        <v>3011</v>
      </c>
    </row>
    <row r="77" spans="2:17" ht="13.5" customHeight="1" x14ac:dyDescent="0.2">
      <c r="B77" s="451" t="s">
        <v>324</v>
      </c>
      <c r="C77" s="84" t="s">
        <v>405</v>
      </c>
      <c r="D77" s="472" t="s">
        <v>271</v>
      </c>
      <c r="E77" s="284">
        <v>7402</v>
      </c>
      <c r="F77" s="284">
        <v>7589</v>
      </c>
      <c r="G77" s="284">
        <v>12172</v>
      </c>
      <c r="H77" s="284">
        <v>10869</v>
      </c>
      <c r="I77" s="284">
        <v>10137</v>
      </c>
      <c r="J77" s="284">
        <v>11654</v>
      </c>
      <c r="K77" s="284">
        <v>13194</v>
      </c>
      <c r="L77" s="284">
        <v>13977</v>
      </c>
      <c r="M77" s="284">
        <v>19194</v>
      </c>
      <c r="N77" s="284">
        <v>11824</v>
      </c>
      <c r="O77" s="284">
        <v>17252</v>
      </c>
      <c r="P77" s="284">
        <v>19932</v>
      </c>
      <c r="Q77" s="381">
        <v>155196</v>
      </c>
    </row>
    <row r="78" spans="2:17" ht="13.5" customHeight="1" x14ac:dyDescent="0.2">
      <c r="B78" s="451"/>
      <c r="C78" s="84" t="s">
        <v>406</v>
      </c>
      <c r="D78" s="472"/>
      <c r="E78" s="284">
        <v>2643</v>
      </c>
      <c r="F78" s="284">
        <v>1376</v>
      </c>
      <c r="G78" s="284">
        <v>2234</v>
      </c>
      <c r="H78" s="284">
        <v>1564</v>
      </c>
      <c r="I78" s="284">
        <v>2207</v>
      </c>
      <c r="J78" s="284">
        <v>2870</v>
      </c>
      <c r="K78" s="284">
        <v>4580</v>
      </c>
      <c r="L78" s="284">
        <v>3968</v>
      </c>
      <c r="M78" s="284">
        <v>3489</v>
      </c>
      <c r="N78" s="284">
        <v>2401</v>
      </c>
      <c r="O78" s="284">
        <v>1984</v>
      </c>
      <c r="P78" s="284">
        <v>1859</v>
      </c>
      <c r="Q78" s="381">
        <v>31175</v>
      </c>
    </row>
    <row r="79" spans="2:17" ht="13.5" customHeight="1" x14ac:dyDescent="0.2">
      <c r="B79" s="451"/>
      <c r="C79" s="84" t="s">
        <v>618</v>
      </c>
      <c r="D79" s="472"/>
      <c r="E79" s="2"/>
      <c r="F79" s="2"/>
      <c r="G79" s="2"/>
      <c r="H79" s="2"/>
      <c r="I79" s="2"/>
      <c r="J79" s="284">
        <v>1298</v>
      </c>
      <c r="K79" s="284">
        <v>2150</v>
      </c>
      <c r="L79" s="284">
        <v>3717</v>
      </c>
      <c r="M79" s="284">
        <v>2819</v>
      </c>
      <c r="N79" s="284">
        <v>2126</v>
      </c>
      <c r="O79" s="284">
        <v>2071</v>
      </c>
      <c r="P79" s="284">
        <v>2350</v>
      </c>
      <c r="Q79" s="381">
        <v>16531</v>
      </c>
    </row>
    <row r="80" spans="2:17" ht="13.5" customHeight="1" thickBot="1" x14ac:dyDescent="0.25">
      <c r="B80" s="451"/>
      <c r="C80" s="359" t="s">
        <v>17</v>
      </c>
      <c r="D80" s="85" t="s">
        <v>264</v>
      </c>
      <c r="E80" s="127">
        <v>10045</v>
      </c>
      <c r="F80" s="127">
        <v>8965</v>
      </c>
      <c r="G80" s="127">
        <v>14406</v>
      </c>
      <c r="H80" s="127">
        <v>12433</v>
      </c>
      <c r="I80" s="127">
        <v>12344</v>
      </c>
      <c r="J80" s="127">
        <v>15822</v>
      </c>
      <c r="K80" s="127">
        <v>19924</v>
      </c>
      <c r="L80" s="127">
        <v>21662</v>
      </c>
      <c r="M80" s="127">
        <v>25502</v>
      </c>
      <c r="N80" s="127">
        <v>16351</v>
      </c>
      <c r="O80" s="127">
        <v>21307</v>
      </c>
      <c r="P80" s="127">
        <v>24141</v>
      </c>
      <c r="Q80" s="382">
        <v>202902</v>
      </c>
    </row>
    <row r="81" spans="2:17" ht="13.5" customHeight="1" x14ac:dyDescent="0.2">
      <c r="B81" s="447" t="s">
        <v>325</v>
      </c>
      <c r="C81" s="89" t="s">
        <v>407</v>
      </c>
      <c r="D81" s="357" t="s">
        <v>271</v>
      </c>
      <c r="E81" s="147">
        <v>1745</v>
      </c>
      <c r="F81" s="147">
        <v>1717</v>
      </c>
      <c r="G81" s="147">
        <v>1421</v>
      </c>
      <c r="H81" s="147">
        <v>1284</v>
      </c>
      <c r="I81" s="147">
        <v>1225</v>
      </c>
      <c r="J81" s="147">
        <v>1464</v>
      </c>
      <c r="K81" s="147">
        <v>1588</v>
      </c>
      <c r="L81" s="147">
        <v>1752</v>
      </c>
      <c r="M81" s="147">
        <v>1902</v>
      </c>
      <c r="N81" s="147">
        <v>1984</v>
      </c>
      <c r="O81" s="147">
        <v>1920</v>
      </c>
      <c r="P81" s="147">
        <v>2291</v>
      </c>
      <c r="Q81" s="378">
        <v>20293</v>
      </c>
    </row>
    <row r="82" spans="2:17" ht="13.5" customHeight="1" x14ac:dyDescent="0.2">
      <c r="B82" s="448"/>
      <c r="C82" s="90" t="s">
        <v>408</v>
      </c>
      <c r="D82" s="469" t="s">
        <v>269</v>
      </c>
      <c r="E82" s="150">
        <v>45</v>
      </c>
      <c r="F82" s="150">
        <v>10</v>
      </c>
      <c r="G82" s="150">
        <v>13</v>
      </c>
      <c r="H82" s="150">
        <v>29</v>
      </c>
      <c r="I82" s="150">
        <v>70</v>
      </c>
      <c r="J82" s="150">
        <v>67</v>
      </c>
      <c r="K82" s="150">
        <v>56</v>
      </c>
      <c r="L82" s="150">
        <v>52</v>
      </c>
      <c r="M82" s="150">
        <v>75</v>
      </c>
      <c r="N82" s="150">
        <v>53</v>
      </c>
      <c r="O82" s="150">
        <v>31</v>
      </c>
      <c r="P82" s="150">
        <v>76</v>
      </c>
      <c r="Q82" s="379">
        <v>577</v>
      </c>
    </row>
    <row r="83" spans="2:17" ht="13.5" customHeight="1" x14ac:dyDescent="0.2">
      <c r="B83" s="448"/>
      <c r="C83" s="90" t="s">
        <v>409</v>
      </c>
      <c r="D83" s="469"/>
      <c r="E83" s="150">
        <v>13</v>
      </c>
      <c r="F83" s="151"/>
      <c r="G83" s="150">
        <v>7</v>
      </c>
      <c r="H83" s="150">
        <v>27</v>
      </c>
      <c r="I83" s="150">
        <v>28</v>
      </c>
      <c r="J83" s="150">
        <v>24</v>
      </c>
      <c r="K83" s="150">
        <v>12</v>
      </c>
      <c r="L83" s="150">
        <v>15</v>
      </c>
      <c r="M83" s="150">
        <v>16</v>
      </c>
      <c r="N83" s="150">
        <v>15</v>
      </c>
      <c r="O83" s="150">
        <v>17</v>
      </c>
      <c r="P83" s="150">
        <v>8</v>
      </c>
      <c r="Q83" s="379">
        <v>182</v>
      </c>
    </row>
    <row r="84" spans="2:17" ht="13.5" customHeight="1" x14ac:dyDescent="0.2">
      <c r="B84" s="448"/>
      <c r="C84" s="90" t="s">
        <v>410</v>
      </c>
      <c r="D84" s="469"/>
      <c r="E84" s="150">
        <v>18</v>
      </c>
      <c r="F84" s="150">
        <v>9</v>
      </c>
      <c r="G84" s="150">
        <v>20</v>
      </c>
      <c r="H84" s="150">
        <v>13</v>
      </c>
      <c r="I84" s="150">
        <v>10</v>
      </c>
      <c r="J84" s="150">
        <v>7</v>
      </c>
      <c r="K84" s="150">
        <v>8</v>
      </c>
      <c r="L84" s="150">
        <v>7</v>
      </c>
      <c r="M84" s="150">
        <v>2</v>
      </c>
      <c r="N84" s="150">
        <v>1</v>
      </c>
      <c r="O84" s="150">
        <v>18</v>
      </c>
      <c r="P84" s="150">
        <v>14</v>
      </c>
      <c r="Q84" s="379">
        <v>127</v>
      </c>
    </row>
    <row r="85" spans="2:17" ht="13.5" customHeight="1" x14ac:dyDescent="0.2">
      <c r="B85" s="448"/>
      <c r="C85" s="90" t="s">
        <v>411</v>
      </c>
      <c r="D85" s="360" t="s">
        <v>271</v>
      </c>
      <c r="E85" s="150">
        <v>6079</v>
      </c>
      <c r="F85" s="150">
        <v>16478</v>
      </c>
      <c r="G85" s="150">
        <v>8106</v>
      </c>
      <c r="H85" s="150">
        <v>4781</v>
      </c>
      <c r="I85" s="150">
        <v>3444</v>
      </c>
      <c r="J85" s="150">
        <v>3076</v>
      </c>
      <c r="K85" s="150">
        <v>7823</v>
      </c>
      <c r="L85" s="150">
        <v>5172</v>
      </c>
      <c r="M85" s="150">
        <v>5328</v>
      </c>
      <c r="N85" s="150">
        <v>5605</v>
      </c>
      <c r="O85" s="150">
        <v>5975</v>
      </c>
      <c r="P85" s="150">
        <v>6205</v>
      </c>
      <c r="Q85" s="379">
        <v>78072</v>
      </c>
    </row>
    <row r="86" spans="2:17" ht="13.5" customHeight="1" x14ac:dyDescent="0.2">
      <c r="B86" s="448"/>
      <c r="C86" s="90" t="s">
        <v>412</v>
      </c>
      <c r="D86" s="469" t="s">
        <v>269</v>
      </c>
      <c r="E86" s="150">
        <v>42</v>
      </c>
      <c r="F86" s="150">
        <v>38</v>
      </c>
      <c r="G86" s="150">
        <v>27</v>
      </c>
      <c r="H86" s="150">
        <v>53</v>
      </c>
      <c r="I86" s="150">
        <v>52</v>
      </c>
      <c r="J86" s="150">
        <v>57</v>
      </c>
      <c r="K86" s="150">
        <v>59</v>
      </c>
      <c r="L86" s="150">
        <v>22</v>
      </c>
      <c r="M86" s="150">
        <v>44</v>
      </c>
      <c r="N86" s="150">
        <v>28</v>
      </c>
      <c r="O86" s="150">
        <v>27</v>
      </c>
      <c r="P86" s="150">
        <v>80</v>
      </c>
      <c r="Q86" s="379">
        <v>529</v>
      </c>
    </row>
    <row r="87" spans="2:17" ht="13.5" customHeight="1" x14ac:dyDescent="0.2">
      <c r="B87" s="448"/>
      <c r="C87" s="90" t="s">
        <v>413</v>
      </c>
      <c r="D87" s="469"/>
      <c r="E87" s="150">
        <v>39</v>
      </c>
      <c r="F87" s="150">
        <v>16</v>
      </c>
      <c r="G87" s="150">
        <v>14</v>
      </c>
      <c r="H87" s="150">
        <v>33</v>
      </c>
      <c r="I87" s="150">
        <v>40</v>
      </c>
      <c r="J87" s="150">
        <v>51</v>
      </c>
      <c r="K87" s="150">
        <v>40</v>
      </c>
      <c r="L87" s="150">
        <v>113</v>
      </c>
      <c r="M87" s="150">
        <v>21</v>
      </c>
      <c r="N87" s="150">
        <v>82</v>
      </c>
      <c r="O87" s="150">
        <v>45</v>
      </c>
      <c r="P87" s="150">
        <v>96</v>
      </c>
      <c r="Q87" s="379">
        <v>590</v>
      </c>
    </row>
    <row r="88" spans="2:17" ht="13.5" customHeight="1" x14ac:dyDescent="0.2">
      <c r="B88" s="448"/>
      <c r="C88" s="90" t="s">
        <v>414</v>
      </c>
      <c r="D88" s="469"/>
      <c r="E88" s="150">
        <v>95</v>
      </c>
      <c r="F88" s="150">
        <v>27</v>
      </c>
      <c r="G88" s="150">
        <v>124</v>
      </c>
      <c r="H88" s="150">
        <v>178</v>
      </c>
      <c r="I88" s="150">
        <v>271</v>
      </c>
      <c r="J88" s="150">
        <v>137</v>
      </c>
      <c r="K88" s="150">
        <v>137</v>
      </c>
      <c r="L88" s="150">
        <v>144</v>
      </c>
      <c r="M88" s="150">
        <v>85</v>
      </c>
      <c r="N88" s="150">
        <v>142</v>
      </c>
      <c r="O88" s="150">
        <v>68</v>
      </c>
      <c r="P88" s="150">
        <v>144</v>
      </c>
      <c r="Q88" s="379">
        <v>1552</v>
      </c>
    </row>
    <row r="89" spans="2:17" ht="13.5" customHeight="1" x14ac:dyDescent="0.2">
      <c r="B89" s="448"/>
      <c r="C89" s="90" t="s">
        <v>415</v>
      </c>
      <c r="D89" s="360" t="s">
        <v>271</v>
      </c>
      <c r="E89" s="150">
        <v>221</v>
      </c>
      <c r="F89" s="150">
        <v>341</v>
      </c>
      <c r="G89" s="150">
        <v>676</v>
      </c>
      <c r="H89" s="150">
        <v>395</v>
      </c>
      <c r="I89" s="150">
        <v>574</v>
      </c>
      <c r="J89" s="150">
        <v>615</v>
      </c>
      <c r="K89" s="150">
        <v>593</v>
      </c>
      <c r="L89" s="150">
        <v>960</v>
      </c>
      <c r="M89" s="150">
        <v>975</v>
      </c>
      <c r="N89" s="150">
        <v>879</v>
      </c>
      <c r="O89" s="150">
        <v>576</v>
      </c>
      <c r="P89" s="150">
        <v>473</v>
      </c>
      <c r="Q89" s="379">
        <v>7278</v>
      </c>
    </row>
    <row r="90" spans="2:17" ht="13.5" customHeight="1" x14ac:dyDescent="0.2">
      <c r="B90" s="448"/>
      <c r="C90" s="90" t="s">
        <v>416</v>
      </c>
      <c r="D90" s="360" t="s">
        <v>269</v>
      </c>
      <c r="E90" s="150">
        <v>119</v>
      </c>
      <c r="F90" s="150">
        <v>16</v>
      </c>
      <c r="G90" s="150">
        <v>37</v>
      </c>
      <c r="H90" s="150">
        <v>71</v>
      </c>
      <c r="I90" s="150">
        <v>84</v>
      </c>
      <c r="J90" s="150">
        <v>82</v>
      </c>
      <c r="K90" s="150">
        <v>87</v>
      </c>
      <c r="L90" s="150">
        <v>68</v>
      </c>
      <c r="M90" s="150">
        <v>84</v>
      </c>
      <c r="N90" s="150">
        <v>84</v>
      </c>
      <c r="O90" s="150">
        <v>96</v>
      </c>
      <c r="P90" s="150">
        <v>137</v>
      </c>
      <c r="Q90" s="379">
        <v>965</v>
      </c>
    </row>
    <row r="91" spans="2:17" ht="13.5" customHeight="1" x14ac:dyDescent="0.2">
      <c r="B91" s="448"/>
      <c r="C91" s="90" t="s">
        <v>417</v>
      </c>
      <c r="D91" s="360" t="s">
        <v>270</v>
      </c>
      <c r="E91" s="150">
        <v>790</v>
      </c>
      <c r="F91" s="150">
        <v>218</v>
      </c>
      <c r="G91" s="150">
        <v>10</v>
      </c>
      <c r="H91" s="150">
        <v>13</v>
      </c>
      <c r="I91" s="151"/>
      <c r="J91" s="151"/>
      <c r="K91" s="150">
        <v>5</v>
      </c>
      <c r="L91" s="151"/>
      <c r="M91" s="151"/>
      <c r="N91" s="151"/>
      <c r="O91" s="151"/>
      <c r="P91" s="151"/>
      <c r="Q91" s="379">
        <v>1036</v>
      </c>
    </row>
    <row r="92" spans="2:17" ht="13.5" customHeight="1" x14ac:dyDescent="0.2">
      <c r="B92" s="448"/>
      <c r="C92" s="90" t="s">
        <v>418</v>
      </c>
      <c r="D92" s="469" t="s">
        <v>269</v>
      </c>
      <c r="E92" s="150">
        <v>23</v>
      </c>
      <c r="F92" s="150">
        <v>22</v>
      </c>
      <c r="G92" s="151"/>
      <c r="H92" s="151"/>
      <c r="I92" s="151"/>
      <c r="J92" s="151"/>
      <c r="K92" s="151"/>
      <c r="L92" s="151"/>
      <c r="M92" s="151"/>
      <c r="N92" s="151"/>
      <c r="O92" s="151"/>
      <c r="P92" s="151"/>
      <c r="Q92" s="379">
        <v>45</v>
      </c>
    </row>
    <row r="93" spans="2:17" ht="13.5" customHeight="1" x14ac:dyDescent="0.2">
      <c r="B93" s="448"/>
      <c r="C93" s="90" t="s">
        <v>419</v>
      </c>
      <c r="D93" s="469"/>
      <c r="E93" s="150">
        <v>17</v>
      </c>
      <c r="F93" s="150">
        <v>2</v>
      </c>
      <c r="G93" s="150">
        <v>17</v>
      </c>
      <c r="H93" s="150">
        <v>30</v>
      </c>
      <c r="I93" s="150">
        <v>95</v>
      </c>
      <c r="J93" s="150">
        <v>33</v>
      </c>
      <c r="K93" s="150">
        <v>56</v>
      </c>
      <c r="L93" s="150">
        <v>87</v>
      </c>
      <c r="M93" s="150">
        <v>18</v>
      </c>
      <c r="N93" s="150">
        <v>31</v>
      </c>
      <c r="O93" s="150">
        <v>16</v>
      </c>
      <c r="P93" s="150">
        <v>20</v>
      </c>
      <c r="Q93" s="379">
        <v>422</v>
      </c>
    </row>
    <row r="94" spans="2:17" ht="13.5" customHeight="1" x14ac:dyDescent="0.2">
      <c r="B94" s="448"/>
      <c r="C94" s="90" t="s">
        <v>420</v>
      </c>
      <c r="D94" s="469"/>
      <c r="E94" s="150">
        <v>98</v>
      </c>
      <c r="F94" s="150">
        <v>16</v>
      </c>
      <c r="G94" s="150">
        <v>22</v>
      </c>
      <c r="H94" s="150">
        <v>112</v>
      </c>
      <c r="I94" s="150">
        <v>85</v>
      </c>
      <c r="J94" s="150">
        <v>97</v>
      </c>
      <c r="K94" s="150">
        <v>93</v>
      </c>
      <c r="L94" s="150">
        <v>123</v>
      </c>
      <c r="M94" s="150">
        <v>107</v>
      </c>
      <c r="N94" s="150">
        <v>163</v>
      </c>
      <c r="O94" s="150">
        <v>49</v>
      </c>
      <c r="P94" s="150">
        <v>177</v>
      </c>
      <c r="Q94" s="379">
        <v>1142</v>
      </c>
    </row>
    <row r="95" spans="2:17" ht="13.5" customHeight="1" x14ac:dyDescent="0.2">
      <c r="B95" s="448"/>
      <c r="C95" s="90" t="s">
        <v>421</v>
      </c>
      <c r="D95" s="469"/>
      <c r="E95" s="150">
        <v>137</v>
      </c>
      <c r="F95" s="150">
        <v>110</v>
      </c>
      <c r="G95" s="150">
        <v>63</v>
      </c>
      <c r="H95" s="150">
        <v>62</v>
      </c>
      <c r="I95" s="150">
        <v>92</v>
      </c>
      <c r="J95" s="150">
        <v>78</v>
      </c>
      <c r="K95" s="150">
        <v>78</v>
      </c>
      <c r="L95" s="150">
        <v>69</v>
      </c>
      <c r="M95" s="150">
        <v>64</v>
      </c>
      <c r="N95" s="150">
        <v>93</v>
      </c>
      <c r="O95" s="150">
        <v>104</v>
      </c>
      <c r="P95" s="150">
        <v>73</v>
      </c>
      <c r="Q95" s="379">
        <v>1023</v>
      </c>
    </row>
    <row r="96" spans="2:17" ht="13.5" customHeight="1" thickBot="1" x14ac:dyDescent="0.25">
      <c r="B96" s="449"/>
      <c r="C96" s="358" t="s">
        <v>17</v>
      </c>
      <c r="D96" s="92" t="s">
        <v>264</v>
      </c>
      <c r="E96" s="153">
        <v>9481</v>
      </c>
      <c r="F96" s="153">
        <v>19020</v>
      </c>
      <c r="G96" s="153">
        <v>10557</v>
      </c>
      <c r="H96" s="153">
        <v>7081</v>
      </c>
      <c r="I96" s="153">
        <v>6070</v>
      </c>
      <c r="J96" s="153">
        <v>5788</v>
      </c>
      <c r="K96" s="153">
        <v>10635</v>
      </c>
      <c r="L96" s="153">
        <v>8584</v>
      </c>
      <c r="M96" s="153">
        <v>8721</v>
      </c>
      <c r="N96" s="153">
        <v>9160</v>
      </c>
      <c r="O96" s="153">
        <v>8942</v>
      </c>
      <c r="P96" s="153">
        <v>9794</v>
      </c>
      <c r="Q96" s="380">
        <v>113833</v>
      </c>
    </row>
    <row r="97" spans="2:17" ht="13.5" customHeight="1" x14ac:dyDescent="0.2">
      <c r="B97" s="451" t="s">
        <v>327</v>
      </c>
      <c r="C97" s="84" t="s">
        <v>422</v>
      </c>
      <c r="D97" s="361" t="s">
        <v>270</v>
      </c>
      <c r="E97" s="2"/>
      <c r="F97" s="2"/>
      <c r="G97" s="284">
        <v>1141</v>
      </c>
      <c r="H97" s="284">
        <v>1696</v>
      </c>
      <c r="I97" s="284">
        <v>1112</v>
      </c>
      <c r="J97" s="284">
        <v>1502</v>
      </c>
      <c r="K97" s="284">
        <v>1508</v>
      </c>
      <c r="L97" s="284">
        <v>2096</v>
      </c>
      <c r="M97" s="284">
        <v>2366</v>
      </c>
      <c r="N97" s="284">
        <v>1168</v>
      </c>
      <c r="O97" s="284">
        <v>8</v>
      </c>
      <c r="P97" s="2"/>
      <c r="Q97" s="381">
        <v>12597</v>
      </c>
    </row>
    <row r="98" spans="2:17" ht="13.5" customHeight="1" thickBot="1" x14ac:dyDescent="0.25">
      <c r="B98" s="451"/>
      <c r="C98" s="359" t="s">
        <v>17</v>
      </c>
      <c r="D98" s="85" t="s">
        <v>264</v>
      </c>
      <c r="E98" s="145"/>
      <c r="F98" s="145"/>
      <c r="G98" s="127">
        <v>1141</v>
      </c>
      <c r="H98" s="127">
        <v>1696</v>
      </c>
      <c r="I98" s="127">
        <v>1112</v>
      </c>
      <c r="J98" s="127">
        <v>1502</v>
      </c>
      <c r="K98" s="127">
        <v>1508</v>
      </c>
      <c r="L98" s="127">
        <v>2096</v>
      </c>
      <c r="M98" s="127">
        <v>2366</v>
      </c>
      <c r="N98" s="127">
        <v>1168</v>
      </c>
      <c r="O98" s="127">
        <v>8</v>
      </c>
      <c r="P98" s="145"/>
      <c r="Q98" s="382">
        <v>12597</v>
      </c>
    </row>
    <row r="99" spans="2:17" ht="13.5" customHeight="1" x14ac:dyDescent="0.2">
      <c r="B99" s="447" t="s">
        <v>341</v>
      </c>
      <c r="C99" s="89" t="s">
        <v>423</v>
      </c>
      <c r="D99" s="434" t="s">
        <v>269</v>
      </c>
      <c r="E99" s="147">
        <v>1343</v>
      </c>
      <c r="F99" s="147">
        <v>1869</v>
      </c>
      <c r="G99" s="147">
        <v>1529</v>
      </c>
      <c r="H99" s="147">
        <v>1662</v>
      </c>
      <c r="I99" s="147">
        <v>2076</v>
      </c>
      <c r="J99" s="147">
        <v>2197</v>
      </c>
      <c r="K99" s="147">
        <v>5631</v>
      </c>
      <c r="L99" s="147">
        <v>5962</v>
      </c>
      <c r="M99" s="147">
        <v>5110</v>
      </c>
      <c r="N99" s="147">
        <v>2531</v>
      </c>
      <c r="O99" s="147">
        <v>1955</v>
      </c>
      <c r="P99" s="147">
        <v>1366</v>
      </c>
      <c r="Q99" s="378">
        <v>33231</v>
      </c>
    </row>
    <row r="100" spans="2:17" ht="13.5" customHeight="1" x14ac:dyDescent="0.2">
      <c r="B100" s="448"/>
      <c r="C100" s="90" t="s">
        <v>424</v>
      </c>
      <c r="D100" s="469"/>
      <c r="E100" s="150">
        <v>1765</v>
      </c>
      <c r="F100" s="150">
        <v>1552</v>
      </c>
      <c r="G100" s="150">
        <v>1924</v>
      </c>
      <c r="H100" s="150">
        <v>1860</v>
      </c>
      <c r="I100" s="150">
        <v>1925</v>
      </c>
      <c r="J100" s="150">
        <v>1890</v>
      </c>
      <c r="K100" s="150">
        <v>2707</v>
      </c>
      <c r="L100" s="150">
        <v>3632</v>
      </c>
      <c r="M100" s="150">
        <v>3034</v>
      </c>
      <c r="N100" s="150">
        <v>2322</v>
      </c>
      <c r="O100" s="150">
        <v>1991</v>
      </c>
      <c r="P100" s="150">
        <v>2048</v>
      </c>
      <c r="Q100" s="379">
        <v>26650</v>
      </c>
    </row>
    <row r="101" spans="2:17" ht="13.5" customHeight="1" x14ac:dyDescent="0.2">
      <c r="B101" s="448"/>
      <c r="C101" s="90" t="s">
        <v>425</v>
      </c>
      <c r="D101" s="469"/>
      <c r="E101" s="150">
        <v>22</v>
      </c>
      <c r="F101" s="150">
        <v>50</v>
      </c>
      <c r="G101" s="150">
        <v>25</v>
      </c>
      <c r="H101" s="150">
        <v>127</v>
      </c>
      <c r="I101" s="150">
        <v>16</v>
      </c>
      <c r="J101" s="150">
        <v>82</v>
      </c>
      <c r="K101" s="150">
        <v>96</v>
      </c>
      <c r="L101" s="150">
        <v>193</v>
      </c>
      <c r="M101" s="150">
        <v>84</v>
      </c>
      <c r="N101" s="150">
        <v>120</v>
      </c>
      <c r="O101" s="150">
        <v>93</v>
      </c>
      <c r="P101" s="150">
        <v>63</v>
      </c>
      <c r="Q101" s="379">
        <v>971</v>
      </c>
    </row>
    <row r="102" spans="2:17" ht="13.5" customHeight="1" x14ac:dyDescent="0.2">
      <c r="B102" s="448"/>
      <c r="C102" s="90" t="s">
        <v>426</v>
      </c>
      <c r="D102" s="469"/>
      <c r="E102" s="151"/>
      <c r="F102" s="151"/>
      <c r="G102" s="151"/>
      <c r="H102" s="151"/>
      <c r="I102" s="150">
        <v>4</v>
      </c>
      <c r="J102" s="150">
        <v>2</v>
      </c>
      <c r="K102" s="150">
        <v>2</v>
      </c>
      <c r="L102" s="151"/>
      <c r="M102" s="151"/>
      <c r="N102" s="150">
        <v>6</v>
      </c>
      <c r="O102" s="151"/>
      <c r="P102" s="151"/>
      <c r="Q102" s="379">
        <v>14</v>
      </c>
    </row>
    <row r="103" spans="2:17" ht="13.5" customHeight="1" x14ac:dyDescent="0.2">
      <c r="B103" s="448"/>
      <c r="C103" s="90" t="s">
        <v>598</v>
      </c>
      <c r="D103" s="469"/>
      <c r="E103" s="151"/>
      <c r="F103" s="151"/>
      <c r="G103" s="151"/>
      <c r="H103" s="151"/>
      <c r="I103" s="151"/>
      <c r="J103" s="151"/>
      <c r="K103" s="150">
        <v>46</v>
      </c>
      <c r="L103" s="151"/>
      <c r="M103" s="151"/>
      <c r="N103" s="151"/>
      <c r="O103" s="151"/>
      <c r="P103" s="151"/>
      <c r="Q103" s="379">
        <v>46</v>
      </c>
    </row>
    <row r="104" spans="2:17" ht="13.5" customHeight="1" x14ac:dyDescent="0.2">
      <c r="B104" s="448"/>
      <c r="C104" s="90" t="s">
        <v>619</v>
      </c>
      <c r="D104" s="469"/>
      <c r="E104" s="151"/>
      <c r="F104" s="151"/>
      <c r="G104" s="151"/>
      <c r="H104" s="151"/>
      <c r="I104" s="151"/>
      <c r="J104" s="151"/>
      <c r="K104" s="151"/>
      <c r="L104" s="151"/>
      <c r="M104" s="151"/>
      <c r="N104" s="151"/>
      <c r="O104" s="151"/>
      <c r="P104" s="150">
        <v>4</v>
      </c>
      <c r="Q104" s="379">
        <v>4</v>
      </c>
    </row>
    <row r="105" spans="2:17" ht="13.5" customHeight="1" thickBot="1" x14ac:dyDescent="0.25">
      <c r="B105" s="449"/>
      <c r="C105" s="358" t="s">
        <v>17</v>
      </c>
      <c r="D105" s="92" t="s">
        <v>264</v>
      </c>
      <c r="E105" s="153">
        <v>3130</v>
      </c>
      <c r="F105" s="153">
        <v>3471</v>
      </c>
      <c r="G105" s="153">
        <v>3478</v>
      </c>
      <c r="H105" s="153">
        <v>3649</v>
      </c>
      <c r="I105" s="153">
        <v>4021</v>
      </c>
      <c r="J105" s="153">
        <v>4171</v>
      </c>
      <c r="K105" s="153">
        <v>8482</v>
      </c>
      <c r="L105" s="153">
        <v>9787</v>
      </c>
      <c r="M105" s="153">
        <v>8228</v>
      </c>
      <c r="N105" s="153">
        <v>4979</v>
      </c>
      <c r="O105" s="153">
        <v>4039</v>
      </c>
      <c r="P105" s="153">
        <v>3481</v>
      </c>
      <c r="Q105" s="380">
        <v>60916</v>
      </c>
    </row>
    <row r="106" spans="2:17" ht="13.5" customHeight="1" x14ac:dyDescent="0.2">
      <c r="B106" s="451" t="s">
        <v>328</v>
      </c>
      <c r="C106" s="84" t="s">
        <v>428</v>
      </c>
      <c r="D106" s="361" t="s">
        <v>269</v>
      </c>
      <c r="E106" s="284">
        <v>946</v>
      </c>
      <c r="F106" s="284">
        <v>1032</v>
      </c>
      <c r="G106" s="284">
        <v>1360</v>
      </c>
      <c r="H106" s="284">
        <v>1222</v>
      </c>
      <c r="I106" s="284">
        <v>1598</v>
      </c>
      <c r="J106" s="284">
        <v>1880</v>
      </c>
      <c r="K106" s="284">
        <v>1832</v>
      </c>
      <c r="L106" s="284">
        <v>1864</v>
      </c>
      <c r="M106" s="284">
        <v>1431</v>
      </c>
      <c r="N106" s="284">
        <v>1263</v>
      </c>
      <c r="O106" s="284">
        <v>1206</v>
      </c>
      <c r="P106" s="284">
        <v>1282</v>
      </c>
      <c r="Q106" s="381">
        <v>16916</v>
      </c>
    </row>
    <row r="107" spans="2:17" ht="13.5" customHeight="1" x14ac:dyDescent="0.2">
      <c r="B107" s="451"/>
      <c r="C107" s="84" t="s">
        <v>429</v>
      </c>
      <c r="D107" s="361" t="s">
        <v>270</v>
      </c>
      <c r="E107" s="284">
        <v>1164</v>
      </c>
      <c r="F107" s="284">
        <v>1148</v>
      </c>
      <c r="G107" s="284">
        <v>1040</v>
      </c>
      <c r="H107" s="284">
        <v>998</v>
      </c>
      <c r="I107" s="284">
        <v>1354</v>
      </c>
      <c r="J107" s="284">
        <v>1540</v>
      </c>
      <c r="K107" s="284">
        <v>1549</v>
      </c>
      <c r="L107" s="284">
        <v>1441</v>
      </c>
      <c r="M107" s="284">
        <v>1323</v>
      </c>
      <c r="N107" s="284">
        <v>1262</v>
      </c>
      <c r="O107" s="284">
        <v>1293</v>
      </c>
      <c r="P107" s="284">
        <v>1209</v>
      </c>
      <c r="Q107" s="381">
        <v>15321</v>
      </c>
    </row>
    <row r="108" spans="2:17" ht="13.5" customHeight="1" x14ac:dyDescent="0.2">
      <c r="B108" s="451"/>
      <c r="C108" s="84" t="s">
        <v>430</v>
      </c>
      <c r="D108" s="472" t="s">
        <v>269</v>
      </c>
      <c r="E108" s="284">
        <v>237</v>
      </c>
      <c r="F108" s="284">
        <v>204</v>
      </c>
      <c r="G108" s="284">
        <v>232</v>
      </c>
      <c r="H108" s="284">
        <v>140</v>
      </c>
      <c r="I108" s="284">
        <v>181</v>
      </c>
      <c r="J108" s="284">
        <v>109</v>
      </c>
      <c r="K108" s="284">
        <v>152</v>
      </c>
      <c r="L108" s="284">
        <v>128</v>
      </c>
      <c r="M108" s="284">
        <v>172</v>
      </c>
      <c r="N108" s="284">
        <v>150</v>
      </c>
      <c r="O108" s="284">
        <v>192</v>
      </c>
      <c r="P108" s="284">
        <v>132</v>
      </c>
      <c r="Q108" s="381">
        <v>2029</v>
      </c>
    </row>
    <row r="109" spans="2:17" ht="13.5" customHeight="1" x14ac:dyDescent="0.2">
      <c r="B109" s="451"/>
      <c r="C109" s="84" t="s">
        <v>437</v>
      </c>
      <c r="D109" s="472"/>
      <c r="E109" s="284">
        <v>1443</v>
      </c>
      <c r="F109" s="2"/>
      <c r="G109" s="284">
        <v>24</v>
      </c>
      <c r="H109" s="284">
        <v>771</v>
      </c>
      <c r="I109" s="284">
        <v>2143</v>
      </c>
      <c r="J109" s="284">
        <v>1086</v>
      </c>
      <c r="K109" s="284">
        <v>2939</v>
      </c>
      <c r="L109" s="284">
        <v>4431</v>
      </c>
      <c r="M109" s="284">
        <v>4180</v>
      </c>
      <c r="N109" s="284">
        <v>5420</v>
      </c>
      <c r="O109" s="284">
        <v>2581</v>
      </c>
      <c r="P109" s="284">
        <v>1476</v>
      </c>
      <c r="Q109" s="381">
        <v>26494</v>
      </c>
    </row>
    <row r="110" spans="2:17" ht="13.5" customHeight="1" x14ac:dyDescent="0.2">
      <c r="B110" s="451"/>
      <c r="C110" s="84" t="s">
        <v>431</v>
      </c>
      <c r="D110" s="472" t="s">
        <v>270</v>
      </c>
      <c r="E110" s="284">
        <v>378418</v>
      </c>
      <c r="F110" s="284">
        <v>315405</v>
      </c>
      <c r="G110" s="284">
        <v>350879</v>
      </c>
      <c r="H110" s="284">
        <v>334843</v>
      </c>
      <c r="I110" s="284">
        <v>382234</v>
      </c>
      <c r="J110" s="284">
        <v>381492</v>
      </c>
      <c r="K110" s="284">
        <v>428454</v>
      </c>
      <c r="L110" s="284">
        <v>545594</v>
      </c>
      <c r="M110" s="284">
        <v>439121</v>
      </c>
      <c r="N110" s="284">
        <v>440063</v>
      </c>
      <c r="O110" s="284">
        <v>369882</v>
      </c>
      <c r="P110" s="284">
        <v>344760</v>
      </c>
      <c r="Q110" s="381">
        <v>4711145</v>
      </c>
    </row>
    <row r="111" spans="2:17" ht="13.5" customHeight="1" x14ac:dyDescent="0.2">
      <c r="B111" s="451"/>
      <c r="C111" s="84" t="s">
        <v>432</v>
      </c>
      <c r="D111" s="472"/>
      <c r="E111" s="284">
        <v>971493</v>
      </c>
      <c r="F111" s="284">
        <v>799087</v>
      </c>
      <c r="G111" s="284">
        <v>871111</v>
      </c>
      <c r="H111" s="284">
        <v>827448</v>
      </c>
      <c r="I111" s="284">
        <v>1025989</v>
      </c>
      <c r="J111" s="284">
        <v>1087484</v>
      </c>
      <c r="K111" s="284">
        <v>1216264</v>
      </c>
      <c r="L111" s="284">
        <v>1418175</v>
      </c>
      <c r="M111" s="284">
        <v>1219106</v>
      </c>
      <c r="N111" s="284">
        <v>1226429</v>
      </c>
      <c r="O111" s="284">
        <v>1014529</v>
      </c>
      <c r="P111" s="284">
        <v>897134</v>
      </c>
      <c r="Q111" s="381">
        <v>12574249</v>
      </c>
    </row>
    <row r="112" spans="2:17" ht="13.5" customHeight="1" x14ac:dyDescent="0.2">
      <c r="B112" s="451"/>
      <c r="C112" s="84" t="s">
        <v>433</v>
      </c>
      <c r="D112" s="472" t="s">
        <v>269</v>
      </c>
      <c r="E112" s="284">
        <v>211</v>
      </c>
      <c r="F112" s="284">
        <v>274</v>
      </c>
      <c r="G112" s="284">
        <v>315</v>
      </c>
      <c r="H112" s="284">
        <v>312</v>
      </c>
      <c r="I112" s="284">
        <v>307</v>
      </c>
      <c r="J112" s="284">
        <v>319</v>
      </c>
      <c r="K112" s="284">
        <v>354</v>
      </c>
      <c r="L112" s="284">
        <v>372</v>
      </c>
      <c r="M112" s="284">
        <v>336</v>
      </c>
      <c r="N112" s="284">
        <v>369</v>
      </c>
      <c r="O112" s="284">
        <v>332</v>
      </c>
      <c r="P112" s="284">
        <v>250</v>
      </c>
      <c r="Q112" s="381">
        <v>3751</v>
      </c>
    </row>
    <row r="113" spans="2:17" ht="13.5" customHeight="1" x14ac:dyDescent="0.2">
      <c r="B113" s="451"/>
      <c r="C113" s="84" t="s">
        <v>438</v>
      </c>
      <c r="D113" s="472"/>
      <c r="E113" s="284">
        <v>834</v>
      </c>
      <c r="F113" s="2"/>
      <c r="G113" s="284">
        <v>6960</v>
      </c>
      <c r="H113" s="284">
        <v>22155</v>
      </c>
      <c r="I113" s="284">
        <v>31742</v>
      </c>
      <c r="J113" s="284">
        <v>37752</v>
      </c>
      <c r="K113" s="284">
        <v>42607</v>
      </c>
      <c r="L113" s="284">
        <v>39495</v>
      </c>
      <c r="M113" s="284">
        <v>36607</v>
      </c>
      <c r="N113" s="284">
        <v>69003</v>
      </c>
      <c r="O113" s="284">
        <v>34323</v>
      </c>
      <c r="P113" s="284">
        <v>6675</v>
      </c>
      <c r="Q113" s="381">
        <v>328153</v>
      </c>
    </row>
    <row r="114" spans="2:17" ht="13.5" customHeight="1" x14ac:dyDescent="0.2">
      <c r="B114" s="451"/>
      <c r="C114" s="84" t="s">
        <v>434</v>
      </c>
      <c r="D114" s="472"/>
      <c r="E114" s="284">
        <v>1637</v>
      </c>
      <c r="F114" s="284">
        <v>1573</v>
      </c>
      <c r="G114" s="284">
        <v>2228</v>
      </c>
      <c r="H114" s="284">
        <v>1442</v>
      </c>
      <c r="I114" s="284">
        <v>2070</v>
      </c>
      <c r="J114" s="284">
        <v>2214</v>
      </c>
      <c r="K114" s="284">
        <v>1816</v>
      </c>
      <c r="L114" s="284">
        <v>1703</v>
      </c>
      <c r="M114" s="284">
        <v>1968</v>
      </c>
      <c r="N114" s="284">
        <v>1729</v>
      </c>
      <c r="O114" s="284">
        <v>1497</v>
      </c>
      <c r="P114" s="284">
        <v>1919</v>
      </c>
      <c r="Q114" s="381">
        <v>21796</v>
      </c>
    </row>
    <row r="115" spans="2:17" ht="13.5" customHeight="1" x14ac:dyDescent="0.2">
      <c r="B115" s="451"/>
      <c r="C115" s="84" t="s">
        <v>435</v>
      </c>
      <c r="D115" s="472"/>
      <c r="E115" s="284">
        <v>342</v>
      </c>
      <c r="F115" s="284">
        <v>558</v>
      </c>
      <c r="G115" s="284">
        <v>628</v>
      </c>
      <c r="H115" s="284">
        <v>781</v>
      </c>
      <c r="I115" s="284">
        <v>326</v>
      </c>
      <c r="J115" s="284">
        <v>257</v>
      </c>
      <c r="K115" s="284">
        <v>257</v>
      </c>
      <c r="L115" s="284">
        <v>231</v>
      </c>
      <c r="M115" s="284">
        <v>417</v>
      </c>
      <c r="N115" s="284">
        <v>795</v>
      </c>
      <c r="O115" s="284">
        <v>598</v>
      </c>
      <c r="P115" s="284">
        <v>353</v>
      </c>
      <c r="Q115" s="381">
        <v>5543</v>
      </c>
    </row>
    <row r="116" spans="2:17" ht="13.5" customHeight="1" x14ac:dyDescent="0.2">
      <c r="B116" s="451"/>
      <c r="C116" s="84" t="s">
        <v>436</v>
      </c>
      <c r="D116" s="472"/>
      <c r="E116" s="2"/>
      <c r="F116" s="2"/>
      <c r="G116" s="284">
        <v>6</v>
      </c>
      <c r="H116" s="284">
        <v>15</v>
      </c>
      <c r="I116" s="284">
        <v>14</v>
      </c>
      <c r="J116" s="284">
        <v>46</v>
      </c>
      <c r="K116" s="284">
        <v>29</v>
      </c>
      <c r="L116" s="284">
        <v>19</v>
      </c>
      <c r="M116" s="284">
        <v>35</v>
      </c>
      <c r="N116" s="284">
        <v>15</v>
      </c>
      <c r="O116" s="284">
        <v>5</v>
      </c>
      <c r="P116" s="2"/>
      <c r="Q116" s="381">
        <v>184</v>
      </c>
    </row>
    <row r="117" spans="2:17" ht="13.5" customHeight="1" thickBot="1" x14ac:dyDescent="0.25">
      <c r="B117" s="451"/>
      <c r="C117" s="359" t="s">
        <v>17</v>
      </c>
      <c r="D117" s="85" t="s">
        <v>264</v>
      </c>
      <c r="E117" s="127">
        <v>1356725</v>
      </c>
      <c r="F117" s="127">
        <v>1119281</v>
      </c>
      <c r="G117" s="127">
        <v>1234783</v>
      </c>
      <c r="H117" s="127">
        <v>1190127</v>
      </c>
      <c r="I117" s="127">
        <v>1447958</v>
      </c>
      <c r="J117" s="127">
        <v>1514179</v>
      </c>
      <c r="K117" s="127">
        <v>1696253</v>
      </c>
      <c r="L117" s="127">
        <v>2013453</v>
      </c>
      <c r="M117" s="127">
        <v>1704696</v>
      </c>
      <c r="N117" s="127">
        <v>1746498</v>
      </c>
      <c r="O117" s="127">
        <v>1426438</v>
      </c>
      <c r="P117" s="127">
        <v>1255190</v>
      </c>
      <c r="Q117" s="382">
        <v>17705581</v>
      </c>
    </row>
    <row r="118" spans="2:17" ht="13.5" customHeight="1" x14ac:dyDescent="0.2">
      <c r="B118" s="447" t="s">
        <v>329</v>
      </c>
      <c r="C118" s="89" t="s">
        <v>439</v>
      </c>
      <c r="D118" s="434" t="s">
        <v>269</v>
      </c>
      <c r="E118" s="147">
        <v>2547</v>
      </c>
      <c r="F118" s="147">
        <v>1614</v>
      </c>
      <c r="G118" s="147">
        <v>4421</v>
      </c>
      <c r="H118" s="147">
        <v>7501</v>
      </c>
      <c r="I118" s="147">
        <v>7011</v>
      </c>
      <c r="J118" s="147">
        <v>9518</v>
      </c>
      <c r="K118" s="147">
        <v>12795</v>
      </c>
      <c r="L118" s="147">
        <v>14511</v>
      </c>
      <c r="M118" s="147">
        <v>10862</v>
      </c>
      <c r="N118" s="147">
        <v>7656</v>
      </c>
      <c r="O118" s="147">
        <v>4510</v>
      </c>
      <c r="P118" s="147">
        <v>2947</v>
      </c>
      <c r="Q118" s="378">
        <v>85893</v>
      </c>
    </row>
    <row r="119" spans="2:17" ht="13.5" customHeight="1" x14ac:dyDescent="0.2">
      <c r="B119" s="448"/>
      <c r="C119" s="90" t="s">
        <v>440</v>
      </c>
      <c r="D119" s="469"/>
      <c r="E119" s="150">
        <v>152</v>
      </c>
      <c r="F119" s="150">
        <v>179</v>
      </c>
      <c r="G119" s="150">
        <v>467</v>
      </c>
      <c r="H119" s="150">
        <v>722</v>
      </c>
      <c r="I119" s="150">
        <v>4882</v>
      </c>
      <c r="J119" s="150">
        <v>2868</v>
      </c>
      <c r="K119" s="150">
        <v>1808</v>
      </c>
      <c r="L119" s="150">
        <v>331</v>
      </c>
      <c r="M119" s="150">
        <v>1078</v>
      </c>
      <c r="N119" s="150">
        <v>10877</v>
      </c>
      <c r="O119" s="150">
        <v>13363</v>
      </c>
      <c r="P119" s="150">
        <v>4355</v>
      </c>
      <c r="Q119" s="379">
        <v>41082</v>
      </c>
    </row>
    <row r="120" spans="2:17" ht="13.5" customHeight="1" x14ac:dyDescent="0.2">
      <c r="B120" s="448"/>
      <c r="C120" s="90" t="s">
        <v>441</v>
      </c>
      <c r="D120" s="469"/>
      <c r="E120" s="150">
        <v>1078</v>
      </c>
      <c r="F120" s="150">
        <v>1088</v>
      </c>
      <c r="G120" s="150">
        <v>775</v>
      </c>
      <c r="H120" s="150">
        <v>460</v>
      </c>
      <c r="I120" s="150">
        <v>410</v>
      </c>
      <c r="J120" s="150">
        <v>494</v>
      </c>
      <c r="K120" s="150">
        <v>438</v>
      </c>
      <c r="L120" s="150">
        <v>367</v>
      </c>
      <c r="M120" s="150">
        <v>361</v>
      </c>
      <c r="N120" s="150">
        <v>469</v>
      </c>
      <c r="O120" s="150">
        <v>538</v>
      </c>
      <c r="P120" s="150">
        <v>538</v>
      </c>
      <c r="Q120" s="379">
        <v>7016</v>
      </c>
    </row>
    <row r="121" spans="2:17" ht="13.5" customHeight="1" x14ac:dyDescent="0.2">
      <c r="B121" s="448"/>
      <c r="C121" s="90" t="s">
        <v>442</v>
      </c>
      <c r="D121" s="360" t="s">
        <v>270</v>
      </c>
      <c r="E121" s="150">
        <v>41056</v>
      </c>
      <c r="F121" s="150">
        <v>30543</v>
      </c>
      <c r="G121" s="150">
        <v>35202</v>
      </c>
      <c r="H121" s="150">
        <v>73349</v>
      </c>
      <c r="I121" s="150">
        <v>113881</v>
      </c>
      <c r="J121" s="150">
        <v>149719</v>
      </c>
      <c r="K121" s="150">
        <v>191033</v>
      </c>
      <c r="L121" s="150">
        <v>274548</v>
      </c>
      <c r="M121" s="150">
        <v>202722</v>
      </c>
      <c r="N121" s="150">
        <v>165749</v>
      </c>
      <c r="O121" s="150">
        <v>52446</v>
      </c>
      <c r="P121" s="150">
        <v>36674</v>
      </c>
      <c r="Q121" s="379">
        <v>1366922</v>
      </c>
    </row>
    <row r="122" spans="2:17" ht="13.5" customHeight="1" x14ac:dyDescent="0.2">
      <c r="B122" s="448"/>
      <c r="C122" s="90" t="s">
        <v>443</v>
      </c>
      <c r="D122" s="469" t="s">
        <v>269</v>
      </c>
      <c r="E122" s="150">
        <v>62</v>
      </c>
      <c r="F122" s="150">
        <v>68</v>
      </c>
      <c r="G122" s="150">
        <v>67</v>
      </c>
      <c r="H122" s="150">
        <v>1493</v>
      </c>
      <c r="I122" s="150">
        <v>848</v>
      </c>
      <c r="J122" s="150">
        <v>312</v>
      </c>
      <c r="K122" s="150">
        <v>255</v>
      </c>
      <c r="L122" s="150">
        <v>99</v>
      </c>
      <c r="M122" s="150">
        <v>909</v>
      </c>
      <c r="N122" s="150">
        <v>1488</v>
      </c>
      <c r="O122" s="150">
        <v>1548</v>
      </c>
      <c r="P122" s="150">
        <v>66</v>
      </c>
      <c r="Q122" s="379">
        <v>7215</v>
      </c>
    </row>
    <row r="123" spans="2:17" ht="13.5" customHeight="1" x14ac:dyDescent="0.2">
      <c r="B123" s="448"/>
      <c r="C123" s="90" t="s">
        <v>444</v>
      </c>
      <c r="D123" s="469"/>
      <c r="E123" s="151"/>
      <c r="F123" s="151"/>
      <c r="G123" s="150">
        <v>4</v>
      </c>
      <c r="H123" s="151"/>
      <c r="I123" s="150">
        <v>2</v>
      </c>
      <c r="J123" s="150">
        <v>11</v>
      </c>
      <c r="K123" s="150">
        <v>8</v>
      </c>
      <c r="L123" s="150">
        <v>18</v>
      </c>
      <c r="M123" s="150">
        <v>2</v>
      </c>
      <c r="N123" s="150">
        <v>1</v>
      </c>
      <c r="O123" s="151"/>
      <c r="P123" s="151"/>
      <c r="Q123" s="379">
        <v>46</v>
      </c>
    </row>
    <row r="124" spans="2:17" ht="13.5" customHeight="1" x14ac:dyDescent="0.2">
      <c r="B124" s="448"/>
      <c r="C124" s="90" t="s">
        <v>445</v>
      </c>
      <c r="D124" s="469"/>
      <c r="E124" s="151"/>
      <c r="F124" s="151"/>
      <c r="G124" s="151"/>
      <c r="H124" s="150">
        <v>3</v>
      </c>
      <c r="I124" s="150">
        <v>3</v>
      </c>
      <c r="J124" s="150">
        <v>8</v>
      </c>
      <c r="K124" s="150">
        <v>7</v>
      </c>
      <c r="L124" s="150">
        <v>9</v>
      </c>
      <c r="M124" s="150">
        <v>13</v>
      </c>
      <c r="N124" s="151"/>
      <c r="O124" s="150">
        <v>12</v>
      </c>
      <c r="P124" s="151"/>
      <c r="Q124" s="379">
        <v>55</v>
      </c>
    </row>
    <row r="125" spans="2:17" ht="13.5" customHeight="1" thickBot="1" x14ac:dyDescent="0.25">
      <c r="B125" s="449"/>
      <c r="C125" s="358" t="s">
        <v>17</v>
      </c>
      <c r="D125" s="92" t="s">
        <v>264</v>
      </c>
      <c r="E125" s="153">
        <v>44895</v>
      </c>
      <c r="F125" s="153">
        <v>33492</v>
      </c>
      <c r="G125" s="153">
        <v>40936</v>
      </c>
      <c r="H125" s="153">
        <v>83528</v>
      </c>
      <c r="I125" s="153">
        <v>127037</v>
      </c>
      <c r="J125" s="153">
        <v>162930</v>
      </c>
      <c r="K125" s="153">
        <v>206344</v>
      </c>
      <c r="L125" s="153">
        <v>289883</v>
      </c>
      <c r="M125" s="153">
        <v>215947</v>
      </c>
      <c r="N125" s="153">
        <v>186240</v>
      </c>
      <c r="O125" s="153">
        <v>72417</v>
      </c>
      <c r="P125" s="153">
        <v>44580</v>
      </c>
      <c r="Q125" s="380">
        <v>1508229</v>
      </c>
    </row>
    <row r="126" spans="2:17" ht="13.5" customHeight="1" x14ac:dyDescent="0.2">
      <c r="B126" s="451" t="s">
        <v>331</v>
      </c>
      <c r="C126" s="84" t="s">
        <v>446</v>
      </c>
      <c r="D126" s="361" t="s">
        <v>270</v>
      </c>
      <c r="E126" s="284">
        <v>5</v>
      </c>
      <c r="F126" s="284">
        <v>28</v>
      </c>
      <c r="G126" s="2"/>
      <c r="H126" s="2"/>
      <c r="I126" s="2"/>
      <c r="J126" s="2"/>
      <c r="K126" s="2"/>
      <c r="L126" s="2"/>
      <c r="M126" s="284">
        <v>11</v>
      </c>
      <c r="N126" s="2"/>
      <c r="O126" s="2"/>
      <c r="P126" s="284">
        <v>7</v>
      </c>
      <c r="Q126" s="381">
        <v>51</v>
      </c>
    </row>
    <row r="127" spans="2:17" ht="13.5" customHeight="1" thickBot="1" x14ac:dyDescent="0.25">
      <c r="B127" s="451"/>
      <c r="C127" s="359" t="s">
        <v>17</v>
      </c>
      <c r="D127" s="85" t="s">
        <v>264</v>
      </c>
      <c r="E127" s="127">
        <v>5</v>
      </c>
      <c r="F127" s="127">
        <v>28</v>
      </c>
      <c r="G127" s="145"/>
      <c r="H127" s="145"/>
      <c r="I127" s="145"/>
      <c r="J127" s="145"/>
      <c r="K127" s="145"/>
      <c r="L127" s="145"/>
      <c r="M127" s="127">
        <v>11</v>
      </c>
      <c r="N127" s="145"/>
      <c r="O127" s="145"/>
      <c r="P127" s="127">
        <v>7</v>
      </c>
      <c r="Q127" s="382">
        <v>51</v>
      </c>
    </row>
    <row r="128" spans="2:17" ht="13.5" customHeight="1" x14ac:dyDescent="0.2">
      <c r="B128" s="447" t="s">
        <v>332</v>
      </c>
      <c r="C128" s="89" t="s">
        <v>447</v>
      </c>
      <c r="D128" s="357" t="s">
        <v>269</v>
      </c>
      <c r="E128" s="147">
        <v>27</v>
      </c>
      <c r="F128" s="147">
        <v>38</v>
      </c>
      <c r="G128" s="147">
        <v>51</v>
      </c>
      <c r="H128" s="147">
        <v>53</v>
      </c>
      <c r="I128" s="147">
        <v>13</v>
      </c>
      <c r="J128" s="147">
        <v>5</v>
      </c>
      <c r="K128" s="147">
        <v>107</v>
      </c>
      <c r="L128" s="147">
        <v>27</v>
      </c>
      <c r="M128" s="147">
        <v>20</v>
      </c>
      <c r="N128" s="147">
        <v>10</v>
      </c>
      <c r="O128" s="147">
        <v>23</v>
      </c>
      <c r="P128" s="147">
        <v>82</v>
      </c>
      <c r="Q128" s="378">
        <v>456</v>
      </c>
    </row>
    <row r="129" spans="2:17" ht="13.5" customHeight="1" x14ac:dyDescent="0.2">
      <c r="B129" s="448"/>
      <c r="C129" s="90" t="s">
        <v>448</v>
      </c>
      <c r="D129" s="360" t="s">
        <v>270</v>
      </c>
      <c r="E129" s="151"/>
      <c r="F129" s="150">
        <v>2</v>
      </c>
      <c r="G129" s="150">
        <v>5</v>
      </c>
      <c r="H129" s="150">
        <v>1</v>
      </c>
      <c r="I129" s="151"/>
      <c r="J129" s="151"/>
      <c r="K129" s="151"/>
      <c r="L129" s="151"/>
      <c r="M129" s="151"/>
      <c r="N129" s="151"/>
      <c r="O129" s="151"/>
      <c r="P129" s="151"/>
      <c r="Q129" s="379">
        <v>8</v>
      </c>
    </row>
    <row r="130" spans="2:17" ht="13.5" customHeight="1" thickBot="1" x14ac:dyDescent="0.25">
      <c r="B130" s="449"/>
      <c r="C130" s="358" t="s">
        <v>17</v>
      </c>
      <c r="D130" s="92" t="s">
        <v>264</v>
      </c>
      <c r="E130" s="153">
        <v>27</v>
      </c>
      <c r="F130" s="153">
        <v>40</v>
      </c>
      <c r="G130" s="153">
        <v>56</v>
      </c>
      <c r="H130" s="153">
        <v>54</v>
      </c>
      <c r="I130" s="153">
        <v>13</v>
      </c>
      <c r="J130" s="153">
        <v>5</v>
      </c>
      <c r="K130" s="153">
        <v>107</v>
      </c>
      <c r="L130" s="153">
        <v>27</v>
      </c>
      <c r="M130" s="153">
        <v>20</v>
      </c>
      <c r="N130" s="153">
        <v>10</v>
      </c>
      <c r="O130" s="153">
        <v>23</v>
      </c>
      <c r="P130" s="153">
        <v>82</v>
      </c>
      <c r="Q130" s="380">
        <v>464</v>
      </c>
    </row>
    <row r="131" spans="2:17" ht="13.5" customHeight="1" x14ac:dyDescent="0.2">
      <c r="B131" s="451" t="s">
        <v>333</v>
      </c>
      <c r="C131" s="84" t="s">
        <v>449</v>
      </c>
      <c r="D131" s="361" t="s">
        <v>270</v>
      </c>
      <c r="E131" s="284">
        <v>8791</v>
      </c>
      <c r="F131" s="284">
        <v>6498</v>
      </c>
      <c r="G131" s="284">
        <v>6311</v>
      </c>
      <c r="H131" s="284">
        <v>5327</v>
      </c>
      <c r="I131" s="284">
        <v>7239</v>
      </c>
      <c r="J131" s="284">
        <v>8151</v>
      </c>
      <c r="K131" s="284">
        <v>14904</v>
      </c>
      <c r="L131" s="284">
        <v>25776</v>
      </c>
      <c r="M131" s="284">
        <v>15452</v>
      </c>
      <c r="N131" s="284">
        <v>12463</v>
      </c>
      <c r="O131" s="284">
        <v>6322</v>
      </c>
      <c r="P131" s="284">
        <v>7530</v>
      </c>
      <c r="Q131" s="381">
        <v>124764</v>
      </c>
    </row>
    <row r="132" spans="2:17" ht="13.5" customHeight="1" thickBot="1" x14ac:dyDescent="0.25">
      <c r="B132" s="451"/>
      <c r="C132" s="359" t="s">
        <v>17</v>
      </c>
      <c r="D132" s="85" t="s">
        <v>264</v>
      </c>
      <c r="E132" s="127">
        <v>8791</v>
      </c>
      <c r="F132" s="127">
        <v>6498</v>
      </c>
      <c r="G132" s="127">
        <v>6311</v>
      </c>
      <c r="H132" s="127">
        <v>5327</v>
      </c>
      <c r="I132" s="127">
        <v>7239</v>
      </c>
      <c r="J132" s="127">
        <v>8151</v>
      </c>
      <c r="K132" s="127">
        <v>14904</v>
      </c>
      <c r="L132" s="127">
        <v>25776</v>
      </c>
      <c r="M132" s="127">
        <v>15452</v>
      </c>
      <c r="N132" s="127">
        <v>12463</v>
      </c>
      <c r="O132" s="127">
        <v>6322</v>
      </c>
      <c r="P132" s="127">
        <v>7530</v>
      </c>
      <c r="Q132" s="382">
        <v>124764</v>
      </c>
    </row>
    <row r="133" spans="2:17" ht="13.5" customHeight="1" x14ac:dyDescent="0.2">
      <c r="B133" s="447" t="s">
        <v>334</v>
      </c>
      <c r="C133" s="89" t="s">
        <v>450</v>
      </c>
      <c r="D133" s="357" t="s">
        <v>271</v>
      </c>
      <c r="E133" s="147">
        <v>38331</v>
      </c>
      <c r="F133" s="147">
        <v>26846</v>
      </c>
      <c r="G133" s="147">
        <v>39720</v>
      </c>
      <c r="H133" s="147">
        <v>53032</v>
      </c>
      <c r="I133" s="147">
        <v>55193</v>
      </c>
      <c r="J133" s="147">
        <v>75382</v>
      </c>
      <c r="K133" s="147">
        <v>73410</v>
      </c>
      <c r="L133" s="147">
        <v>76323</v>
      </c>
      <c r="M133" s="147">
        <v>62390</v>
      </c>
      <c r="N133" s="147">
        <v>60540</v>
      </c>
      <c r="O133" s="147">
        <v>40235</v>
      </c>
      <c r="P133" s="147">
        <v>35539</v>
      </c>
      <c r="Q133" s="378">
        <v>636941</v>
      </c>
    </row>
    <row r="134" spans="2:17" ht="13.5" customHeight="1" thickBot="1" x14ac:dyDescent="0.25">
      <c r="B134" s="449"/>
      <c r="C134" s="358" t="s">
        <v>17</v>
      </c>
      <c r="D134" s="92" t="s">
        <v>264</v>
      </c>
      <c r="E134" s="153">
        <v>38331</v>
      </c>
      <c r="F134" s="153">
        <v>26846</v>
      </c>
      <c r="G134" s="153">
        <v>39720</v>
      </c>
      <c r="H134" s="153">
        <v>53032</v>
      </c>
      <c r="I134" s="153">
        <v>55193</v>
      </c>
      <c r="J134" s="153">
        <v>75382</v>
      </c>
      <c r="K134" s="153">
        <v>73410</v>
      </c>
      <c r="L134" s="153">
        <v>76323</v>
      </c>
      <c r="M134" s="153">
        <v>62390</v>
      </c>
      <c r="N134" s="153">
        <v>60540</v>
      </c>
      <c r="O134" s="153">
        <v>40235</v>
      </c>
      <c r="P134" s="153">
        <v>35539</v>
      </c>
      <c r="Q134" s="380">
        <v>636941</v>
      </c>
    </row>
    <row r="135" spans="2:17" ht="13.5" customHeight="1" x14ac:dyDescent="0.2">
      <c r="B135" s="451" t="s">
        <v>336</v>
      </c>
      <c r="C135" s="84" t="s">
        <v>452</v>
      </c>
      <c r="D135" s="361" t="s">
        <v>270</v>
      </c>
      <c r="E135" s="284">
        <v>12</v>
      </c>
      <c r="F135" s="2"/>
      <c r="G135" s="2"/>
      <c r="H135" s="284">
        <v>2</v>
      </c>
      <c r="I135" s="284">
        <v>143</v>
      </c>
      <c r="J135" s="2"/>
      <c r="K135" s="284">
        <v>539</v>
      </c>
      <c r="L135" s="284">
        <v>1</v>
      </c>
      <c r="M135" s="2"/>
      <c r="N135" s="284">
        <v>14</v>
      </c>
      <c r="O135" s="284">
        <v>10</v>
      </c>
      <c r="P135" s="2"/>
      <c r="Q135" s="381">
        <v>721</v>
      </c>
    </row>
    <row r="136" spans="2:17" ht="13.5" customHeight="1" x14ac:dyDescent="0.2">
      <c r="B136" s="451"/>
      <c r="C136" s="84" t="s">
        <v>451</v>
      </c>
      <c r="D136" s="361" t="s">
        <v>269</v>
      </c>
      <c r="E136" s="284">
        <v>1718</v>
      </c>
      <c r="F136" s="284">
        <v>1659</v>
      </c>
      <c r="G136" s="284">
        <v>2537</v>
      </c>
      <c r="H136" s="284">
        <v>2365</v>
      </c>
      <c r="I136" s="284">
        <v>2512</v>
      </c>
      <c r="J136" s="284">
        <v>2395</v>
      </c>
      <c r="K136" s="284">
        <v>2658</v>
      </c>
      <c r="L136" s="284">
        <v>2354</v>
      </c>
      <c r="M136" s="284">
        <v>2587</v>
      </c>
      <c r="N136" s="284">
        <v>2510</v>
      </c>
      <c r="O136" s="284">
        <v>2129</v>
      </c>
      <c r="P136" s="284">
        <v>2876</v>
      </c>
      <c r="Q136" s="381">
        <v>28300</v>
      </c>
    </row>
    <row r="137" spans="2:17" ht="13.5" customHeight="1" thickBot="1" x14ac:dyDescent="0.25">
      <c r="B137" s="451"/>
      <c r="C137" s="359" t="s">
        <v>17</v>
      </c>
      <c r="D137" s="85" t="s">
        <v>264</v>
      </c>
      <c r="E137" s="127">
        <v>1730</v>
      </c>
      <c r="F137" s="127">
        <v>1659</v>
      </c>
      <c r="G137" s="127">
        <v>2537</v>
      </c>
      <c r="H137" s="127">
        <v>2367</v>
      </c>
      <c r="I137" s="127">
        <v>2655</v>
      </c>
      <c r="J137" s="127">
        <v>2395</v>
      </c>
      <c r="K137" s="127">
        <v>3197</v>
      </c>
      <c r="L137" s="127">
        <v>2355</v>
      </c>
      <c r="M137" s="127">
        <v>2587</v>
      </c>
      <c r="N137" s="127">
        <v>2524</v>
      </c>
      <c r="O137" s="127">
        <v>2139</v>
      </c>
      <c r="P137" s="127">
        <v>2876</v>
      </c>
      <c r="Q137" s="382">
        <v>29021</v>
      </c>
    </row>
    <row r="138" spans="2:17" ht="13.5" customHeight="1" x14ac:dyDescent="0.2">
      <c r="B138" s="447" t="s">
        <v>337</v>
      </c>
      <c r="C138" s="89" t="s">
        <v>453</v>
      </c>
      <c r="D138" s="357" t="s">
        <v>270</v>
      </c>
      <c r="E138" s="147">
        <v>1538</v>
      </c>
      <c r="F138" s="147">
        <v>992</v>
      </c>
      <c r="G138" s="147">
        <v>892</v>
      </c>
      <c r="H138" s="147">
        <v>1103</v>
      </c>
      <c r="I138" s="147">
        <v>2472</v>
      </c>
      <c r="J138" s="147">
        <v>2143</v>
      </c>
      <c r="K138" s="147">
        <v>7142</v>
      </c>
      <c r="L138" s="147">
        <v>8978</v>
      </c>
      <c r="M138" s="147">
        <v>3898</v>
      </c>
      <c r="N138" s="147">
        <v>3559</v>
      </c>
      <c r="O138" s="147">
        <v>1515</v>
      </c>
      <c r="P138" s="147">
        <v>2638</v>
      </c>
      <c r="Q138" s="378">
        <v>36870</v>
      </c>
    </row>
    <row r="139" spans="2:17" ht="13.5" customHeight="1" thickBot="1" x14ac:dyDescent="0.25">
      <c r="B139" s="449"/>
      <c r="C139" s="358" t="s">
        <v>17</v>
      </c>
      <c r="D139" s="92" t="s">
        <v>264</v>
      </c>
      <c r="E139" s="153">
        <v>1538</v>
      </c>
      <c r="F139" s="153">
        <v>992</v>
      </c>
      <c r="G139" s="153">
        <v>892</v>
      </c>
      <c r="H139" s="153">
        <v>1103</v>
      </c>
      <c r="I139" s="153">
        <v>2472</v>
      </c>
      <c r="J139" s="153">
        <v>2143</v>
      </c>
      <c r="K139" s="153">
        <v>7142</v>
      </c>
      <c r="L139" s="153">
        <v>8978</v>
      </c>
      <c r="M139" s="153">
        <v>3898</v>
      </c>
      <c r="N139" s="153">
        <v>3559</v>
      </c>
      <c r="O139" s="153">
        <v>1515</v>
      </c>
      <c r="P139" s="153">
        <v>2638</v>
      </c>
      <c r="Q139" s="380">
        <v>36870</v>
      </c>
    </row>
    <row r="140" spans="2:17" ht="13.5" customHeight="1" x14ac:dyDescent="0.2">
      <c r="B140" s="451" t="s">
        <v>338</v>
      </c>
      <c r="C140" s="84" t="s">
        <v>454</v>
      </c>
      <c r="D140" s="361" t="s">
        <v>270</v>
      </c>
      <c r="E140" s="284">
        <v>138</v>
      </c>
      <c r="F140" s="284">
        <v>11</v>
      </c>
      <c r="G140" s="284">
        <v>21</v>
      </c>
      <c r="H140" s="284">
        <v>154</v>
      </c>
      <c r="I140" s="284">
        <v>171</v>
      </c>
      <c r="J140" s="284">
        <v>498</v>
      </c>
      <c r="K140" s="284">
        <v>2098</v>
      </c>
      <c r="L140" s="284">
        <v>4555</v>
      </c>
      <c r="M140" s="284">
        <v>1720</v>
      </c>
      <c r="N140" s="284">
        <v>914</v>
      </c>
      <c r="O140" s="284">
        <v>138</v>
      </c>
      <c r="P140" s="284">
        <v>39</v>
      </c>
      <c r="Q140" s="381">
        <v>10457</v>
      </c>
    </row>
    <row r="141" spans="2:17" ht="13.5" customHeight="1" thickBot="1" x14ac:dyDescent="0.25">
      <c r="B141" s="451"/>
      <c r="C141" s="359" t="s">
        <v>17</v>
      </c>
      <c r="D141" s="85" t="s">
        <v>264</v>
      </c>
      <c r="E141" s="127">
        <v>138</v>
      </c>
      <c r="F141" s="127">
        <v>11</v>
      </c>
      <c r="G141" s="127">
        <v>21</v>
      </c>
      <c r="H141" s="127">
        <v>154</v>
      </c>
      <c r="I141" s="127">
        <v>171</v>
      </c>
      <c r="J141" s="127">
        <v>498</v>
      </c>
      <c r="K141" s="127">
        <v>2098</v>
      </c>
      <c r="L141" s="127">
        <v>4555</v>
      </c>
      <c r="M141" s="127">
        <v>1720</v>
      </c>
      <c r="N141" s="127">
        <v>914</v>
      </c>
      <c r="O141" s="127">
        <v>138</v>
      </c>
      <c r="P141" s="127">
        <v>39</v>
      </c>
      <c r="Q141" s="382">
        <v>10457</v>
      </c>
    </row>
    <row r="142" spans="2:17" ht="13.5" customHeight="1" x14ac:dyDescent="0.2">
      <c r="B142" s="447" t="s">
        <v>339</v>
      </c>
      <c r="C142" s="89" t="s">
        <v>455</v>
      </c>
      <c r="D142" s="357" t="s">
        <v>270</v>
      </c>
      <c r="E142" s="147">
        <v>215</v>
      </c>
      <c r="F142" s="147">
        <v>49</v>
      </c>
      <c r="G142" s="147">
        <v>51</v>
      </c>
      <c r="H142" s="148"/>
      <c r="I142" s="148"/>
      <c r="J142" s="147">
        <v>1</v>
      </c>
      <c r="K142" s="148"/>
      <c r="L142" s="147">
        <v>4</v>
      </c>
      <c r="M142" s="148"/>
      <c r="N142" s="148"/>
      <c r="O142" s="147">
        <v>1</v>
      </c>
      <c r="P142" s="147">
        <v>1</v>
      </c>
      <c r="Q142" s="378">
        <v>322</v>
      </c>
    </row>
    <row r="143" spans="2:17" ht="13.5" customHeight="1" thickBot="1" x14ac:dyDescent="0.25">
      <c r="B143" s="449"/>
      <c r="C143" s="358" t="s">
        <v>17</v>
      </c>
      <c r="D143" s="92" t="s">
        <v>264</v>
      </c>
      <c r="E143" s="153">
        <v>215</v>
      </c>
      <c r="F143" s="153">
        <v>49</v>
      </c>
      <c r="G143" s="153">
        <v>51</v>
      </c>
      <c r="H143" s="154"/>
      <c r="I143" s="154"/>
      <c r="J143" s="153">
        <v>1</v>
      </c>
      <c r="K143" s="154"/>
      <c r="L143" s="153">
        <v>4</v>
      </c>
      <c r="M143" s="154"/>
      <c r="N143" s="154"/>
      <c r="O143" s="153">
        <v>1</v>
      </c>
      <c r="P143" s="153">
        <v>1</v>
      </c>
      <c r="Q143" s="380">
        <v>322</v>
      </c>
    </row>
    <row r="144" spans="2:17" ht="13.5" customHeight="1" x14ac:dyDescent="0.2">
      <c r="B144" s="451" t="s">
        <v>330</v>
      </c>
      <c r="C144" s="84" t="s">
        <v>456</v>
      </c>
      <c r="D144" s="361" t="s">
        <v>270</v>
      </c>
      <c r="E144" s="2"/>
      <c r="F144" s="284">
        <v>552</v>
      </c>
      <c r="G144" s="2"/>
      <c r="H144" s="284">
        <v>2</v>
      </c>
      <c r="I144" s="2"/>
      <c r="J144" s="2"/>
      <c r="K144" s="2"/>
      <c r="L144" s="2"/>
      <c r="M144" s="2"/>
      <c r="N144" s="2"/>
      <c r="O144" s="284">
        <v>2</v>
      </c>
      <c r="P144" s="2"/>
      <c r="Q144" s="381">
        <v>556</v>
      </c>
    </row>
    <row r="145" spans="2:17" ht="13.5" customHeight="1" thickBot="1" x14ac:dyDescent="0.25">
      <c r="B145" s="451"/>
      <c r="C145" s="359" t="s">
        <v>17</v>
      </c>
      <c r="D145" s="85" t="s">
        <v>264</v>
      </c>
      <c r="E145" s="145"/>
      <c r="F145" s="127">
        <v>552</v>
      </c>
      <c r="G145" s="145"/>
      <c r="H145" s="127">
        <v>2</v>
      </c>
      <c r="I145" s="145"/>
      <c r="J145" s="145"/>
      <c r="K145" s="145"/>
      <c r="L145" s="145"/>
      <c r="M145" s="145"/>
      <c r="N145" s="145"/>
      <c r="O145" s="127">
        <v>2</v>
      </c>
      <c r="P145" s="145"/>
      <c r="Q145" s="382">
        <v>556</v>
      </c>
    </row>
    <row r="146" spans="2:17" ht="13.5" customHeight="1" x14ac:dyDescent="0.2">
      <c r="B146" s="447" t="s">
        <v>340</v>
      </c>
      <c r="C146" s="89" t="s">
        <v>457</v>
      </c>
      <c r="D146" s="357" t="s">
        <v>270</v>
      </c>
      <c r="E146" s="148"/>
      <c r="F146" s="147">
        <v>3</v>
      </c>
      <c r="G146" s="147">
        <v>2</v>
      </c>
      <c r="H146" s="148"/>
      <c r="I146" s="148"/>
      <c r="J146" s="147">
        <v>1</v>
      </c>
      <c r="K146" s="148"/>
      <c r="L146" s="148"/>
      <c r="M146" s="148"/>
      <c r="N146" s="148"/>
      <c r="O146" s="147">
        <v>2</v>
      </c>
      <c r="P146" s="147">
        <v>3</v>
      </c>
      <c r="Q146" s="378">
        <v>11</v>
      </c>
    </row>
    <row r="147" spans="2:17" ht="13.5" customHeight="1" thickBot="1" x14ac:dyDescent="0.25">
      <c r="B147" s="449"/>
      <c r="C147" s="358" t="s">
        <v>17</v>
      </c>
      <c r="D147" s="92" t="s">
        <v>264</v>
      </c>
      <c r="E147" s="154"/>
      <c r="F147" s="153">
        <v>3</v>
      </c>
      <c r="G147" s="153">
        <v>2</v>
      </c>
      <c r="H147" s="154"/>
      <c r="I147" s="154"/>
      <c r="J147" s="153">
        <v>1</v>
      </c>
      <c r="K147" s="154"/>
      <c r="L147" s="154"/>
      <c r="M147" s="154"/>
      <c r="N147" s="154"/>
      <c r="O147" s="153">
        <v>2</v>
      </c>
      <c r="P147" s="153">
        <v>3</v>
      </c>
      <c r="Q147" s="380">
        <v>11</v>
      </c>
    </row>
    <row r="148" spans="2:17" ht="13.5" customHeight="1" x14ac:dyDescent="0.2">
      <c r="B148" s="451" t="s">
        <v>342</v>
      </c>
      <c r="C148" s="84" t="s">
        <v>458</v>
      </c>
      <c r="D148" s="472" t="s">
        <v>269</v>
      </c>
      <c r="E148" s="284">
        <v>759</v>
      </c>
      <c r="F148" s="284">
        <v>663</v>
      </c>
      <c r="G148" s="284">
        <v>1243</v>
      </c>
      <c r="H148" s="284">
        <v>9275</v>
      </c>
      <c r="I148" s="284">
        <v>30542</v>
      </c>
      <c r="J148" s="284">
        <v>38175</v>
      </c>
      <c r="K148" s="284">
        <v>44320</v>
      </c>
      <c r="L148" s="284">
        <v>54068</v>
      </c>
      <c r="M148" s="284">
        <v>46011</v>
      </c>
      <c r="N148" s="284">
        <v>31282</v>
      </c>
      <c r="O148" s="284">
        <v>1447</v>
      </c>
      <c r="P148" s="284">
        <v>457</v>
      </c>
      <c r="Q148" s="381">
        <v>258242</v>
      </c>
    </row>
    <row r="149" spans="2:17" ht="13.5" customHeight="1" x14ac:dyDescent="0.2">
      <c r="B149" s="451"/>
      <c r="C149" s="84" t="s">
        <v>460</v>
      </c>
      <c r="D149" s="472"/>
      <c r="E149" s="284">
        <v>210</v>
      </c>
      <c r="F149" s="284">
        <v>188</v>
      </c>
      <c r="G149" s="284">
        <v>97</v>
      </c>
      <c r="H149" s="284">
        <v>490</v>
      </c>
      <c r="I149" s="284">
        <v>19464</v>
      </c>
      <c r="J149" s="284">
        <v>26012</v>
      </c>
      <c r="K149" s="284">
        <v>32600</v>
      </c>
      <c r="L149" s="284">
        <v>36030</v>
      </c>
      <c r="M149" s="284">
        <v>30902</v>
      </c>
      <c r="N149" s="284">
        <v>38859</v>
      </c>
      <c r="O149" s="284">
        <v>1315</v>
      </c>
      <c r="P149" s="284">
        <v>887</v>
      </c>
      <c r="Q149" s="381">
        <v>187054</v>
      </c>
    </row>
    <row r="150" spans="2:17" ht="13.5" customHeight="1" x14ac:dyDescent="0.2">
      <c r="B150" s="451"/>
      <c r="C150" s="84" t="s">
        <v>466</v>
      </c>
      <c r="D150" s="472"/>
      <c r="E150" s="284">
        <v>19</v>
      </c>
      <c r="F150" s="284">
        <v>12</v>
      </c>
      <c r="G150" s="284">
        <v>12</v>
      </c>
      <c r="H150" s="284">
        <v>9</v>
      </c>
      <c r="I150" s="284">
        <v>18</v>
      </c>
      <c r="J150" s="284">
        <v>25</v>
      </c>
      <c r="K150" s="284">
        <v>13</v>
      </c>
      <c r="L150" s="284">
        <v>19</v>
      </c>
      <c r="M150" s="284">
        <v>11</v>
      </c>
      <c r="N150" s="284">
        <v>18</v>
      </c>
      <c r="O150" s="284">
        <v>12</v>
      </c>
      <c r="P150" s="284">
        <v>5</v>
      </c>
      <c r="Q150" s="381">
        <v>173</v>
      </c>
    </row>
    <row r="151" spans="2:17" ht="13.5" customHeight="1" x14ac:dyDescent="0.2">
      <c r="B151" s="451"/>
      <c r="C151" s="84" t="s">
        <v>461</v>
      </c>
      <c r="D151" s="361" t="s">
        <v>270</v>
      </c>
      <c r="E151" s="284">
        <v>4150</v>
      </c>
      <c r="F151" s="284">
        <v>4708</v>
      </c>
      <c r="G151" s="284">
        <v>9764</v>
      </c>
      <c r="H151" s="284">
        <v>73896</v>
      </c>
      <c r="I151" s="284">
        <v>172243</v>
      </c>
      <c r="J151" s="284">
        <v>264447</v>
      </c>
      <c r="K151" s="284">
        <v>296685</v>
      </c>
      <c r="L151" s="284">
        <v>328361</v>
      </c>
      <c r="M151" s="284">
        <v>295587</v>
      </c>
      <c r="N151" s="284">
        <v>244390</v>
      </c>
      <c r="O151" s="284">
        <v>27767</v>
      </c>
      <c r="P151" s="284">
        <v>3908</v>
      </c>
      <c r="Q151" s="381">
        <v>1725906</v>
      </c>
    </row>
    <row r="152" spans="2:17" ht="13.5" customHeight="1" x14ac:dyDescent="0.2">
      <c r="B152" s="451"/>
      <c r="C152" s="84" t="s">
        <v>462</v>
      </c>
      <c r="D152" s="361" t="s">
        <v>269</v>
      </c>
      <c r="E152" s="284">
        <v>3</v>
      </c>
      <c r="F152" s="2"/>
      <c r="G152" s="2"/>
      <c r="H152" s="284">
        <v>56</v>
      </c>
      <c r="I152" s="284">
        <v>135</v>
      </c>
      <c r="J152" s="284">
        <v>238</v>
      </c>
      <c r="K152" s="284">
        <v>320</v>
      </c>
      <c r="L152" s="284">
        <v>341</v>
      </c>
      <c r="M152" s="284">
        <v>256</v>
      </c>
      <c r="N152" s="284">
        <v>214</v>
      </c>
      <c r="O152" s="284">
        <v>54</v>
      </c>
      <c r="P152" s="284">
        <v>1</v>
      </c>
      <c r="Q152" s="381">
        <v>1618</v>
      </c>
    </row>
    <row r="153" spans="2:17" ht="13.5" customHeight="1" x14ac:dyDescent="0.2">
      <c r="B153" s="451"/>
      <c r="C153" s="84" t="s">
        <v>463</v>
      </c>
      <c r="D153" s="361" t="s">
        <v>270</v>
      </c>
      <c r="E153" s="284">
        <v>1342</v>
      </c>
      <c r="F153" s="284">
        <v>1090</v>
      </c>
      <c r="G153" s="284">
        <v>1676</v>
      </c>
      <c r="H153" s="284">
        <v>19742</v>
      </c>
      <c r="I153" s="284">
        <v>79236</v>
      </c>
      <c r="J153" s="284">
        <v>138392</v>
      </c>
      <c r="K153" s="284">
        <v>179784</v>
      </c>
      <c r="L153" s="284">
        <v>199353</v>
      </c>
      <c r="M153" s="284">
        <v>152362</v>
      </c>
      <c r="N153" s="284">
        <v>106217</v>
      </c>
      <c r="O153" s="284">
        <v>5959</v>
      </c>
      <c r="P153" s="284">
        <v>841</v>
      </c>
      <c r="Q153" s="381">
        <v>885994</v>
      </c>
    </row>
    <row r="154" spans="2:17" ht="13.5" customHeight="1" x14ac:dyDescent="0.2">
      <c r="B154" s="451"/>
      <c r="C154" s="84" t="s">
        <v>467</v>
      </c>
      <c r="D154" s="472" t="s">
        <v>269</v>
      </c>
      <c r="E154" s="284">
        <v>6</v>
      </c>
      <c r="F154" s="284">
        <v>27</v>
      </c>
      <c r="G154" s="284">
        <v>14</v>
      </c>
      <c r="H154" s="284">
        <v>43</v>
      </c>
      <c r="I154" s="284">
        <v>164</v>
      </c>
      <c r="J154" s="284">
        <v>260</v>
      </c>
      <c r="K154" s="284">
        <v>516</v>
      </c>
      <c r="L154" s="284">
        <v>635</v>
      </c>
      <c r="M154" s="284">
        <v>236</v>
      </c>
      <c r="N154" s="284">
        <v>223</v>
      </c>
      <c r="O154" s="284">
        <v>60</v>
      </c>
      <c r="P154" s="284">
        <v>30</v>
      </c>
      <c r="Q154" s="381">
        <v>2214</v>
      </c>
    </row>
    <row r="155" spans="2:17" ht="13.5" customHeight="1" x14ac:dyDescent="0.2">
      <c r="B155" s="451"/>
      <c r="C155" s="84" t="s">
        <v>464</v>
      </c>
      <c r="D155" s="472"/>
      <c r="E155" s="284">
        <v>234</v>
      </c>
      <c r="F155" s="284">
        <v>166</v>
      </c>
      <c r="G155" s="284">
        <v>1149</v>
      </c>
      <c r="H155" s="284">
        <v>10353</v>
      </c>
      <c r="I155" s="284">
        <v>23374</v>
      </c>
      <c r="J155" s="284">
        <v>28545</v>
      </c>
      <c r="K155" s="284">
        <v>28249</v>
      </c>
      <c r="L155" s="284">
        <v>25418</v>
      </c>
      <c r="M155" s="284">
        <v>26635</v>
      </c>
      <c r="N155" s="284">
        <v>38979</v>
      </c>
      <c r="O155" s="284">
        <v>14694</v>
      </c>
      <c r="P155" s="284">
        <v>1101</v>
      </c>
      <c r="Q155" s="381">
        <v>198897</v>
      </c>
    </row>
    <row r="156" spans="2:17" ht="13.5" customHeight="1" x14ac:dyDescent="0.2">
      <c r="B156" s="451"/>
      <c r="C156" s="84" t="s">
        <v>465</v>
      </c>
      <c r="D156" s="472"/>
      <c r="E156" s="284">
        <v>264</v>
      </c>
      <c r="F156" s="284">
        <v>281</v>
      </c>
      <c r="G156" s="284">
        <v>406</v>
      </c>
      <c r="H156" s="284">
        <v>1011</v>
      </c>
      <c r="I156" s="284">
        <v>2382</v>
      </c>
      <c r="J156" s="284">
        <v>3575</v>
      </c>
      <c r="K156" s="284">
        <v>3477</v>
      </c>
      <c r="L156" s="284">
        <v>4272</v>
      </c>
      <c r="M156" s="284">
        <v>4364</v>
      </c>
      <c r="N156" s="284">
        <v>4042</v>
      </c>
      <c r="O156" s="284">
        <v>599</v>
      </c>
      <c r="P156" s="284">
        <v>447</v>
      </c>
      <c r="Q156" s="381">
        <v>25120</v>
      </c>
    </row>
    <row r="157" spans="2:17" ht="13.5" customHeight="1" x14ac:dyDescent="0.2">
      <c r="B157" s="451"/>
      <c r="C157" s="84" t="s">
        <v>459</v>
      </c>
      <c r="D157" s="472"/>
      <c r="E157" s="2"/>
      <c r="F157" s="284">
        <v>2</v>
      </c>
      <c r="G157" s="284">
        <v>5</v>
      </c>
      <c r="H157" s="284">
        <v>191</v>
      </c>
      <c r="I157" s="284">
        <v>1626</v>
      </c>
      <c r="J157" s="284">
        <v>2575</v>
      </c>
      <c r="K157" s="284">
        <v>3269</v>
      </c>
      <c r="L157" s="284">
        <v>4669</v>
      </c>
      <c r="M157" s="284">
        <v>3273</v>
      </c>
      <c r="N157" s="284">
        <v>993</v>
      </c>
      <c r="O157" s="284">
        <v>39</v>
      </c>
      <c r="P157" s="284">
        <v>7</v>
      </c>
      <c r="Q157" s="381">
        <v>16649</v>
      </c>
    </row>
    <row r="158" spans="2:17" ht="13.5" customHeight="1" x14ac:dyDescent="0.2">
      <c r="B158" s="451"/>
      <c r="C158" s="84" t="s">
        <v>469</v>
      </c>
      <c r="D158" s="472"/>
      <c r="E158" s="2"/>
      <c r="F158" s="284">
        <v>3</v>
      </c>
      <c r="G158" s="2"/>
      <c r="H158" s="284">
        <v>18</v>
      </c>
      <c r="I158" s="284">
        <v>57</v>
      </c>
      <c r="J158" s="284">
        <v>730</v>
      </c>
      <c r="K158" s="284">
        <v>979</v>
      </c>
      <c r="L158" s="284">
        <v>1229</v>
      </c>
      <c r="M158" s="284">
        <v>434</v>
      </c>
      <c r="N158" s="284">
        <v>71</v>
      </c>
      <c r="O158" s="284">
        <v>10</v>
      </c>
      <c r="P158" s="284">
        <v>1</v>
      </c>
      <c r="Q158" s="381">
        <v>3532</v>
      </c>
    </row>
    <row r="159" spans="2:17" ht="13.5" customHeight="1" x14ac:dyDescent="0.2">
      <c r="B159" s="451"/>
      <c r="C159" s="84" t="s">
        <v>468</v>
      </c>
      <c r="D159" s="472"/>
      <c r="E159" s="2"/>
      <c r="F159" s="2"/>
      <c r="G159" s="284">
        <v>6</v>
      </c>
      <c r="H159" s="284">
        <v>6</v>
      </c>
      <c r="I159" s="284">
        <v>12</v>
      </c>
      <c r="J159" s="284">
        <v>4</v>
      </c>
      <c r="K159" s="284">
        <v>4</v>
      </c>
      <c r="L159" s="284">
        <v>8</v>
      </c>
      <c r="M159" s="284">
        <v>5</v>
      </c>
      <c r="N159" s="284">
        <v>2</v>
      </c>
      <c r="O159" s="2"/>
      <c r="P159" s="284">
        <v>4</v>
      </c>
      <c r="Q159" s="381">
        <v>51</v>
      </c>
    </row>
    <row r="160" spans="2:17" ht="13.5" customHeight="1" x14ac:dyDescent="0.2">
      <c r="B160" s="451"/>
      <c r="C160" s="84" t="s">
        <v>599</v>
      </c>
      <c r="D160" s="472"/>
      <c r="E160" s="2"/>
      <c r="F160" s="2"/>
      <c r="G160" s="2"/>
      <c r="H160" s="2"/>
      <c r="I160" s="284">
        <v>170</v>
      </c>
      <c r="J160" s="284">
        <v>403</v>
      </c>
      <c r="K160" s="284">
        <v>676</v>
      </c>
      <c r="L160" s="284">
        <v>684</v>
      </c>
      <c r="M160" s="284">
        <v>369</v>
      </c>
      <c r="N160" s="284">
        <v>212</v>
      </c>
      <c r="O160" s="284">
        <v>9</v>
      </c>
      <c r="P160" s="2"/>
      <c r="Q160" s="381">
        <v>2523</v>
      </c>
    </row>
    <row r="161" spans="2:17" ht="13.5" customHeight="1" thickBot="1" x14ac:dyDescent="0.25">
      <c r="B161" s="451"/>
      <c r="C161" s="359" t="s">
        <v>17</v>
      </c>
      <c r="D161" s="85" t="s">
        <v>264</v>
      </c>
      <c r="E161" s="127">
        <v>6987</v>
      </c>
      <c r="F161" s="127">
        <v>7140</v>
      </c>
      <c r="G161" s="127">
        <v>14372</v>
      </c>
      <c r="H161" s="127">
        <v>115090</v>
      </c>
      <c r="I161" s="127">
        <v>329423</v>
      </c>
      <c r="J161" s="127">
        <v>503381</v>
      </c>
      <c r="K161" s="127">
        <v>590892</v>
      </c>
      <c r="L161" s="127">
        <v>655087</v>
      </c>
      <c r="M161" s="127">
        <v>560445</v>
      </c>
      <c r="N161" s="127">
        <v>465502</v>
      </c>
      <c r="O161" s="127">
        <v>51965</v>
      </c>
      <c r="P161" s="127">
        <v>7689</v>
      </c>
      <c r="Q161" s="382">
        <v>3307973</v>
      </c>
    </row>
    <row r="162" spans="2:17" ht="13.5" customHeight="1" x14ac:dyDescent="0.2">
      <c r="B162" s="447" t="s">
        <v>592</v>
      </c>
      <c r="C162" s="89" t="s">
        <v>600</v>
      </c>
      <c r="D162" s="357" t="s">
        <v>270</v>
      </c>
      <c r="E162" s="148"/>
      <c r="F162" s="148"/>
      <c r="G162" s="148"/>
      <c r="H162" s="148"/>
      <c r="I162" s="148"/>
      <c r="J162" s="147">
        <v>1</v>
      </c>
      <c r="K162" s="148"/>
      <c r="L162" s="148"/>
      <c r="M162" s="148"/>
      <c r="N162" s="148"/>
      <c r="O162" s="148"/>
      <c r="P162" s="148"/>
      <c r="Q162" s="378">
        <v>1</v>
      </c>
    </row>
    <row r="163" spans="2:17" ht="13.5" customHeight="1" thickBot="1" x14ac:dyDescent="0.25">
      <c r="B163" s="449"/>
      <c r="C163" s="358" t="s">
        <v>17</v>
      </c>
      <c r="D163" s="92" t="s">
        <v>264</v>
      </c>
      <c r="E163" s="154"/>
      <c r="F163" s="154"/>
      <c r="G163" s="154"/>
      <c r="H163" s="154"/>
      <c r="I163" s="154"/>
      <c r="J163" s="153">
        <v>1</v>
      </c>
      <c r="K163" s="154"/>
      <c r="L163" s="154"/>
      <c r="M163" s="154"/>
      <c r="N163" s="154"/>
      <c r="O163" s="154"/>
      <c r="P163" s="154"/>
      <c r="Q163" s="380">
        <v>1</v>
      </c>
    </row>
    <row r="164" spans="2:17" ht="13.5" customHeight="1" x14ac:dyDescent="0.2">
      <c r="B164" s="451" t="s">
        <v>343</v>
      </c>
      <c r="C164" s="84" t="s">
        <v>470</v>
      </c>
      <c r="D164" s="361" t="s">
        <v>270</v>
      </c>
      <c r="E164" s="284">
        <v>3</v>
      </c>
      <c r="F164" s="284">
        <v>3</v>
      </c>
      <c r="G164" s="284">
        <v>134</v>
      </c>
      <c r="H164" s="284">
        <v>1213</v>
      </c>
      <c r="I164" s="284">
        <v>1435</v>
      </c>
      <c r="J164" s="284">
        <v>156</v>
      </c>
      <c r="K164" s="284">
        <v>319</v>
      </c>
      <c r="L164" s="284">
        <v>335</v>
      </c>
      <c r="M164" s="284">
        <v>1114</v>
      </c>
      <c r="N164" s="284">
        <v>1920</v>
      </c>
      <c r="O164" s="284">
        <v>126</v>
      </c>
      <c r="P164" s="284">
        <v>5</v>
      </c>
      <c r="Q164" s="381">
        <v>6763</v>
      </c>
    </row>
    <row r="165" spans="2:17" ht="13.5" customHeight="1" thickBot="1" x14ac:dyDescent="0.25">
      <c r="B165" s="451"/>
      <c r="C165" s="359" t="s">
        <v>17</v>
      </c>
      <c r="D165" s="85" t="s">
        <v>264</v>
      </c>
      <c r="E165" s="127">
        <v>3</v>
      </c>
      <c r="F165" s="127">
        <v>3</v>
      </c>
      <c r="G165" s="127">
        <v>134</v>
      </c>
      <c r="H165" s="127">
        <v>1213</v>
      </c>
      <c r="I165" s="127">
        <v>1435</v>
      </c>
      <c r="J165" s="127">
        <v>156</v>
      </c>
      <c r="K165" s="127">
        <v>319</v>
      </c>
      <c r="L165" s="127">
        <v>335</v>
      </c>
      <c r="M165" s="127">
        <v>1114</v>
      </c>
      <c r="N165" s="127">
        <v>1920</v>
      </c>
      <c r="O165" s="127">
        <v>126</v>
      </c>
      <c r="P165" s="127">
        <v>5</v>
      </c>
      <c r="Q165" s="382">
        <v>6763</v>
      </c>
    </row>
    <row r="166" spans="2:17" ht="13.5" customHeight="1" x14ac:dyDescent="0.2">
      <c r="B166" s="447" t="s">
        <v>344</v>
      </c>
      <c r="C166" s="89" t="s">
        <v>473</v>
      </c>
      <c r="D166" s="357" t="s">
        <v>270</v>
      </c>
      <c r="E166" s="147">
        <v>194</v>
      </c>
      <c r="F166" s="147">
        <v>4</v>
      </c>
      <c r="G166" s="147">
        <v>5</v>
      </c>
      <c r="H166" s="147">
        <v>3</v>
      </c>
      <c r="I166" s="148"/>
      <c r="J166" s="147">
        <v>357</v>
      </c>
      <c r="K166" s="147">
        <v>1228</v>
      </c>
      <c r="L166" s="147">
        <v>2213</v>
      </c>
      <c r="M166" s="147">
        <v>875</v>
      </c>
      <c r="N166" s="147">
        <v>294</v>
      </c>
      <c r="O166" s="148"/>
      <c r="P166" s="147">
        <v>134</v>
      </c>
      <c r="Q166" s="378">
        <v>5307</v>
      </c>
    </row>
    <row r="167" spans="2:17" ht="13.5" customHeight="1" x14ac:dyDescent="0.2">
      <c r="B167" s="448"/>
      <c r="C167" s="90" t="s">
        <v>472</v>
      </c>
      <c r="D167" s="469" t="s">
        <v>269</v>
      </c>
      <c r="E167" s="150">
        <v>162</v>
      </c>
      <c r="F167" s="150">
        <v>208</v>
      </c>
      <c r="G167" s="150">
        <v>80</v>
      </c>
      <c r="H167" s="150">
        <v>118</v>
      </c>
      <c r="I167" s="150">
        <v>56</v>
      </c>
      <c r="J167" s="150">
        <v>2794</v>
      </c>
      <c r="K167" s="150">
        <v>2238</v>
      </c>
      <c r="L167" s="150">
        <v>89</v>
      </c>
      <c r="M167" s="150">
        <v>3648</v>
      </c>
      <c r="N167" s="150">
        <v>4460</v>
      </c>
      <c r="O167" s="150">
        <v>1788</v>
      </c>
      <c r="P167" s="150">
        <v>82</v>
      </c>
      <c r="Q167" s="379">
        <v>15723</v>
      </c>
    </row>
    <row r="168" spans="2:17" ht="13.5" customHeight="1" x14ac:dyDescent="0.2">
      <c r="B168" s="448"/>
      <c r="C168" s="90" t="s">
        <v>471</v>
      </c>
      <c r="D168" s="469"/>
      <c r="E168" s="151"/>
      <c r="F168" s="151"/>
      <c r="G168" s="150">
        <v>8</v>
      </c>
      <c r="H168" s="151"/>
      <c r="I168" s="150">
        <v>14</v>
      </c>
      <c r="J168" s="150">
        <v>26</v>
      </c>
      <c r="K168" s="150">
        <v>7</v>
      </c>
      <c r="L168" s="150">
        <v>16</v>
      </c>
      <c r="M168" s="150">
        <v>7</v>
      </c>
      <c r="N168" s="150">
        <v>24</v>
      </c>
      <c r="O168" s="150">
        <v>8</v>
      </c>
      <c r="P168" s="151"/>
      <c r="Q168" s="379">
        <v>110</v>
      </c>
    </row>
    <row r="169" spans="2:17" ht="13.5" customHeight="1" thickBot="1" x14ac:dyDescent="0.25">
      <c r="B169" s="449"/>
      <c r="C169" s="358" t="s">
        <v>17</v>
      </c>
      <c r="D169" s="92" t="s">
        <v>264</v>
      </c>
      <c r="E169" s="153">
        <v>356</v>
      </c>
      <c r="F169" s="153">
        <v>212</v>
      </c>
      <c r="G169" s="153">
        <v>93</v>
      </c>
      <c r="H169" s="153">
        <v>121</v>
      </c>
      <c r="I169" s="153">
        <v>70</v>
      </c>
      <c r="J169" s="153">
        <v>3177</v>
      </c>
      <c r="K169" s="153">
        <v>3473</v>
      </c>
      <c r="L169" s="153">
        <v>2318</v>
      </c>
      <c r="M169" s="153">
        <v>4530</v>
      </c>
      <c r="N169" s="153">
        <v>4778</v>
      </c>
      <c r="O169" s="153">
        <v>1796</v>
      </c>
      <c r="P169" s="153">
        <v>216</v>
      </c>
      <c r="Q169" s="380">
        <v>21140</v>
      </c>
    </row>
    <row r="170" spans="2:17" ht="13.5" customHeight="1" x14ac:dyDescent="0.2">
      <c r="B170" s="451" t="s">
        <v>345</v>
      </c>
      <c r="C170" s="84" t="s">
        <v>474</v>
      </c>
      <c r="D170" s="361" t="s">
        <v>269</v>
      </c>
      <c r="E170" s="2"/>
      <c r="F170" s="284">
        <v>5</v>
      </c>
      <c r="G170" s="284">
        <v>22</v>
      </c>
      <c r="H170" s="284">
        <v>17</v>
      </c>
      <c r="I170" s="284">
        <v>49</v>
      </c>
      <c r="J170" s="284">
        <v>19</v>
      </c>
      <c r="K170" s="284">
        <v>31</v>
      </c>
      <c r="L170" s="284">
        <v>34</v>
      </c>
      <c r="M170" s="284">
        <v>40</v>
      </c>
      <c r="N170" s="284">
        <v>37</v>
      </c>
      <c r="O170" s="2"/>
      <c r="P170" s="284">
        <v>36</v>
      </c>
      <c r="Q170" s="381">
        <v>290</v>
      </c>
    </row>
    <row r="171" spans="2:17" ht="13.5" customHeight="1" thickBot="1" x14ac:dyDescent="0.25">
      <c r="B171" s="451"/>
      <c r="C171" s="359" t="s">
        <v>17</v>
      </c>
      <c r="D171" s="85" t="s">
        <v>264</v>
      </c>
      <c r="E171" s="145"/>
      <c r="F171" s="127">
        <v>5</v>
      </c>
      <c r="G171" s="127">
        <v>22</v>
      </c>
      <c r="H171" s="127">
        <v>17</v>
      </c>
      <c r="I171" s="127">
        <v>49</v>
      </c>
      <c r="J171" s="127">
        <v>19</v>
      </c>
      <c r="K171" s="127">
        <v>31</v>
      </c>
      <c r="L171" s="127">
        <v>34</v>
      </c>
      <c r="M171" s="127">
        <v>40</v>
      </c>
      <c r="N171" s="127">
        <v>37</v>
      </c>
      <c r="O171" s="145"/>
      <c r="P171" s="127">
        <v>36</v>
      </c>
      <c r="Q171" s="382">
        <v>290</v>
      </c>
    </row>
    <row r="172" spans="2:17" ht="13.5" customHeight="1" x14ac:dyDescent="0.2">
      <c r="B172" s="447" t="s">
        <v>346</v>
      </c>
      <c r="C172" s="89" t="s">
        <v>475</v>
      </c>
      <c r="D172" s="357" t="s">
        <v>269</v>
      </c>
      <c r="E172" s="147">
        <v>521</v>
      </c>
      <c r="F172" s="147">
        <v>446</v>
      </c>
      <c r="G172" s="147">
        <v>706</v>
      </c>
      <c r="H172" s="147">
        <v>667</v>
      </c>
      <c r="I172" s="147">
        <v>695</v>
      </c>
      <c r="J172" s="147">
        <v>726</v>
      </c>
      <c r="K172" s="147">
        <v>630</v>
      </c>
      <c r="L172" s="147">
        <v>433</v>
      </c>
      <c r="M172" s="147">
        <v>585</v>
      </c>
      <c r="N172" s="147">
        <v>579</v>
      </c>
      <c r="O172" s="147">
        <v>424</v>
      </c>
      <c r="P172" s="147">
        <v>626</v>
      </c>
      <c r="Q172" s="378">
        <v>7038</v>
      </c>
    </row>
    <row r="173" spans="2:17" ht="13.5" customHeight="1" thickBot="1" x14ac:dyDescent="0.25">
      <c r="B173" s="449"/>
      <c r="C173" s="358" t="s">
        <v>17</v>
      </c>
      <c r="D173" s="92" t="s">
        <v>264</v>
      </c>
      <c r="E173" s="153">
        <v>521</v>
      </c>
      <c r="F173" s="153">
        <v>446</v>
      </c>
      <c r="G173" s="153">
        <v>706</v>
      </c>
      <c r="H173" s="153">
        <v>667</v>
      </c>
      <c r="I173" s="153">
        <v>695</v>
      </c>
      <c r="J173" s="153">
        <v>726</v>
      </c>
      <c r="K173" s="153">
        <v>630</v>
      </c>
      <c r="L173" s="153">
        <v>433</v>
      </c>
      <c r="M173" s="153">
        <v>585</v>
      </c>
      <c r="N173" s="153">
        <v>579</v>
      </c>
      <c r="O173" s="153">
        <v>424</v>
      </c>
      <c r="P173" s="153">
        <v>626</v>
      </c>
      <c r="Q173" s="380">
        <v>7038</v>
      </c>
    </row>
    <row r="174" spans="2:17" ht="13.5" customHeight="1" x14ac:dyDescent="0.2">
      <c r="B174" s="451" t="s">
        <v>347</v>
      </c>
      <c r="C174" s="84" t="s">
        <v>476</v>
      </c>
      <c r="D174" s="472" t="s">
        <v>269</v>
      </c>
      <c r="E174" s="284">
        <v>583</v>
      </c>
      <c r="F174" s="284">
        <v>324</v>
      </c>
      <c r="G174" s="284">
        <v>627</v>
      </c>
      <c r="H174" s="284">
        <v>662</v>
      </c>
      <c r="I174" s="284">
        <v>601</v>
      </c>
      <c r="J174" s="284">
        <v>486</v>
      </c>
      <c r="K174" s="284">
        <v>565</v>
      </c>
      <c r="L174" s="284">
        <v>427</v>
      </c>
      <c r="M174" s="284">
        <v>482</v>
      </c>
      <c r="N174" s="284">
        <v>449</v>
      </c>
      <c r="O174" s="284">
        <v>392</v>
      </c>
      <c r="P174" s="284">
        <v>486</v>
      </c>
      <c r="Q174" s="381">
        <v>6084</v>
      </c>
    </row>
    <row r="175" spans="2:17" ht="13.5" customHeight="1" x14ac:dyDescent="0.2">
      <c r="B175" s="451"/>
      <c r="C175" s="84" t="s">
        <v>477</v>
      </c>
      <c r="D175" s="472"/>
      <c r="E175" s="284">
        <v>999</v>
      </c>
      <c r="F175" s="284">
        <v>592</v>
      </c>
      <c r="G175" s="284">
        <v>1181</v>
      </c>
      <c r="H175" s="284">
        <v>1214</v>
      </c>
      <c r="I175" s="284">
        <v>1194</v>
      </c>
      <c r="J175" s="284">
        <v>837</v>
      </c>
      <c r="K175" s="284">
        <v>1107</v>
      </c>
      <c r="L175" s="284">
        <v>854</v>
      </c>
      <c r="M175" s="284">
        <v>753</v>
      </c>
      <c r="N175" s="284">
        <v>905</v>
      </c>
      <c r="O175" s="284">
        <v>768</v>
      </c>
      <c r="P175" s="284">
        <v>776</v>
      </c>
      <c r="Q175" s="381">
        <v>11180</v>
      </c>
    </row>
    <row r="176" spans="2:17" ht="13.5" customHeight="1" x14ac:dyDescent="0.2">
      <c r="B176" s="451"/>
      <c r="C176" s="84" t="s">
        <v>358</v>
      </c>
      <c r="D176" s="472"/>
      <c r="E176" s="284">
        <v>44</v>
      </c>
      <c r="F176" s="284">
        <v>46</v>
      </c>
      <c r="G176" s="284">
        <v>118</v>
      </c>
      <c r="H176" s="284">
        <v>118</v>
      </c>
      <c r="I176" s="284">
        <v>131</v>
      </c>
      <c r="J176" s="284">
        <v>79</v>
      </c>
      <c r="K176" s="284">
        <v>80</v>
      </c>
      <c r="L176" s="284">
        <v>40</v>
      </c>
      <c r="M176" s="284">
        <v>63</v>
      </c>
      <c r="N176" s="284">
        <v>36</v>
      </c>
      <c r="O176" s="284">
        <v>53</v>
      </c>
      <c r="P176" s="284">
        <v>49</v>
      </c>
      <c r="Q176" s="381">
        <v>857</v>
      </c>
    </row>
    <row r="177" spans="2:17" ht="13.5" customHeight="1" x14ac:dyDescent="0.2">
      <c r="B177" s="451"/>
      <c r="C177" s="84" t="s">
        <v>478</v>
      </c>
      <c r="D177" s="361" t="s">
        <v>270</v>
      </c>
      <c r="E177" s="284">
        <v>2352</v>
      </c>
      <c r="F177" s="284">
        <v>1985</v>
      </c>
      <c r="G177" s="284">
        <v>2043</v>
      </c>
      <c r="H177" s="284">
        <v>2040</v>
      </c>
      <c r="I177" s="284">
        <v>2511</v>
      </c>
      <c r="J177" s="284">
        <v>3664</v>
      </c>
      <c r="K177" s="284">
        <v>6637</v>
      </c>
      <c r="L177" s="284">
        <v>11820</v>
      </c>
      <c r="M177" s="284">
        <v>6143</v>
      </c>
      <c r="N177" s="284">
        <v>3804</v>
      </c>
      <c r="O177" s="284">
        <v>1836</v>
      </c>
      <c r="P177" s="284">
        <v>1877</v>
      </c>
      <c r="Q177" s="381">
        <v>46712</v>
      </c>
    </row>
    <row r="178" spans="2:17" ht="13.5" customHeight="1" thickBot="1" x14ac:dyDescent="0.25">
      <c r="B178" s="451"/>
      <c r="C178" s="359" t="s">
        <v>17</v>
      </c>
      <c r="D178" s="85" t="s">
        <v>264</v>
      </c>
      <c r="E178" s="127">
        <v>3978</v>
      </c>
      <c r="F178" s="127">
        <v>2947</v>
      </c>
      <c r="G178" s="127">
        <v>3969</v>
      </c>
      <c r="H178" s="127">
        <v>4034</v>
      </c>
      <c r="I178" s="127">
        <v>4437</v>
      </c>
      <c r="J178" s="127">
        <v>5066</v>
      </c>
      <c r="K178" s="127">
        <v>8389</v>
      </c>
      <c r="L178" s="127">
        <v>13141</v>
      </c>
      <c r="M178" s="127">
        <v>7441</v>
      </c>
      <c r="N178" s="127">
        <v>5194</v>
      </c>
      <c r="O178" s="127">
        <v>3049</v>
      </c>
      <c r="P178" s="127">
        <v>3188</v>
      </c>
      <c r="Q178" s="382">
        <v>64833</v>
      </c>
    </row>
    <row r="179" spans="2:17" ht="13.5" customHeight="1" x14ac:dyDescent="0.2">
      <c r="B179" s="447" t="s">
        <v>348</v>
      </c>
      <c r="C179" s="89" t="s">
        <v>479</v>
      </c>
      <c r="D179" s="357" t="s">
        <v>269</v>
      </c>
      <c r="E179" s="147">
        <v>1</v>
      </c>
      <c r="F179" s="147">
        <v>1</v>
      </c>
      <c r="G179" s="148"/>
      <c r="H179" s="147">
        <v>820</v>
      </c>
      <c r="I179" s="147">
        <v>43</v>
      </c>
      <c r="J179" s="147">
        <v>1457</v>
      </c>
      <c r="K179" s="147">
        <v>2326</v>
      </c>
      <c r="L179" s="147">
        <v>5021</v>
      </c>
      <c r="M179" s="147">
        <v>2611</v>
      </c>
      <c r="N179" s="147">
        <v>1168</v>
      </c>
      <c r="O179" s="147">
        <v>24</v>
      </c>
      <c r="P179" s="147">
        <v>11</v>
      </c>
      <c r="Q179" s="378">
        <v>13483</v>
      </c>
    </row>
    <row r="180" spans="2:17" ht="13.5" customHeight="1" thickBot="1" x14ac:dyDescent="0.25">
      <c r="B180" s="449"/>
      <c r="C180" s="358" t="s">
        <v>17</v>
      </c>
      <c r="D180" s="92" t="s">
        <v>264</v>
      </c>
      <c r="E180" s="153">
        <v>1</v>
      </c>
      <c r="F180" s="153">
        <v>1</v>
      </c>
      <c r="G180" s="154"/>
      <c r="H180" s="153">
        <v>820</v>
      </c>
      <c r="I180" s="153">
        <v>43</v>
      </c>
      <c r="J180" s="153">
        <v>1457</v>
      </c>
      <c r="K180" s="153">
        <v>2326</v>
      </c>
      <c r="L180" s="153">
        <v>5021</v>
      </c>
      <c r="M180" s="153">
        <v>2611</v>
      </c>
      <c r="N180" s="153">
        <v>1168</v>
      </c>
      <c r="O180" s="153">
        <v>24</v>
      </c>
      <c r="P180" s="153">
        <v>11</v>
      </c>
      <c r="Q180" s="380">
        <v>13483</v>
      </c>
    </row>
    <row r="181" spans="2:17" ht="13.5" customHeight="1" x14ac:dyDescent="0.2">
      <c r="B181" s="451" t="s">
        <v>349</v>
      </c>
      <c r="C181" s="84" t="s">
        <v>481</v>
      </c>
      <c r="D181" s="361" t="s">
        <v>270</v>
      </c>
      <c r="E181" s="284">
        <v>4</v>
      </c>
      <c r="F181" s="284">
        <v>8</v>
      </c>
      <c r="G181" s="284">
        <v>83</v>
      </c>
      <c r="H181" s="2"/>
      <c r="I181" s="2"/>
      <c r="J181" s="2"/>
      <c r="K181" s="284">
        <v>2</v>
      </c>
      <c r="L181" s="284">
        <v>4</v>
      </c>
      <c r="M181" s="2"/>
      <c r="N181" s="2"/>
      <c r="O181" s="284">
        <v>1</v>
      </c>
      <c r="P181" s="284">
        <v>1</v>
      </c>
      <c r="Q181" s="381">
        <v>103</v>
      </c>
    </row>
    <row r="182" spans="2:17" ht="13.5" customHeight="1" thickBot="1" x14ac:dyDescent="0.25">
      <c r="B182" s="451"/>
      <c r="C182" s="359" t="s">
        <v>17</v>
      </c>
      <c r="D182" s="85" t="s">
        <v>264</v>
      </c>
      <c r="E182" s="127">
        <v>4</v>
      </c>
      <c r="F182" s="127">
        <v>8</v>
      </c>
      <c r="G182" s="127">
        <v>83</v>
      </c>
      <c r="H182" s="145"/>
      <c r="I182" s="145"/>
      <c r="J182" s="145"/>
      <c r="K182" s="127">
        <v>2</v>
      </c>
      <c r="L182" s="127">
        <v>4</v>
      </c>
      <c r="M182" s="145"/>
      <c r="N182" s="145"/>
      <c r="O182" s="127">
        <v>1</v>
      </c>
      <c r="P182" s="127">
        <v>1</v>
      </c>
      <c r="Q182" s="382">
        <v>103</v>
      </c>
    </row>
    <row r="183" spans="2:17" ht="13.5" customHeight="1" x14ac:dyDescent="0.2">
      <c r="B183" s="447" t="s">
        <v>352</v>
      </c>
      <c r="C183" s="89" t="s">
        <v>482</v>
      </c>
      <c r="D183" s="357" t="s">
        <v>270</v>
      </c>
      <c r="E183" s="147">
        <v>224</v>
      </c>
      <c r="F183" s="147">
        <v>168</v>
      </c>
      <c r="G183" s="147">
        <v>216</v>
      </c>
      <c r="H183" s="147">
        <v>21</v>
      </c>
      <c r="I183" s="147">
        <v>95</v>
      </c>
      <c r="J183" s="147">
        <v>120</v>
      </c>
      <c r="K183" s="147">
        <v>368</v>
      </c>
      <c r="L183" s="147">
        <v>196</v>
      </c>
      <c r="M183" s="147">
        <v>143</v>
      </c>
      <c r="N183" s="147">
        <v>116</v>
      </c>
      <c r="O183" s="147">
        <v>77</v>
      </c>
      <c r="P183" s="147">
        <v>96</v>
      </c>
      <c r="Q183" s="378">
        <v>1840</v>
      </c>
    </row>
    <row r="184" spans="2:17" ht="13.5" customHeight="1" x14ac:dyDescent="0.2">
      <c r="B184" s="448"/>
      <c r="C184" s="90" t="s">
        <v>483</v>
      </c>
      <c r="D184" s="469" t="s">
        <v>269</v>
      </c>
      <c r="E184" s="150">
        <v>103</v>
      </c>
      <c r="F184" s="150">
        <v>109</v>
      </c>
      <c r="G184" s="150">
        <v>128</v>
      </c>
      <c r="H184" s="150">
        <v>127</v>
      </c>
      <c r="I184" s="150">
        <v>153</v>
      </c>
      <c r="J184" s="150">
        <v>141</v>
      </c>
      <c r="K184" s="150">
        <v>175</v>
      </c>
      <c r="L184" s="150">
        <v>166</v>
      </c>
      <c r="M184" s="150">
        <v>134</v>
      </c>
      <c r="N184" s="150">
        <v>171</v>
      </c>
      <c r="O184" s="150">
        <v>141</v>
      </c>
      <c r="P184" s="150">
        <v>109</v>
      </c>
      <c r="Q184" s="379">
        <v>1657</v>
      </c>
    </row>
    <row r="185" spans="2:17" ht="13.5" customHeight="1" x14ac:dyDescent="0.2">
      <c r="B185" s="448"/>
      <c r="C185" s="90" t="s">
        <v>484</v>
      </c>
      <c r="D185" s="469"/>
      <c r="E185" s="150">
        <v>72</v>
      </c>
      <c r="F185" s="150">
        <v>36</v>
      </c>
      <c r="G185" s="150">
        <v>48</v>
      </c>
      <c r="H185" s="150">
        <v>23</v>
      </c>
      <c r="I185" s="150">
        <v>36</v>
      </c>
      <c r="J185" s="150">
        <v>73</v>
      </c>
      <c r="K185" s="150">
        <v>51</v>
      </c>
      <c r="L185" s="150">
        <v>54</v>
      </c>
      <c r="M185" s="150">
        <v>54</v>
      </c>
      <c r="N185" s="150">
        <v>59</v>
      </c>
      <c r="O185" s="150">
        <v>35</v>
      </c>
      <c r="P185" s="150">
        <v>50</v>
      </c>
      <c r="Q185" s="379">
        <v>591</v>
      </c>
    </row>
    <row r="186" spans="2:17" ht="13.5" customHeight="1" x14ac:dyDescent="0.2">
      <c r="B186" s="448"/>
      <c r="C186" s="90" t="s">
        <v>485</v>
      </c>
      <c r="D186" s="469"/>
      <c r="E186" s="150">
        <v>523</v>
      </c>
      <c r="F186" s="150">
        <v>368</v>
      </c>
      <c r="G186" s="150">
        <v>538</v>
      </c>
      <c r="H186" s="150">
        <v>448</v>
      </c>
      <c r="I186" s="150">
        <v>655</v>
      </c>
      <c r="J186" s="150">
        <v>654</v>
      </c>
      <c r="K186" s="150">
        <v>468</v>
      </c>
      <c r="L186" s="150">
        <v>669</v>
      </c>
      <c r="M186" s="150">
        <v>553</v>
      </c>
      <c r="N186" s="150">
        <v>532</v>
      </c>
      <c r="O186" s="150">
        <v>407</v>
      </c>
      <c r="P186" s="150">
        <v>538</v>
      </c>
      <c r="Q186" s="379">
        <v>6353</v>
      </c>
    </row>
    <row r="187" spans="2:17" ht="13.5" customHeight="1" thickBot="1" x14ac:dyDescent="0.25">
      <c r="B187" s="449"/>
      <c r="C187" s="358" t="s">
        <v>17</v>
      </c>
      <c r="D187" s="92" t="s">
        <v>264</v>
      </c>
      <c r="E187" s="153">
        <v>922</v>
      </c>
      <c r="F187" s="153">
        <v>681</v>
      </c>
      <c r="G187" s="153">
        <v>930</v>
      </c>
      <c r="H187" s="153">
        <v>619</v>
      </c>
      <c r="I187" s="153">
        <v>939</v>
      </c>
      <c r="J187" s="153">
        <v>988</v>
      </c>
      <c r="K187" s="153">
        <v>1062</v>
      </c>
      <c r="L187" s="153">
        <v>1085</v>
      </c>
      <c r="M187" s="153">
        <v>884</v>
      </c>
      <c r="N187" s="153">
        <v>878</v>
      </c>
      <c r="O187" s="153">
        <v>660</v>
      </c>
      <c r="P187" s="153">
        <v>793</v>
      </c>
      <c r="Q187" s="380">
        <v>10441</v>
      </c>
    </row>
    <row r="188" spans="2:17" ht="13.5" customHeight="1" x14ac:dyDescent="0.2">
      <c r="B188" s="451" t="s">
        <v>593</v>
      </c>
      <c r="C188" s="84" t="s">
        <v>602</v>
      </c>
      <c r="D188" s="361" t="s">
        <v>270</v>
      </c>
      <c r="E188" s="2"/>
      <c r="F188" s="284">
        <v>1</v>
      </c>
      <c r="G188" s="2"/>
      <c r="H188" s="2"/>
      <c r="I188" s="2"/>
      <c r="J188" s="2"/>
      <c r="K188" s="2"/>
      <c r="L188" s="2"/>
      <c r="M188" s="2"/>
      <c r="N188" s="2"/>
      <c r="O188" s="2"/>
      <c r="P188" s="2"/>
      <c r="Q188" s="381">
        <v>1</v>
      </c>
    </row>
    <row r="189" spans="2:17" ht="13.5" customHeight="1" thickBot="1" x14ac:dyDescent="0.25">
      <c r="B189" s="451"/>
      <c r="C189" s="359" t="s">
        <v>17</v>
      </c>
      <c r="D189" s="85" t="s">
        <v>264</v>
      </c>
      <c r="E189" s="145"/>
      <c r="F189" s="127">
        <v>1</v>
      </c>
      <c r="G189" s="145"/>
      <c r="H189" s="145"/>
      <c r="I189" s="145"/>
      <c r="J189" s="145"/>
      <c r="K189" s="145"/>
      <c r="L189" s="145"/>
      <c r="M189" s="145"/>
      <c r="N189" s="145"/>
      <c r="O189" s="145"/>
      <c r="P189" s="145"/>
      <c r="Q189" s="382">
        <v>1</v>
      </c>
    </row>
    <row r="190" spans="2:17" ht="13.5" customHeight="1" x14ac:dyDescent="0.2">
      <c r="B190" s="447" t="s">
        <v>353</v>
      </c>
      <c r="C190" s="89" t="s">
        <v>486</v>
      </c>
      <c r="D190" s="357" t="s">
        <v>269</v>
      </c>
      <c r="E190" s="147">
        <v>763</v>
      </c>
      <c r="F190" s="147">
        <v>167</v>
      </c>
      <c r="G190" s="147">
        <v>265</v>
      </c>
      <c r="H190" s="147">
        <v>952</v>
      </c>
      <c r="I190" s="147">
        <v>2043</v>
      </c>
      <c r="J190" s="147">
        <v>785</v>
      </c>
      <c r="K190" s="147">
        <v>2152</v>
      </c>
      <c r="L190" s="147">
        <v>188</v>
      </c>
      <c r="M190" s="147">
        <v>1764</v>
      </c>
      <c r="N190" s="147">
        <v>3259</v>
      </c>
      <c r="O190" s="147">
        <v>2884</v>
      </c>
      <c r="P190" s="147">
        <v>2627</v>
      </c>
      <c r="Q190" s="378">
        <v>17849</v>
      </c>
    </row>
    <row r="191" spans="2:17" ht="13.5" customHeight="1" x14ac:dyDescent="0.2">
      <c r="B191" s="448"/>
      <c r="C191" s="90" t="s">
        <v>487</v>
      </c>
      <c r="D191" s="360" t="s">
        <v>270</v>
      </c>
      <c r="E191" s="150">
        <v>7784</v>
      </c>
      <c r="F191" s="150">
        <v>4247</v>
      </c>
      <c r="G191" s="150">
        <v>2070</v>
      </c>
      <c r="H191" s="150">
        <v>4048</v>
      </c>
      <c r="I191" s="150">
        <v>14816</v>
      </c>
      <c r="J191" s="150">
        <v>37123</v>
      </c>
      <c r="K191" s="150">
        <v>110290</v>
      </c>
      <c r="L191" s="150">
        <v>131935</v>
      </c>
      <c r="M191" s="150">
        <v>37934</v>
      </c>
      <c r="N191" s="150">
        <v>12217</v>
      </c>
      <c r="O191" s="150">
        <v>3376</v>
      </c>
      <c r="P191" s="150">
        <v>4423</v>
      </c>
      <c r="Q191" s="379">
        <v>370263</v>
      </c>
    </row>
    <row r="192" spans="2:17" ht="13.5" customHeight="1" thickBot="1" x14ac:dyDescent="0.25">
      <c r="B192" s="449"/>
      <c r="C192" s="358" t="s">
        <v>17</v>
      </c>
      <c r="D192" s="92" t="s">
        <v>264</v>
      </c>
      <c r="E192" s="153">
        <v>8547</v>
      </c>
      <c r="F192" s="153">
        <v>4414</v>
      </c>
      <c r="G192" s="153">
        <v>2335</v>
      </c>
      <c r="H192" s="153">
        <v>5000</v>
      </c>
      <c r="I192" s="153">
        <v>16859</v>
      </c>
      <c r="J192" s="153">
        <v>37908</v>
      </c>
      <c r="K192" s="153">
        <v>112442</v>
      </c>
      <c r="L192" s="153">
        <v>132123</v>
      </c>
      <c r="M192" s="153">
        <v>39698</v>
      </c>
      <c r="N192" s="153">
        <v>15476</v>
      </c>
      <c r="O192" s="153">
        <v>6260</v>
      </c>
      <c r="P192" s="153">
        <v>7050</v>
      </c>
      <c r="Q192" s="380">
        <v>388112</v>
      </c>
    </row>
    <row r="193" spans="2:17" ht="13.5" customHeight="1" x14ac:dyDescent="0.2">
      <c r="B193" s="451" t="s">
        <v>350</v>
      </c>
      <c r="C193" s="84" t="s">
        <v>488</v>
      </c>
      <c r="D193" s="361" t="s">
        <v>271</v>
      </c>
      <c r="E193" s="284">
        <v>1428</v>
      </c>
      <c r="F193" s="284">
        <v>8607</v>
      </c>
      <c r="G193" s="284">
        <v>1921</v>
      </c>
      <c r="H193" s="284">
        <v>1816</v>
      </c>
      <c r="I193" s="284">
        <v>1101</v>
      </c>
      <c r="J193" s="284">
        <v>1551</v>
      </c>
      <c r="K193" s="284">
        <v>2106</v>
      </c>
      <c r="L193" s="284">
        <v>1720</v>
      </c>
      <c r="M193" s="284">
        <v>1879</v>
      </c>
      <c r="N193" s="284">
        <v>1702</v>
      </c>
      <c r="O193" s="284">
        <v>1468</v>
      </c>
      <c r="P193" s="284">
        <v>1454</v>
      </c>
      <c r="Q193" s="381">
        <v>26753</v>
      </c>
    </row>
    <row r="194" spans="2:17" ht="13.5" customHeight="1" x14ac:dyDescent="0.2">
      <c r="B194" s="451"/>
      <c r="C194" s="84" t="s">
        <v>489</v>
      </c>
      <c r="D194" s="361" t="s">
        <v>270</v>
      </c>
      <c r="E194" s="284">
        <v>3</v>
      </c>
      <c r="F194" s="284">
        <v>129</v>
      </c>
      <c r="G194" s="284">
        <v>1</v>
      </c>
      <c r="H194" s="284">
        <v>4</v>
      </c>
      <c r="I194" s="2"/>
      <c r="J194" s="2"/>
      <c r="K194" s="284">
        <v>2</v>
      </c>
      <c r="L194" s="2"/>
      <c r="M194" s="2"/>
      <c r="N194" s="284">
        <v>2</v>
      </c>
      <c r="O194" s="284">
        <v>4</v>
      </c>
      <c r="P194" s="284">
        <v>9</v>
      </c>
      <c r="Q194" s="381">
        <v>154</v>
      </c>
    </row>
    <row r="195" spans="2:17" ht="13.5" customHeight="1" thickBot="1" x14ac:dyDescent="0.25">
      <c r="B195" s="451"/>
      <c r="C195" s="359" t="s">
        <v>17</v>
      </c>
      <c r="D195" s="85" t="s">
        <v>264</v>
      </c>
      <c r="E195" s="127">
        <v>1431</v>
      </c>
      <c r="F195" s="127">
        <v>8736</v>
      </c>
      <c r="G195" s="127">
        <v>1922</v>
      </c>
      <c r="H195" s="127">
        <v>1820</v>
      </c>
      <c r="I195" s="127">
        <v>1101</v>
      </c>
      <c r="J195" s="127">
        <v>1551</v>
      </c>
      <c r="K195" s="127">
        <v>2108</v>
      </c>
      <c r="L195" s="127">
        <v>1720</v>
      </c>
      <c r="M195" s="127">
        <v>1879</v>
      </c>
      <c r="N195" s="127">
        <v>1704</v>
      </c>
      <c r="O195" s="127">
        <v>1472</v>
      </c>
      <c r="P195" s="127">
        <v>1463</v>
      </c>
      <c r="Q195" s="382">
        <v>26907</v>
      </c>
    </row>
    <row r="196" spans="2:17" ht="13.5" customHeight="1" x14ac:dyDescent="0.2">
      <c r="B196" s="447" t="s">
        <v>354</v>
      </c>
      <c r="C196" s="89" t="s">
        <v>490</v>
      </c>
      <c r="D196" s="357" t="s">
        <v>270</v>
      </c>
      <c r="E196" s="148"/>
      <c r="F196" s="148"/>
      <c r="G196" s="148"/>
      <c r="H196" s="148"/>
      <c r="I196" s="148"/>
      <c r="J196" s="148"/>
      <c r="K196" s="148"/>
      <c r="L196" s="148"/>
      <c r="M196" s="147">
        <v>13</v>
      </c>
      <c r="N196" s="148"/>
      <c r="O196" s="148"/>
      <c r="P196" s="148"/>
      <c r="Q196" s="378">
        <v>13</v>
      </c>
    </row>
    <row r="197" spans="2:17" ht="13.5" customHeight="1" thickBot="1" x14ac:dyDescent="0.25">
      <c r="B197" s="449"/>
      <c r="C197" s="358" t="s">
        <v>17</v>
      </c>
      <c r="D197" s="92" t="s">
        <v>264</v>
      </c>
      <c r="E197" s="154"/>
      <c r="F197" s="154"/>
      <c r="G197" s="154"/>
      <c r="H197" s="154"/>
      <c r="I197" s="154"/>
      <c r="J197" s="154"/>
      <c r="K197" s="154"/>
      <c r="L197" s="154"/>
      <c r="M197" s="153">
        <v>13</v>
      </c>
      <c r="N197" s="154"/>
      <c r="O197" s="154"/>
      <c r="P197" s="154"/>
      <c r="Q197" s="380">
        <v>13</v>
      </c>
    </row>
    <row r="198" spans="2:17" ht="13.5" customHeight="1" x14ac:dyDescent="0.2">
      <c r="B198" s="451" t="s">
        <v>355</v>
      </c>
      <c r="C198" s="84" t="s">
        <v>491</v>
      </c>
      <c r="D198" s="361" t="s">
        <v>272</v>
      </c>
      <c r="E198" s="284">
        <v>9</v>
      </c>
      <c r="F198" s="284">
        <v>8</v>
      </c>
      <c r="G198" s="284">
        <v>8</v>
      </c>
      <c r="H198" s="284">
        <v>10</v>
      </c>
      <c r="I198" s="284">
        <v>8</v>
      </c>
      <c r="J198" s="284">
        <v>6</v>
      </c>
      <c r="K198" s="284">
        <v>15</v>
      </c>
      <c r="L198" s="284">
        <v>7</v>
      </c>
      <c r="M198" s="284">
        <v>6</v>
      </c>
      <c r="N198" s="284">
        <v>8</v>
      </c>
      <c r="O198" s="284">
        <v>8</v>
      </c>
      <c r="P198" s="284">
        <v>2</v>
      </c>
      <c r="Q198" s="381">
        <v>95</v>
      </c>
    </row>
    <row r="199" spans="2:17" ht="13.5" customHeight="1" x14ac:dyDescent="0.2">
      <c r="B199" s="451"/>
      <c r="C199" s="84" t="s">
        <v>492</v>
      </c>
      <c r="D199" s="361" t="s">
        <v>271</v>
      </c>
      <c r="E199" s="284">
        <v>20032</v>
      </c>
      <c r="F199" s="284">
        <v>17931</v>
      </c>
      <c r="G199" s="284">
        <v>39606</v>
      </c>
      <c r="H199" s="284">
        <v>36712</v>
      </c>
      <c r="I199" s="284">
        <v>25109</v>
      </c>
      <c r="J199" s="284">
        <v>45392</v>
      </c>
      <c r="K199" s="284">
        <v>58333</v>
      </c>
      <c r="L199" s="284">
        <v>76022</v>
      </c>
      <c r="M199" s="284">
        <v>103099</v>
      </c>
      <c r="N199" s="284">
        <v>51519</v>
      </c>
      <c r="O199" s="284">
        <v>42143</v>
      </c>
      <c r="P199" s="284">
        <v>36228</v>
      </c>
      <c r="Q199" s="381">
        <v>552126</v>
      </c>
    </row>
    <row r="200" spans="2:17" ht="13.5" customHeight="1" x14ac:dyDescent="0.2">
      <c r="B200" s="451"/>
      <c r="C200" s="84" t="s">
        <v>493</v>
      </c>
      <c r="D200" s="361" t="s">
        <v>270</v>
      </c>
      <c r="E200" s="2"/>
      <c r="F200" s="2"/>
      <c r="G200" s="2"/>
      <c r="H200" s="2"/>
      <c r="I200" s="2"/>
      <c r="J200" s="2"/>
      <c r="K200" s="2"/>
      <c r="L200" s="284">
        <v>1</v>
      </c>
      <c r="M200" s="284">
        <v>5</v>
      </c>
      <c r="N200" s="2"/>
      <c r="O200" s="284">
        <v>471</v>
      </c>
      <c r="P200" s="284">
        <v>229</v>
      </c>
      <c r="Q200" s="381">
        <v>706</v>
      </c>
    </row>
    <row r="201" spans="2:17" ht="13.5" customHeight="1" thickBot="1" x14ac:dyDescent="0.25">
      <c r="B201" s="451"/>
      <c r="C201" s="359" t="s">
        <v>17</v>
      </c>
      <c r="D201" s="85" t="s">
        <v>264</v>
      </c>
      <c r="E201" s="127">
        <v>20041</v>
      </c>
      <c r="F201" s="127">
        <v>17939</v>
      </c>
      <c r="G201" s="127">
        <v>39614</v>
      </c>
      <c r="H201" s="127">
        <v>36722</v>
      </c>
      <c r="I201" s="127">
        <v>25117</v>
      </c>
      <c r="J201" s="127">
        <v>45398</v>
      </c>
      <c r="K201" s="127">
        <v>58348</v>
      </c>
      <c r="L201" s="127">
        <v>76030</v>
      </c>
      <c r="M201" s="127">
        <v>103110</v>
      </c>
      <c r="N201" s="127">
        <v>51527</v>
      </c>
      <c r="O201" s="127">
        <v>42622</v>
      </c>
      <c r="P201" s="127">
        <v>36459</v>
      </c>
      <c r="Q201" s="382">
        <v>552927</v>
      </c>
    </row>
    <row r="202" spans="2:17" ht="13.5" customHeight="1" x14ac:dyDescent="0.2">
      <c r="B202" s="447" t="s">
        <v>357</v>
      </c>
      <c r="C202" s="89" t="s">
        <v>497</v>
      </c>
      <c r="D202" s="357" t="s">
        <v>270</v>
      </c>
      <c r="E202" s="147">
        <v>801</v>
      </c>
      <c r="F202" s="147">
        <v>459</v>
      </c>
      <c r="G202" s="147">
        <v>879</v>
      </c>
      <c r="H202" s="147">
        <v>961</v>
      </c>
      <c r="I202" s="147">
        <v>1290</v>
      </c>
      <c r="J202" s="147">
        <v>1901</v>
      </c>
      <c r="K202" s="147">
        <v>4246</v>
      </c>
      <c r="L202" s="147">
        <v>4415</v>
      </c>
      <c r="M202" s="147">
        <v>2863</v>
      </c>
      <c r="N202" s="147">
        <v>2497</v>
      </c>
      <c r="O202" s="147">
        <v>922</v>
      </c>
      <c r="P202" s="147">
        <v>1052</v>
      </c>
      <c r="Q202" s="378">
        <v>22286</v>
      </c>
    </row>
    <row r="203" spans="2:17" ht="13.5" customHeight="1" x14ac:dyDescent="0.2">
      <c r="B203" s="448"/>
      <c r="C203" s="90" t="s">
        <v>494</v>
      </c>
      <c r="D203" s="469" t="s">
        <v>269</v>
      </c>
      <c r="E203" s="150">
        <v>433</v>
      </c>
      <c r="F203" s="150">
        <v>628</v>
      </c>
      <c r="G203" s="150">
        <v>566</v>
      </c>
      <c r="H203" s="150">
        <v>675</v>
      </c>
      <c r="I203" s="150">
        <v>616</v>
      </c>
      <c r="J203" s="150">
        <v>632</v>
      </c>
      <c r="K203" s="150">
        <v>814</v>
      </c>
      <c r="L203" s="150">
        <v>560</v>
      </c>
      <c r="M203" s="150">
        <v>360</v>
      </c>
      <c r="N203" s="150">
        <v>447</v>
      </c>
      <c r="O203" s="150">
        <v>363</v>
      </c>
      <c r="P203" s="150">
        <v>399</v>
      </c>
      <c r="Q203" s="379">
        <v>6493</v>
      </c>
    </row>
    <row r="204" spans="2:17" ht="13.5" customHeight="1" x14ac:dyDescent="0.2">
      <c r="B204" s="448"/>
      <c r="C204" s="90" t="s">
        <v>495</v>
      </c>
      <c r="D204" s="469"/>
      <c r="E204" s="150">
        <v>663</v>
      </c>
      <c r="F204" s="150">
        <v>477</v>
      </c>
      <c r="G204" s="150">
        <v>624</v>
      </c>
      <c r="H204" s="150">
        <v>663</v>
      </c>
      <c r="I204" s="150">
        <v>289</v>
      </c>
      <c r="J204" s="150">
        <v>225</v>
      </c>
      <c r="K204" s="150">
        <v>463</v>
      </c>
      <c r="L204" s="150">
        <v>205</v>
      </c>
      <c r="M204" s="150">
        <v>449</v>
      </c>
      <c r="N204" s="150">
        <v>306</v>
      </c>
      <c r="O204" s="150">
        <v>436</v>
      </c>
      <c r="P204" s="150">
        <v>282</v>
      </c>
      <c r="Q204" s="379">
        <v>5082</v>
      </c>
    </row>
    <row r="205" spans="2:17" ht="13.5" customHeight="1" x14ac:dyDescent="0.2">
      <c r="B205" s="448"/>
      <c r="C205" s="90" t="s">
        <v>496</v>
      </c>
      <c r="D205" s="469"/>
      <c r="E205" s="150">
        <v>638</v>
      </c>
      <c r="F205" s="150">
        <v>726</v>
      </c>
      <c r="G205" s="150">
        <v>384</v>
      </c>
      <c r="H205" s="150">
        <v>602</v>
      </c>
      <c r="I205" s="150">
        <v>757</v>
      </c>
      <c r="J205" s="150">
        <v>549</v>
      </c>
      <c r="K205" s="150">
        <v>438</v>
      </c>
      <c r="L205" s="150">
        <v>532</v>
      </c>
      <c r="M205" s="150">
        <v>572</v>
      </c>
      <c r="N205" s="150">
        <v>458</v>
      </c>
      <c r="O205" s="150">
        <v>600</v>
      </c>
      <c r="P205" s="150">
        <v>763</v>
      </c>
      <c r="Q205" s="379">
        <v>7019</v>
      </c>
    </row>
    <row r="206" spans="2:17" ht="13.5" customHeight="1" thickBot="1" x14ac:dyDescent="0.25">
      <c r="B206" s="449"/>
      <c r="C206" s="358" t="s">
        <v>17</v>
      </c>
      <c r="D206" s="92" t="s">
        <v>264</v>
      </c>
      <c r="E206" s="153">
        <v>2535</v>
      </c>
      <c r="F206" s="153">
        <v>2290</v>
      </c>
      <c r="G206" s="153">
        <v>2453</v>
      </c>
      <c r="H206" s="153">
        <v>2901</v>
      </c>
      <c r="I206" s="153">
        <v>2952</v>
      </c>
      <c r="J206" s="153">
        <v>3307</v>
      </c>
      <c r="K206" s="153">
        <v>5961</v>
      </c>
      <c r="L206" s="153">
        <v>5712</v>
      </c>
      <c r="M206" s="153">
        <v>4244</v>
      </c>
      <c r="N206" s="153">
        <v>3708</v>
      </c>
      <c r="O206" s="153">
        <v>2321</v>
      </c>
      <c r="P206" s="153">
        <v>2496</v>
      </c>
      <c r="Q206" s="380">
        <v>40880</v>
      </c>
    </row>
    <row r="207" spans="2:17" ht="13.5" customHeight="1" x14ac:dyDescent="0.2">
      <c r="B207" s="451" t="s">
        <v>312</v>
      </c>
      <c r="C207" s="84" t="s">
        <v>507</v>
      </c>
      <c r="D207" s="361" t="s">
        <v>270</v>
      </c>
      <c r="E207" s="2"/>
      <c r="F207" s="2"/>
      <c r="G207" s="2"/>
      <c r="H207" s="2"/>
      <c r="I207" s="2"/>
      <c r="J207" s="2"/>
      <c r="K207" s="2"/>
      <c r="L207" s="2"/>
      <c r="M207" s="2"/>
      <c r="N207" s="2"/>
      <c r="O207" s="2"/>
      <c r="P207" s="284">
        <v>1</v>
      </c>
      <c r="Q207" s="381">
        <v>1</v>
      </c>
    </row>
    <row r="208" spans="2:17" ht="13.5" customHeight="1" thickBot="1" x14ac:dyDescent="0.25">
      <c r="B208" s="451"/>
      <c r="C208" s="359" t="s">
        <v>17</v>
      </c>
      <c r="D208" s="85" t="s">
        <v>264</v>
      </c>
      <c r="E208" s="145"/>
      <c r="F208" s="145"/>
      <c r="G208" s="145"/>
      <c r="H208" s="145"/>
      <c r="I208" s="145"/>
      <c r="J208" s="145"/>
      <c r="K208" s="145"/>
      <c r="L208" s="145"/>
      <c r="M208" s="145"/>
      <c r="N208" s="145"/>
      <c r="O208" s="145"/>
      <c r="P208" s="127">
        <v>1</v>
      </c>
      <c r="Q208" s="382">
        <v>1</v>
      </c>
    </row>
    <row r="209" spans="2:17" ht="13.5" customHeight="1" x14ac:dyDescent="0.2">
      <c r="B209" s="447" t="s">
        <v>351</v>
      </c>
      <c r="C209" s="89" t="s">
        <v>498</v>
      </c>
      <c r="D209" s="357" t="s">
        <v>271</v>
      </c>
      <c r="E209" s="147">
        <v>50114</v>
      </c>
      <c r="F209" s="147">
        <v>41348</v>
      </c>
      <c r="G209" s="147">
        <v>43553</v>
      </c>
      <c r="H209" s="147">
        <v>36493</v>
      </c>
      <c r="I209" s="147">
        <v>44977</v>
      </c>
      <c r="J209" s="147">
        <v>55301</v>
      </c>
      <c r="K209" s="147">
        <v>80284</v>
      </c>
      <c r="L209" s="147">
        <v>70313</v>
      </c>
      <c r="M209" s="147">
        <v>56927</v>
      </c>
      <c r="N209" s="147">
        <v>39630</v>
      </c>
      <c r="O209" s="147">
        <v>31561</v>
      </c>
      <c r="P209" s="147">
        <v>30925</v>
      </c>
      <c r="Q209" s="378">
        <v>581426</v>
      </c>
    </row>
    <row r="210" spans="2:17" ht="13.5" customHeight="1" x14ac:dyDescent="0.2">
      <c r="B210" s="448"/>
      <c r="C210" s="90" t="s">
        <v>625</v>
      </c>
      <c r="D210" s="360" t="s">
        <v>270</v>
      </c>
      <c r="E210" s="151"/>
      <c r="F210" s="151"/>
      <c r="G210" s="150">
        <v>4</v>
      </c>
      <c r="H210" s="151"/>
      <c r="I210" s="151"/>
      <c r="J210" s="151"/>
      <c r="K210" s="151"/>
      <c r="L210" s="151"/>
      <c r="M210" s="151"/>
      <c r="N210" s="151"/>
      <c r="O210" s="151"/>
      <c r="P210" s="151"/>
      <c r="Q210" s="379">
        <v>4</v>
      </c>
    </row>
    <row r="211" spans="2:17" ht="13.5" customHeight="1" thickBot="1" x14ac:dyDescent="0.25">
      <c r="B211" s="449"/>
      <c r="C211" s="358" t="s">
        <v>17</v>
      </c>
      <c r="D211" s="92" t="s">
        <v>264</v>
      </c>
      <c r="E211" s="153">
        <v>50114</v>
      </c>
      <c r="F211" s="153">
        <v>41348</v>
      </c>
      <c r="G211" s="153">
        <v>43557</v>
      </c>
      <c r="H211" s="153">
        <v>36493</v>
      </c>
      <c r="I211" s="153">
        <v>44977</v>
      </c>
      <c r="J211" s="153">
        <v>55301</v>
      </c>
      <c r="K211" s="153">
        <v>80284</v>
      </c>
      <c r="L211" s="153">
        <v>70313</v>
      </c>
      <c r="M211" s="153">
        <v>56927</v>
      </c>
      <c r="N211" s="153">
        <v>39630</v>
      </c>
      <c r="O211" s="153">
        <v>31561</v>
      </c>
      <c r="P211" s="153">
        <v>30925</v>
      </c>
      <c r="Q211" s="380">
        <v>581430</v>
      </c>
    </row>
    <row r="212" spans="2:17" ht="13.5" customHeight="1" x14ac:dyDescent="0.2">
      <c r="B212" s="451" t="s">
        <v>311</v>
      </c>
      <c r="C212" s="84" t="s">
        <v>601</v>
      </c>
      <c r="D212" s="472" t="s">
        <v>269</v>
      </c>
      <c r="E212" s="284">
        <v>1169</v>
      </c>
      <c r="F212" s="2"/>
      <c r="G212" s="2"/>
      <c r="H212" s="284">
        <v>553</v>
      </c>
      <c r="I212" s="284">
        <v>3108</v>
      </c>
      <c r="J212" s="284">
        <v>593</v>
      </c>
      <c r="K212" s="284">
        <v>1662</v>
      </c>
      <c r="L212" s="284">
        <v>922</v>
      </c>
      <c r="M212" s="284">
        <v>1738</v>
      </c>
      <c r="N212" s="284">
        <v>2914</v>
      </c>
      <c r="O212" s="284">
        <v>3428</v>
      </c>
      <c r="P212" s="284">
        <v>601</v>
      </c>
      <c r="Q212" s="381">
        <v>16688</v>
      </c>
    </row>
    <row r="213" spans="2:17" x14ac:dyDescent="0.2">
      <c r="B213" s="451"/>
      <c r="C213" s="84" t="s">
        <v>499</v>
      </c>
      <c r="D213" s="472"/>
      <c r="E213" s="284">
        <v>111</v>
      </c>
      <c r="F213" s="284">
        <v>120</v>
      </c>
      <c r="G213" s="284">
        <v>84</v>
      </c>
      <c r="H213" s="284">
        <v>111</v>
      </c>
      <c r="I213" s="284">
        <v>148</v>
      </c>
      <c r="J213" s="284">
        <v>105</v>
      </c>
      <c r="K213" s="284">
        <v>122</v>
      </c>
      <c r="L213" s="284">
        <v>80</v>
      </c>
      <c r="M213" s="284">
        <v>81</v>
      </c>
      <c r="N213" s="284">
        <v>87</v>
      </c>
      <c r="O213" s="284">
        <v>73</v>
      </c>
      <c r="P213" s="284">
        <v>80</v>
      </c>
      <c r="Q213" s="381">
        <v>1202</v>
      </c>
    </row>
    <row r="214" spans="2:17" ht="13.5" thickBot="1" x14ac:dyDescent="0.25">
      <c r="B214" s="451"/>
      <c r="C214" s="359" t="s">
        <v>17</v>
      </c>
      <c r="D214" s="85" t="s">
        <v>264</v>
      </c>
      <c r="E214" s="127">
        <v>1280</v>
      </c>
      <c r="F214" s="127">
        <v>120</v>
      </c>
      <c r="G214" s="127">
        <v>84</v>
      </c>
      <c r="H214" s="127">
        <v>664</v>
      </c>
      <c r="I214" s="127">
        <v>3256</v>
      </c>
      <c r="J214" s="127">
        <v>698</v>
      </c>
      <c r="K214" s="127">
        <v>1784</v>
      </c>
      <c r="L214" s="127">
        <v>1002</v>
      </c>
      <c r="M214" s="127">
        <v>1819</v>
      </c>
      <c r="N214" s="127">
        <v>3001</v>
      </c>
      <c r="O214" s="127">
        <v>3501</v>
      </c>
      <c r="P214" s="127">
        <v>681</v>
      </c>
      <c r="Q214" s="382">
        <v>17890</v>
      </c>
    </row>
    <row r="215" spans="2:17" x14ac:dyDescent="0.2">
      <c r="B215" s="447" t="s">
        <v>307</v>
      </c>
      <c r="C215" s="89" t="s">
        <v>500</v>
      </c>
      <c r="D215" s="434" t="s">
        <v>271</v>
      </c>
      <c r="E215" s="147">
        <v>1816</v>
      </c>
      <c r="F215" s="147">
        <v>1926</v>
      </c>
      <c r="G215" s="147">
        <v>3172</v>
      </c>
      <c r="H215" s="147">
        <v>3044</v>
      </c>
      <c r="I215" s="147">
        <v>3910</v>
      </c>
      <c r="J215" s="147">
        <v>4495</v>
      </c>
      <c r="K215" s="147">
        <v>5778</v>
      </c>
      <c r="L215" s="147">
        <v>6446</v>
      </c>
      <c r="M215" s="147">
        <v>5400</v>
      </c>
      <c r="N215" s="147">
        <v>4952</v>
      </c>
      <c r="O215" s="147">
        <v>3469</v>
      </c>
      <c r="P215" s="147">
        <v>3447</v>
      </c>
      <c r="Q215" s="378">
        <v>47855</v>
      </c>
    </row>
    <row r="216" spans="2:17" x14ac:dyDescent="0.2">
      <c r="B216" s="448"/>
      <c r="C216" s="90" t="s">
        <v>501</v>
      </c>
      <c r="D216" s="469"/>
      <c r="E216" s="150">
        <v>3011</v>
      </c>
      <c r="F216" s="150">
        <v>2777</v>
      </c>
      <c r="G216" s="150">
        <v>4127</v>
      </c>
      <c r="H216" s="150">
        <v>3965</v>
      </c>
      <c r="I216" s="150">
        <v>4603</v>
      </c>
      <c r="J216" s="150">
        <v>5014</v>
      </c>
      <c r="K216" s="150">
        <v>5476</v>
      </c>
      <c r="L216" s="150">
        <v>5636</v>
      </c>
      <c r="M216" s="150">
        <v>5084</v>
      </c>
      <c r="N216" s="150">
        <v>4820</v>
      </c>
      <c r="O216" s="150">
        <v>3821</v>
      </c>
      <c r="P216" s="150">
        <v>3977</v>
      </c>
      <c r="Q216" s="379">
        <v>52311</v>
      </c>
    </row>
    <row r="217" spans="2:17" ht="13.5" thickBot="1" x14ac:dyDescent="0.25">
      <c r="B217" s="449"/>
      <c r="C217" s="358" t="s">
        <v>17</v>
      </c>
      <c r="D217" s="92" t="s">
        <v>264</v>
      </c>
      <c r="E217" s="153">
        <v>4827</v>
      </c>
      <c r="F217" s="153">
        <v>4703</v>
      </c>
      <c r="G217" s="153">
        <v>7299</v>
      </c>
      <c r="H217" s="153">
        <v>7009</v>
      </c>
      <c r="I217" s="153">
        <v>8513</v>
      </c>
      <c r="J217" s="153">
        <v>9509</v>
      </c>
      <c r="K217" s="153">
        <v>11254</v>
      </c>
      <c r="L217" s="153">
        <v>12082</v>
      </c>
      <c r="M217" s="153">
        <v>10484</v>
      </c>
      <c r="N217" s="153">
        <v>9772</v>
      </c>
      <c r="O217" s="153">
        <v>7290</v>
      </c>
      <c r="P217" s="153">
        <v>7424</v>
      </c>
      <c r="Q217" s="380">
        <v>100166</v>
      </c>
    </row>
    <row r="218" spans="2:17" x14ac:dyDescent="0.2">
      <c r="B218" s="451" t="s">
        <v>326</v>
      </c>
      <c r="C218" s="84" t="s">
        <v>502</v>
      </c>
      <c r="D218" s="361" t="s">
        <v>271</v>
      </c>
      <c r="E218" s="284">
        <v>13100</v>
      </c>
      <c r="F218" s="284">
        <v>21995</v>
      </c>
      <c r="G218" s="284">
        <v>25249</v>
      </c>
      <c r="H218" s="284">
        <v>19642</v>
      </c>
      <c r="I218" s="284">
        <v>22911</v>
      </c>
      <c r="J218" s="284">
        <v>27326</v>
      </c>
      <c r="K218" s="284">
        <v>31592</v>
      </c>
      <c r="L218" s="284">
        <v>37708</v>
      </c>
      <c r="M218" s="284">
        <v>37427</v>
      </c>
      <c r="N218" s="284">
        <v>32154</v>
      </c>
      <c r="O218" s="284">
        <v>33415</v>
      </c>
      <c r="P218" s="284">
        <v>32682</v>
      </c>
      <c r="Q218" s="381">
        <v>335201</v>
      </c>
    </row>
    <row r="219" spans="2:17" x14ac:dyDescent="0.2">
      <c r="B219" s="451"/>
      <c r="C219" s="84" t="s">
        <v>508</v>
      </c>
      <c r="D219" s="361" t="s">
        <v>270</v>
      </c>
      <c r="E219" s="2"/>
      <c r="F219" s="2"/>
      <c r="G219" s="284">
        <v>144</v>
      </c>
      <c r="H219" s="284">
        <v>146</v>
      </c>
      <c r="I219" s="2"/>
      <c r="J219" s="284">
        <v>527</v>
      </c>
      <c r="K219" s="284">
        <v>250</v>
      </c>
      <c r="L219" s="284">
        <v>478</v>
      </c>
      <c r="M219" s="284">
        <v>437</v>
      </c>
      <c r="N219" s="284">
        <v>240</v>
      </c>
      <c r="O219" s="284">
        <v>147</v>
      </c>
      <c r="P219" s="284">
        <v>241</v>
      </c>
      <c r="Q219" s="381">
        <v>2610</v>
      </c>
    </row>
    <row r="220" spans="2:17" ht="13.5" thickBot="1" x14ac:dyDescent="0.25">
      <c r="B220" s="451"/>
      <c r="C220" s="359" t="s">
        <v>17</v>
      </c>
      <c r="D220" s="85" t="s">
        <v>264</v>
      </c>
      <c r="E220" s="127">
        <v>13100</v>
      </c>
      <c r="F220" s="127">
        <v>21995</v>
      </c>
      <c r="G220" s="127">
        <v>25393</v>
      </c>
      <c r="H220" s="127">
        <v>19788</v>
      </c>
      <c r="I220" s="127">
        <v>22911</v>
      </c>
      <c r="J220" s="127">
        <v>27853</v>
      </c>
      <c r="K220" s="127">
        <v>31842</v>
      </c>
      <c r="L220" s="127">
        <v>38186</v>
      </c>
      <c r="M220" s="127">
        <v>37864</v>
      </c>
      <c r="N220" s="127">
        <v>32394</v>
      </c>
      <c r="O220" s="127">
        <v>33562</v>
      </c>
      <c r="P220" s="127">
        <v>32923</v>
      </c>
      <c r="Q220" s="382">
        <v>337811</v>
      </c>
    </row>
    <row r="221" spans="2:17" x14ac:dyDescent="0.2">
      <c r="B221" s="447" t="s">
        <v>356</v>
      </c>
      <c r="C221" s="89" t="s">
        <v>503</v>
      </c>
      <c r="D221" s="357" t="s">
        <v>269</v>
      </c>
      <c r="E221" s="147">
        <v>450</v>
      </c>
      <c r="F221" s="147">
        <v>699</v>
      </c>
      <c r="G221" s="147">
        <v>582</v>
      </c>
      <c r="H221" s="147">
        <v>658</v>
      </c>
      <c r="I221" s="147">
        <v>733</v>
      </c>
      <c r="J221" s="147">
        <v>745</v>
      </c>
      <c r="K221" s="147">
        <v>563</v>
      </c>
      <c r="L221" s="147">
        <v>707</v>
      </c>
      <c r="M221" s="147">
        <v>564</v>
      </c>
      <c r="N221" s="147">
        <v>793</v>
      </c>
      <c r="O221" s="147">
        <v>955</v>
      </c>
      <c r="P221" s="147">
        <v>862</v>
      </c>
      <c r="Q221" s="378">
        <v>8311</v>
      </c>
    </row>
    <row r="222" spans="2:17" ht="13.5" thickBot="1" x14ac:dyDescent="0.25">
      <c r="B222" s="449"/>
      <c r="C222" s="358" t="s">
        <v>17</v>
      </c>
      <c r="D222" s="92" t="s">
        <v>264</v>
      </c>
      <c r="E222" s="153">
        <v>450</v>
      </c>
      <c r="F222" s="153">
        <v>699</v>
      </c>
      <c r="G222" s="153">
        <v>582</v>
      </c>
      <c r="H222" s="153">
        <v>658</v>
      </c>
      <c r="I222" s="153">
        <v>733</v>
      </c>
      <c r="J222" s="153">
        <v>745</v>
      </c>
      <c r="K222" s="153">
        <v>563</v>
      </c>
      <c r="L222" s="153">
        <v>707</v>
      </c>
      <c r="M222" s="153">
        <v>564</v>
      </c>
      <c r="N222" s="153">
        <v>793</v>
      </c>
      <c r="O222" s="153">
        <v>955</v>
      </c>
      <c r="P222" s="153">
        <v>862</v>
      </c>
      <c r="Q222" s="380">
        <v>8311</v>
      </c>
    </row>
    <row r="223" spans="2:17" x14ac:dyDescent="0.2">
      <c r="B223" s="451" t="s">
        <v>335</v>
      </c>
      <c r="C223" s="84" t="s">
        <v>504</v>
      </c>
      <c r="D223" s="361" t="s">
        <v>271</v>
      </c>
      <c r="E223" s="284">
        <v>6372</v>
      </c>
      <c r="F223" s="284">
        <v>12008</v>
      </c>
      <c r="G223" s="284">
        <v>10036</v>
      </c>
      <c r="H223" s="284">
        <v>8232</v>
      </c>
      <c r="I223" s="284">
        <v>5708</v>
      </c>
      <c r="J223" s="284">
        <v>6461</v>
      </c>
      <c r="K223" s="284">
        <v>9060</v>
      </c>
      <c r="L223" s="284">
        <v>7070</v>
      </c>
      <c r="M223" s="284">
        <v>8583</v>
      </c>
      <c r="N223" s="284">
        <v>9551</v>
      </c>
      <c r="O223" s="284">
        <v>8205</v>
      </c>
      <c r="P223" s="284">
        <v>8017</v>
      </c>
      <c r="Q223" s="381">
        <v>99303</v>
      </c>
    </row>
    <row r="224" spans="2:17" x14ac:dyDescent="0.2">
      <c r="B224" s="451"/>
      <c r="C224" s="84" t="s">
        <v>505</v>
      </c>
      <c r="D224" s="361" t="s">
        <v>272</v>
      </c>
      <c r="E224" s="284">
        <v>338</v>
      </c>
      <c r="F224" s="284">
        <v>218</v>
      </c>
      <c r="G224" s="284">
        <v>388</v>
      </c>
      <c r="H224" s="284">
        <v>353</v>
      </c>
      <c r="I224" s="284">
        <v>350</v>
      </c>
      <c r="J224" s="284">
        <v>310</v>
      </c>
      <c r="K224" s="284">
        <v>309</v>
      </c>
      <c r="L224" s="284">
        <v>334</v>
      </c>
      <c r="M224" s="284">
        <v>685</v>
      </c>
      <c r="N224" s="284">
        <v>832</v>
      </c>
      <c r="O224" s="284">
        <v>802</v>
      </c>
      <c r="P224" s="284">
        <v>785</v>
      </c>
      <c r="Q224" s="381">
        <v>5704</v>
      </c>
    </row>
    <row r="225" spans="2:17" ht="13.5" thickBot="1" x14ac:dyDescent="0.25">
      <c r="B225" s="451"/>
      <c r="C225" s="359" t="s">
        <v>17</v>
      </c>
      <c r="D225" s="146" t="s">
        <v>264</v>
      </c>
      <c r="E225" s="127">
        <v>6710</v>
      </c>
      <c r="F225" s="127">
        <v>12226</v>
      </c>
      <c r="G225" s="127">
        <v>10424</v>
      </c>
      <c r="H225" s="127">
        <v>8585</v>
      </c>
      <c r="I225" s="127">
        <v>6058</v>
      </c>
      <c r="J225" s="127">
        <v>6771</v>
      </c>
      <c r="K225" s="127">
        <v>9369</v>
      </c>
      <c r="L225" s="127">
        <v>7404</v>
      </c>
      <c r="M225" s="127">
        <v>9268</v>
      </c>
      <c r="N225" s="127">
        <v>10383</v>
      </c>
      <c r="O225" s="127">
        <v>9007</v>
      </c>
      <c r="P225" s="127">
        <v>8802</v>
      </c>
      <c r="Q225" s="382">
        <v>105007</v>
      </c>
    </row>
    <row r="226" spans="2:17" ht="13.5" thickBot="1" x14ac:dyDescent="0.25">
      <c r="B226" s="384" t="s">
        <v>17</v>
      </c>
      <c r="C226" s="384" t="s">
        <v>264</v>
      </c>
      <c r="D226" s="385"/>
      <c r="E226" s="383">
        <v>2342645</v>
      </c>
      <c r="F226" s="383">
        <v>1957731</v>
      </c>
      <c r="G226" s="383">
        <v>2310660</v>
      </c>
      <c r="H226" s="383">
        <v>2977645</v>
      </c>
      <c r="I226" s="383">
        <v>4181534</v>
      </c>
      <c r="J226" s="383">
        <v>5210962</v>
      </c>
      <c r="K226" s="383">
        <v>6255588</v>
      </c>
      <c r="L226" s="383">
        <v>7480707</v>
      </c>
      <c r="M226" s="383">
        <v>6078183</v>
      </c>
      <c r="N226" s="383">
        <v>5556992</v>
      </c>
      <c r="O226" s="383">
        <v>2973631</v>
      </c>
      <c r="P226" s="383">
        <v>2323253</v>
      </c>
      <c r="Q226" s="383">
        <v>49649531</v>
      </c>
    </row>
    <row r="227" spans="2:17" ht="13.5" thickBot="1" x14ac:dyDescent="0.25">
      <c r="B227" s="64" t="s">
        <v>295</v>
      </c>
      <c r="C227" s="91" t="s">
        <v>0</v>
      </c>
      <c r="D227" s="87" t="s">
        <v>0</v>
      </c>
      <c r="E227" s="157">
        <v>4.7183627978278384</v>
      </c>
      <c r="F227" s="157">
        <v>3.9431006911223392</v>
      </c>
      <c r="G227" s="157">
        <v>4.6539412426675293</v>
      </c>
      <c r="H227" s="157">
        <v>5.9973275477667656</v>
      </c>
      <c r="I227" s="157">
        <v>8.422101711293104</v>
      </c>
      <c r="J227" s="157">
        <v>10.495490883891733</v>
      </c>
      <c r="K227" s="157">
        <v>12.599490617544806</v>
      </c>
      <c r="L227" s="157">
        <v>15.067024500191151</v>
      </c>
      <c r="M227" s="157">
        <v>12.242176064059899</v>
      </c>
      <c r="N227" s="157">
        <v>11.192436037311209</v>
      </c>
      <c r="O227" s="157">
        <v>5.9892428792529779</v>
      </c>
      <c r="P227" s="157">
        <v>4.6793050270706482</v>
      </c>
      <c r="Q227" s="157">
        <v>100</v>
      </c>
    </row>
  </sheetData>
  <mergeCells count="90">
    <mergeCell ref="B53:B54"/>
    <mergeCell ref="B39:B40"/>
    <mergeCell ref="B172:B173"/>
    <mergeCell ref="B174:B178"/>
    <mergeCell ref="B97:B98"/>
    <mergeCell ref="B41:B43"/>
    <mergeCell ref="B81:B96"/>
    <mergeCell ref="B55:B56"/>
    <mergeCell ref="B57:B63"/>
    <mergeCell ref="B126:B127"/>
    <mergeCell ref="B128:B130"/>
    <mergeCell ref="B131:B132"/>
    <mergeCell ref="B44:B52"/>
    <mergeCell ref="B118:B125"/>
    <mergeCell ref="B75:B76"/>
    <mergeCell ref="D82:D84"/>
    <mergeCell ref="D86:D88"/>
    <mergeCell ref="D92:D95"/>
    <mergeCell ref="B1:Q1"/>
    <mergeCell ref="E2:P2"/>
    <mergeCell ref="B4:B8"/>
    <mergeCell ref="B9:B10"/>
    <mergeCell ref="B3:D3"/>
    <mergeCell ref="B11:B13"/>
    <mergeCell ref="B14:B15"/>
    <mergeCell ref="B16:B17"/>
    <mergeCell ref="B18:B26"/>
    <mergeCell ref="D6:D7"/>
    <mergeCell ref="B34:B38"/>
    <mergeCell ref="D34:D36"/>
    <mergeCell ref="D18:D21"/>
    <mergeCell ref="D22:D23"/>
    <mergeCell ref="D24:D25"/>
    <mergeCell ref="B27:B29"/>
    <mergeCell ref="B30:B33"/>
    <mergeCell ref="D30:D32"/>
    <mergeCell ref="D44:D48"/>
    <mergeCell ref="D50:D51"/>
    <mergeCell ref="B99:B105"/>
    <mergeCell ref="D99:D104"/>
    <mergeCell ref="B106:B117"/>
    <mergeCell ref="B64:B65"/>
    <mergeCell ref="D108:D109"/>
    <mergeCell ref="D110:D111"/>
    <mergeCell ref="D112:D116"/>
    <mergeCell ref="D57:D60"/>
    <mergeCell ref="B77:B80"/>
    <mergeCell ref="D77:D79"/>
    <mergeCell ref="B66:B67"/>
    <mergeCell ref="B70:B71"/>
    <mergeCell ref="B68:B69"/>
    <mergeCell ref="B72:B74"/>
    <mergeCell ref="D118:D120"/>
    <mergeCell ref="D122:D124"/>
    <mergeCell ref="B144:B145"/>
    <mergeCell ref="B146:B147"/>
    <mergeCell ref="B148:B161"/>
    <mergeCell ref="D148:D150"/>
    <mergeCell ref="D154:D160"/>
    <mergeCell ref="B133:B134"/>
    <mergeCell ref="B135:B137"/>
    <mergeCell ref="B138:B139"/>
    <mergeCell ref="B140:B141"/>
    <mergeCell ref="B142:B143"/>
    <mergeCell ref="D203:D205"/>
    <mergeCell ref="B207:B208"/>
    <mergeCell ref="B209:B211"/>
    <mergeCell ref="B162:B163"/>
    <mergeCell ref="B164:B165"/>
    <mergeCell ref="B166:B169"/>
    <mergeCell ref="D167:D168"/>
    <mergeCell ref="B170:B171"/>
    <mergeCell ref="B179:B180"/>
    <mergeCell ref="B181:B182"/>
    <mergeCell ref="B183:B187"/>
    <mergeCell ref="D184:D186"/>
    <mergeCell ref="D174:D176"/>
    <mergeCell ref="B223:B225"/>
    <mergeCell ref="B188:B189"/>
    <mergeCell ref="B190:B192"/>
    <mergeCell ref="B193:B195"/>
    <mergeCell ref="B196:B197"/>
    <mergeCell ref="B198:B201"/>
    <mergeCell ref="B202:B206"/>
    <mergeCell ref="B212:B214"/>
    <mergeCell ref="D212:D213"/>
    <mergeCell ref="B215:B217"/>
    <mergeCell ref="D215:D216"/>
    <mergeCell ref="B218:B220"/>
    <mergeCell ref="B221:B222"/>
  </mergeCells>
  <printOptions horizontalCentered="1"/>
  <pageMargins left="0.35433070866141736" right="0.35433070866141736" top="0.39370078740157483" bottom="0.15748031496062992" header="0.15748031496062992" footer="0.15748031496062992"/>
  <pageSetup scale="64" pageOrder="overThenDown" orientation="landscape" r:id="rId1"/>
  <headerFooter alignWithMargins="0"/>
  <rowBreaks count="3" manualBreakCount="3">
    <brk id="63" min="1" max="16" man="1"/>
    <brk id="125" min="1" max="16" man="1"/>
    <brk id="182" min="1"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N48"/>
  <sheetViews>
    <sheetView view="pageBreakPreview" zoomScale="70" zoomScaleNormal="100" zoomScaleSheetLayoutView="70" workbookViewId="0">
      <selection activeCell="L1" sqref="L1"/>
    </sheetView>
  </sheetViews>
  <sheetFormatPr defaultRowHeight="12.75" x14ac:dyDescent="0.2"/>
  <cols>
    <col min="1" max="16384" width="9.140625" style="199"/>
  </cols>
  <sheetData>
    <row r="4" spans="1:1" x14ac:dyDescent="0.2">
      <c r="A4" s="215"/>
    </row>
    <row r="5" spans="1:1" x14ac:dyDescent="0.2">
      <c r="A5" s="216"/>
    </row>
    <row r="6" spans="1:1" x14ac:dyDescent="0.2">
      <c r="A6" s="215"/>
    </row>
    <row r="7" spans="1:1" x14ac:dyDescent="0.2">
      <c r="A7" s="217"/>
    </row>
    <row r="8" spans="1:1" x14ac:dyDescent="0.2">
      <c r="A8" s="218"/>
    </row>
    <row r="10" spans="1:1" x14ac:dyDescent="0.2">
      <c r="A10" s="217"/>
    </row>
    <row r="11" spans="1:1" x14ac:dyDescent="0.2">
      <c r="A11" s="217"/>
    </row>
    <row r="12" spans="1:1" x14ac:dyDescent="0.2">
      <c r="A12" s="217"/>
    </row>
    <row r="13" spans="1:1" x14ac:dyDescent="0.2">
      <c r="A13" s="217"/>
    </row>
    <row r="14" spans="1:1" x14ac:dyDescent="0.2">
      <c r="A14" s="217"/>
    </row>
    <row r="38" spans="1:14" x14ac:dyDescent="0.2">
      <c r="A38" s="215"/>
      <c r="N38" s="199" t="s">
        <v>0</v>
      </c>
    </row>
    <row r="39" spans="1:14" x14ac:dyDescent="0.2">
      <c r="A39" s="216"/>
    </row>
    <row r="40" spans="1:14" x14ac:dyDescent="0.2">
      <c r="A40" s="215"/>
    </row>
    <row r="41" spans="1:14" x14ac:dyDescent="0.2">
      <c r="A41" s="217"/>
    </row>
    <row r="42" spans="1:14" x14ac:dyDescent="0.2">
      <c r="A42" s="218"/>
    </row>
    <row r="44" spans="1:14" x14ac:dyDescent="0.2">
      <c r="A44" s="217"/>
    </row>
    <row r="45" spans="1:14" x14ac:dyDescent="0.2">
      <c r="A45" s="217"/>
    </row>
    <row r="46" spans="1:14" x14ac:dyDescent="0.2">
      <c r="A46" s="217"/>
    </row>
    <row r="47" spans="1:14" x14ac:dyDescent="0.2">
      <c r="A47" s="217"/>
    </row>
    <row r="48" spans="1:14" x14ac:dyDescent="0.2">
      <c r="A48" s="217"/>
    </row>
  </sheetData>
  <printOptions horizontalCentered="1" verticalCentered="1"/>
  <pageMargins left="0.47244094488188981" right="0.39370078740157483" top="0.43307086614173229" bottom="0.27559055118110237" header="0.31496062992125984" footer="0.31496062992125984"/>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view="pageBreakPreview" zoomScaleNormal="100" zoomScaleSheetLayoutView="100" workbookViewId="0">
      <selection activeCell="B1" sqref="B1"/>
    </sheetView>
  </sheetViews>
  <sheetFormatPr defaultRowHeight="12.75" x14ac:dyDescent="0.2"/>
  <cols>
    <col min="1" max="1" width="102" style="199" customWidth="1"/>
    <col min="2" max="16384" width="9.140625" style="199"/>
  </cols>
  <sheetData>
    <row r="1" spans="1:1" ht="18.75" x14ac:dyDescent="0.2">
      <c r="A1" s="214" t="s">
        <v>582</v>
      </c>
    </row>
    <row r="2" spans="1:1" ht="15" x14ac:dyDescent="0.2">
      <c r="A2" s="208"/>
    </row>
    <row r="3" spans="1:1" ht="105.75" customHeight="1" x14ac:dyDescent="0.2">
      <c r="A3" s="209" t="s">
        <v>583</v>
      </c>
    </row>
    <row r="4" spans="1:1" ht="15" x14ac:dyDescent="0.2">
      <c r="A4" s="208"/>
    </row>
    <row r="5" spans="1:1" ht="14.25" x14ac:dyDescent="0.2">
      <c r="A5" s="211"/>
    </row>
    <row r="6" spans="1:1" ht="18.75" x14ac:dyDescent="0.2">
      <c r="A6" s="214" t="s">
        <v>584</v>
      </c>
    </row>
    <row r="7" spans="1:1" ht="15" x14ac:dyDescent="0.2">
      <c r="A7" s="208"/>
    </row>
    <row r="8" spans="1:1" x14ac:dyDescent="0.2">
      <c r="A8" s="401" t="s">
        <v>585</v>
      </c>
    </row>
    <row r="9" spans="1:1" ht="12.75" customHeight="1" x14ac:dyDescent="0.2">
      <c r="A9" s="401"/>
    </row>
    <row r="10" spans="1:1" ht="12.75" customHeight="1" x14ac:dyDescent="0.2">
      <c r="A10" s="401"/>
    </row>
    <row r="11" spans="1:1" ht="12.75" customHeight="1" x14ac:dyDescent="0.2">
      <c r="A11" s="401"/>
    </row>
    <row r="12" spans="1:1" ht="12.75" customHeight="1" x14ac:dyDescent="0.2">
      <c r="A12" s="401"/>
    </row>
    <row r="13" spans="1:1" ht="12.75" customHeight="1" x14ac:dyDescent="0.2">
      <c r="A13" s="401"/>
    </row>
    <row r="14" spans="1:1" ht="12.75" customHeight="1" x14ac:dyDescent="0.2">
      <c r="A14" s="401"/>
    </row>
    <row r="15" spans="1:1" ht="12.75" customHeight="1" x14ac:dyDescent="0.2">
      <c r="A15" s="401"/>
    </row>
    <row r="16" spans="1:1" ht="12.75" customHeight="1" x14ac:dyDescent="0.2">
      <c r="A16" s="401"/>
    </row>
    <row r="17" spans="1:1" ht="12.75" customHeight="1" x14ac:dyDescent="0.2">
      <c r="A17" s="401"/>
    </row>
    <row r="18" spans="1:1" ht="12.75" customHeight="1" x14ac:dyDescent="0.2">
      <c r="A18" s="401"/>
    </row>
    <row r="19" spans="1:1" ht="21.75" customHeight="1" x14ac:dyDescent="0.2">
      <c r="A19" s="401"/>
    </row>
  </sheetData>
  <mergeCells count="1">
    <mergeCell ref="A8:A1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view="pageBreakPreview" zoomScaleNormal="100" zoomScaleSheetLayoutView="100" workbookViewId="0">
      <selection activeCell="F11" sqref="F11"/>
    </sheetView>
  </sheetViews>
  <sheetFormatPr defaultRowHeight="12.75" x14ac:dyDescent="0.2"/>
  <cols>
    <col min="1" max="1" width="107" style="199" customWidth="1"/>
    <col min="2" max="16384" width="9.140625" style="199"/>
  </cols>
  <sheetData>
    <row r="1" spans="1:1" x14ac:dyDescent="0.2">
      <c r="A1" s="402" t="s">
        <v>578</v>
      </c>
    </row>
    <row r="2" spans="1:1" x14ac:dyDescent="0.2">
      <c r="A2" s="402"/>
    </row>
    <row r="3" spans="1:1" ht="15" x14ac:dyDescent="0.2">
      <c r="A3" s="208"/>
    </row>
    <row r="4" spans="1:1" ht="56.25" x14ac:dyDescent="0.2">
      <c r="A4" s="209" t="s">
        <v>635</v>
      </c>
    </row>
    <row r="5" spans="1:1" ht="18.75" x14ac:dyDescent="0.2">
      <c r="A5" s="210"/>
    </row>
    <row r="6" spans="1:1" ht="37.5" x14ac:dyDescent="0.2">
      <c r="A6" s="209" t="s">
        <v>579</v>
      </c>
    </row>
    <row r="7" spans="1:1" ht="18.75" x14ac:dyDescent="0.2">
      <c r="A7" s="210"/>
    </row>
    <row r="8" spans="1:1" ht="54.75" customHeight="1" x14ac:dyDescent="0.2">
      <c r="A8" s="209" t="s">
        <v>580</v>
      </c>
    </row>
    <row r="9" spans="1:1" ht="18.75" x14ac:dyDescent="0.2">
      <c r="A9" s="210"/>
    </row>
    <row r="10" spans="1:1" ht="37.5" x14ac:dyDescent="0.2">
      <c r="A10" s="209" t="s">
        <v>636</v>
      </c>
    </row>
    <row r="11" spans="1:1" ht="15" x14ac:dyDescent="0.2">
      <c r="A11" s="208"/>
    </row>
    <row r="12" spans="1:1" ht="15" x14ac:dyDescent="0.2">
      <c r="A12" s="208"/>
    </row>
    <row r="13" spans="1:1" ht="15" x14ac:dyDescent="0.2">
      <c r="A13" s="208"/>
    </row>
    <row r="14" spans="1:1" ht="14.25" x14ac:dyDescent="0.2">
      <c r="A14" s="211"/>
    </row>
    <row r="15" spans="1:1" ht="14.25" x14ac:dyDescent="0.2">
      <c r="A15" s="212" t="s">
        <v>581</v>
      </c>
    </row>
    <row r="16" spans="1:1" x14ac:dyDescent="0.2">
      <c r="A16" s="213"/>
    </row>
    <row r="17" spans="1:1" x14ac:dyDescent="0.2">
      <c r="A17" s="213"/>
    </row>
    <row r="18" spans="1:1" x14ac:dyDescent="0.2">
      <c r="A18" s="213"/>
    </row>
  </sheetData>
  <mergeCells count="1">
    <mergeCell ref="A1:A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view="pageBreakPreview" zoomScaleNormal="100" zoomScaleSheetLayoutView="100" workbookViewId="0">
      <selection activeCell="C1" sqref="C1"/>
    </sheetView>
  </sheetViews>
  <sheetFormatPr defaultRowHeight="12.75" x14ac:dyDescent="0.2"/>
  <cols>
    <col min="1" max="1" width="87.42578125" style="199" customWidth="1"/>
    <col min="2" max="2" width="9.140625" style="199" hidden="1" customWidth="1"/>
    <col min="3" max="16384" width="9.140625" style="199"/>
  </cols>
  <sheetData>
    <row r="1" spans="1:2" ht="20.25" x14ac:dyDescent="0.2">
      <c r="A1" s="203" t="s">
        <v>559</v>
      </c>
      <c r="B1" s="6"/>
    </row>
    <row r="2" spans="1:2" ht="15.75" x14ac:dyDescent="0.2">
      <c r="A2" s="204"/>
      <c r="B2" s="6"/>
    </row>
    <row r="3" spans="1:2" ht="15.75" x14ac:dyDescent="0.2">
      <c r="A3" s="205" t="s">
        <v>560</v>
      </c>
      <c r="B3" s="6"/>
    </row>
    <row r="4" spans="1:2" ht="15.75" x14ac:dyDescent="0.2">
      <c r="A4" s="204"/>
      <c r="B4" s="6"/>
    </row>
    <row r="5" spans="1:2" ht="31.5" x14ac:dyDescent="0.2">
      <c r="A5" s="206" t="s">
        <v>561</v>
      </c>
      <c r="B5" s="6"/>
    </row>
    <row r="6" spans="1:2" ht="15.75" x14ac:dyDescent="0.2">
      <c r="A6" s="204"/>
      <c r="B6" s="6"/>
    </row>
    <row r="7" spans="1:2" ht="15.75" x14ac:dyDescent="0.2">
      <c r="A7" s="205" t="s">
        <v>562</v>
      </c>
      <c r="B7" s="6"/>
    </row>
    <row r="8" spans="1:2" ht="15.75" x14ac:dyDescent="0.2">
      <c r="A8" s="204"/>
      <c r="B8" s="6"/>
    </row>
    <row r="9" spans="1:2" ht="31.5" x14ac:dyDescent="0.2">
      <c r="A9" s="206" t="s">
        <v>563</v>
      </c>
      <c r="B9" s="6"/>
    </row>
    <row r="10" spans="1:2" ht="15.75" x14ac:dyDescent="0.2">
      <c r="A10" s="204"/>
      <c r="B10" s="6"/>
    </row>
    <row r="11" spans="1:2" ht="15.75" x14ac:dyDescent="0.2">
      <c r="A11" s="205" t="s">
        <v>564</v>
      </c>
      <c r="B11" s="6"/>
    </row>
    <row r="12" spans="1:2" ht="15.75" x14ac:dyDescent="0.2">
      <c r="A12" s="204"/>
      <c r="B12" s="6"/>
    </row>
    <row r="13" spans="1:2" ht="31.5" x14ac:dyDescent="0.2">
      <c r="A13" s="206" t="s">
        <v>565</v>
      </c>
      <c r="B13" s="6"/>
    </row>
    <row r="14" spans="1:2" ht="15.75" x14ac:dyDescent="0.2">
      <c r="A14" s="204"/>
      <c r="B14" s="6"/>
    </row>
    <row r="15" spans="1:2" ht="15.75" x14ac:dyDescent="0.2">
      <c r="A15" s="205" t="s">
        <v>566</v>
      </c>
      <c r="B15" s="6"/>
    </row>
    <row r="16" spans="1:2" ht="6" customHeight="1" x14ac:dyDescent="0.2">
      <c r="A16" s="204"/>
      <c r="B16" s="6"/>
    </row>
    <row r="17" spans="1:5" ht="26.25" customHeight="1" x14ac:dyDescent="0.2">
      <c r="A17" s="206" t="s">
        <v>567</v>
      </c>
      <c r="B17" s="6"/>
    </row>
    <row r="18" spans="1:5" ht="36.75" customHeight="1" x14ac:dyDescent="0.2">
      <c r="A18" s="206" t="s">
        <v>568</v>
      </c>
      <c r="B18" s="6"/>
      <c r="E18" s="202"/>
    </row>
    <row r="19" spans="1:5" ht="21" customHeight="1" x14ac:dyDescent="0.2">
      <c r="A19" s="206" t="s">
        <v>569</v>
      </c>
      <c r="B19" s="6"/>
    </row>
    <row r="20" spans="1:5" ht="15.75" x14ac:dyDescent="0.2">
      <c r="A20" s="206" t="s">
        <v>570</v>
      </c>
      <c r="B20" s="6"/>
    </row>
    <row r="21" spans="1:5" ht="15.75" x14ac:dyDescent="0.2">
      <c r="A21" s="204"/>
      <c r="B21" s="6"/>
    </row>
    <row r="22" spans="1:5" ht="15.75" x14ac:dyDescent="0.2">
      <c r="A22" s="205" t="s">
        <v>571</v>
      </c>
      <c r="B22" s="6"/>
    </row>
    <row r="23" spans="1:5" ht="15.75" x14ac:dyDescent="0.2">
      <c r="A23" s="204"/>
      <c r="B23" s="6"/>
    </row>
    <row r="24" spans="1:5" ht="15.75" x14ac:dyDescent="0.2">
      <c r="A24" s="204" t="s">
        <v>572</v>
      </c>
      <c r="B24" s="207" t="s">
        <v>573</v>
      </c>
    </row>
    <row r="25" spans="1:5" ht="15.75" x14ac:dyDescent="0.2">
      <c r="A25" s="204" t="s">
        <v>574</v>
      </c>
      <c r="B25" s="207" t="s">
        <v>575</v>
      </c>
    </row>
    <row r="26" spans="1:5" ht="15.75" x14ac:dyDescent="0.2">
      <c r="A26" s="204"/>
      <c r="B26" s="6"/>
    </row>
    <row r="27" spans="1:5" ht="15.75" x14ac:dyDescent="0.2">
      <c r="A27" s="205" t="s">
        <v>576</v>
      </c>
      <c r="B27" s="6"/>
    </row>
    <row r="28" spans="1:5" ht="15.75" x14ac:dyDescent="0.2">
      <c r="A28" s="204"/>
      <c r="B28" s="6"/>
    </row>
    <row r="29" spans="1:5" ht="15.75" x14ac:dyDescent="0.2">
      <c r="A29" s="204" t="s">
        <v>577</v>
      </c>
      <c r="B29" s="6"/>
    </row>
  </sheetData>
  <pageMargins left="0.79" right="0.25"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6666"/>
  </sheetPr>
  <dimension ref="A1:U21"/>
  <sheetViews>
    <sheetView view="pageBreakPreview" zoomScale="90" zoomScaleNormal="100" zoomScaleSheetLayoutView="90" workbookViewId="0">
      <selection activeCell="S15" sqref="S15"/>
    </sheetView>
  </sheetViews>
  <sheetFormatPr defaultColWidth="9.140625" defaultRowHeight="12.75" x14ac:dyDescent="0.2"/>
  <cols>
    <col min="1" max="1" width="3.5703125" customWidth="1"/>
  </cols>
  <sheetData>
    <row r="1" spans="1:21" ht="23.1" customHeight="1" x14ac:dyDescent="0.2">
      <c r="B1" s="404" t="s">
        <v>555</v>
      </c>
      <c r="C1" s="404"/>
      <c r="D1" s="404"/>
      <c r="E1" s="404"/>
      <c r="F1" s="404"/>
      <c r="G1" s="404"/>
      <c r="H1" s="404"/>
      <c r="I1" s="404"/>
      <c r="J1" s="404"/>
      <c r="K1" s="404"/>
      <c r="L1" s="404"/>
      <c r="M1" s="404"/>
      <c r="N1" s="404"/>
      <c r="O1" s="404"/>
      <c r="P1" s="290"/>
      <c r="Q1" s="290"/>
      <c r="R1" s="290"/>
      <c r="S1" s="290"/>
      <c r="T1" s="290"/>
      <c r="U1" s="290"/>
    </row>
    <row r="2" spans="1:21" ht="23.1" customHeight="1" x14ac:dyDescent="0.2">
      <c r="A2" s="4">
        <v>1</v>
      </c>
      <c r="B2" s="403" t="s">
        <v>642</v>
      </c>
      <c r="C2" s="403"/>
      <c r="D2" s="403"/>
      <c r="E2" s="403"/>
      <c r="F2" s="403"/>
      <c r="G2" s="403"/>
      <c r="H2" s="403"/>
      <c r="I2" s="403"/>
      <c r="J2" s="403"/>
      <c r="K2" s="403"/>
      <c r="L2" s="403"/>
      <c r="M2" s="403"/>
      <c r="N2" s="403"/>
      <c r="O2" s="403"/>
      <c r="P2" s="291"/>
      <c r="Q2" s="291"/>
      <c r="R2" s="291"/>
      <c r="S2" s="291"/>
      <c r="T2" s="291"/>
      <c r="U2" s="291"/>
    </row>
    <row r="3" spans="1:21" ht="23.1" customHeight="1" x14ac:dyDescent="0.2">
      <c r="A3" s="4">
        <v>2</v>
      </c>
      <c r="B3" s="403" t="s">
        <v>606</v>
      </c>
      <c r="C3" s="403"/>
      <c r="D3" s="403"/>
      <c r="E3" s="403"/>
      <c r="F3" s="403"/>
      <c r="G3" s="403"/>
      <c r="H3" s="403"/>
      <c r="I3" s="403"/>
      <c r="J3" s="403"/>
      <c r="K3" s="403"/>
      <c r="L3" s="403"/>
      <c r="M3" s="403"/>
      <c r="N3" s="403"/>
      <c r="O3" s="403"/>
      <c r="P3" s="291"/>
      <c r="Q3" s="291"/>
      <c r="R3" s="291"/>
      <c r="S3" s="291"/>
      <c r="T3" s="291"/>
      <c r="U3" s="291"/>
    </row>
    <row r="4" spans="1:21" ht="23.1" customHeight="1" x14ac:dyDescent="0.2">
      <c r="A4" s="4">
        <v>3</v>
      </c>
      <c r="B4" s="403" t="s">
        <v>638</v>
      </c>
      <c r="C4" s="403"/>
      <c r="D4" s="403"/>
      <c r="E4" s="403"/>
      <c r="F4" s="403"/>
      <c r="G4" s="403"/>
      <c r="H4" s="403"/>
      <c r="I4" s="403"/>
      <c r="J4" s="403"/>
      <c r="K4" s="403"/>
      <c r="L4" s="403"/>
      <c r="M4" s="403"/>
      <c r="N4" s="403"/>
      <c r="O4" s="403"/>
      <c r="P4" s="291"/>
      <c r="Q4" s="291"/>
      <c r="R4" s="291"/>
      <c r="S4" s="291"/>
      <c r="T4" s="291"/>
      <c r="U4" s="291"/>
    </row>
    <row r="5" spans="1:21" ht="23.1" customHeight="1" x14ac:dyDescent="0.2">
      <c r="A5" s="4">
        <v>4</v>
      </c>
      <c r="B5" s="403" t="s">
        <v>643</v>
      </c>
      <c r="C5" s="403"/>
      <c r="D5" s="403"/>
      <c r="E5" s="403"/>
      <c r="F5" s="403"/>
      <c r="G5" s="403"/>
      <c r="H5" s="403"/>
      <c r="I5" s="403"/>
      <c r="J5" s="403"/>
      <c r="K5" s="403"/>
      <c r="L5" s="403"/>
      <c r="M5" s="403"/>
      <c r="N5" s="403"/>
      <c r="O5" s="403"/>
      <c r="P5" s="291"/>
      <c r="Q5" s="291"/>
      <c r="R5" s="291"/>
      <c r="S5" s="291"/>
      <c r="T5" s="291"/>
      <c r="U5" s="291"/>
    </row>
    <row r="6" spans="1:21" ht="23.1" customHeight="1" x14ac:dyDescent="0.2">
      <c r="A6" s="4">
        <v>5</v>
      </c>
      <c r="B6" s="403" t="s">
        <v>608</v>
      </c>
      <c r="C6" s="403"/>
      <c r="D6" s="403"/>
      <c r="E6" s="403"/>
      <c r="F6" s="403"/>
      <c r="G6" s="403"/>
      <c r="H6" s="403"/>
      <c r="I6" s="403"/>
      <c r="J6" s="403"/>
      <c r="K6" s="403"/>
      <c r="L6" s="403"/>
      <c r="M6" s="403"/>
      <c r="N6" s="403"/>
      <c r="O6" s="403"/>
      <c r="P6" s="291"/>
      <c r="Q6" s="291"/>
      <c r="R6" s="291"/>
      <c r="S6" s="291"/>
      <c r="T6" s="291"/>
      <c r="U6" s="291"/>
    </row>
    <row r="7" spans="1:21" ht="23.1" customHeight="1" x14ac:dyDescent="0.2">
      <c r="A7" s="4">
        <v>6</v>
      </c>
      <c r="B7" s="403" t="s">
        <v>609</v>
      </c>
      <c r="C7" s="403"/>
      <c r="D7" s="403"/>
      <c r="E7" s="403"/>
      <c r="F7" s="403"/>
      <c r="G7" s="403"/>
      <c r="H7" s="403"/>
      <c r="I7" s="403"/>
      <c r="J7" s="403"/>
      <c r="K7" s="403"/>
      <c r="L7" s="403"/>
      <c r="M7" s="403"/>
      <c r="N7" s="403"/>
      <c r="O7" s="403"/>
      <c r="P7" s="291"/>
      <c r="Q7" s="291"/>
      <c r="R7" s="291"/>
      <c r="S7" s="291"/>
      <c r="T7" s="291"/>
      <c r="U7" s="291"/>
    </row>
    <row r="8" spans="1:21" ht="23.1" customHeight="1" x14ac:dyDescent="0.2">
      <c r="A8" s="4">
        <v>7</v>
      </c>
      <c r="B8" s="403" t="s">
        <v>610</v>
      </c>
      <c r="C8" s="403"/>
      <c r="D8" s="403"/>
      <c r="E8" s="403"/>
      <c r="F8" s="403"/>
      <c r="G8" s="403"/>
      <c r="H8" s="403"/>
      <c r="I8" s="403"/>
      <c r="J8" s="403"/>
      <c r="K8" s="403"/>
      <c r="L8" s="403"/>
      <c r="M8" s="403"/>
      <c r="N8" s="403"/>
      <c r="O8" s="403"/>
      <c r="P8" s="291"/>
      <c r="Q8" s="291"/>
      <c r="R8" s="291"/>
      <c r="S8" s="291"/>
      <c r="T8" s="291"/>
      <c r="U8" s="291"/>
    </row>
    <row r="9" spans="1:21" ht="23.1" customHeight="1" x14ac:dyDescent="0.2">
      <c r="A9" s="4">
        <v>8</v>
      </c>
      <c r="B9" s="403" t="s">
        <v>611</v>
      </c>
      <c r="C9" s="403"/>
      <c r="D9" s="403"/>
      <c r="E9" s="403"/>
      <c r="F9" s="403"/>
      <c r="G9" s="403"/>
      <c r="H9" s="403"/>
      <c r="I9" s="403"/>
      <c r="J9" s="403"/>
      <c r="K9" s="403"/>
      <c r="L9" s="403"/>
      <c r="M9" s="403"/>
      <c r="N9" s="403"/>
      <c r="O9" s="403"/>
      <c r="P9" s="289"/>
      <c r="Q9" s="289"/>
      <c r="R9" s="289"/>
      <c r="S9" s="289"/>
      <c r="T9" s="289"/>
      <c r="U9" s="289"/>
    </row>
    <row r="10" spans="1:21" ht="23.1" customHeight="1" x14ac:dyDescent="0.2">
      <c r="A10" s="4">
        <v>9</v>
      </c>
      <c r="B10" s="403" t="s">
        <v>644</v>
      </c>
      <c r="C10" s="403"/>
      <c r="D10" s="403"/>
      <c r="E10" s="403"/>
      <c r="F10" s="403"/>
      <c r="G10" s="403"/>
      <c r="H10" s="403"/>
      <c r="I10" s="403"/>
      <c r="J10" s="403"/>
      <c r="K10" s="403"/>
      <c r="L10" s="403"/>
      <c r="M10" s="403"/>
      <c r="N10" s="403"/>
      <c r="O10" s="403"/>
      <c r="P10" s="291"/>
      <c r="Q10" s="291"/>
      <c r="R10" s="291"/>
      <c r="S10" s="291"/>
      <c r="T10" s="291"/>
      <c r="U10" s="291"/>
    </row>
    <row r="11" spans="1:21" ht="23.1" customHeight="1" x14ac:dyDescent="0.2">
      <c r="A11" s="4">
        <v>10</v>
      </c>
      <c r="B11" s="403" t="s">
        <v>621</v>
      </c>
      <c r="C11" s="403"/>
      <c r="D11" s="403"/>
      <c r="E11" s="403"/>
      <c r="F11" s="403"/>
      <c r="G11" s="403"/>
      <c r="H11" s="403"/>
      <c r="I11" s="403"/>
      <c r="J11" s="403"/>
      <c r="K11" s="403"/>
      <c r="L11" s="403"/>
      <c r="M11" s="403"/>
      <c r="N11" s="403"/>
      <c r="O11" s="403"/>
      <c r="P11" s="291"/>
      <c r="Q11" s="291"/>
      <c r="R11" s="291"/>
      <c r="S11" s="291"/>
      <c r="T11" s="291"/>
      <c r="U11" s="291"/>
    </row>
    <row r="12" spans="1:21" ht="23.1" customHeight="1" x14ac:dyDescent="0.2">
      <c r="A12" s="4">
        <v>11</v>
      </c>
      <c r="B12" s="403" t="s">
        <v>622</v>
      </c>
      <c r="C12" s="403"/>
      <c r="D12" s="403"/>
      <c r="E12" s="403"/>
      <c r="F12" s="403"/>
      <c r="G12" s="403"/>
      <c r="H12" s="403"/>
      <c r="I12" s="403"/>
      <c r="J12" s="403"/>
      <c r="K12" s="403"/>
      <c r="L12" s="403"/>
      <c r="M12" s="403"/>
      <c r="N12" s="403"/>
      <c r="O12" s="403"/>
      <c r="P12" s="291"/>
      <c r="Q12" s="291"/>
      <c r="R12" s="291"/>
      <c r="S12" s="291"/>
      <c r="T12" s="291"/>
      <c r="U12" s="291"/>
    </row>
    <row r="13" spans="1:21" ht="23.1" customHeight="1" x14ac:dyDescent="0.2">
      <c r="A13" s="4">
        <v>12</v>
      </c>
      <c r="B13" s="403" t="s">
        <v>626</v>
      </c>
      <c r="C13" s="403"/>
      <c r="D13" s="403"/>
      <c r="E13" s="403"/>
      <c r="F13" s="403"/>
      <c r="G13" s="403"/>
      <c r="H13" s="403"/>
      <c r="I13" s="403"/>
      <c r="J13" s="403"/>
      <c r="K13" s="403"/>
      <c r="L13" s="403"/>
      <c r="M13" s="403"/>
      <c r="N13" s="403"/>
      <c r="O13" s="403"/>
      <c r="P13" s="291"/>
      <c r="Q13" s="291"/>
      <c r="R13" s="291"/>
      <c r="S13" s="291"/>
      <c r="T13" s="291"/>
      <c r="U13" s="291"/>
    </row>
    <row r="14" spans="1:21" ht="23.1" customHeight="1" x14ac:dyDescent="0.2">
      <c r="A14" s="4">
        <v>13</v>
      </c>
      <c r="B14" s="403" t="s">
        <v>627</v>
      </c>
      <c r="C14" s="403"/>
      <c r="D14" s="403"/>
      <c r="E14" s="403"/>
      <c r="F14" s="403"/>
      <c r="G14" s="403"/>
      <c r="H14" s="403"/>
      <c r="I14" s="403"/>
      <c r="J14" s="403"/>
      <c r="K14" s="403"/>
      <c r="L14" s="403"/>
      <c r="M14" s="403"/>
      <c r="N14" s="403"/>
      <c r="O14" s="403"/>
      <c r="P14" s="291"/>
      <c r="Q14" s="291"/>
      <c r="R14" s="291"/>
      <c r="S14" s="291"/>
      <c r="T14" s="291"/>
      <c r="U14" s="291"/>
    </row>
    <row r="15" spans="1:21" ht="23.1" customHeight="1" x14ac:dyDescent="0.2">
      <c r="A15" s="4">
        <v>14</v>
      </c>
      <c r="B15" s="403" t="s">
        <v>628</v>
      </c>
      <c r="C15" s="403"/>
      <c r="D15" s="403"/>
      <c r="E15" s="403"/>
      <c r="F15" s="403"/>
      <c r="G15" s="403"/>
      <c r="H15" s="403"/>
      <c r="I15" s="403"/>
      <c r="J15" s="403"/>
      <c r="K15" s="403"/>
      <c r="L15" s="403"/>
      <c r="M15" s="403"/>
      <c r="N15" s="403"/>
      <c r="O15" s="403"/>
      <c r="P15" s="291"/>
      <c r="Q15" s="291"/>
      <c r="R15" s="291"/>
      <c r="S15" s="291"/>
      <c r="T15" s="291"/>
      <c r="U15" s="291"/>
    </row>
    <row r="16" spans="1:21" ht="23.1" customHeight="1" x14ac:dyDescent="0.2">
      <c r="A16" s="4">
        <v>15</v>
      </c>
      <c r="B16" s="403" t="s">
        <v>629</v>
      </c>
      <c r="C16" s="403"/>
      <c r="D16" s="403"/>
      <c r="E16" s="403"/>
      <c r="F16" s="403"/>
      <c r="G16" s="403"/>
      <c r="H16" s="403"/>
      <c r="I16" s="403"/>
      <c r="J16" s="403"/>
      <c r="K16" s="403"/>
      <c r="L16" s="403"/>
      <c r="M16" s="403"/>
      <c r="N16" s="403"/>
      <c r="O16" s="403"/>
      <c r="P16" s="291"/>
      <c r="Q16" s="291"/>
      <c r="R16" s="291"/>
      <c r="S16" s="291"/>
      <c r="T16" s="291"/>
      <c r="U16" s="291"/>
    </row>
    <row r="17" spans="1:21" ht="23.1" customHeight="1" x14ac:dyDescent="0.2">
      <c r="A17" s="4">
        <v>16</v>
      </c>
      <c r="B17" s="403" t="s">
        <v>645</v>
      </c>
      <c r="C17" s="403"/>
      <c r="D17" s="403"/>
      <c r="E17" s="403"/>
      <c r="F17" s="403"/>
      <c r="G17" s="403"/>
      <c r="H17" s="403"/>
      <c r="I17" s="403"/>
      <c r="J17" s="403"/>
      <c r="K17" s="403"/>
      <c r="L17" s="403"/>
      <c r="M17" s="403"/>
      <c r="N17" s="403"/>
      <c r="O17" s="403"/>
      <c r="P17" s="291"/>
      <c r="Q17" s="291"/>
      <c r="R17" s="291"/>
      <c r="S17" s="291"/>
      <c r="T17" s="291"/>
      <c r="U17" s="291"/>
    </row>
    <row r="18" spans="1:21" ht="23.1" customHeight="1" x14ac:dyDescent="0.2">
      <c r="A18" s="4">
        <v>17</v>
      </c>
      <c r="B18" s="403" t="s">
        <v>631</v>
      </c>
      <c r="C18" s="403"/>
      <c r="D18" s="403"/>
      <c r="E18" s="403"/>
      <c r="F18" s="403"/>
      <c r="G18" s="403"/>
      <c r="H18" s="403"/>
      <c r="I18" s="403"/>
      <c r="J18" s="403"/>
      <c r="K18" s="403"/>
      <c r="L18" s="403"/>
      <c r="M18" s="403"/>
      <c r="N18" s="403"/>
      <c r="O18" s="403"/>
      <c r="P18" s="291"/>
      <c r="Q18" s="291"/>
      <c r="R18" s="291"/>
      <c r="S18" s="291"/>
      <c r="T18" s="291"/>
      <c r="U18" s="291"/>
    </row>
    <row r="19" spans="1:21" ht="23.1" customHeight="1" x14ac:dyDescent="0.2">
      <c r="A19" s="4">
        <v>18</v>
      </c>
      <c r="B19" s="403" t="s">
        <v>632</v>
      </c>
      <c r="C19" s="403"/>
      <c r="D19" s="403"/>
      <c r="E19" s="403"/>
      <c r="F19" s="403"/>
      <c r="G19" s="403"/>
      <c r="H19" s="403"/>
      <c r="I19" s="403"/>
      <c r="J19" s="403"/>
      <c r="K19" s="403"/>
      <c r="L19" s="403"/>
      <c r="M19" s="403"/>
      <c r="N19" s="403"/>
      <c r="O19" s="403"/>
      <c r="P19" s="291"/>
      <c r="Q19" s="291"/>
      <c r="R19" s="291"/>
      <c r="S19" s="291"/>
      <c r="T19" s="291"/>
      <c r="U19" s="291"/>
    </row>
    <row r="20" spans="1:21" ht="23.1" customHeight="1" x14ac:dyDescent="0.2">
      <c r="A20" s="4">
        <v>19</v>
      </c>
      <c r="B20" s="403" t="s">
        <v>633</v>
      </c>
      <c r="C20" s="403"/>
      <c r="D20" s="403"/>
      <c r="E20" s="403"/>
      <c r="F20" s="403"/>
      <c r="G20" s="403"/>
      <c r="H20" s="403"/>
      <c r="I20" s="403"/>
      <c r="J20" s="403"/>
      <c r="K20" s="403"/>
      <c r="L20" s="403"/>
      <c r="M20" s="403"/>
      <c r="N20" s="403"/>
      <c r="O20" s="403"/>
      <c r="P20" s="291"/>
      <c r="Q20" s="291"/>
      <c r="R20" s="291"/>
      <c r="S20" s="291"/>
      <c r="T20" s="291"/>
      <c r="U20" s="291"/>
    </row>
    <row r="21" spans="1:21" ht="23.1" customHeight="1" x14ac:dyDescent="0.2">
      <c r="A21" s="4">
        <v>20</v>
      </c>
      <c r="B21" s="403" t="s">
        <v>634</v>
      </c>
      <c r="C21" s="403"/>
      <c r="D21" s="403"/>
      <c r="E21" s="403"/>
      <c r="F21" s="403"/>
      <c r="G21" s="403"/>
      <c r="H21" s="403"/>
      <c r="I21" s="403"/>
      <c r="J21" s="403"/>
      <c r="K21" s="403"/>
      <c r="L21" s="403"/>
      <c r="M21" s="403"/>
      <c r="N21" s="403"/>
      <c r="O21" s="403"/>
      <c r="P21" s="291"/>
      <c r="Q21" s="291"/>
      <c r="R21" s="291"/>
      <c r="S21" s="291"/>
      <c r="T21" s="291"/>
      <c r="U21" s="291"/>
    </row>
  </sheetData>
  <mergeCells count="21">
    <mergeCell ref="B21:O21"/>
    <mergeCell ref="B20:O20"/>
    <mergeCell ref="B16:O16"/>
    <mergeCell ref="B17:O17"/>
    <mergeCell ref="B18:O18"/>
    <mergeCell ref="B19:O19"/>
    <mergeCell ref="B11:O11"/>
    <mergeCell ref="B12:O12"/>
    <mergeCell ref="B13:O13"/>
    <mergeCell ref="B14:O14"/>
    <mergeCell ref="B15:O15"/>
    <mergeCell ref="B8:O8"/>
    <mergeCell ref="B7:O7"/>
    <mergeCell ref="B6:O6"/>
    <mergeCell ref="B10:O10"/>
    <mergeCell ref="B9:O9"/>
    <mergeCell ref="B5:O5"/>
    <mergeCell ref="B4:O4"/>
    <mergeCell ref="B3:O3"/>
    <mergeCell ref="B2:O2"/>
    <mergeCell ref="B1:O1"/>
  </mergeCells>
  <hyperlinks>
    <hyperlink ref="B2:C22" location="'Yıl-Aya Göre G. Ziyaretçi'!A1" display="A-TÜRKİYE'YE GELEN ZİYARETÇİLERİN YILLARA VE AYLARA GÖRE DAĞILIMI ( 2012 - 2021)"/>
    <hyperlink ref="B3:C23" location="'Yıl-Ay Göre Günübirlikçi'!A1" display="B-GÜNÜBİRLİKÇİLERİN YILLARA VE AYLARA GÖRE DAĞILIMI (2012 - 2021)"/>
    <hyperlink ref="B4:C24" location="'Mil Göre G.Yabancı'!A1" display="C-ÜLKEMİZE GELEN YABANCI ZİYARETÇİLERİN MİLLİYETLERİNE GÖRE DAĞILIMI (2002 - 2021)"/>
    <hyperlink ref="B5:C25" location="'G.Y.Ziyaretçi'!A1" display="TÜRKİYE'YE GELEN YABANCI ZİYARETÇİLER (2012-2021)"/>
    <hyperlink ref="B5:C26" location="'Ç.Y.Ziyaretçi'!A1" display="TÜRKİYE'DEN ÇIKAN YABANCI ZİYARETÇİLER (2012-2021)"/>
    <hyperlink ref="B5:C27" location="'Aya Göre G.Ziyaretçi'!A1" display="AYLARA GÖRE GELEN YABANCI ZİYARETÇİLER (2020-2021)"/>
    <hyperlink ref="B5:C28" location="'Aya Göre Günübirlikçi'!A1" display="AYLARA GÖRE GELEN YABANCI GÜNÜBİRLİKÇİLER (2020-2021)"/>
    <hyperlink ref="B5:C29" location="'Milliyete Göre G.Yabancı(İlk5)'!A1" display="MİLLİYETLERİNE GÖRE GELEN YABANCI ZİYARETÇİLER - 2020 - 2021 (İLK 5)"/>
    <hyperlink ref="B5:C30" location="'Yıl-Aya Göre G. Yabancı'!A1" display="1- TÜRKİYE'YE GELEN YABANCI ZİYARETÇİLERİN YILLARA VE AYLARA GÖRE DAĞILIMI - 2021"/>
    <hyperlink ref="B6:C31" location="'Mil-TaşıtA. Göre G.Yabancı'!A1" display="2- TÜRKİYE'YE GELEN YABANCI ZİYARETÇİLERİN MİLLİYETLERİNE VE TAŞIT ARAÇLARINA GÖRE DAĞILIMI - 2021"/>
    <hyperlink ref="B7:C32" location="'Ay-TaşıtA. Göre G.Yabancı'!A1" display="3- TÜRKİYE'YE GELEN YABANCI ZİYARETÇİLERİN AYLARA VE TAŞIT ARACINA GÖRE DAĞILIMI 2021"/>
    <hyperlink ref="B8:C33" location="'İl-TaşıtA. Göre G.Yabancı'!A1" display="4- TÜRKİYE'YE GELEN YABANCI ZİYARETÇİLERİN SINIR KAPILARININ BAĞLI OLDUĞU İLLERE VE TAŞIT ARAÇLARINA GÖRE DAĞILIMI - 2021"/>
    <hyperlink ref="B9:C34" location="'SınırK.-Ay Göre G.Yabancı'!A1" display="5- TÜRKİYE'YE GELEN YABANCI ZİYARETÇİLERİN SINIR KAPILARINA VE AYLARA GÖRE DAĞILIMI 2021"/>
    <hyperlink ref="B10:C35" location="'Mil-Yıl Göre G.Yabancı'!A1" display="6- 2019/2021 YILLARINDA ÜLKEMİZE GELEN YABANCI ZİYARETÇİLERİN MİLLİYETLERİNE GÖRE KARŞILAŞTIRILMASI"/>
    <hyperlink ref="B11:C36" location="'Mil-Ay Göre G.Yabancı'!A1" display="7- TÜRKİYE'YE GELEN YABANCI ZİYARETÇİLERİN MİLLİYETLERE VE AYLARA GÖRE DAĞILIMI - 2021"/>
    <hyperlink ref="B12:C37" location="'Mil-SınırK Göre G.Yabancı'!A1" display="8- TÜRKİYE'YE GELEN YABANCI ZİYARETÇİLERİN MİLLİYETLERİNE VE SINIR KAPILARINA GÖRE DAĞILIMI - 2021"/>
    <hyperlink ref="B13:C38" location="'Ay-Yıl Göre Y.Günübirlikçi'!A1" display="9- YABANCI GÜNÜBİRLİKÇİLERİN YILLARA VE AYLARA GÖRE DAĞILIMI - 2021"/>
    <hyperlink ref="B14:C39" location="'SınırK. Ay Göre Y.Günübirlikçi'!A1" display="10- TÜRKİYE'YE GELEN  YABANCI GÜNÜBİRLİKÇİLERİN SINIR KAPILARINA VE AYLARA GÖRE DAĞILIMI - 2021"/>
    <hyperlink ref="B15:C40" location="'GirişK-Mil.GöreY.Günübirlikçi'!A1" display="11- YABANCI GÜNÜBİRLİKÇİLERİN MİLLİYETLERE VE SINIR KAPILARINA GÖRE DAĞILIMI - 2021"/>
    <hyperlink ref="B16:C41" location="'SınırK.-Yıl Göre Y.Günübirlikçi'!A1" display="12- 2019 - 2021 YILLARINDA YABANCI GÜNÜBİRLİKÇİLERİN SINIR KAPILARINA VE YILLARA GÖRE KARŞILAŞTIRILMASI"/>
    <hyperlink ref="B17:C42" location="'Yıl-Ay Göre Ç.Ziyaretçi'!A1" display="13- TÜRKİYE'DEN ÇIKAN YABANCI ZİYARETÇİLERİN YILLARA VE AYLARA GÖRE DAĞILIMI - 2021"/>
    <hyperlink ref="B18:C43" location="'Mil-TaşıtA. Göre Ç.Yabancı'!A1" display="14- TÜRKİYE'DEN ÇIKAN YABANCI ZİYARETÇİLERİN MİLLİYETLERİNE VE TAŞIT ARAÇLARINA GÖRE DAĞILIMI - 2021"/>
    <hyperlink ref="B19:C44" location="'Ay-TaşıtA. Göre Ç Yabancı'!A1" display="15- TÜRKİYE'DEN ÇIKAN YABANCI ZİYARETÇİLERİN AYLARA VE TAŞIT ARAÇLARINA GÖRE DAĞILIMI - 2021"/>
    <hyperlink ref="B20:C45" location="'SınırK.-TaşıtA Göre Ç.Yabancı'!A1" display="16- TÜRKİYE'DEN ÇIKAN YABANCI ZİYARETÇİLERİN SINIR KAPILARININ BAĞLI OLDUĞU İLLERE VE TAŞIT ARAÇLARINA GÖRE DAĞILIMI - 2021"/>
    <hyperlink ref="B21:C46" location="'SınırK.-Ay Göre Ç.Yabancı'!A1" display="17-TÜRKİYE'DEN ÇIKAN YABANCI ZİYARETÇİLERİN SINIR KAPILARINA VE AYLARA GÖRE DAĞILIMI - 2021"/>
  </hyperlinks>
  <pageMargins left="0.35433070866141736" right="0.35433070866141736" top="0.78740157480314965" bottom="0.78740157480314965" header="0.51181102362204722" footer="0.51181102362204722"/>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1:Q51"/>
  <sheetViews>
    <sheetView view="pageBreakPreview" topLeftCell="A34" zoomScale="80" zoomScaleNormal="85" zoomScaleSheetLayoutView="80" workbookViewId="0">
      <selection activeCell="S34" sqref="S34"/>
    </sheetView>
  </sheetViews>
  <sheetFormatPr defaultColWidth="9.140625" defaultRowHeight="14.25" x14ac:dyDescent="0.2"/>
  <cols>
    <col min="1" max="1" width="9.140625" style="7"/>
    <col min="2" max="2" width="11.7109375" style="10" customWidth="1"/>
    <col min="3" max="3" width="14.5703125" style="7" customWidth="1"/>
    <col min="4" max="4" width="15.28515625" style="7" customWidth="1"/>
    <col min="5" max="5" width="15" style="7" customWidth="1"/>
    <col min="6" max="6" width="14.42578125" style="7" bestFit="1" customWidth="1"/>
    <col min="7" max="7" width="13.85546875" style="7" customWidth="1"/>
    <col min="8" max="8" width="14.28515625" style="7" customWidth="1"/>
    <col min="9" max="9" width="14.42578125" style="7" bestFit="1" customWidth="1"/>
    <col min="10" max="10" width="14.42578125" style="7" customWidth="1"/>
    <col min="11" max="12" width="14.28515625" style="7" customWidth="1"/>
    <col min="13" max="13" width="12.85546875" style="7" customWidth="1"/>
    <col min="14" max="14" width="14.42578125" style="7" bestFit="1" customWidth="1"/>
    <col min="15" max="15" width="14.28515625" style="7" customWidth="1"/>
    <col min="16" max="16" width="12.5703125" style="7" customWidth="1"/>
    <col min="17" max="17" width="13.85546875" style="7" customWidth="1"/>
    <col min="18" max="16384" width="9.140625" style="7"/>
  </cols>
  <sheetData>
    <row r="1" spans="2:17" ht="30" customHeight="1" x14ac:dyDescent="0.2">
      <c r="B1" s="398" t="s">
        <v>637</v>
      </c>
      <c r="C1" s="398"/>
      <c r="D1" s="398"/>
      <c r="E1" s="398"/>
      <c r="F1" s="398"/>
      <c r="G1" s="398"/>
      <c r="H1" s="398"/>
      <c r="I1" s="398"/>
      <c r="J1" s="398"/>
      <c r="K1" s="398"/>
      <c r="L1" s="398"/>
      <c r="M1" s="398"/>
      <c r="N1" s="398"/>
      <c r="O1" s="398"/>
      <c r="P1" s="398"/>
      <c r="Q1" s="398"/>
    </row>
    <row r="2" spans="2:17" ht="28.5" customHeight="1" x14ac:dyDescent="0.35">
      <c r="B2" s="407" t="s">
        <v>265</v>
      </c>
      <c r="C2" s="410" t="s">
        <v>1</v>
      </c>
      <c r="D2" s="410"/>
      <c r="E2" s="410"/>
      <c r="F2" s="410"/>
      <c r="G2" s="410"/>
      <c r="H2" s="410"/>
      <c r="I2" s="410"/>
      <c r="J2" s="410"/>
      <c r="K2" s="410"/>
      <c r="L2" s="410"/>
      <c r="M2" s="410"/>
      <c r="N2" s="410"/>
      <c r="O2" s="410"/>
      <c r="P2" s="410"/>
      <c r="Q2" s="410"/>
    </row>
    <row r="3" spans="2:17" ht="26.25" customHeight="1" x14ac:dyDescent="0.25">
      <c r="B3" s="408"/>
      <c r="C3" s="405">
        <v>2014</v>
      </c>
      <c r="D3" s="405"/>
      <c r="E3" s="405"/>
      <c r="F3" s="405">
        <v>2015</v>
      </c>
      <c r="G3" s="405"/>
      <c r="H3" s="405"/>
      <c r="I3" s="405">
        <v>2016</v>
      </c>
      <c r="J3" s="405"/>
      <c r="K3" s="405"/>
      <c r="L3" s="405">
        <v>2017</v>
      </c>
      <c r="M3" s="405"/>
      <c r="N3" s="405"/>
      <c r="O3" s="405">
        <v>2018</v>
      </c>
      <c r="P3" s="405"/>
      <c r="Q3" s="405"/>
    </row>
    <row r="4" spans="2:17" s="8" customFormat="1" ht="51" customHeight="1" x14ac:dyDescent="0.2">
      <c r="B4" s="409"/>
      <c r="C4" s="11" t="s">
        <v>2</v>
      </c>
      <c r="D4" s="11" t="s">
        <v>3</v>
      </c>
      <c r="E4" s="11" t="s">
        <v>4</v>
      </c>
      <c r="F4" s="11" t="s">
        <v>2</v>
      </c>
      <c r="G4" s="11" t="s">
        <v>3</v>
      </c>
      <c r="H4" s="11" t="s">
        <v>4</v>
      </c>
      <c r="I4" s="11" t="s">
        <v>2</v>
      </c>
      <c r="J4" s="11" t="s">
        <v>3</v>
      </c>
      <c r="K4" s="11" t="s">
        <v>4</v>
      </c>
      <c r="L4" s="11" t="s">
        <v>2</v>
      </c>
      <c r="M4" s="11" t="s">
        <v>3</v>
      </c>
      <c r="N4" s="11" t="s">
        <v>4</v>
      </c>
      <c r="O4" s="11" t="s">
        <v>2</v>
      </c>
      <c r="P4" s="11" t="s">
        <v>3</v>
      </c>
      <c r="Q4" s="11" t="s">
        <v>4</v>
      </c>
    </row>
    <row r="5" spans="2:17" s="13" customFormat="1" ht="45" customHeight="1" x14ac:dyDescent="0.2">
      <c r="B5" s="12" t="s">
        <v>5</v>
      </c>
      <c r="C5" s="43">
        <v>1146815</v>
      </c>
      <c r="D5" s="43">
        <v>279334</v>
      </c>
      <c r="E5" s="43">
        <v>1426149</v>
      </c>
      <c r="F5" s="43">
        <v>1250941</v>
      </c>
      <c r="G5" s="43">
        <v>343459</v>
      </c>
      <c r="H5" s="43">
        <v>1594400</v>
      </c>
      <c r="I5" s="43">
        <v>1170333</v>
      </c>
      <c r="J5" s="43">
        <v>350916</v>
      </c>
      <c r="K5" s="43">
        <v>1521249</v>
      </c>
      <c r="L5" s="43">
        <v>1055474</v>
      </c>
      <c r="M5" s="43">
        <v>329148</v>
      </c>
      <c r="N5" s="43">
        <v>1384622</v>
      </c>
      <c r="O5" s="43">
        <v>1461570</v>
      </c>
      <c r="P5" s="43">
        <v>431167</v>
      </c>
      <c r="Q5" s="43">
        <v>1892737</v>
      </c>
    </row>
    <row r="6" spans="2:17" s="13" customFormat="1" ht="45" customHeight="1" x14ac:dyDescent="0.2">
      <c r="B6" s="12" t="s">
        <v>6</v>
      </c>
      <c r="C6" s="43">
        <v>1352184</v>
      </c>
      <c r="D6" s="43">
        <v>356071</v>
      </c>
      <c r="E6" s="43">
        <v>1708255</v>
      </c>
      <c r="F6" s="43">
        <v>1383343</v>
      </c>
      <c r="G6" s="43">
        <v>368037</v>
      </c>
      <c r="H6" s="43">
        <v>1751380</v>
      </c>
      <c r="I6" s="43">
        <v>1240633</v>
      </c>
      <c r="J6" s="43">
        <v>390644</v>
      </c>
      <c r="K6" s="43">
        <v>1631277</v>
      </c>
      <c r="L6" s="43">
        <v>1159833</v>
      </c>
      <c r="M6" s="43">
        <v>335058</v>
      </c>
      <c r="N6" s="43">
        <v>1494891</v>
      </c>
      <c r="O6" s="43">
        <v>1527070</v>
      </c>
      <c r="P6" s="43">
        <v>405616</v>
      </c>
      <c r="Q6" s="43">
        <v>1932686</v>
      </c>
    </row>
    <row r="7" spans="2:17" s="13" customFormat="1" ht="45" customHeight="1" x14ac:dyDescent="0.2">
      <c r="B7" s="12" t="s">
        <v>7</v>
      </c>
      <c r="C7" s="43">
        <v>1851980</v>
      </c>
      <c r="D7" s="43">
        <v>345905</v>
      </c>
      <c r="E7" s="43">
        <v>2197885</v>
      </c>
      <c r="F7" s="43">
        <v>1895940</v>
      </c>
      <c r="G7" s="43">
        <v>374022</v>
      </c>
      <c r="H7" s="43">
        <v>2269962</v>
      </c>
      <c r="I7" s="43">
        <v>1652511</v>
      </c>
      <c r="J7" s="43">
        <v>381960</v>
      </c>
      <c r="K7" s="43">
        <v>2034471</v>
      </c>
      <c r="L7" s="43">
        <v>1587007</v>
      </c>
      <c r="M7" s="43">
        <v>357935</v>
      </c>
      <c r="N7" s="43">
        <v>1944942</v>
      </c>
      <c r="O7" s="43">
        <v>2139766</v>
      </c>
      <c r="P7" s="43">
        <v>441435</v>
      </c>
      <c r="Q7" s="43">
        <v>2581201</v>
      </c>
    </row>
    <row r="8" spans="2:17" s="13" customFormat="1" ht="45" customHeight="1" x14ac:dyDescent="0.2">
      <c r="B8" s="12" t="s">
        <v>8</v>
      </c>
      <c r="C8" s="43">
        <v>2652071</v>
      </c>
      <c r="D8" s="43">
        <v>358556</v>
      </c>
      <c r="E8" s="43">
        <v>3010627</v>
      </c>
      <c r="F8" s="43">
        <v>2437263</v>
      </c>
      <c r="G8" s="43">
        <v>331219</v>
      </c>
      <c r="H8" s="43">
        <v>2768482</v>
      </c>
      <c r="I8" s="43">
        <v>1753045</v>
      </c>
      <c r="J8" s="43">
        <v>466574</v>
      </c>
      <c r="K8" s="43">
        <v>2219619</v>
      </c>
      <c r="L8" s="43">
        <v>2070322</v>
      </c>
      <c r="M8" s="43">
        <v>428167</v>
      </c>
      <c r="N8" s="43">
        <v>2498489</v>
      </c>
      <c r="O8" s="43">
        <v>2655561</v>
      </c>
      <c r="P8" s="43">
        <v>556915</v>
      </c>
      <c r="Q8" s="43">
        <v>3212476</v>
      </c>
    </row>
    <row r="9" spans="2:17" s="13" customFormat="1" ht="45" customHeight="1" x14ac:dyDescent="0.2">
      <c r="B9" s="12" t="s">
        <v>9</v>
      </c>
      <c r="C9" s="43">
        <v>3900096</v>
      </c>
      <c r="D9" s="43">
        <v>430837</v>
      </c>
      <c r="E9" s="43">
        <v>4330933</v>
      </c>
      <c r="F9" s="43">
        <v>3804158</v>
      </c>
      <c r="G9" s="43">
        <v>383628</v>
      </c>
      <c r="H9" s="43">
        <v>4187786</v>
      </c>
      <c r="I9" s="43">
        <v>2485411</v>
      </c>
      <c r="J9" s="43">
        <v>543963</v>
      </c>
      <c r="K9" s="43">
        <v>3029374</v>
      </c>
      <c r="L9" s="43">
        <v>2889873</v>
      </c>
      <c r="M9" s="43">
        <v>498687</v>
      </c>
      <c r="N9" s="43">
        <v>3388560</v>
      </c>
      <c r="O9" s="43">
        <v>3678440</v>
      </c>
      <c r="P9" s="43">
        <v>527997</v>
      </c>
      <c r="Q9" s="43">
        <v>4206437</v>
      </c>
    </row>
    <row r="10" spans="2:17" s="13" customFormat="1" ht="45" customHeight="1" x14ac:dyDescent="0.2">
      <c r="B10" s="12" t="s">
        <v>10</v>
      </c>
      <c r="C10" s="43">
        <v>4335075</v>
      </c>
      <c r="D10" s="43">
        <v>459487</v>
      </c>
      <c r="E10" s="43">
        <v>4794562</v>
      </c>
      <c r="F10" s="43">
        <v>4123109</v>
      </c>
      <c r="G10" s="43">
        <v>359512</v>
      </c>
      <c r="H10" s="43">
        <v>4482621</v>
      </c>
      <c r="I10" s="43">
        <v>2438293</v>
      </c>
      <c r="J10" s="43">
        <v>463846</v>
      </c>
      <c r="K10" s="43">
        <v>2902139</v>
      </c>
      <c r="L10" s="43">
        <v>3486940</v>
      </c>
      <c r="M10" s="43">
        <v>475476</v>
      </c>
      <c r="N10" s="43">
        <v>3962416</v>
      </c>
      <c r="O10" s="43">
        <v>4505594</v>
      </c>
      <c r="P10" s="43">
        <v>585902</v>
      </c>
      <c r="Q10" s="43">
        <v>5091496</v>
      </c>
    </row>
    <row r="11" spans="2:17" s="13" customFormat="1" ht="45" customHeight="1" x14ac:dyDescent="0.2">
      <c r="B11" s="12" t="s">
        <v>11</v>
      </c>
      <c r="C11" s="43">
        <v>5214519</v>
      </c>
      <c r="D11" s="43">
        <v>615088</v>
      </c>
      <c r="E11" s="43">
        <v>5829607</v>
      </c>
      <c r="F11" s="43">
        <v>5480502</v>
      </c>
      <c r="G11" s="43">
        <v>650711</v>
      </c>
      <c r="H11" s="43">
        <v>6131213</v>
      </c>
      <c r="I11" s="43">
        <v>3468202</v>
      </c>
      <c r="J11" s="43">
        <v>743328</v>
      </c>
      <c r="K11" s="43">
        <v>4211530</v>
      </c>
      <c r="L11" s="43">
        <v>5075961</v>
      </c>
      <c r="M11" s="43">
        <v>769973</v>
      </c>
      <c r="N11" s="43">
        <v>5845934</v>
      </c>
      <c r="O11" s="43">
        <v>5671801</v>
      </c>
      <c r="P11" s="43">
        <v>859869</v>
      </c>
      <c r="Q11" s="43">
        <v>6531670</v>
      </c>
    </row>
    <row r="12" spans="2:17" s="13" customFormat="1" ht="45" customHeight="1" x14ac:dyDescent="0.2">
      <c r="B12" s="12" t="s">
        <v>12</v>
      </c>
      <c r="C12" s="43">
        <v>5283333</v>
      </c>
      <c r="D12" s="43">
        <v>533644</v>
      </c>
      <c r="E12" s="43">
        <v>5816977</v>
      </c>
      <c r="F12" s="43">
        <v>5130967</v>
      </c>
      <c r="G12" s="43">
        <v>525116</v>
      </c>
      <c r="H12" s="43">
        <v>5656083</v>
      </c>
      <c r="I12" s="43">
        <v>3183003</v>
      </c>
      <c r="J12" s="43">
        <v>526500</v>
      </c>
      <c r="K12" s="43">
        <v>3709503</v>
      </c>
      <c r="L12" s="43">
        <v>4658463</v>
      </c>
      <c r="M12" s="43">
        <v>647375</v>
      </c>
      <c r="N12" s="43">
        <v>5305838</v>
      </c>
      <c r="O12" s="43">
        <v>5383332</v>
      </c>
      <c r="P12" s="43">
        <v>775265</v>
      </c>
      <c r="Q12" s="43">
        <v>6158597</v>
      </c>
    </row>
    <row r="13" spans="2:17" s="13" customFormat="1" ht="45" customHeight="1" x14ac:dyDescent="0.2">
      <c r="B13" s="12" t="s">
        <v>13</v>
      </c>
      <c r="C13" s="43">
        <v>4352429</v>
      </c>
      <c r="D13" s="43">
        <v>420822</v>
      </c>
      <c r="E13" s="43">
        <v>4773251</v>
      </c>
      <c r="F13" s="43">
        <v>4251870</v>
      </c>
      <c r="G13" s="43">
        <v>456162</v>
      </c>
      <c r="H13" s="43">
        <v>4708032</v>
      </c>
      <c r="I13" s="43">
        <v>2855397</v>
      </c>
      <c r="J13" s="43">
        <v>556757</v>
      </c>
      <c r="K13" s="43">
        <v>3412154</v>
      </c>
      <c r="L13" s="43">
        <v>4076630</v>
      </c>
      <c r="M13" s="43">
        <v>615342</v>
      </c>
      <c r="N13" s="43">
        <v>4691972</v>
      </c>
      <c r="O13" s="43">
        <v>4792818</v>
      </c>
      <c r="P13" s="43">
        <v>633027</v>
      </c>
      <c r="Q13" s="43">
        <v>5425845</v>
      </c>
    </row>
    <row r="14" spans="2:17" s="13" customFormat="1" ht="45" customHeight="1" x14ac:dyDescent="0.2">
      <c r="B14" s="12" t="s">
        <v>14</v>
      </c>
      <c r="C14" s="43">
        <v>3439554</v>
      </c>
      <c r="D14" s="43">
        <v>381732</v>
      </c>
      <c r="E14" s="43">
        <v>3821286</v>
      </c>
      <c r="F14" s="43">
        <v>3301194</v>
      </c>
      <c r="G14" s="43">
        <v>387490</v>
      </c>
      <c r="H14" s="43">
        <v>3688684</v>
      </c>
      <c r="I14" s="43">
        <v>2449948</v>
      </c>
      <c r="J14" s="43">
        <v>403482</v>
      </c>
      <c r="K14" s="43">
        <v>2853430</v>
      </c>
      <c r="L14" s="43">
        <v>2992947</v>
      </c>
      <c r="M14" s="43">
        <v>388744</v>
      </c>
      <c r="N14" s="43">
        <v>3381691</v>
      </c>
      <c r="O14" s="43">
        <v>3755467</v>
      </c>
      <c r="P14" s="43">
        <v>483406</v>
      </c>
      <c r="Q14" s="43">
        <v>4238873</v>
      </c>
    </row>
    <row r="15" spans="2:17" s="13" customFormat="1" ht="45" customHeight="1" x14ac:dyDescent="0.2">
      <c r="B15" s="12" t="s">
        <v>15</v>
      </c>
      <c r="C15" s="43">
        <v>1729803</v>
      </c>
      <c r="D15" s="43">
        <v>295936</v>
      </c>
      <c r="E15" s="43">
        <v>2025739</v>
      </c>
      <c r="F15" s="43">
        <v>1720554</v>
      </c>
      <c r="G15" s="43">
        <v>334995</v>
      </c>
      <c r="H15" s="43">
        <v>2055549</v>
      </c>
      <c r="I15" s="43">
        <v>1353280</v>
      </c>
      <c r="J15" s="43">
        <v>346669</v>
      </c>
      <c r="K15" s="43">
        <v>1699949</v>
      </c>
      <c r="L15" s="43">
        <v>1652795</v>
      </c>
      <c r="M15" s="43">
        <v>340534</v>
      </c>
      <c r="N15" s="43">
        <v>1993329</v>
      </c>
      <c r="O15" s="43">
        <v>1966277</v>
      </c>
      <c r="P15" s="43">
        <v>439481</v>
      </c>
      <c r="Q15" s="43">
        <v>2405758</v>
      </c>
    </row>
    <row r="16" spans="2:17" s="13" customFormat="1" ht="45" customHeight="1" x14ac:dyDescent="0.2">
      <c r="B16" s="12" t="s">
        <v>16</v>
      </c>
      <c r="C16" s="43">
        <v>1580041</v>
      </c>
      <c r="D16" s="43">
        <v>311934</v>
      </c>
      <c r="E16" s="43">
        <v>1891975</v>
      </c>
      <c r="F16" s="43">
        <v>1464791</v>
      </c>
      <c r="G16" s="43">
        <v>355086</v>
      </c>
      <c r="H16" s="43">
        <v>1819877</v>
      </c>
      <c r="I16" s="43">
        <v>1302157</v>
      </c>
      <c r="J16" s="43">
        <v>379828</v>
      </c>
      <c r="K16" s="43">
        <v>1681985</v>
      </c>
      <c r="L16" s="43">
        <v>1703789</v>
      </c>
      <c r="M16" s="43">
        <v>373351</v>
      </c>
      <c r="N16" s="43">
        <v>2077140</v>
      </c>
      <c r="O16" s="43">
        <v>1950705</v>
      </c>
      <c r="P16" s="43">
        <v>484111</v>
      </c>
      <c r="Q16" s="43">
        <v>2434816</v>
      </c>
    </row>
    <row r="17" spans="2:17" s="13" customFormat="1" ht="42" customHeight="1" x14ac:dyDescent="0.2">
      <c r="B17" s="12" t="s">
        <v>17</v>
      </c>
      <c r="C17" s="44">
        <v>36837900</v>
      </c>
      <c r="D17" s="44">
        <v>4789346</v>
      </c>
      <c r="E17" s="44">
        <v>41627246</v>
      </c>
      <c r="F17" s="44">
        <v>36244632</v>
      </c>
      <c r="G17" s="44">
        <v>4869437</v>
      </c>
      <c r="H17" s="44">
        <v>41114069</v>
      </c>
      <c r="I17" s="44">
        <v>25352213</v>
      </c>
      <c r="J17" s="44">
        <v>5554467</v>
      </c>
      <c r="K17" s="44">
        <v>30906680</v>
      </c>
      <c r="L17" s="44">
        <v>32410034</v>
      </c>
      <c r="M17" s="44">
        <v>5559790</v>
      </c>
      <c r="N17" s="44">
        <v>37969824</v>
      </c>
      <c r="O17" s="44">
        <v>39488401</v>
      </c>
      <c r="P17" s="44">
        <v>6624191</v>
      </c>
      <c r="Q17" s="44">
        <v>46112592</v>
      </c>
    </row>
    <row r="18" spans="2:17" s="13" customFormat="1" ht="11.25" customHeight="1" x14ac:dyDescent="0.2">
      <c r="B18" s="14"/>
      <c r="C18" s="15"/>
      <c r="D18" s="15"/>
      <c r="E18" s="15"/>
      <c r="F18" s="15"/>
      <c r="G18" s="15"/>
      <c r="H18" s="15"/>
      <c r="I18" s="15"/>
      <c r="J18" s="15"/>
      <c r="K18" s="15"/>
      <c r="L18" s="15"/>
      <c r="M18" s="15"/>
      <c r="N18" s="15"/>
      <c r="O18" s="15"/>
      <c r="P18" s="15"/>
      <c r="Q18" s="15"/>
    </row>
    <row r="19" spans="2:17" ht="19.5" customHeight="1" x14ac:dyDescent="0.2">
      <c r="B19" s="399" t="s">
        <v>18</v>
      </c>
      <c r="C19" s="400"/>
      <c r="D19" s="400"/>
      <c r="E19" s="400"/>
      <c r="F19" s="400"/>
      <c r="G19" s="400"/>
      <c r="H19" s="400"/>
      <c r="I19" s="400"/>
      <c r="J19" s="400"/>
      <c r="K19" s="400"/>
      <c r="L19" s="400"/>
      <c r="M19" s="400"/>
      <c r="N19" s="400"/>
      <c r="O19" s="400"/>
      <c r="P19" s="400"/>
      <c r="Q19" s="400"/>
    </row>
    <row r="20" spans="2:17" ht="19.5" customHeight="1" x14ac:dyDescent="0.2">
      <c r="B20" s="399" t="s">
        <v>19</v>
      </c>
      <c r="C20" s="400"/>
      <c r="D20" s="400"/>
      <c r="E20" s="400"/>
      <c r="F20" s="400"/>
      <c r="G20" s="400"/>
      <c r="H20" s="400"/>
      <c r="I20" s="400"/>
      <c r="J20" s="400"/>
      <c r="K20" s="400"/>
      <c r="L20" s="400"/>
      <c r="M20" s="400"/>
      <c r="N20" s="400"/>
      <c r="O20" s="400"/>
      <c r="P20" s="400"/>
      <c r="Q20" s="400"/>
    </row>
    <row r="21" spans="2:17" ht="7.5" customHeight="1" x14ac:dyDescent="0.2">
      <c r="B21" s="9"/>
    </row>
    <row r="22" spans="2:17" ht="7.5" customHeight="1" x14ac:dyDescent="0.2">
      <c r="B22" s="9"/>
    </row>
    <row r="23" spans="2:17" s="18" customFormat="1" ht="7.5" customHeight="1" x14ac:dyDescent="0.2">
      <c r="B23" s="17"/>
    </row>
    <row r="24" spans="2:17" s="18" customFormat="1" ht="7.5" customHeight="1" x14ac:dyDescent="0.2">
      <c r="B24" s="17"/>
    </row>
    <row r="25" spans="2:17" s="18" customFormat="1" ht="7.5" customHeight="1" x14ac:dyDescent="0.2">
      <c r="B25" s="17"/>
    </row>
    <row r="26" spans="2:17" s="18" customFormat="1" ht="7.5" customHeight="1" x14ac:dyDescent="0.2">
      <c r="B26" s="17"/>
    </row>
    <row r="27" spans="2:17" ht="7.5" customHeight="1" x14ac:dyDescent="0.2">
      <c r="B27" s="9"/>
    </row>
    <row r="28" spans="2:17" ht="7.5" customHeight="1" x14ac:dyDescent="0.2">
      <c r="B28" s="9"/>
    </row>
    <row r="29" spans="2:17" ht="7.5" customHeight="1" x14ac:dyDescent="0.2">
      <c r="B29" s="9"/>
    </row>
    <row r="30" spans="2:17" ht="7.5" customHeight="1" x14ac:dyDescent="0.2">
      <c r="B30" s="9"/>
    </row>
    <row r="31" spans="2:17" ht="30" customHeight="1" x14ac:dyDescent="0.2">
      <c r="B31" s="398" t="s">
        <v>637</v>
      </c>
      <c r="C31" s="398"/>
      <c r="D31" s="398"/>
      <c r="E31" s="398"/>
      <c r="F31" s="398"/>
      <c r="G31" s="398"/>
      <c r="H31" s="398"/>
      <c r="I31" s="398"/>
      <c r="J31" s="398"/>
      <c r="K31" s="398"/>
      <c r="L31" s="398"/>
      <c r="M31" s="398"/>
      <c r="N31" s="398"/>
      <c r="O31" s="398"/>
      <c r="P31" s="398"/>
      <c r="Q31" s="398"/>
    </row>
    <row r="32" spans="2:17" ht="7.5" customHeight="1" x14ac:dyDescent="0.2"/>
    <row r="33" spans="2:17" ht="28.5" customHeight="1" x14ac:dyDescent="0.3">
      <c r="B33" s="407" t="s">
        <v>265</v>
      </c>
      <c r="C33" s="406" t="s">
        <v>1</v>
      </c>
      <c r="D33" s="406"/>
      <c r="E33" s="406"/>
      <c r="F33" s="406"/>
      <c r="G33" s="406"/>
      <c r="H33" s="406"/>
      <c r="I33" s="406"/>
      <c r="J33" s="406"/>
      <c r="K33" s="406"/>
      <c r="L33" s="406"/>
      <c r="M33" s="406"/>
      <c r="N33" s="406"/>
      <c r="O33" s="406"/>
      <c r="P33" s="406"/>
      <c r="Q33" s="406"/>
    </row>
    <row r="34" spans="2:17" ht="28.5" customHeight="1" x14ac:dyDescent="0.25">
      <c r="B34" s="408"/>
      <c r="C34" s="405">
        <v>2019</v>
      </c>
      <c r="D34" s="405"/>
      <c r="E34" s="405"/>
      <c r="F34" s="405">
        <v>2020</v>
      </c>
      <c r="G34" s="405"/>
      <c r="H34" s="405"/>
      <c r="I34" s="405">
        <v>2021</v>
      </c>
      <c r="J34" s="405"/>
      <c r="K34" s="405"/>
      <c r="L34" s="405">
        <v>2022</v>
      </c>
      <c r="M34" s="405"/>
      <c r="N34" s="405"/>
      <c r="O34" s="405">
        <v>2023</v>
      </c>
      <c r="P34" s="405"/>
      <c r="Q34" s="405"/>
    </row>
    <row r="35" spans="2:17" s="8" customFormat="1" ht="47.25" customHeight="1" x14ac:dyDescent="0.2">
      <c r="B35" s="409"/>
      <c r="C35" s="21" t="s">
        <v>2</v>
      </c>
      <c r="D35" s="21" t="s">
        <v>3</v>
      </c>
      <c r="E35" s="21" t="s">
        <v>4</v>
      </c>
      <c r="F35" s="21" t="s">
        <v>2</v>
      </c>
      <c r="G35" s="21" t="s">
        <v>3</v>
      </c>
      <c r="H35" s="21" t="s">
        <v>4</v>
      </c>
      <c r="I35" s="21" t="s">
        <v>2</v>
      </c>
      <c r="J35" s="21" t="s">
        <v>3</v>
      </c>
      <c r="K35" s="21" t="s">
        <v>4</v>
      </c>
      <c r="L35" s="21" t="s">
        <v>2</v>
      </c>
      <c r="M35" s="21" t="s">
        <v>3</v>
      </c>
      <c r="N35" s="21" t="s">
        <v>4</v>
      </c>
      <c r="O35" s="21" t="s">
        <v>2</v>
      </c>
      <c r="P35" s="21" t="s">
        <v>3</v>
      </c>
      <c r="Q35" s="21" t="s">
        <v>4</v>
      </c>
    </row>
    <row r="36" spans="2:17" s="13" customFormat="1" ht="45" customHeight="1" x14ac:dyDescent="0.2">
      <c r="B36" s="12" t="s">
        <v>5</v>
      </c>
      <c r="C36" s="43">
        <v>1539496</v>
      </c>
      <c r="D36" s="43">
        <v>460146</v>
      </c>
      <c r="E36" s="43">
        <v>1999642</v>
      </c>
      <c r="F36" s="43">
        <v>1787435</v>
      </c>
      <c r="G36" s="43">
        <v>499575</v>
      </c>
      <c r="H36" s="43">
        <v>2287010</v>
      </c>
      <c r="I36" s="43">
        <v>509787</v>
      </c>
      <c r="J36" s="43">
        <v>217514</v>
      </c>
      <c r="K36" s="43">
        <v>727301</v>
      </c>
      <c r="L36" s="43">
        <v>1281666</v>
      </c>
      <c r="M36" s="43">
        <v>472638</v>
      </c>
      <c r="N36" s="43">
        <v>1754304</v>
      </c>
      <c r="O36" s="43">
        <v>2005967</v>
      </c>
      <c r="P36" s="43">
        <v>629877</v>
      </c>
      <c r="Q36" s="43">
        <v>2635844</v>
      </c>
    </row>
    <row r="37" spans="2:17" s="13" customFormat="1" ht="45" customHeight="1" x14ac:dyDescent="0.2">
      <c r="B37" s="12" t="s">
        <v>6</v>
      </c>
      <c r="C37" s="43">
        <v>1670238</v>
      </c>
      <c r="D37" s="43">
        <v>443671</v>
      </c>
      <c r="E37" s="43">
        <v>2113909</v>
      </c>
      <c r="F37" s="43">
        <v>1733112</v>
      </c>
      <c r="G37" s="43">
        <v>463341</v>
      </c>
      <c r="H37" s="43">
        <v>2196453</v>
      </c>
      <c r="I37" s="43">
        <v>537976</v>
      </c>
      <c r="J37" s="43">
        <v>226338</v>
      </c>
      <c r="K37" s="43">
        <v>764314</v>
      </c>
      <c r="L37" s="43">
        <v>1541393</v>
      </c>
      <c r="M37" s="43">
        <v>463623</v>
      </c>
      <c r="N37" s="43">
        <v>2005016</v>
      </c>
      <c r="O37" s="43">
        <v>1870414</v>
      </c>
      <c r="P37" s="43">
        <v>433583</v>
      </c>
      <c r="Q37" s="43">
        <v>2303997</v>
      </c>
    </row>
    <row r="38" spans="2:17" s="13" customFormat="1" ht="45" customHeight="1" x14ac:dyDescent="0.2">
      <c r="B38" s="12" t="s">
        <v>7</v>
      </c>
      <c r="C38" s="43">
        <v>2232358</v>
      </c>
      <c r="D38" s="43">
        <v>513801</v>
      </c>
      <c r="E38" s="43">
        <v>2746159</v>
      </c>
      <c r="F38" s="43">
        <v>718097</v>
      </c>
      <c r="G38" s="43">
        <v>250440</v>
      </c>
      <c r="H38" s="43">
        <v>968537</v>
      </c>
      <c r="I38" s="43">
        <v>905323</v>
      </c>
      <c r="J38" s="43">
        <v>293048</v>
      </c>
      <c r="K38" s="43">
        <v>1198371</v>
      </c>
      <c r="L38" s="43">
        <v>2079565</v>
      </c>
      <c r="M38" s="43">
        <v>472568</v>
      </c>
      <c r="N38" s="43">
        <v>2552133</v>
      </c>
      <c r="O38" s="43">
        <v>2335728</v>
      </c>
      <c r="P38" s="43">
        <v>495854</v>
      </c>
      <c r="Q38" s="43">
        <v>2831582</v>
      </c>
    </row>
    <row r="39" spans="2:17" s="13" customFormat="1" ht="45" customHeight="1" x14ac:dyDescent="0.2">
      <c r="B39" s="12" t="s">
        <v>8</v>
      </c>
      <c r="C39" s="43">
        <v>3293176</v>
      </c>
      <c r="D39" s="43">
        <v>516643</v>
      </c>
      <c r="E39" s="43">
        <v>3809819</v>
      </c>
      <c r="F39" s="43">
        <v>24238</v>
      </c>
      <c r="G39" s="43">
        <v>1</v>
      </c>
      <c r="H39" s="43">
        <v>24239</v>
      </c>
      <c r="I39" s="43">
        <v>790687</v>
      </c>
      <c r="J39" s="43">
        <v>281809</v>
      </c>
      <c r="K39" s="43">
        <v>1072496</v>
      </c>
      <c r="L39" s="43">
        <v>2574423</v>
      </c>
      <c r="M39" s="43">
        <v>549793</v>
      </c>
      <c r="N39" s="43">
        <v>3124216</v>
      </c>
      <c r="O39" s="43">
        <v>3321824</v>
      </c>
      <c r="P39" s="43">
        <v>578687</v>
      </c>
      <c r="Q39" s="43">
        <v>3900511</v>
      </c>
    </row>
    <row r="40" spans="2:17" s="13" customFormat="1" ht="45" customHeight="1" x14ac:dyDescent="0.2">
      <c r="B40" s="12" t="s">
        <v>9</v>
      </c>
      <c r="C40" s="43">
        <v>4022254</v>
      </c>
      <c r="D40" s="43">
        <v>489766</v>
      </c>
      <c r="E40" s="43">
        <v>4512020</v>
      </c>
      <c r="F40" s="43">
        <v>29829</v>
      </c>
      <c r="G40" s="43">
        <v>563</v>
      </c>
      <c r="H40" s="43">
        <v>30392</v>
      </c>
      <c r="I40" s="43">
        <v>936282</v>
      </c>
      <c r="J40" s="43">
        <v>318391</v>
      </c>
      <c r="K40" s="43">
        <v>1254673</v>
      </c>
      <c r="L40" s="43">
        <v>3873212</v>
      </c>
      <c r="M40" s="43">
        <v>656919</v>
      </c>
      <c r="N40" s="43">
        <v>4530131</v>
      </c>
      <c r="O40" s="43">
        <v>4500242</v>
      </c>
      <c r="P40" s="43">
        <v>511197</v>
      </c>
      <c r="Q40" s="43">
        <v>5011439</v>
      </c>
    </row>
    <row r="41" spans="2:17" s="13" customFormat="1" ht="45" customHeight="1" x14ac:dyDescent="0.2">
      <c r="B41" s="12" t="s">
        <v>10</v>
      </c>
      <c r="C41" s="43">
        <v>5318984</v>
      </c>
      <c r="D41" s="43">
        <v>650997</v>
      </c>
      <c r="E41" s="43">
        <v>5969981</v>
      </c>
      <c r="F41" s="43">
        <v>214768</v>
      </c>
      <c r="G41" s="43">
        <v>1640</v>
      </c>
      <c r="H41" s="43">
        <v>216408</v>
      </c>
      <c r="I41" s="43">
        <v>2047596</v>
      </c>
      <c r="J41" s="43">
        <v>493276</v>
      </c>
      <c r="K41" s="43">
        <v>2540872</v>
      </c>
      <c r="L41" s="43">
        <v>5014821</v>
      </c>
      <c r="M41" s="43">
        <v>549997</v>
      </c>
      <c r="N41" s="43">
        <v>5564818</v>
      </c>
      <c r="O41" s="43">
        <v>5584021</v>
      </c>
      <c r="P41" s="43">
        <v>678008</v>
      </c>
      <c r="Q41" s="43">
        <v>6262029</v>
      </c>
    </row>
    <row r="42" spans="2:17" s="13" customFormat="1" ht="45" customHeight="1" x14ac:dyDescent="0.2">
      <c r="B42" s="12" t="s">
        <v>11</v>
      </c>
      <c r="C42" s="43">
        <v>6617380</v>
      </c>
      <c r="D42" s="43">
        <v>796507</v>
      </c>
      <c r="E42" s="43">
        <v>7413887</v>
      </c>
      <c r="F42" s="43">
        <v>932927</v>
      </c>
      <c r="G42" s="43">
        <v>448877</v>
      </c>
      <c r="H42" s="43">
        <v>1381804</v>
      </c>
      <c r="I42" s="43">
        <v>4360952</v>
      </c>
      <c r="J42" s="43">
        <v>959040</v>
      </c>
      <c r="K42" s="43">
        <v>5319992</v>
      </c>
      <c r="L42" s="43">
        <v>6664970</v>
      </c>
      <c r="M42" s="43">
        <v>1055722</v>
      </c>
      <c r="N42" s="43">
        <v>7720692</v>
      </c>
      <c r="O42" s="43">
        <v>7148044</v>
      </c>
      <c r="P42" s="43">
        <v>1147863</v>
      </c>
      <c r="Q42" s="43">
        <v>8295907</v>
      </c>
    </row>
    <row r="43" spans="2:17" s="13" customFormat="1" ht="45" customHeight="1" x14ac:dyDescent="0.2">
      <c r="B43" s="12" t="s">
        <v>12</v>
      </c>
      <c r="C43" s="43">
        <v>6307508</v>
      </c>
      <c r="D43" s="43">
        <v>708822</v>
      </c>
      <c r="E43" s="43">
        <v>7016330</v>
      </c>
      <c r="F43" s="43">
        <v>1814701</v>
      </c>
      <c r="G43" s="43">
        <v>377550</v>
      </c>
      <c r="H43" s="43">
        <v>2192251</v>
      </c>
      <c r="I43" s="43">
        <v>3982168</v>
      </c>
      <c r="J43" s="43">
        <v>648166</v>
      </c>
      <c r="K43" s="43">
        <v>4630334</v>
      </c>
      <c r="L43" s="43">
        <v>6304770</v>
      </c>
      <c r="M43" s="43">
        <v>697452</v>
      </c>
      <c r="N43" s="43">
        <v>7002222</v>
      </c>
      <c r="O43" s="43">
        <v>6660700</v>
      </c>
      <c r="P43" s="43">
        <v>827105</v>
      </c>
      <c r="Q43" s="43">
        <v>7487805</v>
      </c>
    </row>
    <row r="44" spans="2:17" s="13" customFormat="1" ht="45" customHeight="1" x14ac:dyDescent="0.2">
      <c r="B44" s="12" t="s">
        <v>13</v>
      </c>
      <c r="C44" s="43">
        <v>5426818</v>
      </c>
      <c r="D44" s="43">
        <v>555971</v>
      </c>
      <c r="E44" s="43">
        <v>5982789</v>
      </c>
      <c r="F44" s="43">
        <v>2203482</v>
      </c>
      <c r="G44" s="43">
        <v>330894</v>
      </c>
      <c r="H44" s="43">
        <v>2534376</v>
      </c>
      <c r="I44" s="43">
        <v>3513453</v>
      </c>
      <c r="J44" s="43">
        <v>485852</v>
      </c>
      <c r="K44" s="43">
        <v>3999305</v>
      </c>
      <c r="L44" s="43">
        <v>5475453</v>
      </c>
      <c r="M44" s="43">
        <v>517914</v>
      </c>
      <c r="N44" s="43">
        <v>5993367</v>
      </c>
      <c r="O44" s="43">
        <v>5786027</v>
      </c>
      <c r="P44" s="43">
        <v>714928</v>
      </c>
      <c r="Q44" s="43">
        <v>6500955</v>
      </c>
    </row>
    <row r="45" spans="2:17" s="13" customFormat="1" ht="45" customHeight="1" x14ac:dyDescent="0.2">
      <c r="B45" s="12" t="s">
        <v>14</v>
      </c>
      <c r="C45" s="43">
        <v>4291574</v>
      </c>
      <c r="D45" s="43">
        <v>526427</v>
      </c>
      <c r="E45" s="43">
        <v>4818001</v>
      </c>
      <c r="F45" s="43">
        <v>1742303</v>
      </c>
      <c r="G45" s="43">
        <v>301698</v>
      </c>
      <c r="H45" s="43">
        <v>2044001</v>
      </c>
      <c r="I45" s="43">
        <v>3471540</v>
      </c>
      <c r="J45" s="43">
        <v>495823</v>
      </c>
      <c r="K45" s="43">
        <v>3967363</v>
      </c>
      <c r="L45" s="43">
        <v>4803198</v>
      </c>
      <c r="M45" s="43">
        <v>569922</v>
      </c>
      <c r="N45" s="43">
        <v>5373120</v>
      </c>
      <c r="O45" s="43">
        <v>4987112</v>
      </c>
      <c r="P45" s="43">
        <v>494088</v>
      </c>
      <c r="Q45" s="43">
        <v>5481200</v>
      </c>
    </row>
    <row r="46" spans="2:17" s="13" customFormat="1" ht="45" customHeight="1" x14ac:dyDescent="0.2">
      <c r="B46" s="12" t="s">
        <v>15</v>
      </c>
      <c r="C46" s="43">
        <v>2190622</v>
      </c>
      <c r="D46" s="43">
        <v>502529</v>
      </c>
      <c r="E46" s="43">
        <v>2693151</v>
      </c>
      <c r="F46" s="43">
        <v>833991</v>
      </c>
      <c r="G46" s="43">
        <v>270843</v>
      </c>
      <c r="H46" s="43">
        <v>1104834</v>
      </c>
      <c r="I46" s="43">
        <v>1763982</v>
      </c>
      <c r="J46" s="43">
        <v>317261</v>
      </c>
      <c r="K46" s="43">
        <v>2081243</v>
      </c>
      <c r="L46" s="43">
        <v>2551483</v>
      </c>
      <c r="M46" s="43">
        <v>402877</v>
      </c>
      <c r="N46" s="43">
        <v>2954360</v>
      </c>
      <c r="O46" s="43">
        <v>2525345</v>
      </c>
      <c r="P46" s="43">
        <v>475792</v>
      </c>
      <c r="Q46" s="43">
        <v>3001137</v>
      </c>
    </row>
    <row r="47" spans="2:17" s="13" customFormat="1" ht="45" customHeight="1" x14ac:dyDescent="0.2">
      <c r="B47" s="12" t="s">
        <v>16</v>
      </c>
      <c r="C47" s="43">
        <v>2147878</v>
      </c>
      <c r="D47" s="43">
        <v>523633</v>
      </c>
      <c r="E47" s="43">
        <v>2671511</v>
      </c>
      <c r="F47" s="43">
        <v>699330</v>
      </c>
      <c r="G47" s="43">
        <v>291566</v>
      </c>
      <c r="H47" s="43">
        <v>990896</v>
      </c>
      <c r="I47" s="43">
        <v>1892520</v>
      </c>
      <c r="J47" s="43">
        <v>590177</v>
      </c>
      <c r="K47" s="43">
        <v>2482697</v>
      </c>
      <c r="L47" s="43">
        <v>2399441</v>
      </c>
      <c r="M47" s="43">
        <v>413693</v>
      </c>
      <c r="N47" s="43">
        <v>2813134</v>
      </c>
      <c r="O47" s="43">
        <v>2483756</v>
      </c>
      <c r="P47" s="43">
        <v>497675</v>
      </c>
      <c r="Q47" s="43">
        <v>2981431</v>
      </c>
    </row>
    <row r="48" spans="2:17" s="13" customFormat="1" ht="42" customHeight="1" x14ac:dyDescent="0.2">
      <c r="B48" s="12" t="s">
        <v>17</v>
      </c>
      <c r="C48" s="44">
        <v>45058286</v>
      </c>
      <c r="D48" s="44">
        <v>6688913</v>
      </c>
      <c r="E48" s="44">
        <v>51747199</v>
      </c>
      <c r="F48" s="44">
        <v>12734213</v>
      </c>
      <c r="G48" s="44">
        <v>3236988</v>
      </c>
      <c r="H48" s="44">
        <v>15971201</v>
      </c>
      <c r="I48" s="44">
        <v>24712266</v>
      </c>
      <c r="J48" s="44">
        <v>5326695</v>
      </c>
      <c r="K48" s="44">
        <v>30038961</v>
      </c>
      <c r="L48" s="44">
        <v>44564395</v>
      </c>
      <c r="M48" s="44">
        <v>6823118</v>
      </c>
      <c r="N48" s="44">
        <v>51387513</v>
      </c>
      <c r="O48" s="44">
        <v>49209180</v>
      </c>
      <c r="P48" s="44">
        <v>7484657</v>
      </c>
      <c r="Q48" s="44">
        <v>56693837</v>
      </c>
    </row>
    <row r="50" spans="2:17" x14ac:dyDescent="0.2">
      <c r="B50" s="399" t="s">
        <v>18</v>
      </c>
      <c r="C50" s="400"/>
      <c r="D50" s="400"/>
      <c r="E50" s="400"/>
      <c r="F50" s="400"/>
      <c r="G50" s="400"/>
      <c r="H50" s="400"/>
      <c r="I50" s="400"/>
      <c r="J50" s="400"/>
      <c r="K50" s="400"/>
      <c r="L50" s="400"/>
      <c r="M50" s="400"/>
      <c r="N50" s="400"/>
      <c r="O50" s="400"/>
      <c r="P50" s="400"/>
      <c r="Q50" s="400"/>
    </row>
    <row r="51" spans="2:17" x14ac:dyDescent="0.2">
      <c r="B51" s="399" t="s">
        <v>19</v>
      </c>
      <c r="C51" s="400"/>
      <c r="D51" s="400"/>
      <c r="E51" s="400"/>
      <c r="F51" s="400"/>
      <c r="G51" s="400"/>
      <c r="H51" s="400"/>
      <c r="I51" s="400"/>
      <c r="J51" s="400"/>
      <c r="K51" s="400"/>
      <c r="L51" s="400"/>
      <c r="M51" s="400"/>
      <c r="N51" s="400"/>
      <c r="O51" s="400"/>
      <c r="P51" s="400"/>
      <c r="Q51" s="400"/>
    </row>
  </sheetData>
  <mergeCells count="20">
    <mergeCell ref="B51:Q51"/>
    <mergeCell ref="O34:Q34"/>
    <mergeCell ref="B1:Q1"/>
    <mergeCell ref="C33:Q33"/>
    <mergeCell ref="B33:B35"/>
    <mergeCell ref="B2:B4"/>
    <mergeCell ref="C2:Q2"/>
    <mergeCell ref="C3:E3"/>
    <mergeCell ref="F3:H3"/>
    <mergeCell ref="I3:K3"/>
    <mergeCell ref="L3:N3"/>
    <mergeCell ref="O3:Q3"/>
    <mergeCell ref="B19:Q19"/>
    <mergeCell ref="B20:Q20"/>
    <mergeCell ref="C34:E34"/>
    <mergeCell ref="F34:H34"/>
    <mergeCell ref="I34:K34"/>
    <mergeCell ref="L34:N34"/>
    <mergeCell ref="B31:Q31"/>
    <mergeCell ref="B50:Q50"/>
  </mergeCells>
  <printOptions horizontalCentered="1"/>
  <pageMargins left="0.35433070866141736" right="0.35433070866141736" top="0.74803149606299213" bottom="0.74803149606299213" header="0.31496062992125984" footer="0.31496062992125984"/>
  <pageSetup scale="59" orientation="landscape" r:id="rId1"/>
  <headerFooter alignWithMargins="0"/>
  <rowBreaks count="1" manualBreakCount="1">
    <brk id="30"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1:L19"/>
  <sheetViews>
    <sheetView view="pageBreakPreview" zoomScaleNormal="100" zoomScaleSheetLayoutView="100" workbookViewId="0"/>
  </sheetViews>
  <sheetFormatPr defaultColWidth="9.140625" defaultRowHeight="12.75" x14ac:dyDescent="0.2"/>
  <cols>
    <col min="2" max="2" width="14.7109375" style="6" customWidth="1"/>
    <col min="3" max="12" width="14.7109375" customWidth="1"/>
  </cols>
  <sheetData>
    <row r="1" spans="2:12" ht="30" customHeight="1" x14ac:dyDescent="0.2">
      <c r="B1" s="411" t="s">
        <v>606</v>
      </c>
      <c r="C1" s="412"/>
      <c r="D1" s="412"/>
      <c r="E1" s="412"/>
      <c r="F1" s="412"/>
      <c r="G1" s="412"/>
      <c r="H1" s="412"/>
      <c r="I1" s="412"/>
      <c r="J1" s="412"/>
      <c r="K1" s="412"/>
      <c r="L1" s="412"/>
    </row>
    <row r="2" spans="2:12" s="16" customFormat="1" ht="14.25" customHeight="1" x14ac:dyDescent="0.2">
      <c r="B2" s="22"/>
      <c r="C2" s="23"/>
      <c r="D2" s="23"/>
      <c r="E2" s="23"/>
      <c r="F2" s="23"/>
      <c r="G2" s="23"/>
      <c r="H2" s="23"/>
      <c r="I2" s="23"/>
      <c r="J2" s="23"/>
      <c r="K2" s="23"/>
      <c r="L2" s="23"/>
    </row>
    <row r="3" spans="2:12" ht="30" customHeight="1" x14ac:dyDescent="0.2">
      <c r="B3" s="407" t="s">
        <v>265</v>
      </c>
      <c r="C3" s="413" t="s">
        <v>1</v>
      </c>
      <c r="D3" s="414"/>
      <c r="E3" s="414"/>
      <c r="F3" s="414"/>
      <c r="G3" s="414"/>
      <c r="H3" s="414"/>
      <c r="I3" s="414"/>
      <c r="J3" s="414"/>
      <c r="K3" s="414"/>
      <c r="L3" s="415"/>
    </row>
    <row r="4" spans="2:12" ht="30" customHeight="1" x14ac:dyDescent="0.2">
      <c r="B4" s="409"/>
      <c r="C4" s="21">
        <v>2014</v>
      </c>
      <c r="D4" s="21">
        <v>2015</v>
      </c>
      <c r="E4" s="21">
        <v>2016</v>
      </c>
      <c r="F4" s="21">
        <v>2017</v>
      </c>
      <c r="G4" s="21">
        <v>2018</v>
      </c>
      <c r="H4" s="21">
        <v>2019</v>
      </c>
      <c r="I4" s="21">
        <v>2020</v>
      </c>
      <c r="J4" s="21">
        <v>2021</v>
      </c>
      <c r="K4" s="21">
        <v>2022</v>
      </c>
      <c r="L4" s="21">
        <v>2023</v>
      </c>
    </row>
    <row r="5" spans="2:12" ht="30" customHeight="1" x14ac:dyDescent="0.2">
      <c r="B5" s="12" t="s">
        <v>5</v>
      </c>
      <c r="C5" s="41">
        <v>15453</v>
      </c>
      <c r="D5" s="41">
        <v>13974</v>
      </c>
      <c r="E5" s="41">
        <v>4041</v>
      </c>
      <c r="F5" s="41">
        <v>4726</v>
      </c>
      <c r="G5" s="41">
        <v>5021</v>
      </c>
      <c r="H5" s="41">
        <v>8357</v>
      </c>
      <c r="I5" s="41">
        <v>16769</v>
      </c>
      <c r="J5" s="41">
        <v>4800</v>
      </c>
      <c r="K5" s="41">
        <v>4110</v>
      </c>
      <c r="L5" s="41">
        <v>9820</v>
      </c>
    </row>
    <row r="6" spans="2:12" ht="30" customHeight="1" x14ac:dyDescent="0.2">
      <c r="B6" s="12" t="s">
        <v>6</v>
      </c>
      <c r="C6" s="41">
        <v>10917</v>
      </c>
      <c r="D6" s="41">
        <v>12514</v>
      </c>
      <c r="E6" s="41">
        <v>3965</v>
      </c>
      <c r="F6" s="41">
        <v>3624</v>
      </c>
      <c r="G6" s="41">
        <v>4541</v>
      </c>
      <c r="H6" s="41">
        <v>9460</v>
      </c>
      <c r="I6" s="41">
        <v>9935</v>
      </c>
      <c r="J6" s="41">
        <v>4288</v>
      </c>
      <c r="K6" s="41">
        <v>4081</v>
      </c>
      <c r="L6" s="41">
        <v>3633</v>
      </c>
    </row>
    <row r="7" spans="2:12" ht="30" customHeight="1" x14ac:dyDescent="0.2">
      <c r="B7" s="12" t="s">
        <v>7</v>
      </c>
      <c r="C7" s="41">
        <v>16701</v>
      </c>
      <c r="D7" s="41">
        <v>24962</v>
      </c>
      <c r="E7" s="41">
        <v>21660</v>
      </c>
      <c r="F7" s="41">
        <v>9695</v>
      </c>
      <c r="G7" s="41">
        <v>6480</v>
      </c>
      <c r="H7" s="41">
        <v>14444</v>
      </c>
      <c r="I7" s="41">
        <v>6800</v>
      </c>
      <c r="J7" s="41">
        <v>4913</v>
      </c>
      <c r="K7" s="41">
        <v>569</v>
      </c>
      <c r="L7" s="41">
        <v>24962</v>
      </c>
    </row>
    <row r="8" spans="2:12" ht="30" customHeight="1" x14ac:dyDescent="0.2">
      <c r="B8" s="12" t="s">
        <v>8</v>
      </c>
      <c r="C8" s="41">
        <v>104964</v>
      </c>
      <c r="D8" s="41">
        <v>114747</v>
      </c>
      <c r="E8" s="41">
        <v>46367</v>
      </c>
      <c r="F8" s="41">
        <v>34193</v>
      </c>
      <c r="G8" s="41">
        <v>15136</v>
      </c>
      <c r="H8" s="41">
        <v>34930</v>
      </c>
      <c r="I8" s="41">
        <v>2558</v>
      </c>
      <c r="J8" s="41">
        <v>5420</v>
      </c>
      <c r="K8" s="41">
        <v>32207</v>
      </c>
      <c r="L8" s="41">
        <v>84033</v>
      </c>
    </row>
    <row r="9" spans="2:12" ht="30" customHeight="1" x14ac:dyDescent="0.2">
      <c r="B9" s="12" t="s">
        <v>9</v>
      </c>
      <c r="C9" s="41">
        <v>202729</v>
      </c>
      <c r="D9" s="41">
        <v>188855</v>
      </c>
      <c r="E9" s="41">
        <v>96034</v>
      </c>
      <c r="F9" s="41">
        <v>47873</v>
      </c>
      <c r="G9" s="41">
        <v>38906</v>
      </c>
      <c r="H9" s="41">
        <v>59617</v>
      </c>
      <c r="I9" s="41">
        <v>2653</v>
      </c>
      <c r="J9" s="41">
        <v>5293</v>
      </c>
      <c r="K9" s="41">
        <v>86437</v>
      </c>
      <c r="L9" s="41">
        <v>174090</v>
      </c>
    </row>
    <row r="10" spans="2:12" ht="30" customHeight="1" x14ac:dyDescent="0.2">
      <c r="B10" s="12" t="s">
        <v>10</v>
      </c>
      <c r="C10" s="41">
        <v>212714</v>
      </c>
      <c r="D10" s="41">
        <v>226200</v>
      </c>
      <c r="E10" s="41">
        <v>104350</v>
      </c>
      <c r="F10" s="41">
        <v>42100</v>
      </c>
      <c r="G10" s="41">
        <v>42223</v>
      </c>
      <c r="H10" s="41">
        <v>61235</v>
      </c>
      <c r="I10" s="41">
        <v>5505</v>
      </c>
      <c r="J10" s="41">
        <v>9940</v>
      </c>
      <c r="K10" s="41">
        <v>108370</v>
      </c>
      <c r="L10" s="41">
        <v>184676</v>
      </c>
    </row>
    <row r="11" spans="2:12" ht="30" customHeight="1" x14ac:dyDescent="0.2">
      <c r="B11" s="12" t="s">
        <v>11</v>
      </c>
      <c r="C11" s="41">
        <v>291479</v>
      </c>
      <c r="D11" s="41">
        <v>251248</v>
      </c>
      <c r="E11" s="41">
        <v>69574</v>
      </c>
      <c r="F11" s="41">
        <v>46752</v>
      </c>
      <c r="G11" s="41">
        <v>54386</v>
      </c>
      <c r="H11" s="41">
        <v>78952</v>
      </c>
      <c r="I11" s="41">
        <v>5190</v>
      </c>
      <c r="J11" s="41">
        <v>14581</v>
      </c>
      <c r="K11" s="41">
        <v>126187</v>
      </c>
      <c r="L11" s="41">
        <v>213082</v>
      </c>
    </row>
    <row r="12" spans="2:12" ht="30" customHeight="1" x14ac:dyDescent="0.2">
      <c r="B12" s="12" t="s">
        <v>12</v>
      </c>
      <c r="C12" s="41">
        <v>284514</v>
      </c>
      <c r="D12" s="41">
        <v>247621</v>
      </c>
      <c r="E12" s="41">
        <v>84306</v>
      </c>
      <c r="F12" s="41">
        <v>53414</v>
      </c>
      <c r="G12" s="41">
        <v>59442</v>
      </c>
      <c r="H12" s="41">
        <v>86741</v>
      </c>
      <c r="I12" s="41">
        <v>6852</v>
      </c>
      <c r="J12" s="41">
        <v>23523</v>
      </c>
      <c r="K12" s="41">
        <v>166535</v>
      </c>
      <c r="L12" s="41">
        <v>224101</v>
      </c>
    </row>
    <row r="13" spans="2:12" ht="30" customHeight="1" x14ac:dyDescent="0.2">
      <c r="B13" s="12" t="s">
        <v>13</v>
      </c>
      <c r="C13" s="41">
        <v>271349</v>
      </c>
      <c r="D13" s="41">
        <v>248214</v>
      </c>
      <c r="E13" s="41">
        <v>84518</v>
      </c>
      <c r="F13" s="41">
        <v>61211</v>
      </c>
      <c r="G13" s="41">
        <v>52702</v>
      </c>
      <c r="H13" s="41">
        <v>78086</v>
      </c>
      <c r="I13" s="41">
        <v>5769</v>
      </c>
      <c r="J13" s="41">
        <v>14296</v>
      </c>
      <c r="K13" s="41">
        <v>161267</v>
      </c>
      <c r="L13" s="41">
        <v>203383</v>
      </c>
    </row>
    <row r="14" spans="2:12" ht="30" customHeight="1" x14ac:dyDescent="0.2">
      <c r="B14" s="12" t="s">
        <v>14</v>
      </c>
      <c r="C14" s="41">
        <v>298008</v>
      </c>
      <c r="D14" s="41">
        <v>222569</v>
      </c>
      <c r="E14" s="41">
        <v>80478</v>
      </c>
      <c r="F14" s="41">
        <v>40720</v>
      </c>
      <c r="G14" s="41">
        <v>49386</v>
      </c>
      <c r="H14" s="41">
        <v>55243</v>
      </c>
      <c r="I14" s="41">
        <v>3852</v>
      </c>
      <c r="J14" s="41">
        <v>10158</v>
      </c>
      <c r="K14" s="41">
        <v>176786</v>
      </c>
      <c r="L14" s="41">
        <v>286028</v>
      </c>
    </row>
    <row r="15" spans="2:12" ht="30" customHeight="1" x14ac:dyDescent="0.2">
      <c r="B15" s="12" t="s">
        <v>15</v>
      </c>
      <c r="C15" s="41">
        <v>80806</v>
      </c>
      <c r="D15" s="41">
        <v>75058</v>
      </c>
      <c r="E15" s="41">
        <v>17524</v>
      </c>
      <c r="F15" s="41">
        <v>16432</v>
      </c>
      <c r="G15" s="41">
        <v>9676</v>
      </c>
      <c r="H15" s="41">
        <v>35051</v>
      </c>
      <c r="I15" s="41">
        <v>5898</v>
      </c>
      <c r="J15" s="41">
        <v>10242</v>
      </c>
      <c r="K15" s="41">
        <v>57384</v>
      </c>
      <c r="L15" s="41">
        <v>106011</v>
      </c>
    </row>
    <row r="16" spans="2:12" ht="30" customHeight="1" x14ac:dyDescent="0.2">
      <c r="B16" s="12" t="s">
        <v>16</v>
      </c>
      <c r="C16" s="41">
        <v>26368</v>
      </c>
      <c r="D16" s="41">
        <v>9733</v>
      </c>
      <c r="E16" s="41">
        <v>5074</v>
      </c>
      <c r="F16" s="41">
        <v>7838</v>
      </c>
      <c r="G16" s="41">
        <v>6979</v>
      </c>
      <c r="H16" s="41">
        <v>33201</v>
      </c>
      <c r="I16" s="41">
        <v>5453</v>
      </c>
      <c r="J16" s="41">
        <v>6066</v>
      </c>
      <c r="K16" s="41">
        <v>10781</v>
      </c>
      <c r="L16" s="41">
        <v>21404</v>
      </c>
    </row>
    <row r="17" spans="2:12" ht="30" customHeight="1" x14ac:dyDescent="0.2">
      <c r="B17" s="24" t="s">
        <v>17</v>
      </c>
      <c r="C17" s="42">
        <v>1816002</v>
      </c>
      <c r="D17" s="42">
        <v>1635695</v>
      </c>
      <c r="E17" s="42">
        <v>617891</v>
      </c>
      <c r="F17" s="42">
        <v>368578</v>
      </c>
      <c r="G17" s="42">
        <v>344878</v>
      </c>
      <c r="H17" s="42">
        <v>555317</v>
      </c>
      <c r="I17" s="42">
        <v>77234</v>
      </c>
      <c r="J17" s="42">
        <v>113520</v>
      </c>
      <c r="K17" s="42">
        <v>934714</v>
      </c>
      <c r="L17" s="42">
        <v>1535223</v>
      </c>
    </row>
    <row r="18" spans="2:12" s="16" customFormat="1" ht="30" customHeight="1" x14ac:dyDescent="0.2">
      <c r="B18" s="5"/>
      <c r="C18" s="2"/>
      <c r="D18" s="2"/>
      <c r="E18" s="2"/>
      <c r="F18" s="2"/>
      <c r="G18" s="2"/>
      <c r="H18" s="2"/>
      <c r="I18" s="2"/>
      <c r="J18" s="2"/>
      <c r="K18" s="2"/>
      <c r="L18" s="2"/>
    </row>
    <row r="19" spans="2:12" ht="30" customHeight="1" x14ac:dyDescent="0.25">
      <c r="B19" s="416" t="s">
        <v>18</v>
      </c>
      <c r="C19" s="417"/>
      <c r="D19" s="417"/>
      <c r="E19" s="417"/>
      <c r="F19" s="417"/>
      <c r="G19" s="417"/>
      <c r="H19" s="417"/>
      <c r="I19" s="417"/>
      <c r="J19" s="417"/>
      <c r="K19" s="417"/>
      <c r="L19" s="417"/>
    </row>
  </sheetData>
  <mergeCells count="4">
    <mergeCell ref="B1:L1"/>
    <mergeCell ref="C3:L3"/>
    <mergeCell ref="B19:L19"/>
    <mergeCell ref="B3:B4"/>
  </mergeCells>
  <printOptions horizontalCentered="1"/>
  <pageMargins left="0.70866141732283472" right="0.70866141732283472" top="0.74803149606299213" bottom="0.74803149606299213" header="0.31496062992125984" footer="0.31496062992125984"/>
  <pageSetup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Çalışma Sayfaları</vt:lpstr>
      </vt:variant>
      <vt:variant>
        <vt:i4>27</vt:i4>
      </vt:variant>
      <vt:variant>
        <vt:lpstr>Adlandırılmış Aralıklar</vt:lpstr>
      </vt:variant>
      <vt:variant>
        <vt:i4>33</vt:i4>
      </vt:variant>
    </vt:vector>
  </HeadingPairs>
  <TitlesOfParts>
    <vt:vector size="60" baseType="lpstr">
      <vt:lpstr>Kapak</vt:lpstr>
      <vt:lpstr>Toplam Ziyaretçi Sayısı</vt:lpstr>
      <vt:lpstr>Kişiler</vt:lpstr>
      <vt:lpstr>Açıklamalar-Yöntem</vt:lpstr>
      <vt:lpstr>Önsöz</vt:lpstr>
      <vt:lpstr>Kavramlar-Tanımlar</vt:lpstr>
      <vt:lpstr>İçindekiler</vt:lpstr>
      <vt:lpstr>A-Yıl-Aya Göre G. Ziyaretçi</vt:lpstr>
      <vt:lpstr>B-Yıl-Ay Göre Günübirlikçi</vt:lpstr>
      <vt:lpstr>C-Mil Göre G.Yabancı</vt:lpstr>
      <vt:lpstr>T1-Yıl-Aya Göre G. Yabancı</vt:lpstr>
      <vt:lpstr>T2-Mil-TaşıtA. Göre G.Yabancı</vt:lpstr>
      <vt:lpstr>T3-Ay-TaşıtA. Göre G.Yabancı</vt:lpstr>
      <vt:lpstr>T4-İl-TaşıtA. Göre G.Yabancı</vt:lpstr>
      <vt:lpstr>T5-SınırK.-Ay Göre G.Yabancı</vt:lpstr>
      <vt:lpstr>T6-Mil-Yıl Göre G.Yabancı</vt:lpstr>
      <vt:lpstr>T7-Mil-Ay Göre G.Yabancı</vt:lpstr>
      <vt:lpstr>T8-Mil-SınırK Göre G.Yabancı</vt:lpstr>
      <vt:lpstr>T9-Ay-Yıl Göre Y.Günübirlikçi</vt:lpstr>
      <vt:lpstr>T10-SınırK. Ay Göre Y.Günübirl.</vt:lpstr>
      <vt:lpstr>T11-GirişK-Mil.GöreY.Günübirl.</vt:lpstr>
      <vt:lpstr>T12-SınırK.-Yıl Göre Y.Günübir.</vt:lpstr>
      <vt:lpstr>T13-Yıl-Ay Göre Ç.Ziyaretçi</vt:lpstr>
      <vt:lpstr>T14-Mil-TaşıtA. Göre Ç.Yabancı</vt:lpstr>
      <vt:lpstr>T15-Ay-TaşıtA. Göre Ç Yabancı</vt:lpstr>
      <vt:lpstr>T16-SınırK.-TaşıtA Göre Ç.Yab.</vt:lpstr>
      <vt:lpstr>T17-SınırK.-Ay Göre Ç.Yabancı</vt:lpstr>
      <vt:lpstr>'Açıklamalar-Yöntem'!Yazdırma_Alanı</vt:lpstr>
      <vt:lpstr>'A-Yıl-Aya Göre G. Ziyaretçi'!Yazdırma_Alanı</vt:lpstr>
      <vt:lpstr>'B-Yıl-Ay Göre Günübirlikçi'!Yazdırma_Alanı</vt:lpstr>
      <vt:lpstr>'C-Mil Göre G.Yabancı'!Yazdırma_Alanı</vt:lpstr>
      <vt:lpstr>İçindekiler!Yazdırma_Alanı</vt:lpstr>
      <vt:lpstr>Kapak!Yazdırma_Alanı</vt:lpstr>
      <vt:lpstr>'Kavramlar-Tanımlar'!Yazdırma_Alanı</vt:lpstr>
      <vt:lpstr>Kişiler!Yazdırma_Alanı</vt:lpstr>
      <vt:lpstr>Önsöz!Yazdırma_Alanı</vt:lpstr>
      <vt:lpstr>'T10-SınırK. Ay Göre Y.Günübirl.'!Yazdırma_Alanı</vt:lpstr>
      <vt:lpstr>'T11-GirişK-Mil.GöreY.Günübirl.'!Yazdırma_Alanı</vt:lpstr>
      <vt:lpstr>'T12-SınırK.-Yıl Göre Y.Günübir.'!Yazdırma_Alanı</vt:lpstr>
      <vt:lpstr>'T13-Yıl-Ay Göre Ç.Ziyaretçi'!Yazdırma_Alanı</vt:lpstr>
      <vt:lpstr>'T14-Mil-TaşıtA. Göre Ç.Yabancı'!Yazdırma_Alanı</vt:lpstr>
      <vt:lpstr>'T15-Ay-TaşıtA. Göre Ç Yabancı'!Yazdırma_Alanı</vt:lpstr>
      <vt:lpstr>'T16-SınırK.-TaşıtA Göre Ç.Yab.'!Yazdırma_Alanı</vt:lpstr>
      <vt:lpstr>'T17-SınırK.-Ay Göre Ç.Yabancı'!Yazdırma_Alanı</vt:lpstr>
      <vt:lpstr>'T1-Yıl-Aya Göre G. Yabancı'!Yazdırma_Alanı</vt:lpstr>
      <vt:lpstr>'T2-Mil-TaşıtA. Göre G.Yabancı'!Yazdırma_Alanı</vt:lpstr>
      <vt:lpstr>'T3-Ay-TaşıtA. Göre G.Yabancı'!Yazdırma_Alanı</vt:lpstr>
      <vt:lpstr>'T4-İl-TaşıtA. Göre G.Yabancı'!Yazdırma_Alanı</vt:lpstr>
      <vt:lpstr>'T5-SınırK.-Ay Göre G.Yabancı'!Yazdırma_Alanı</vt:lpstr>
      <vt:lpstr>'T6-Mil-Yıl Göre G.Yabancı'!Yazdırma_Alanı</vt:lpstr>
      <vt:lpstr>'T7-Mil-Ay Göre G.Yabancı'!Yazdırma_Alanı</vt:lpstr>
      <vt:lpstr>'T8-Mil-SınırK Göre G.Yabancı'!Yazdırma_Alanı</vt:lpstr>
      <vt:lpstr>'T9-Ay-Yıl Göre Y.Günübirlikçi'!Yazdırma_Alanı</vt:lpstr>
      <vt:lpstr>'Toplam Ziyaretçi Sayısı'!Yazdırma_Alanı</vt:lpstr>
      <vt:lpstr>'C-Mil Göre G.Yabancı'!Yazdırma_Başlıkları</vt:lpstr>
      <vt:lpstr>'T11-GirişK-Mil.GöreY.Günübirl.'!Yazdırma_Başlıkları</vt:lpstr>
      <vt:lpstr>'T17-SınırK.-Ay Göre Ç.Yabancı'!Yazdırma_Başlıkları</vt:lpstr>
      <vt:lpstr>'T2-Mil-TaşıtA. Göre G.Yabancı'!Yazdırma_Başlıkları</vt:lpstr>
      <vt:lpstr>'T5-SınırK.-Ay Göre G.Yabancı'!Yazdırma_Başlıkları</vt:lpstr>
      <vt:lpstr>'T8-Mil-SınırK Göre G.Yabancı'!Yazdırma_Başlıkları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Hüdaverdi ARIK</dc:creator>
  <cp:lastModifiedBy>Lenovo</cp:lastModifiedBy>
  <cp:lastPrinted>2024-03-03T17:09:56Z</cp:lastPrinted>
  <dcterms:created xsi:type="dcterms:W3CDTF">2022-02-23T07:31:09Z</dcterms:created>
  <dcterms:modified xsi:type="dcterms:W3CDTF">2024-03-03T21:43:44Z</dcterms:modified>
</cp:coreProperties>
</file>