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0200" windowHeight="7995"/>
  </bookViews>
  <sheets>
    <sheet name="Kapak" sheetId="33" r:id="rId1"/>
    <sheet name="Toplam Ziyaretçi Sayısı" sheetId="32" r:id="rId2"/>
    <sheet name="Kişiler" sheetId="31" r:id="rId3"/>
    <sheet name="Açıklamalar-Yöntem" sheetId="30" r:id="rId4"/>
    <sheet name="Önsöz" sheetId="29" r:id="rId5"/>
    <sheet name="Kavramlar-Tanımlar" sheetId="28" r:id="rId6"/>
    <sheet name="İçindekiler" sheetId="1" r:id="rId7"/>
    <sheet name="A-Yıl-Aya Göre G. Ziyaretçi" sheetId="2" r:id="rId8"/>
    <sheet name="B-Yıl-Ay Göre Günübirlikçi" sheetId="3" r:id="rId9"/>
    <sheet name="C-Mil Göre G.Yabancı" sheetId="4" r:id="rId10"/>
    <sheet name="T1-Yıl-Aya Göre G. Yabancı" sheetId="10" r:id="rId11"/>
    <sheet name="T2-Mil-TaşıtA. Göre G.Yabancı" sheetId="11" r:id="rId12"/>
    <sheet name="T3-Ay-TaşıtA. Göre G.Yabancı" sheetId="12" r:id="rId13"/>
    <sheet name="T4-İl-TaşıtA. Göre G.Yabancı" sheetId="13" r:id="rId14"/>
    <sheet name="T5-SınırK.-Ay Göre G.Yabancı" sheetId="14" r:id="rId15"/>
    <sheet name="T6-Mil-Yıl Göre G.Yabancı" sheetId="15" r:id="rId16"/>
    <sheet name="T7-Mil-Ay Göre G.Yabancı" sheetId="16" r:id="rId17"/>
    <sheet name="T8-Mil-SınırK Göre G.Yabancı" sheetId="34" r:id="rId18"/>
    <sheet name="T9-Ay-Yıl Göre Y.Günübirlikçi" sheetId="18" r:id="rId19"/>
    <sheet name="T10-SınırK. Ay Göre Y.Günübirl." sheetId="19" r:id="rId20"/>
    <sheet name="T11-GirişK-Mil.GöreY.Günübirl." sheetId="35" r:id="rId21"/>
    <sheet name="T12-SınırK.-Yıl Göre Y.Günübir." sheetId="21" r:id="rId22"/>
    <sheet name="T13-Yıl-Ay Göre Ç.Ziyaretçi" sheetId="22" r:id="rId23"/>
    <sheet name="T14-Mil-TaşıtA. Göre Ç.Yabancı" sheetId="23" r:id="rId24"/>
    <sheet name="T15-Ay-TaşıtA. Göre Ç Yabancı" sheetId="24" r:id="rId25"/>
    <sheet name="T16-SınırK.-TaşıtA Göre Ç.Yab." sheetId="25" r:id="rId26"/>
    <sheet name="T17-SınırK.-Ay Göre Ç.Yabancı" sheetId="26" r:id="rId27"/>
  </sheets>
  <definedNames>
    <definedName name="_xlnm.Print_Area" localSheetId="3">'Açıklamalar-Yöntem'!$A$1:$A$19</definedName>
    <definedName name="_xlnm.Print_Area" localSheetId="7">'A-Yıl-Aya Göre G. Ziyaretçi'!$B$1:$Q$52</definedName>
    <definedName name="_xlnm.Print_Area" localSheetId="8">'B-Yıl-Ay Göre Günübirlikçi'!$B$1:$L$19</definedName>
    <definedName name="_xlnm.Print_Area" localSheetId="9">'C-Mil Göre G.Yabancı'!$B$1:$R$251</definedName>
    <definedName name="_xlnm.Print_Area" localSheetId="6">İçindekiler!$A$1:$O$21</definedName>
    <definedName name="_xlnm.Print_Area" localSheetId="0">Kapak!$A$1:$L$58</definedName>
    <definedName name="_xlnm.Print_Area" localSheetId="5">'Kavramlar-Tanımlar'!$A$1:$A$29</definedName>
    <definedName name="_xlnm.Print_Area" localSheetId="2">Kişiler!$A$1:$K$67</definedName>
    <definedName name="_xlnm.Print_Area" localSheetId="4">Önsöz!$A$1:$A$19</definedName>
    <definedName name="_xlnm.Print_Area" localSheetId="19">'T10-SınırK. Ay Göre Y.Günübirl.'!$B$1:$Q$50</definedName>
    <definedName name="_xlnm.Print_Area" localSheetId="20">'T11-GirişK-Mil.GöreY.Günübirl.'!$B$1:$DC$114</definedName>
    <definedName name="_xlnm.Print_Area" localSheetId="21">'T12-SınırK.-Yıl Göre Y.Günübir.'!$B$1:$L$70</definedName>
    <definedName name="_xlnm.Print_Area" localSheetId="22">'T13-Yıl-Ay Göre Ç.Ziyaretçi'!$B$1:$G$18</definedName>
    <definedName name="_xlnm.Print_Area" localSheetId="23">'T14-Mil-TaşıtA. Göre Ç.Yabancı'!$B$1:$H$119</definedName>
    <definedName name="_xlnm.Print_Area" localSheetId="24">'T15-Ay-TaşıtA. Göre Ç Yabancı'!$B$1:$H$18</definedName>
    <definedName name="_xlnm.Print_Area" localSheetId="25">'T16-SınırK.-TaşıtA Göre Ç.Yab.'!$B$1:$H$66</definedName>
    <definedName name="_xlnm.Print_Area" localSheetId="26">'T17-SınırK.-Ay Göre Ç.Yabancı'!$B$1:$Q$226</definedName>
    <definedName name="_xlnm.Print_Area" localSheetId="10">'T1-Yıl-Aya Göre G. Yabancı'!$B$1:$G$17</definedName>
    <definedName name="_xlnm.Print_Area" localSheetId="11">'T2-Mil-TaşıtA. Göre G.Yabancı'!$B$1:$H$115</definedName>
    <definedName name="_xlnm.Print_Area" localSheetId="12">'T3-Ay-TaşıtA. Göre G.Yabancı'!$B$1:$H$17</definedName>
    <definedName name="_xlnm.Print_Area" localSheetId="13">'T4-İl-TaşıtA. Göre G.Yabancı'!$B$1:$H$65</definedName>
    <definedName name="_xlnm.Print_Area" localSheetId="14">'T5-SınırK.-Ay Göre G.Yabancı'!$B$1:$Q$196</definedName>
    <definedName name="_xlnm.Print_Area" localSheetId="15">'T6-Mil-Yıl Göre G.Yabancı'!$B$1:$J$119</definedName>
    <definedName name="_xlnm.Print_Area" localSheetId="16">'T7-Mil-Ay Göre G.Yabancı'!$B$1:$O$119</definedName>
    <definedName name="_xlnm.Print_Area" localSheetId="17">'T8-Mil-SınırK Göre G.Yabancı'!$B$1:$GP$114</definedName>
    <definedName name="_xlnm.Print_Area" localSheetId="18">'T9-Ay-Yıl Göre Y.Günübirlikçi'!$B$1:$G$17</definedName>
    <definedName name="_xlnm.Print_Area" localSheetId="1">'Toplam Ziyaretçi Sayısı'!$D$1:$G$20</definedName>
    <definedName name="_xlnm.Print_Titles" localSheetId="9">'C-Mil Göre G.Yabancı'!$1:$3</definedName>
    <definedName name="_xlnm.Print_Titles" localSheetId="20">'T11-GirişK-Mil.GöreY.Günübirl.'!$B:$B,'T11-GirişK-Mil.GöreY.Günübirl.'!$1:$3</definedName>
    <definedName name="_xlnm.Print_Titles" localSheetId="26">'T17-SınırK.-Ay Göre Ç.Yabancı'!$1:$3</definedName>
    <definedName name="_xlnm.Print_Titles" localSheetId="11">'T2-Mil-TaşıtA. Göre G.Yabancı'!$1:$4</definedName>
    <definedName name="_xlnm.Print_Titles" localSheetId="14">'T5-SınırK.-Ay Göre G.Yabancı'!$1:$3</definedName>
    <definedName name="_xlnm.Print_Titles" localSheetId="17">'T8-Mil-SınırK Göre G.Yabancı'!$B:$B,'T8-Mil-SınırK Göre G.Yabancı'!$1:$3</definedName>
  </definedNames>
  <calcPr calcId="191029"/>
</workbook>
</file>

<file path=xl/calcChain.xml><?xml version="1.0" encoding="utf-8"?>
<calcChain xmlns="http://schemas.openxmlformats.org/spreadsheetml/2006/main">
  <c r="DC114" i="35" l="1"/>
  <c r="DC113" i="35"/>
  <c r="DC112" i="35"/>
  <c r="DC111" i="35"/>
  <c r="DC110" i="35"/>
  <c r="DC109" i="35"/>
  <c r="DC108" i="35"/>
  <c r="DC107" i="35"/>
  <c r="DC106" i="35"/>
  <c r="DC105" i="35"/>
  <c r="DC104" i="35"/>
  <c r="DC103" i="35"/>
  <c r="DC102" i="35"/>
  <c r="DC101" i="35"/>
  <c r="DC100" i="35"/>
  <c r="DC99" i="35"/>
  <c r="DC98" i="35"/>
  <c r="DC97" i="35"/>
  <c r="DC96" i="35"/>
  <c r="DC95" i="35"/>
  <c r="DC94" i="35"/>
  <c r="DC93" i="35"/>
  <c r="DC92" i="35"/>
  <c r="DC91" i="35"/>
  <c r="DC90" i="35"/>
  <c r="DC89" i="35"/>
  <c r="DC88" i="35"/>
  <c r="DC87" i="35"/>
  <c r="DC86" i="35"/>
  <c r="DC85" i="35"/>
  <c r="DC84" i="35"/>
  <c r="DC83" i="35"/>
  <c r="DC82" i="35"/>
  <c r="DC81" i="35"/>
  <c r="DC80" i="35"/>
  <c r="DC79" i="35"/>
  <c r="DC78" i="35"/>
  <c r="DC77" i="35"/>
  <c r="DC76" i="35"/>
  <c r="DC75" i="35"/>
  <c r="DC74" i="35"/>
  <c r="DC73" i="35"/>
  <c r="DC72" i="35"/>
  <c r="DC71" i="35"/>
  <c r="DC70" i="35"/>
  <c r="DC69" i="35"/>
  <c r="DC68" i="35"/>
  <c r="DC67" i="35"/>
  <c r="DC66" i="35"/>
  <c r="DC65" i="35"/>
  <c r="DC64" i="35"/>
  <c r="DC63" i="35"/>
  <c r="DC62" i="35"/>
  <c r="DC61" i="35"/>
  <c r="DC60" i="35"/>
  <c r="DC59" i="35"/>
  <c r="DC58" i="35"/>
  <c r="DC57" i="35"/>
  <c r="DC56" i="35"/>
  <c r="DC55" i="35"/>
  <c r="DC54" i="35"/>
  <c r="DC53" i="35"/>
  <c r="DC52" i="35"/>
  <c r="DC51" i="35"/>
  <c r="DC50" i="35"/>
  <c r="DC49" i="35"/>
  <c r="DC48" i="35"/>
  <c r="DC47" i="35"/>
  <c r="DC46" i="35"/>
  <c r="DC45" i="35"/>
  <c r="DC44" i="35"/>
  <c r="DC43" i="35"/>
  <c r="DC42" i="35"/>
  <c r="DC41" i="35"/>
  <c r="DC40" i="35"/>
  <c r="DC39" i="35"/>
  <c r="DC38" i="35"/>
  <c r="DC37" i="35"/>
  <c r="DC36" i="35"/>
  <c r="DC35" i="35"/>
  <c r="DC34" i="35"/>
  <c r="DC33" i="35"/>
  <c r="DC32" i="35"/>
  <c r="DC31" i="35"/>
  <c r="DC30" i="35"/>
  <c r="DC29" i="35"/>
  <c r="DC28" i="35"/>
  <c r="DC27" i="35"/>
  <c r="DC26" i="35"/>
  <c r="DC25" i="35"/>
  <c r="DC24" i="35"/>
  <c r="DC23" i="35"/>
  <c r="DC22" i="35"/>
  <c r="DC21" i="35"/>
  <c r="DC20" i="35"/>
  <c r="DC19" i="35"/>
  <c r="DC18" i="35"/>
  <c r="DC17" i="35"/>
  <c r="DC16" i="35"/>
  <c r="DC15" i="35"/>
  <c r="DC14" i="35"/>
  <c r="DC13" i="35"/>
  <c r="DC12" i="35"/>
  <c r="DC11" i="35"/>
  <c r="DC10" i="35"/>
  <c r="DC9" i="35"/>
  <c r="DC8" i="35"/>
  <c r="DC7" i="35"/>
  <c r="DC6" i="35"/>
  <c r="DC5" i="35"/>
  <c r="DC4" i="35"/>
  <c r="GP114" i="34"/>
  <c r="GP113" i="34"/>
  <c r="GP112" i="34"/>
  <c r="GP111" i="34"/>
  <c r="GP110" i="34"/>
  <c r="GP109" i="34"/>
  <c r="GP108" i="34"/>
  <c r="GP107" i="34"/>
  <c r="GP106" i="34"/>
  <c r="GP105" i="34"/>
  <c r="GP104" i="34"/>
  <c r="GP103" i="34"/>
  <c r="GP102" i="34"/>
  <c r="GP101" i="34"/>
  <c r="GP100" i="34"/>
  <c r="GP99" i="34"/>
  <c r="GP98" i="34"/>
  <c r="GP97" i="34"/>
  <c r="GP96" i="34"/>
  <c r="GP95" i="34"/>
  <c r="GP94" i="34"/>
  <c r="GP93" i="34"/>
  <c r="GP92" i="34"/>
  <c r="GP91" i="34"/>
  <c r="GP90" i="34"/>
  <c r="GP89" i="34"/>
  <c r="GP88" i="34"/>
  <c r="GP87" i="34"/>
  <c r="GP86" i="34"/>
  <c r="GP85" i="34"/>
  <c r="GP84" i="34"/>
  <c r="GP83" i="34"/>
  <c r="GP82" i="34"/>
  <c r="GP81" i="34"/>
  <c r="GP80" i="34"/>
  <c r="GP79" i="34"/>
  <c r="GP78" i="34"/>
  <c r="GP77" i="34"/>
  <c r="GP76" i="34"/>
  <c r="GP75" i="34"/>
  <c r="GP74" i="34"/>
  <c r="GP73" i="34"/>
  <c r="GP72" i="34"/>
  <c r="GP71" i="34"/>
  <c r="GP70" i="34"/>
  <c r="GP69" i="34"/>
  <c r="GP68" i="34"/>
  <c r="GP67" i="34"/>
  <c r="GP66" i="34"/>
  <c r="GP65" i="34"/>
  <c r="GP64" i="34"/>
  <c r="GP63" i="34"/>
  <c r="GP62" i="34"/>
  <c r="GP61" i="34"/>
  <c r="GP60" i="34"/>
  <c r="GP59" i="34"/>
  <c r="GP58" i="34"/>
  <c r="GP57" i="34"/>
  <c r="GP56" i="34"/>
  <c r="GP55" i="34"/>
  <c r="GP54" i="34"/>
  <c r="GP53" i="34"/>
  <c r="GP52" i="34"/>
  <c r="GP51" i="34"/>
  <c r="GP50" i="34"/>
  <c r="GP49" i="34"/>
  <c r="GP48" i="34"/>
  <c r="GP47" i="34"/>
  <c r="GP46" i="34"/>
  <c r="GP45" i="34"/>
  <c r="GP44" i="34"/>
  <c r="GP43" i="34"/>
  <c r="GP42" i="34"/>
  <c r="GP41" i="34"/>
  <c r="GP40" i="34"/>
  <c r="GP39" i="34"/>
  <c r="GP38" i="34"/>
  <c r="GP37" i="34"/>
  <c r="GP36" i="34"/>
  <c r="GP35" i="34"/>
  <c r="GP34" i="34"/>
  <c r="GP33" i="34"/>
  <c r="GP32" i="34"/>
  <c r="GP31" i="34"/>
  <c r="GP30" i="34"/>
  <c r="GP29" i="34"/>
  <c r="GP28" i="34"/>
  <c r="GP27" i="34"/>
  <c r="GP26" i="34"/>
  <c r="GP25" i="34"/>
  <c r="GP24" i="34"/>
  <c r="GP23" i="34"/>
  <c r="GP22" i="34"/>
  <c r="GP21" i="34"/>
  <c r="GP20" i="34"/>
  <c r="GP19" i="34"/>
  <c r="GP18" i="34"/>
  <c r="GP17" i="34"/>
  <c r="GP16" i="34"/>
  <c r="GP15" i="34"/>
  <c r="GP14" i="34"/>
  <c r="GP13" i="34"/>
  <c r="GP12" i="34"/>
  <c r="GP11" i="34"/>
  <c r="GP10" i="34"/>
  <c r="GP9" i="34"/>
  <c r="GP8" i="34"/>
  <c r="GP7" i="34"/>
  <c r="GP6" i="34"/>
  <c r="GP5" i="34"/>
  <c r="GP4" i="34"/>
</calcChain>
</file>

<file path=xl/sharedStrings.xml><?xml version="1.0" encoding="utf-8"?>
<sst xmlns="http://schemas.openxmlformats.org/spreadsheetml/2006/main" count="2908" uniqueCount="640">
  <si>
    <t xml:space="preserve"> </t>
  </si>
  <si>
    <t>YILLAR</t>
  </si>
  <si>
    <t>Yabancı</t>
  </si>
  <si>
    <t>Vatandaş (Yurtdışı İkametli)</t>
  </si>
  <si>
    <t>Toplam</t>
  </si>
  <si>
    <t>OCAK</t>
  </si>
  <si>
    <t>ŞUBAT</t>
  </si>
  <si>
    <t>MART</t>
  </si>
  <si>
    <t>NİSAN</t>
  </si>
  <si>
    <t>MAYIS</t>
  </si>
  <si>
    <t>HAZİRAN</t>
  </si>
  <si>
    <t>TEMMUZ</t>
  </si>
  <si>
    <t>AĞUSTOS</t>
  </si>
  <si>
    <t>EYLÜL</t>
  </si>
  <si>
    <t>EKİM</t>
  </si>
  <si>
    <t>KASIM</t>
  </si>
  <si>
    <t>ARALIK</t>
  </si>
  <si>
    <t>TOPLAM</t>
  </si>
  <si>
    <t>NOT: T.C. Kültür ve Turizm Bakanlığı ile Türkiye İstatistik Kurumu Başkanlığı verilerinden derlenmiştir.</t>
  </si>
  <si>
    <t>(*) : Ziyaretçi = Yabancı Ziyaretçi + Yurtdışı İkametli Vatandaş Ziyaretçi</t>
  </si>
  <si>
    <t>ABD Virjin Adaları</t>
  </si>
  <si>
    <t>Afganistan</t>
  </si>
  <si>
    <t>Almanya</t>
  </si>
  <si>
    <t>Amerika Birleşik Devletleri</t>
  </si>
  <si>
    <t>Amerikan Samoası</t>
  </si>
  <si>
    <t>Andorra</t>
  </si>
  <si>
    <t>Angola</t>
  </si>
  <si>
    <t>Anguilla</t>
  </si>
  <si>
    <t>Antigua ve Barbuda</t>
  </si>
  <si>
    <t>Arjantin</t>
  </si>
  <si>
    <t>Arnavutluk</t>
  </si>
  <si>
    <t>Aruba</t>
  </si>
  <si>
    <t>Avrupa Birliği</t>
  </si>
  <si>
    <t>Avustralya</t>
  </si>
  <si>
    <t>Avusturya</t>
  </si>
  <si>
    <t>Azerbaycan</t>
  </si>
  <si>
    <t>Bahama Adaları</t>
  </si>
  <si>
    <t>Bahreyn</t>
  </si>
  <si>
    <t>Bangladeş</t>
  </si>
  <si>
    <t>Barbados</t>
  </si>
  <si>
    <t>Batı Sahra</t>
  </si>
  <si>
    <t>Batı Samoa</t>
  </si>
  <si>
    <t>Batı Timor</t>
  </si>
  <si>
    <t>Belçika</t>
  </si>
  <si>
    <t>Belize</t>
  </si>
  <si>
    <t>Benin</t>
  </si>
  <si>
    <t>Bermuda</t>
  </si>
  <si>
    <t>Beyaz Rusya (Belarus)</t>
  </si>
  <si>
    <t>Bhutan</t>
  </si>
  <si>
    <t>Birleşik Arap Emirlikleri</t>
  </si>
  <si>
    <t>Birleşmiş Milletler</t>
  </si>
  <si>
    <t>Birleşmiş Milletler Örgütü</t>
  </si>
  <si>
    <t>Bolivya</t>
  </si>
  <si>
    <t>Bosna Hersek</t>
  </si>
  <si>
    <t>Botsvana</t>
  </si>
  <si>
    <t>Bouvet Adası</t>
  </si>
  <si>
    <t>Brezilya</t>
  </si>
  <si>
    <t>Brunei</t>
  </si>
  <si>
    <t>Bulgaristan</t>
  </si>
  <si>
    <t>Burkina Faso</t>
  </si>
  <si>
    <t>Burundi</t>
  </si>
  <si>
    <t>Cayman Adaları</t>
  </si>
  <si>
    <t>Cebelitarık</t>
  </si>
  <si>
    <t>Cezayir</t>
  </si>
  <si>
    <t>Cibuti</t>
  </si>
  <si>
    <t>Cocos (Keeling) Adaları</t>
  </si>
  <si>
    <t>Cook Adaları</t>
  </si>
  <si>
    <t>Çad</t>
  </si>
  <si>
    <t>Çek Cumhuriyeti (Çekya)</t>
  </si>
  <si>
    <t>Çin Halk Cumhuriyeti</t>
  </si>
  <si>
    <t>Danimarka</t>
  </si>
  <si>
    <t>Demokratik Kongo Cumhuriyeti (Zaire)</t>
  </si>
  <si>
    <t>Doğu Timor</t>
  </si>
  <si>
    <t>Dominik Cumhuriyeti</t>
  </si>
  <si>
    <t>Dominika</t>
  </si>
  <si>
    <t>Ekvador</t>
  </si>
  <si>
    <t>Ekvator Ginesi</t>
  </si>
  <si>
    <t>El Salvador</t>
  </si>
  <si>
    <t>Endonezya</t>
  </si>
  <si>
    <t>Eritre</t>
  </si>
  <si>
    <t>Ermenistan</t>
  </si>
  <si>
    <t>Estonya</t>
  </si>
  <si>
    <t>Etiyopya (Habeşistan)</t>
  </si>
  <si>
    <t>Falkland Adaları</t>
  </si>
  <si>
    <t>Faroe Adaları</t>
  </si>
  <si>
    <t>Fas</t>
  </si>
  <si>
    <t>Fiji</t>
  </si>
  <si>
    <t>Fildişi Sahilleri (Cote d’Ivoire)</t>
  </si>
  <si>
    <t>Filipinler</t>
  </si>
  <si>
    <t>Filistin</t>
  </si>
  <si>
    <t>Finlandiya</t>
  </si>
  <si>
    <t>Fransa</t>
  </si>
  <si>
    <t>Fransız Guyanası</t>
  </si>
  <si>
    <t>Gabon</t>
  </si>
  <si>
    <t>Gambiya</t>
  </si>
  <si>
    <t>Gana</t>
  </si>
  <si>
    <t>Gayrı Muntazam</t>
  </si>
  <si>
    <t>Gine</t>
  </si>
  <si>
    <t>Gine Bissau</t>
  </si>
  <si>
    <t>Grenada</t>
  </si>
  <si>
    <t>Grönland</t>
  </si>
  <si>
    <t>Guadeloupe</t>
  </si>
  <si>
    <t>Guam</t>
  </si>
  <si>
    <t>Guatemala</t>
  </si>
  <si>
    <t>Guyana</t>
  </si>
  <si>
    <t>Güney Afrika Cumhuriyeti</t>
  </si>
  <si>
    <t>Güney Kıbrıs Rum Kesimi</t>
  </si>
  <si>
    <t>Güney Kore</t>
  </si>
  <si>
    <t>Güney Sudan</t>
  </si>
  <si>
    <t>Gürcistan</t>
  </si>
  <si>
    <t>Haiti</t>
  </si>
  <si>
    <t>Hırvatistan</t>
  </si>
  <si>
    <t>Hindistan</t>
  </si>
  <si>
    <t>Hollanda</t>
  </si>
  <si>
    <t>Honduras</t>
  </si>
  <si>
    <t>Hong Kong</t>
  </si>
  <si>
    <t>Irak</t>
  </si>
  <si>
    <t>Iskat</t>
  </si>
  <si>
    <t>İngiltere (Birleşik Krallık)</t>
  </si>
  <si>
    <t>İran</t>
  </si>
  <si>
    <t>İrlanda</t>
  </si>
  <si>
    <t>İspanya</t>
  </si>
  <si>
    <t>İsrail</t>
  </si>
  <si>
    <t>İsveç</t>
  </si>
  <si>
    <t>İsviçre</t>
  </si>
  <si>
    <t>İtalya</t>
  </si>
  <si>
    <t>İzlanda</t>
  </si>
  <si>
    <t>Jamaika</t>
  </si>
  <si>
    <t>Jan Mayen Adası</t>
  </si>
  <si>
    <t>Japonya</t>
  </si>
  <si>
    <t>Kamboçya</t>
  </si>
  <si>
    <t>Kamerun</t>
  </si>
  <si>
    <t>Kanada</t>
  </si>
  <si>
    <t>Karadağ</t>
  </si>
  <si>
    <t>Katar</t>
  </si>
  <si>
    <t>Kayman Adaları</t>
  </si>
  <si>
    <t>Kazakistan</t>
  </si>
  <si>
    <t>Kenya</t>
  </si>
  <si>
    <t>Kırgızistan</t>
  </si>
  <si>
    <t>Kiribati (Gilbert Adaları)</t>
  </si>
  <si>
    <t>Kolombiya</t>
  </si>
  <si>
    <t>Komorlar</t>
  </si>
  <si>
    <t>Kongo Cumhuriyeti</t>
  </si>
  <si>
    <t>Kosova</t>
  </si>
  <si>
    <t>Kosta Rika</t>
  </si>
  <si>
    <t>Kuveyt</t>
  </si>
  <si>
    <t>Kuzey Kıbrıs Türk Cumhuriyeti</t>
  </si>
  <si>
    <t>Kuzey Kore</t>
  </si>
  <si>
    <t>Kuzey Makedonya Cumhuriyeti</t>
  </si>
  <si>
    <t>Kuzey Mariana Adaları</t>
  </si>
  <si>
    <t>Küba</t>
  </si>
  <si>
    <t>Laos</t>
  </si>
  <si>
    <t>Lesoto</t>
  </si>
  <si>
    <t>Letonya</t>
  </si>
  <si>
    <t>Liberya</t>
  </si>
  <si>
    <t>Libya</t>
  </si>
  <si>
    <t>Lihtenştayn</t>
  </si>
  <si>
    <t>Litvanya</t>
  </si>
  <si>
    <t>Lübnan</t>
  </si>
  <si>
    <t>Lüksemburg</t>
  </si>
  <si>
    <t>Macaristan</t>
  </si>
  <si>
    <t>Madagaskar (Malagazi)</t>
  </si>
  <si>
    <t>Makao</t>
  </si>
  <si>
    <t>Malavi</t>
  </si>
  <si>
    <t>Maldivler</t>
  </si>
  <si>
    <t>Malezya</t>
  </si>
  <si>
    <t>Mali</t>
  </si>
  <si>
    <t>Malta</t>
  </si>
  <si>
    <t>Man Adası</t>
  </si>
  <si>
    <t>Marshall Adaları</t>
  </si>
  <si>
    <t>Mauritius</t>
  </si>
  <si>
    <t>Mayotte</t>
  </si>
  <si>
    <t>Meksika</t>
  </si>
  <si>
    <t>Mısır</t>
  </si>
  <si>
    <t>Midway Adası</t>
  </si>
  <si>
    <t>Mikronezya Federe Devletleri</t>
  </si>
  <si>
    <t>Milliyetsiz (Haymatlos)</t>
  </si>
  <si>
    <t>Moğolistan</t>
  </si>
  <si>
    <t>Moldova</t>
  </si>
  <si>
    <t>Monako</t>
  </si>
  <si>
    <t>Montserrat</t>
  </si>
  <si>
    <t>Moritanya</t>
  </si>
  <si>
    <t>Mozambik</t>
  </si>
  <si>
    <t>Myanmar (Burma)</t>
  </si>
  <si>
    <t>Namibya</t>
  </si>
  <si>
    <t>Nauru</t>
  </si>
  <si>
    <t>Nepal</t>
  </si>
  <si>
    <t>Nijer</t>
  </si>
  <si>
    <t>Nijerya</t>
  </si>
  <si>
    <t>Nikaragua</t>
  </si>
  <si>
    <t>Niue</t>
  </si>
  <si>
    <t>Norveç</t>
  </si>
  <si>
    <t>Orta Afrika Cumhuriyeti</t>
  </si>
  <si>
    <t>Özbekistan</t>
  </si>
  <si>
    <t>Pakistan</t>
  </si>
  <si>
    <t>Palau</t>
  </si>
  <si>
    <t>Panama</t>
  </si>
  <si>
    <t>Papua Yeni Gine</t>
  </si>
  <si>
    <t>Paraguay</t>
  </si>
  <si>
    <t>Peru</t>
  </si>
  <si>
    <t>Pitcairn Adaları</t>
  </si>
  <si>
    <t>Polonya</t>
  </si>
  <si>
    <t>Portekiz</t>
  </si>
  <si>
    <t>Porto Riko</t>
  </si>
  <si>
    <t>Reunion</t>
  </si>
  <si>
    <t>Romanya</t>
  </si>
  <si>
    <t>Ruanda</t>
  </si>
  <si>
    <t>Rusya Fed.</t>
  </si>
  <si>
    <t>Saint Helena (St. Helen)</t>
  </si>
  <si>
    <t>Saint Kitts ve Nevis (St. Kitts)</t>
  </si>
  <si>
    <t>Saint Lucia (St. Lucia)</t>
  </si>
  <si>
    <t>Saint Pierre ve Miquelon (St. Pierre)</t>
  </si>
  <si>
    <t>Saint Vincent ve Grenadinler (St. Vincent)</t>
  </si>
  <si>
    <t>Samoa</t>
  </si>
  <si>
    <t>San Marino</t>
  </si>
  <si>
    <t>Sao Tome ve Principe</t>
  </si>
  <si>
    <t>Senegal</t>
  </si>
  <si>
    <t>Seyşeller</t>
  </si>
  <si>
    <t>Sırbistan</t>
  </si>
  <si>
    <t>Sierra Leone</t>
  </si>
  <si>
    <t>Singapur</t>
  </si>
  <si>
    <t>Slovakya</t>
  </si>
  <si>
    <t>Slovenya</t>
  </si>
  <si>
    <t>Solomon Adaları</t>
  </si>
  <si>
    <t>Somali</t>
  </si>
  <si>
    <t>Somaliland</t>
  </si>
  <si>
    <t>Sri Lanka</t>
  </si>
  <si>
    <t>Sudan</t>
  </si>
  <si>
    <t>Surinam</t>
  </si>
  <si>
    <t>Suriye</t>
  </si>
  <si>
    <t>Suudi Arabistan</t>
  </si>
  <si>
    <t>Svalbard ve Jan Mayen Adaları</t>
  </si>
  <si>
    <t>Svaziland</t>
  </si>
  <si>
    <t>Şili</t>
  </si>
  <si>
    <t>Tacikistan</t>
  </si>
  <si>
    <t>Tahiti</t>
  </si>
  <si>
    <t>Tanzanya</t>
  </si>
  <si>
    <t>Tayland</t>
  </si>
  <si>
    <t>Tayvan</t>
  </si>
  <si>
    <t>Togo</t>
  </si>
  <si>
    <t>Tokelau</t>
  </si>
  <si>
    <t>Tonga</t>
  </si>
  <si>
    <t>Trinidad ve Tobago</t>
  </si>
  <si>
    <t>Tunus</t>
  </si>
  <si>
    <t>Tuvalu</t>
  </si>
  <si>
    <t>Türkmenistan</t>
  </si>
  <si>
    <t>Uganda</t>
  </si>
  <si>
    <t>Ukrayna</t>
  </si>
  <si>
    <t>Umman</t>
  </si>
  <si>
    <t>Uruguay</t>
  </si>
  <si>
    <t>Ürdün</t>
  </si>
  <si>
    <t>Vanuatu</t>
  </si>
  <si>
    <t>Vatikan</t>
  </si>
  <si>
    <t>Venezuela</t>
  </si>
  <si>
    <t>Vietnam</t>
  </si>
  <si>
    <t>Wake Adası</t>
  </si>
  <si>
    <t>Wallis Futuna</t>
  </si>
  <si>
    <t>Yemen</t>
  </si>
  <si>
    <t>Yeni Kaledonya</t>
  </si>
  <si>
    <t>Yeni Zelanda</t>
  </si>
  <si>
    <t>Yeşil Burun Adaları (Cape Verde)</t>
  </si>
  <si>
    <t>Yunanistan</t>
  </si>
  <si>
    <t>Zambiya</t>
  </si>
  <si>
    <t>Zimbabve</t>
  </si>
  <si>
    <t/>
  </si>
  <si>
    <t>AYLAR</t>
  </si>
  <si>
    <t>% DEĞİŞİM ORANI</t>
  </si>
  <si>
    <t>2021/2020</t>
  </si>
  <si>
    <t>MİLLİYET</t>
  </si>
  <si>
    <t>TAŞIT ARACI</t>
  </si>
  <si>
    <t>Deniz</t>
  </si>
  <si>
    <t>Hava</t>
  </si>
  <si>
    <t>Kara</t>
  </si>
  <si>
    <t>Tren</t>
  </si>
  <si>
    <t>MİL.PAYI %</t>
  </si>
  <si>
    <t>DİĞ.  AFRİKA  ÜLKELERİ</t>
  </si>
  <si>
    <t>TOPLAM AFRİKA</t>
  </si>
  <si>
    <t>DİĞ.  GÜNEY AMERİKA  ÜLKELERİ</t>
  </si>
  <si>
    <t>TOPLAM GÜNEY AMERİKA</t>
  </si>
  <si>
    <t>TOPLAM KUZEY AMERİKA</t>
  </si>
  <si>
    <t>TOPLAM ORTA AMERİKA</t>
  </si>
  <si>
    <t>TOPLAM AMERİKA</t>
  </si>
  <si>
    <t>DİĞ.  BATI ASYA  ÜLKELERİ</t>
  </si>
  <si>
    <t>TOPLAM BATI ASYA</t>
  </si>
  <si>
    <t>DİĞ.  GÜNEY ASYA  ÜLKELERİ</t>
  </si>
  <si>
    <t>TOPLAM GÜNEY ASYA</t>
  </si>
  <si>
    <t>TOPLAM ASYA</t>
  </si>
  <si>
    <t>TOPLAM AVRUPA OECD</t>
  </si>
  <si>
    <t>DİĞ.  AVRUPA OECD DIŞI  ÜLKELERİ</t>
  </si>
  <si>
    <t>TOPLAM AVRUPA OECD DIŞI</t>
  </si>
  <si>
    <t>TOPLAM AVRUPA</t>
  </si>
  <si>
    <t>TOPLAM B.D.T.</t>
  </si>
  <si>
    <t>TOPLAM DİĞER OECD</t>
  </si>
  <si>
    <t>TOPLAM MİLLİYETSİZ</t>
  </si>
  <si>
    <t>TOPLAM OKYANUSYA</t>
  </si>
  <si>
    <t>YABANCI TOPLAM</t>
  </si>
  <si>
    <t>%ORANI</t>
  </si>
  <si>
    <t>DENİZ</t>
  </si>
  <si>
    <t>HAVA</t>
  </si>
  <si>
    <t>KARA</t>
  </si>
  <si>
    <t>TREN</t>
  </si>
  <si>
    <t>İLLER</t>
  </si>
  <si>
    <t>Adana</t>
  </si>
  <si>
    <t>Adıyaman</t>
  </si>
  <si>
    <t>Ağrı</t>
  </si>
  <si>
    <t>Amasya</t>
  </si>
  <si>
    <t>Ankara</t>
  </si>
  <si>
    <t>Antalya</t>
  </si>
  <si>
    <t>Ardahan</t>
  </si>
  <si>
    <t>Artvin</t>
  </si>
  <si>
    <t>Aydın</t>
  </si>
  <si>
    <t>Balıkesir</t>
  </si>
  <si>
    <t>Bartın</t>
  </si>
  <si>
    <t>Batman</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</si>
  <si>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</si>
  <si>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</si>
  <si>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</si>
  <si>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</si>
  <si>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</si>
  <si>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</si>
  <si>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</si>
  <si>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</si>
  <si>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</si>
  <si>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</si>
  <si>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</si>
  <si>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</si>
  <si>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</si>
  <si>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</si>
  <si>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</si>
  <si>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</si>
  <si>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</si>
  <si>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</si>
  <si>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</si>
  <si>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</si>
  <si>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</si>
  <si>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</si>
  <si>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</si>
  <si>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</si>
  <si>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</si>
  <si>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</si>
  <si>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</si>
  <si>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</si>
  <si>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</si>
  <si>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</si>
  <si>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Nevşehir</t>
  </si>
  <si>
    <t>Ordu</t>
  </si>
  <si>
    <t>Rize</t>
  </si>
  <si>
    <t>Sakarya</t>
  </si>
  <si>
    <t>Samsun</t>
  </si>
  <si>
    <t>Sinop</t>
  </si>
  <si>
    <t>Sivas</t>
  </si>
  <si>
    <t>Şanlıurfa</t>
  </si>
  <si>
    <t>Şırnak</t>
  </si>
  <si>
    <t>Tekirdağ</t>
  </si>
  <si>
    <t>Trabzon</t>
  </si>
  <si>
    <t>Uşak</t>
  </si>
  <si>
    <t>Van</t>
  </si>
  <si>
    <t>Yalova</t>
  </si>
  <si>
    <t>Zonguldak</t>
  </si>
  <si>
    <t>Toros Tarım Limanı (D)</t>
  </si>
  <si>
    <t>Şakirpaşa (H)</t>
  </si>
  <si>
    <t>Botaş (D)</t>
  </si>
  <si>
    <t>Sanko (D)</t>
  </si>
  <si>
    <t>Adıyaman Merkez (H)</t>
  </si>
  <si>
    <t>Gürbulak (K)</t>
  </si>
  <si>
    <t>Merzifon (H)</t>
  </si>
  <si>
    <t>Esenboğa (H)</t>
  </si>
  <si>
    <t>Alanya (D)</t>
  </si>
  <si>
    <t>Kaş (D)</t>
  </si>
  <si>
    <t>Finike (D)</t>
  </si>
  <si>
    <t>Antalya Merkez (D)</t>
  </si>
  <si>
    <t>Gazipaşa (H)</t>
  </si>
  <si>
    <t>Antalya Merkez (H)</t>
  </si>
  <si>
    <t>Kemer (D)</t>
  </si>
  <si>
    <t>Hopa (D)</t>
  </si>
  <si>
    <t>Sarp (K)</t>
  </si>
  <si>
    <t>Hopa (H)</t>
  </si>
  <si>
    <t>Didim Yat Limanı (D)</t>
  </si>
  <si>
    <t>Kuşadası (D)</t>
  </si>
  <si>
    <t>Bağfaş (D)</t>
  </si>
  <si>
    <t>Bandırma (D)</t>
  </si>
  <si>
    <t>Ayvalık (D)</t>
  </si>
  <si>
    <t>Koca Seyit (H)</t>
  </si>
  <si>
    <t>Yenişehir (H)</t>
  </si>
  <si>
    <t>Gemlik (D)</t>
  </si>
  <si>
    <t>Çanakkale İçdaş-2 (D)</t>
  </si>
  <si>
    <t>Cenal Karabiga (D)</t>
  </si>
  <si>
    <t>Kepez (D)</t>
  </si>
  <si>
    <t>Belediye Yat Limanı (D)</t>
  </si>
  <si>
    <t>Karabiga (D)</t>
  </si>
  <si>
    <t>İçdaş (D)</t>
  </si>
  <si>
    <t>Bozcaada Limanı (D)</t>
  </si>
  <si>
    <t>Çanakkale Merkez (H)</t>
  </si>
  <si>
    <t>Çardak (H)</t>
  </si>
  <si>
    <t>Diyarbakır Merkez (H)</t>
  </si>
  <si>
    <t>Hamzabeyli (K)</t>
  </si>
  <si>
    <t>İpsala (K)</t>
  </si>
  <si>
    <t>Kapıkule (K)</t>
  </si>
  <si>
    <t>Kapıkule (T)</t>
  </si>
  <si>
    <t>Pazarkule (K)</t>
  </si>
  <si>
    <t>Elazığ Merkez (H)</t>
  </si>
  <si>
    <t>Erzincan Merkez (H)</t>
  </si>
  <si>
    <t>Erzurum Merkez (H)</t>
  </si>
  <si>
    <t>Eskişehir Hasan Polatkan (H)</t>
  </si>
  <si>
    <t>Karkamış (K)</t>
  </si>
  <si>
    <t>Gaziantep Merkez (H)</t>
  </si>
  <si>
    <t>Giresun Merkez (D)</t>
  </si>
  <si>
    <t>Esendere (K)</t>
  </si>
  <si>
    <t>Çukurca/Üzümlü (K)</t>
  </si>
  <si>
    <t>Kumlu (K)</t>
  </si>
  <si>
    <t>Deltarubis Petrol (D)</t>
  </si>
  <si>
    <t>Assan Limanı (D)</t>
  </si>
  <si>
    <t>Botaş Limanı (D)</t>
  </si>
  <si>
    <t>Cilvegözü (K)</t>
  </si>
  <si>
    <t>Ekinci İskelesi (D)</t>
  </si>
  <si>
    <t>İsdemir Limanı (D)</t>
  </si>
  <si>
    <t>Tosyalı Limanı (D)</t>
  </si>
  <si>
    <t>Yayladağ (K)</t>
  </si>
  <si>
    <t>Atakaş Limanı (D)</t>
  </si>
  <si>
    <t>Hatay Merkez (H)</t>
  </si>
  <si>
    <t>Gübretaş Limanı (D)</t>
  </si>
  <si>
    <t>MMK Metalurji Limanı (D)</t>
  </si>
  <si>
    <t>Yazıcı Limanı (D)</t>
  </si>
  <si>
    <t>İskenderun (D)</t>
  </si>
  <si>
    <t>S. Demirel (H)</t>
  </si>
  <si>
    <t>Taşucu Seka (D)</t>
  </si>
  <si>
    <t>Mersin Merkez (D)</t>
  </si>
  <si>
    <t>Yeşilovacık (D)</t>
  </si>
  <si>
    <t>Erdemli Kumkuyu Yat Limanı (D)</t>
  </si>
  <si>
    <t>Taşucu (D)</t>
  </si>
  <si>
    <t>Zeytinburnu (D)</t>
  </si>
  <si>
    <t>A.H.L. (H)</t>
  </si>
  <si>
    <t>Pendik (D)</t>
  </si>
  <si>
    <t>S. Gökçen (H)</t>
  </si>
  <si>
    <t>İstanbul Yeni Havalimanı (H)</t>
  </si>
  <si>
    <t>Ambarlı (D)</t>
  </si>
  <si>
    <t>Tuzla (D)</t>
  </si>
  <si>
    <t>Haydarpaşa (D)</t>
  </si>
  <si>
    <t>Marmara (D)</t>
  </si>
  <si>
    <t>Sarayburnu (D)</t>
  </si>
  <si>
    <t>Karaköy (D)</t>
  </si>
  <si>
    <t>Çeşme (D)</t>
  </si>
  <si>
    <t>İzmir Merkez (D)</t>
  </si>
  <si>
    <t>Aliağa (D)</t>
  </si>
  <si>
    <t>A. Menderes (H)</t>
  </si>
  <si>
    <t>Dikili (D)</t>
  </si>
  <si>
    <t>Foça (D)</t>
  </si>
  <si>
    <t>Seferihisar (D)</t>
  </si>
  <si>
    <t>Harakani (H)</t>
  </si>
  <si>
    <t>İnebolu (D)</t>
  </si>
  <si>
    <t>Kastamonu Merkez (H)</t>
  </si>
  <si>
    <t>Erkilet (H)</t>
  </si>
  <si>
    <t>Dereköy (K)</t>
  </si>
  <si>
    <t>Derince (D)</t>
  </si>
  <si>
    <t>Cengiz Topel (H)</t>
  </si>
  <si>
    <t>Konya Merkez (H)</t>
  </si>
  <si>
    <t>Zafer Bölgesel (H)</t>
  </si>
  <si>
    <t>Erhaç (H)</t>
  </si>
  <si>
    <t>Kahramanmaraş Merkez (H)</t>
  </si>
  <si>
    <t>Mardin Merkez (H)</t>
  </si>
  <si>
    <t>Bodrum (D)</t>
  </si>
  <si>
    <t>Turgutreis (D)</t>
  </si>
  <si>
    <t>Yolcu İskelesi (Mantar Burnu) (D)</t>
  </si>
  <si>
    <t>Dalaman (H)</t>
  </si>
  <si>
    <t>Göcek  (D)</t>
  </si>
  <si>
    <t>Milas-Bodrum (H)</t>
  </si>
  <si>
    <t>Marmaris (D)</t>
  </si>
  <si>
    <t>Fethiye (D)</t>
  </si>
  <si>
    <t>Mandalya Deniz  Kapısı (D)</t>
  </si>
  <si>
    <t>Datça (D)</t>
  </si>
  <si>
    <t>Güllük (D)</t>
  </si>
  <si>
    <t>Yalıkavak (D)</t>
  </si>
  <si>
    <t>Kapadokya (H)</t>
  </si>
  <si>
    <t>Fatsa (D)</t>
  </si>
  <si>
    <t>Ünye (D)</t>
  </si>
  <si>
    <t>Ordu-Giresun (H)</t>
  </si>
  <si>
    <t>Rize Merkez (D)</t>
  </si>
  <si>
    <t>Karasu Liman (D)</t>
  </si>
  <si>
    <t>Yeşilyurt Kıyı Tesisi (D)</t>
  </si>
  <si>
    <t>Samsun Merkez (D)</t>
  </si>
  <si>
    <t>Samsun Merkez (H)</t>
  </si>
  <si>
    <t>Sinop Merkez (D)</t>
  </si>
  <si>
    <t>Sinop Merkez (H)</t>
  </si>
  <si>
    <t>Sivas Merkez (H)</t>
  </si>
  <si>
    <t>Çorlu (H)</t>
  </si>
  <si>
    <t>Asyaport Liman Tesisi (D)</t>
  </si>
  <si>
    <t>Tekirdağ Martaş Marmara Liman Tesisi (D)</t>
  </si>
  <si>
    <t>Tekirdağ Merkez (D)</t>
  </si>
  <si>
    <t>Trabzon Merkez (D)</t>
  </si>
  <si>
    <t>Trabzon Merkez (H)</t>
  </si>
  <si>
    <t>Akçakale (K)</t>
  </si>
  <si>
    <t>GAP (H)</t>
  </si>
  <si>
    <t>Uşak Merkez (H)</t>
  </si>
  <si>
    <t>Kapıköy (T)</t>
  </si>
  <si>
    <t>Kapıköy (K)</t>
  </si>
  <si>
    <t>Van Merkez (H)</t>
  </si>
  <si>
    <t>Zonguldak Merkez (D)</t>
  </si>
  <si>
    <t>Eren (D)</t>
  </si>
  <si>
    <t>Karadeniz Ereğli (D)</t>
  </si>
  <si>
    <t>Çaycuma (H)</t>
  </si>
  <si>
    <t>Habur (K)</t>
  </si>
  <si>
    <t>Bartın Merkez (D)</t>
  </si>
  <si>
    <t>Posof-Türközü (K)</t>
  </si>
  <si>
    <t>Çıldır-Aktaş (K)</t>
  </si>
  <si>
    <t>Dilucu (K)</t>
  </si>
  <si>
    <t>RO-RO Terminal (D)</t>
  </si>
  <si>
    <t>Öncüpınar (K)</t>
  </si>
  <si>
    <t>Çobanbey (T)</t>
  </si>
  <si>
    <t>MİLLİYET PAYI (%)</t>
  </si>
  <si>
    <t>Batman Merkez (H)</t>
  </si>
  <si>
    <t>Iğdır Havalimanı (H)</t>
  </si>
  <si>
    <t>Adana Toplam</t>
  </si>
  <si>
    <t>Antalya Toplam</t>
  </si>
  <si>
    <t>Ardahan Toplam</t>
  </si>
  <si>
    <t>Artvin Toplam</t>
  </si>
  <si>
    <t>Aydın Toplam</t>
  </si>
  <si>
    <t>Balıkesir Toplam</t>
  </si>
  <si>
    <t>Bursa Toplam</t>
  </si>
  <si>
    <t>Çanakkale Toplam</t>
  </si>
  <si>
    <t>Edirne Toplam</t>
  </si>
  <si>
    <t>Gaziantep Toplam</t>
  </si>
  <si>
    <t>Hakkari Toplam</t>
  </si>
  <si>
    <t>Hatay Toplam</t>
  </si>
  <si>
    <t>Iğdır Toplam</t>
  </si>
  <si>
    <t>İstanbul Toplam</t>
  </si>
  <si>
    <t>İzmir Toplam</t>
  </si>
  <si>
    <t>Kastamonu Toplam</t>
  </si>
  <si>
    <t>Kilis Toplam</t>
  </si>
  <si>
    <t>Kocaeli Toplam</t>
  </si>
  <si>
    <t>Mersin Toplam</t>
  </si>
  <si>
    <t>Muğla Toplam</t>
  </si>
  <si>
    <t>Ordu Toplam</t>
  </si>
  <si>
    <t>Samsun Toplam</t>
  </si>
  <si>
    <t>Şanlıurfa Toplam</t>
  </si>
  <si>
    <t>Sinop Toplam</t>
  </si>
  <si>
    <t>Tekirdağ Toplam</t>
  </si>
  <si>
    <t>Trabzon Toplam</t>
  </si>
  <si>
    <t>Van Toplam</t>
  </si>
  <si>
    <t>Zonguldak Toplam</t>
  </si>
  <si>
    <t>Genel Toplam</t>
  </si>
  <si>
    <t>% ORANI</t>
  </si>
  <si>
    <t>Afrika Toplam</t>
  </si>
  <si>
    <t>Güney Amerika Toplam</t>
  </si>
  <si>
    <t>Kuzey Amerika Toplam</t>
  </si>
  <si>
    <t>Orta Amerika Toplam</t>
  </si>
  <si>
    <t>Amerika Toplam</t>
  </si>
  <si>
    <t>Batı Asya Toplam</t>
  </si>
  <si>
    <t>Güney Asya Toplam</t>
  </si>
  <si>
    <t>Asya Toplam</t>
  </si>
  <si>
    <t>Avrupa OECD Toplam</t>
  </si>
  <si>
    <t>Avrupa OECD Dışı Toplam</t>
  </si>
  <si>
    <t>Avrupa Toplam</t>
  </si>
  <si>
    <t>B.D.T. Toplam</t>
  </si>
  <si>
    <t>Diğer OECD Toplam</t>
  </si>
  <si>
    <t>Milliyetsiz Toplam</t>
  </si>
  <si>
    <t>Okyanusya Toplam</t>
  </si>
  <si>
    <t>Diğer Toplam</t>
  </si>
  <si>
    <t>İçindekiler</t>
  </si>
  <si>
    <t>SINIR KAPILARI VE VASITA CİNSİ</t>
  </si>
  <si>
    <t xml:space="preserve"> SINIR KAPILARI VE VASITA CİNSİ</t>
  </si>
  <si>
    <t xml:space="preserve">DENİZ </t>
  </si>
  <si>
    <t>KAVRAM VE TANIMLAR</t>
  </si>
  <si>
    <t>TURİZM</t>
  </si>
  <si>
    <t>Kişilerin ikamet ettiği yer dışındaki bir yere bir yılı aşmamak üzere, boş zaman değerlendirme, iş ve diğer benzeri amaçlarla yaptıkları seyahatlerdir.</t>
  </si>
  <si>
    <t>ULUSLARARASI ZİYARETÇİ</t>
  </si>
  <si>
    <t>Daimi ikametgâhı ve yaşadığı çevrenin dışındaki bir ülkeyi, 12 ayı aşmayan süreyle ve o ülkede para karşılığı bir iş yapmak dışında bir amaçla ziyaret eden kişidir.</t>
  </si>
  <si>
    <t>TURİST</t>
  </si>
  <si>
    <t>Ziyaret edilen ülkedeki özel (İkinci konut, arkadaş ve akraba evi vb. ) veya kamuya açık konaklama tesislerinde en az bir gece kalan ziyaretçidir.</t>
  </si>
  <si>
    <t>GÜNÜBİRLİKÇİ</t>
  </si>
  <si>
    <t>* Ziyaret edilen ülkede özel veya kamuya açık konaklama tesislerinde geceleme yapmayan ziyaretçi</t>
  </si>
  <si>
    <t>*  o ülkeye gemi ile gelen ve geceleme yapmak üzere geldiği gemiye (gemi o  limanda birden fazla gün kalsa bile) geri dönen yolcular</t>
  </si>
  <si>
    <t>*  trenle grup halinde yolculuk eden ve trende geceleyen yolcular</t>
  </si>
  <si>
    <t>*  o ülkede ikamet etmeyen ve gün boyu o  ülkede kalan mürettebat bu tanıma dahildir.</t>
  </si>
  <si>
    <t>KISALTMALAR</t>
  </si>
  <si>
    <t>TUİK : Türkiye İstatistik Kurumu</t>
  </si>
  <si>
    <t>: Türkiye İstatistik Kurumu</t>
  </si>
  <si>
    <t>MB    : Merkez Bankası</t>
  </si>
  <si>
    <t>: Merkez Bankası</t>
  </si>
  <si>
    <t>ÖZEL İŞARETLER:</t>
  </si>
  <si>
    <t>- :Bilgi yoktur.</t>
  </si>
  <si>
    <t>ÖNSÖZ</t>
  </si>
  <si>
    <t xml:space="preserve">Bakanlığımızca 1972 yılından bu yana yayınlanmakta olan bu kitap,  turizm alanında çalışma yapmak isteyen tüm kullanıcılar için temel kaynak niteliğindedir. </t>
  </si>
  <si>
    <t xml:space="preserve">Kitabımızda Ülkemize giriş-çıkış yapan, yabancı ziyaretçiler ile günübirlikçilere ilişkin ay-milliyet-giriş-çıkış yapılan sınır kapısı-kullanılan vasıta bazında bilgiler bulunmaktadır. </t>
  </si>
  <si>
    <t>KÜLTÜR VE TURİZM BAKANLIĞI</t>
  </si>
  <si>
    <t>AÇIKLAMALAR</t>
  </si>
  <si>
    <t>Turizm Bakanlığı, 1972 yılından itibaren, Ülkemize giriş-çıkış yapan yabancı ziyaretçi sayılarına ilişkin verileri sınır kapılarımızda Emniyet Genel Müdürlüğü’ne bağlı Pasaport Polisi’nin tuttuğu milliyet bazındaki kayıtlardan elde etmektedir. Yabancı ziyaretçi sayılarına günübirlikçi sayıları da dâhildir. Ziyaretçi sayıları ise yabancı ziyaretçi sayıları ile yurt dışında ikamet eden vatandaş sayıları toplamından elde edilmektedir.</t>
  </si>
  <si>
    <t>YÖNTEM</t>
  </si>
  <si>
    <t>Giriş yapan ziyaretçilere ve yurt dışında ikamet eden vatandaşlara, giriş-çıkış yapan yabancı ziyaretçilere ve günübirlikçilere ait istatistikler Emniyet Genel Müdürlüğü Pasaport Polisi kayıtları ile Türkiye İstatistik Kurumu Vatandaş Giriş Anketi bilgileri derlenerek elde edilmektedir. Emniyet Genel Müdürlüğü veri tabanı kayıtları aylık olarak Bakanlığımız veri tabanına aktarılmaktadır. Türkiye İstatistik Kurumu verileri ise dört çeyreklik (üçer aylık) dönemlerde yayınlanan Turizm İstatistikleri Haber Bülteni yayınını takiben Bakanlık istatistiklerine dâhil edilmektedir. Her yılın ilk yarısının sonunda önceki yıla ait tüm veriler değerlendirilerek “Sınır İstatistikleri” adı altında yayınlanır.</t>
  </si>
  <si>
    <t>TÜRKİYE GELEN ZİYARETÇİLERİN AYLARA GÖRE DAĞILIMI (2022)</t>
  </si>
  <si>
    <t>A-TÜRKİYE'YE GELEN ZİYARETÇİLERİN YILLARA VE AYLARA GÖRE DAĞILIMI (2013 - 2022)</t>
  </si>
  <si>
    <t>B-GÜNÜBİRLİKÇİLERİN YILLARA VE AYLARA GÖRE DAĞILIMI (2013 - 2022)</t>
  </si>
  <si>
    <t>Hollanda Antilleri</t>
  </si>
  <si>
    <t>İngiltere National</t>
  </si>
  <si>
    <t>Portekiz ve Azor Adası</t>
  </si>
  <si>
    <t>2022/2021</t>
  </si>
  <si>
    <t>C-ÜLKEMİZE GELEN YABANCI ZİYARETÇİLERİN MİLLİYETLERİNE GÖRE DAĞILIMI (2007 - 2022)</t>
  </si>
  <si>
    <t>1- TÜRKİYE'YE GELEN YABANCI ZİYARETÇİLERİN YILLARA VE AYLARA GÖRE DAĞILIMI (2020-2022)</t>
  </si>
  <si>
    <t>2- TÜRKİYE'YE GELEN YABANCI ZİYARETÇİLERİN MİLLİYETLERİNE VE TAŞIT ARAÇLARINA GÖRE DAĞILIMI - 2022</t>
  </si>
  <si>
    <t>DİĞ.  AVRUPA OECD  ÜLKELERİ</t>
  </si>
  <si>
    <t>3- TÜRKİYE'YE GELEN YABANCI ZİYARETÇİLERİN AYLARA VE TAŞIT ARACINA GÖRE DAĞILIMI 2022</t>
  </si>
  <si>
    <t>4- TÜRKİYE'YE GELEN YABANCI ZİYARETÇİLERİN SINIR KAPILARININ BAĞLI OLDUĞU İLLERE VE TAŞIT ARAÇLARINA GÖRE DAĞILIMI - 2022</t>
  </si>
  <si>
    <t>Bingöl</t>
  </si>
  <si>
    <t>Muş</t>
  </si>
  <si>
    <t>Tokat</t>
  </si>
  <si>
    <t>5- TÜRKİYE'YE GELEN YABANCI ZİYARETÇİLERİN SINIR KAPILARINA VE AYLARA GÖRE DAĞILIMI 2022</t>
  </si>
  <si>
    <t>Ağrı Merkez  (H)</t>
  </si>
  <si>
    <t>Kaş Setur Marina (D)</t>
  </si>
  <si>
    <t>Bingöl  Merkez (H)</t>
  </si>
  <si>
    <t>Çanakkale Merkez (D)</t>
  </si>
  <si>
    <t>Hatay Madenli Yat Limanı (D)</t>
  </si>
  <si>
    <t>Aydıncık (D)</t>
  </si>
  <si>
    <t>Bozburun (D)</t>
  </si>
  <si>
    <t>Muş Merkez (H)</t>
  </si>
  <si>
    <t>Rize-Artvin Havalimanı (H)</t>
  </si>
  <si>
    <t>Amasra Deniz Kapıs(D)</t>
  </si>
  <si>
    <t xml:space="preserve">6- ÜLKEMİZE GELEN YABANCI ZİYARETÇİLERİN MİLLİYETLERİNE GÖRE KARŞILAŞTIRILMASI (2020-2022) </t>
  </si>
  <si>
    <t>7- TÜRKİYE'YE GELEN YABANCI ZİYARETÇİLERİN MİLLİYETLERE VE AYLARA GÖRE DAĞILIMI - 2022</t>
  </si>
  <si>
    <t>Tokat (H)</t>
  </si>
  <si>
    <t>Tekirdağ Opet Petrolcülük Marmara Ereğlisi (D)</t>
  </si>
  <si>
    <t>Karasu Limanı (D)</t>
  </si>
  <si>
    <t>Rize Toplam</t>
  </si>
  <si>
    <t>Bartın Toplam</t>
  </si>
  <si>
    <t>Amasra Deniz Kapısı (D)</t>
  </si>
  <si>
    <t>Ağrı Toplam</t>
  </si>
  <si>
    <t>8- TÜRKİYE'YE GELEN YABANCI ZİYARETÇİLERİN MİLLİYETLERİNE VE SINIR KAPILARINA GÖRE DAĞILIMI - 2022</t>
  </si>
  <si>
    <t>9- YABANCI GÜNÜBİRLİKÇİLERİN YILLARA VE AYLARA GÖRE DAĞILIMI - 2022</t>
  </si>
  <si>
    <t>10- TÜRKİYE'YE GELEN  YABANCI GÜNÜBİRLİKÇİLERİN SINIR KAPILARINA VE AYLARA GÖRE DAĞILIMI - 2022</t>
  </si>
  <si>
    <t>11- YABANCI GÜNÜBİRLİKÇİLERİN MİLLİYETLERE VE SINIR KAPILARINA GÖRE DAĞILIMI - 2022</t>
  </si>
  <si>
    <t>12- 2020 - 2022 YILLARINDA YABANCI GÜNÜBİRLİKÇİLERİN SINIR KAPILARINA VE YILLARA GÖRE KARŞILAŞTIRILMASI</t>
  </si>
  <si>
    <t>13- TÜRKİYE'DEN ÇIKAN YABANCI ZİYARETÇİLERİN YILLARA VE AYLARA GÖRE DAĞILIMI (2020-2022)</t>
  </si>
  <si>
    <t>14- TÜRKİYE'DEN ÇIKAN YABANCI ZİYARETÇİLERİN MİLLİYETLERİNE VE TAŞIT ARAÇLARINA GÖRE DAĞILIMI - 2022</t>
  </si>
  <si>
    <t>15- TÜRKİYE'DEN ÇIKAN YABANCI ZİYARETÇİLERİN AYLARA VE TAŞIT ARAÇLARINA GÖRE DAĞILIMI - 2022</t>
  </si>
  <si>
    <t>16- TÜRKİYE'DEN ÇIKAN YABANCI ZİYARETÇİLERİN SINIR KAPILARININ BAĞLI OLDUĞU İLLERE VE TAŞIT ARAÇLARINA GÖRE DAĞILIMI - 2022</t>
  </si>
  <si>
    <t>17-TÜRKİYE'DEN ÇIKAN YABANCI ZİYARETÇİLERİN SINIR KAPILARINA VE AYLARA GÖRE DAĞILIMI - 2022</t>
  </si>
  <si>
    <t>A-TÜRKİYE'YE GELEN ZİYARETÇİLERİN YILLARA VE AYLARA GÖRE DAĞILIMI ( 2013 - 2022)</t>
  </si>
  <si>
    <t>1- TÜRKİYE'YE GELEN YABANCI ZİYARETÇİLERİN YILLARA VE AYLARA GÖRE DAĞILIMI (2020 - 2022)</t>
  </si>
  <si>
    <t>6- ÜLKEMİZE GELEN YABANCI ZİYARETÇİLERİN MİLLİYETLERİNE GÖRE KARŞILAŞTIRILMASI (2022 - 2022)</t>
  </si>
  <si>
    <t>13- TÜRKİYE'DEN ÇIKAN YABANCI ZİYARETÇİLERİN YILLARA VE AYLARA GÖRE DAĞILIMI (2020 - 2022)</t>
  </si>
  <si>
    <t xml:space="preserve">Elinizdeki Turizm İstatistikleri Bülteni, 2022 yılında sınır kapılarımızda gerçekleşen turizm hareketlerine ilişkin aylık bazda son üç yılı karşılaştırmalı istatistik bilgiler içeren Bakanlığımız yayınıdır. </t>
  </si>
  <si>
    <t xml:space="preserve">2022 yılı Sınır İstatistikleri Bülteni’nin, turizm konusunda çalışma yapan herkese yararlı olacağını ümit ederiz.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</si>
</sst>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 ###\ ###"/>
    <numFmt numFmtId="169" formatCode="_-* #,##0\ &quot;TL&quot;_-;\-* #,##0\ &quot;TL&quot;_-;_-* &quot;-&quot;\ &quot;TL&quot;_-;_-@_-"/>
    <numFmt numFmtId="170" formatCode="_-* #,##0\ _T_L_-;\-* #,##0\ _T_L_-;_-* &quot;-&quot;\ _T_L_-;_-@_-"/>
    <numFmt numFmtId="171" formatCode="_-* #,##0.00\ &quot;TL&quot;_-;\-* #,##0.00\ &quot;TL&quot;_-;_-* &quot;-&quot;??\ &quot;TL&quot;_-;_-@_-"/>
    <numFmt numFmtId="172" formatCode="_-* #,##0.00\ _T_L_-;\-* #,##0.00\ _T_L_-;_-* &quot;-&quot;??\ _T_L_-;_-@_-"/>
  </numFmts>
  <fonts count="42" x14ac:knownFonts="1">
    <font>
      <sz val="10"/>
      <name val="Arial"/>
      <family val="2"/>
    </font>
    <font>
      <sz val="11"/>
      <color theme="1"/>
      <name val="Calibri"/>
      <family val="2"/>
      <charset val="162"/>
      <scheme val="minor"/>
    </font>
    <font>
      <b/>
      <sz val="10"/>
      <name val="Arial"/>
      <family val="2"/>
    </font>
    <font>
      <sz val="10"/>
      <name val="Arial"/>
      <family val="2"/>
    </font>
    <font>
      <b/>
      <sz val="11"/>
      <name val="Arial"/>
      <family val="2"/>
    </font>
    <font>
      <sz val="11"/>
      <name val="Arial"/>
      <family val="2"/>
    </font>
    <font>
      <b/>
      <sz val="11"/>
      <color rgb="FF0000FF"/>
      <name val="Arial"/>
      <family val="2"/>
      <charset val="162"/>
    </font>
    <font>
      <b/>
      <sz val="16"/>
      <name val="Arial"/>
      <family val="2"/>
    </font>
    <font>
      <b/>
      <sz val="18"/>
      <name val="Arial"/>
      <family val="2"/>
    </font>
    <font>
      <b/>
      <sz val="12"/>
      <color rgb="FF0000FF"/>
      <name val="Arial"/>
      <family val="2"/>
    </font>
    <font>
      <b/>
      <sz val="12"/>
      <name val="Arial"/>
      <family val="2"/>
    </font>
    <font>
      <b/>
      <sz val="11"/>
      <name val="Arial"/>
      <family val="2"/>
      <charset val="162"/>
    </font>
    <font>
      <b/>
      <sz val="16"/>
      <name val="Arial"/>
      <family val="2"/>
      <charset val="162"/>
    </font>
    <font>
      <b/>
      <sz val="14"/>
      <name val="Arial"/>
      <family val="2"/>
    </font>
    <font>
      <b/>
      <sz val="10"/>
      <name val="Arial"/>
      <family val="2"/>
      <charset val="162"/>
    </font>
    <font>
      <b/>
      <sz val="10"/>
      <color rgb="FF0000FF"/>
      <name val="Arial"/>
      <family val="2"/>
      <charset val="162"/>
    </font>
    <font>
      <b/>
      <sz val="9"/>
      <name val="Arial"/>
      <family val="2"/>
    </font>
    <font>
      <sz val="9"/>
      <name val="Arial"/>
      <family val="2"/>
    </font>
    <font>
      <b/>
      <sz val="9"/>
      <color rgb="FF0000FF"/>
      <name val="Arial"/>
      <family val="2"/>
      <charset val="162"/>
    </font>
    <font>
      <b/>
      <sz val="9"/>
      <color rgb="FF0000FF"/>
      <name val="Arial"/>
      <family val="2"/>
    </font>
    <font>
      <b/>
      <sz val="10"/>
      <color rgb="FF0000FF"/>
      <name val="Arial"/>
      <family val="2"/>
    </font>
    <font>
      <sz val="10"/>
      <color rgb="FF0000FF"/>
      <name val="Arial"/>
      <family val="2"/>
    </font>
    <font>
      <b/>
      <sz val="8.5"/>
      <name val="Arial"/>
      <family val="2"/>
    </font>
    <font>
      <sz val="10"/>
      <name val="Arial"/>
      <family val="2"/>
      <charset val="162"/>
    </font>
    <font>
      <sz val="8.5"/>
      <name val="Arial"/>
      <family val="2"/>
    </font>
    <font>
      <b/>
      <sz val="8.5"/>
      <name val="Arial"/>
      <family val="2"/>
      <charset val="162"/>
    </font>
    <font>
      <b/>
      <sz val="9"/>
      <name val="Arial"/>
      <family val="2"/>
      <charset val="162"/>
    </font>
    <font>
      <sz val="9"/>
      <color rgb="FF0000FF"/>
      <name val="Arial"/>
      <family val="2"/>
    </font>
    <font>
      <u/>
      <sz val="10"/>
      <color theme="10"/>
      <name val="Arial"/>
      <family val="2"/>
    </font>
    <font>
      <b/>
      <sz val="16"/>
      <name val="Times New Roman"/>
      <family val="1"/>
      <charset val="162"/>
    </font>
    <font>
      <sz val="12"/>
      <name val="Times New Roman"/>
      <family val="1"/>
      <charset val="162"/>
    </font>
    <font>
      <b/>
      <sz val="12"/>
      <name val="Times New Roman"/>
      <family val="1"/>
      <charset val="162"/>
    </font>
    <font>
      <sz val="11"/>
      <name val="Times New Roman"/>
      <family val="1"/>
      <charset val="162"/>
    </font>
    <font>
      <b/>
      <sz val="14"/>
      <name val="Times New Roman"/>
      <family val="1"/>
      <charset val="162"/>
    </font>
    <font>
      <sz val="14"/>
      <name val="Times New Roman"/>
      <family val="1"/>
      <charset val="162"/>
    </font>
    <font>
      <b/>
      <sz val="11"/>
      <name val="Times New Roman"/>
      <family val="1"/>
      <charset val="162"/>
    </font>
    <font>
      <sz val="10"/>
      <name val="Times New Roman"/>
      <family val="1"/>
      <charset val="162"/>
    </font>
    <font>
      <b/>
      <sz val="9"/>
      <name val="Times New Roman"/>
      <family val="1"/>
      <charset val="162"/>
    </font>
    <font>
      <b/>
      <sz val="10"/>
      <name val="Times New Roman"/>
      <family val="1"/>
      <charset val="162"/>
    </font>
    <font>
      <b/>
      <sz val="12"/>
      <name val="Arial"/>
      <family val="2"/>
      <charset val="162"/>
    </font>
    <font>
      <b/>
      <sz val="26"/>
      <name val="Arial"/>
      <family val="2"/>
      <charset val="162"/>
    </font>
    <font>
      <b/>
      <sz val="9"/>
      <color theme="1"/>
      <name val="Arial"/>
      <family val="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thin">
        <color auto="1"/>
      </left>
      <right/>
      <top/>
      <bottom/>
      <diagonal/>
    </border>
    <border>
      <left/>
      <right style="thin">
        <color auto="1"/>
      </right>
      <top/>
      <bottom/>
      <diagonal/>
    </border>
    <border>
      <left style="thick">
        <color auto="1"/>
      </left>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medium">
        <color indexed="64"/>
      </right>
      <top/>
      <bottom style="medium">
        <color indexed="64"/>
      </bottom>
      <diagonal/>
    </border>
    <border>
      <left style="medium">
        <color auto="1"/>
      </left>
      <right style="medium">
        <color auto="1"/>
      </right>
      <top/>
      <bottom/>
      <diagonal/>
    </border>
    <border>
      <left style="thin">
        <color auto="1"/>
      </left>
      <right style="medium">
        <color auto="1"/>
      </right>
      <top/>
      <bottom/>
      <diagonal/>
    </border>
    <border>
      <left style="medium">
        <color auto="1"/>
      </left>
      <right style="thin">
        <color auto="1"/>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right style="medium">
        <color auto="1"/>
      </right>
      <top style="thin">
        <color auto="1"/>
      </top>
      <bottom style="medium">
        <color auto="1"/>
      </bottom>
      <diagonal/>
    </border>
  </borders>
  <cellStyleXfs count="22">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8" fillId="0" borderId="0" applyNumberForma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8" fillId="0" borderId="0" applyNumberFormat="0" applyFill="0" applyBorder="0" applyAlignment="0" applyProtection="0"/>
    <xf numFmtId="0" fontId="1" fillId="0" borderId="0"/>
    <xf numFmtId="0" fontId="3" fillId="0" borderId="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cellStyleXfs>
  <cellXfs count="530">
    <xf numFmtId="0" fontId="0" fillId="0" borderId="0" xfId="0"/>
    <xf numFmtId="168" fontId="0" fillId="0" borderId="0" xfId="0" applyNumberFormat="1" applyFont="1" applyAlignment="1">
      <alignment wrapText="1"/>
    </xf>
    <xf numFmtId="0" fontId="0" fillId="0" borderId="0" xfId="0" applyNumberFormat="1" applyFont="1" applyAlignment="1">
      <alignment wrapText="1"/>
    </xf>
    <xf numFmtId="2" fontId="0" fillId="0" borderId="0" xfId="0" applyNumberFormat="1" applyFont="1" applyAlignment="1">
      <alignment wrapText="1"/>
    </xf>
    <xf numFmtId="0" fontId="0" fillId="0" borderId="0" xfId="0" applyAlignment="1">
      <alignment vertical="center"/>
    </xf>
    <xf numFmtId="0" fontId="2" fillId="0" borderId="0" xfId="0" applyNumberFormat="1" applyFont="1" applyAlignment="1">
      <alignment horizontal="left" vertical="center" wrapText="1"/>
    </xf>
    <xf numFmtId="0" fontId="0" fillId="0" borderId="0" xfId="0" applyAlignment="1">
      <alignment horizontal="left"/>
    </xf>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horizontal="left"/>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5" fillId="0" borderId="0" xfId="0" applyFont="1" applyAlignment="1">
      <alignment vertical="center"/>
    </xf>
    <xf numFmtId="0" fontId="4" fillId="0" borderId="0" xfId="0" applyNumberFormat="1" applyFont="1" applyBorder="1" applyAlignment="1">
      <alignment horizontal="left" vertical="center" wrapText="1"/>
    </xf>
    <xf numFmtId="168" fontId="6" fillId="0" borderId="0" xfId="0" applyNumberFormat="1" applyFont="1" applyBorder="1" applyAlignment="1">
      <alignment vertical="center" wrapText="1"/>
    </xf>
    <xf numFmtId="0" fontId="0" fillId="0" borderId="0" xfId="0"/>
    <xf numFmtId="0" fontId="5" fillId="0" borderId="0" xfId="0" applyFont="1" applyAlignment="1">
      <alignment wrapText="1"/>
    </xf>
    <xf numFmtId="0" fontId="5" fillId="0" borderId="0" xfId="0" applyFont="1"/>
    <xf numFmtId="0" fontId="0" fillId="0" borderId="0" xfId="0"/>
    <xf numFmtId="0" fontId="2" fillId="0" borderId="0" xfId="0" applyFont="1" applyAlignment="1">
      <alignment horizontal="center" wrapText="1"/>
    </xf>
    <xf numFmtId="0" fontId="10" fillId="0" borderId="1"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xf>
    <xf numFmtId="0" fontId="11" fillId="0" borderId="1" xfId="0" applyNumberFormat="1" applyFont="1" applyBorder="1" applyAlignment="1">
      <alignment horizontal="left" vertical="center" wrapText="1"/>
    </xf>
    <xf numFmtId="0" fontId="0" fillId="0" borderId="0" xfId="0"/>
    <xf numFmtId="0" fontId="2" fillId="0" borderId="0" xfId="0" applyFont="1" applyAlignment="1">
      <alignment horizontal="center" wrapText="1"/>
    </xf>
    <xf numFmtId="0" fontId="2" fillId="0" borderId="1" xfId="0" applyNumberFormat="1" applyFont="1" applyBorder="1" applyAlignment="1">
      <alignment horizontal="left" wrapText="1"/>
    </xf>
    <xf numFmtId="0" fontId="2" fillId="0" borderId="1" xfId="0" applyNumberFormat="1" applyFont="1" applyBorder="1" applyAlignment="1">
      <alignment wrapText="1"/>
    </xf>
    <xf numFmtId="0" fontId="2" fillId="0" borderId="1" xfId="0" applyNumberFormat="1" applyFont="1" applyBorder="1" applyAlignment="1">
      <alignment horizontal="left" vertical="center" wrapText="1"/>
    </xf>
    <xf numFmtId="168" fontId="0" fillId="0" borderId="1" xfId="0" applyNumberFormat="1" applyFont="1" applyBorder="1" applyAlignment="1">
      <alignment wrapText="1"/>
    </xf>
    <xf numFmtId="0" fontId="14" fillId="0" borderId="1" xfId="0" applyFont="1" applyBorder="1" applyAlignment="1">
      <alignment horizontal="left"/>
    </xf>
    <xf numFmtId="168" fontId="14" fillId="0" borderId="1" xfId="0" applyNumberFormat="1" applyFont="1" applyBorder="1"/>
    <xf numFmtId="0" fontId="2" fillId="0" borderId="11" xfId="0" applyNumberFormat="1" applyFont="1" applyBorder="1" applyAlignment="1">
      <alignment horizontal="left" wrapText="1"/>
    </xf>
    <xf numFmtId="0" fontId="2" fillId="0" borderId="9" xfId="0" applyNumberFormat="1" applyFont="1" applyBorder="1" applyAlignment="1">
      <alignment horizontal="center" wrapText="1"/>
    </xf>
    <xf numFmtId="0" fontId="2" fillId="0" borderId="11" xfId="0" applyFont="1" applyBorder="1" applyAlignment="1">
      <alignment horizontal="center" vertical="center" wrapText="1"/>
    </xf>
    <xf numFmtId="0" fontId="0" fillId="0" borderId="11" xfId="0" applyBorder="1" applyAlignment="1">
      <alignment vertical="center"/>
    </xf>
    <xf numFmtId="0" fontId="2" fillId="0" borderId="10" xfId="0" applyNumberFormat="1" applyFont="1" applyBorder="1" applyAlignment="1">
      <alignment horizontal="left" wrapText="1"/>
    </xf>
    <xf numFmtId="0" fontId="15" fillId="0" borderId="9" xfId="0" applyNumberFormat="1" applyFont="1" applyBorder="1" applyAlignment="1">
      <alignment horizontal="left" vertical="center" wrapText="1"/>
    </xf>
    <xf numFmtId="168" fontId="0" fillId="0" borderId="0" xfId="0" applyNumberFormat="1" applyFont="1" applyAlignment="1">
      <alignment horizontal="right" wrapText="1" indent="2"/>
    </xf>
    <xf numFmtId="168" fontId="15" fillId="0" borderId="9" xfId="0" applyNumberFormat="1" applyFont="1" applyBorder="1" applyAlignment="1">
      <alignment horizontal="right" wrapText="1" indent="2"/>
    </xf>
    <xf numFmtId="168" fontId="0" fillId="0" borderId="1" xfId="0" applyNumberFormat="1" applyFont="1" applyBorder="1" applyAlignment="1">
      <alignment horizontal="right" vertical="center" wrapText="1" indent="2"/>
    </xf>
    <xf numFmtId="168" fontId="6" fillId="0" borderId="1" xfId="0" applyNumberFormat="1" applyFont="1" applyBorder="1" applyAlignment="1">
      <alignment horizontal="right" vertical="center" wrapText="1" indent="2"/>
    </xf>
    <xf numFmtId="168" fontId="5" fillId="0" borderId="1" xfId="0" applyNumberFormat="1" applyFont="1" applyBorder="1" applyAlignment="1">
      <alignment horizontal="right" vertical="center" wrapText="1" indent="1"/>
    </xf>
    <xf numFmtId="168" fontId="6" fillId="0" borderId="1" xfId="0" applyNumberFormat="1" applyFont="1" applyBorder="1" applyAlignment="1">
      <alignment horizontal="right" vertical="center" wrapText="1" indent="1"/>
    </xf>
    <xf numFmtId="0" fontId="0" fillId="0" borderId="0" xfId="0"/>
    <xf numFmtId="0" fontId="16" fillId="0" borderId="0" xfId="0" applyNumberFormat="1" applyFont="1" applyAlignment="1">
      <alignment horizontal="left" vertical="center" wrapText="1"/>
    </xf>
    <xf numFmtId="168" fontId="17" fillId="0" borderId="0" xfId="0" applyNumberFormat="1" applyFont="1" applyAlignment="1">
      <alignment wrapText="1"/>
    </xf>
    <xf numFmtId="2" fontId="17" fillId="0" borderId="0" xfId="0" applyNumberFormat="1" applyFont="1" applyAlignment="1">
      <alignment wrapText="1"/>
    </xf>
    <xf numFmtId="0" fontId="17" fillId="0" borderId="0" xfId="0" applyNumberFormat="1" applyFont="1" applyAlignment="1">
      <alignment wrapText="1"/>
    </xf>
    <xf numFmtId="0" fontId="16" fillId="0" borderId="10" xfId="0" applyNumberFormat="1" applyFont="1" applyBorder="1" applyAlignment="1">
      <alignment horizontal="left" vertical="center" wrapText="1"/>
    </xf>
    <xf numFmtId="0" fontId="16" fillId="0" borderId="13" xfId="0" applyNumberFormat="1" applyFont="1" applyBorder="1" applyAlignment="1">
      <alignment horizontal="right" wrapText="1"/>
    </xf>
    <xf numFmtId="0" fontId="16" fillId="0" borderId="9" xfId="0" applyNumberFormat="1" applyFont="1" applyBorder="1" applyAlignment="1">
      <alignment horizontal="left" vertical="center" wrapText="1"/>
    </xf>
    <xf numFmtId="168" fontId="17" fillId="0" borderId="9" xfId="0" applyNumberFormat="1" applyFont="1" applyBorder="1" applyAlignment="1">
      <alignment wrapText="1"/>
    </xf>
    <xf numFmtId="2" fontId="17" fillId="0" borderId="9" xfId="0" applyNumberFormat="1" applyFont="1" applyBorder="1" applyAlignment="1">
      <alignment wrapText="1"/>
    </xf>
    <xf numFmtId="0" fontId="17" fillId="0" borderId="9" xfId="0" applyNumberFormat="1" applyFont="1" applyBorder="1" applyAlignment="1">
      <alignment wrapText="1"/>
    </xf>
    <xf numFmtId="0" fontId="18" fillId="0" borderId="9" xfId="0" applyNumberFormat="1" applyFont="1" applyBorder="1" applyAlignment="1">
      <alignment horizontal="left" vertical="center" wrapText="1"/>
    </xf>
    <xf numFmtId="168" fontId="18" fillId="0" borderId="9" xfId="0" applyNumberFormat="1" applyFont="1" applyBorder="1" applyAlignment="1">
      <alignment wrapText="1"/>
    </xf>
    <xf numFmtId="2" fontId="18" fillId="0" borderId="9" xfId="0" applyNumberFormat="1" applyFont="1" applyBorder="1" applyAlignment="1">
      <alignment wrapText="1"/>
    </xf>
    <xf numFmtId="168" fontId="19" fillId="0" borderId="9" xfId="0" applyNumberFormat="1" applyFont="1" applyBorder="1" applyAlignment="1">
      <alignment wrapText="1"/>
    </xf>
    <xf numFmtId="168" fontId="18" fillId="0" borderId="0" xfId="0" applyNumberFormat="1" applyFont="1" applyAlignment="1">
      <alignment wrapText="1"/>
    </xf>
    <xf numFmtId="168" fontId="0" fillId="0" borderId="0" xfId="0" applyNumberFormat="1" applyFont="1" applyAlignment="1">
      <alignment horizontal="right" wrapText="1" indent="1"/>
    </xf>
    <xf numFmtId="168" fontId="15" fillId="0" borderId="0" xfId="0" applyNumberFormat="1" applyFont="1" applyAlignment="1">
      <alignment horizontal="right" wrapText="1" indent="1"/>
    </xf>
    <xf numFmtId="2" fontId="0" fillId="0" borderId="0" xfId="0" applyNumberFormat="1" applyFont="1" applyAlignment="1">
      <alignment horizontal="right" wrapText="1" indent="2"/>
    </xf>
    <xf numFmtId="0" fontId="2" fillId="0" borderId="9" xfId="0" applyNumberFormat="1" applyFont="1" applyBorder="1" applyAlignment="1">
      <alignment horizontal="left" vertical="center" wrapText="1"/>
    </xf>
    <xf numFmtId="168" fontId="15" fillId="0" borderId="9" xfId="0" applyNumberFormat="1" applyFont="1" applyBorder="1" applyAlignment="1">
      <alignment horizontal="right" wrapText="1" indent="1"/>
    </xf>
    <xf numFmtId="2" fontId="0" fillId="0" borderId="9" xfId="0" applyNumberFormat="1" applyFont="1" applyBorder="1" applyAlignment="1">
      <alignment horizontal="right" wrapText="1" indent="2"/>
    </xf>
    <xf numFmtId="2" fontId="0" fillId="0" borderId="9" xfId="0" applyNumberFormat="1" applyFont="1" applyBorder="1" applyAlignment="1">
      <alignment horizontal="right" wrapText="1" indent="1"/>
    </xf>
    <xf numFmtId="0" fontId="0" fillId="0" borderId="9" xfId="0" applyNumberFormat="1" applyFont="1" applyBorder="1" applyAlignment="1">
      <alignment horizontal="right" wrapText="1" indent="2"/>
    </xf>
    <xf numFmtId="0" fontId="16" fillId="0" borderId="10" xfId="0" applyNumberFormat="1" applyFont="1" applyBorder="1" applyAlignment="1">
      <alignment horizontal="left" wrapText="1"/>
    </xf>
    <xf numFmtId="0" fontId="16" fillId="0" borderId="0" xfId="0" applyNumberFormat="1" applyFont="1" applyBorder="1" applyAlignment="1">
      <alignment horizontal="left" vertical="center" wrapText="1"/>
    </xf>
    <xf numFmtId="0" fontId="16" fillId="0" borderId="9" xfId="0" applyNumberFormat="1" applyFont="1" applyBorder="1" applyAlignment="1">
      <alignment horizontal="right" vertical="center" wrapText="1"/>
    </xf>
    <xf numFmtId="0" fontId="16" fillId="0" borderId="0" xfId="0" applyNumberFormat="1" applyFont="1" applyBorder="1" applyAlignment="1">
      <alignment horizontal="right" vertical="center" wrapText="1"/>
    </xf>
    <xf numFmtId="168" fontId="17" fillId="0" borderId="10" xfId="0" applyNumberFormat="1" applyFont="1" applyBorder="1" applyAlignment="1">
      <alignment vertical="center" wrapText="1"/>
    </xf>
    <xf numFmtId="0" fontId="17" fillId="0" borderId="10" xfId="0" applyNumberFormat="1" applyFont="1" applyBorder="1" applyAlignment="1">
      <alignment vertical="center" wrapText="1"/>
    </xf>
    <xf numFmtId="168" fontId="19" fillId="0" borderId="10" xfId="0" applyNumberFormat="1" applyFont="1" applyBorder="1" applyAlignment="1">
      <alignment vertical="center" wrapText="1"/>
    </xf>
    <xf numFmtId="2" fontId="17" fillId="0" borderId="10" xfId="0" applyNumberFormat="1" applyFont="1" applyBorder="1" applyAlignment="1">
      <alignment vertical="center" wrapText="1"/>
    </xf>
    <xf numFmtId="0" fontId="17" fillId="0" borderId="0" xfId="0" applyNumberFormat="1" applyFont="1" applyAlignment="1">
      <alignment vertical="center" wrapText="1"/>
    </xf>
    <xf numFmtId="168" fontId="17" fillId="0" borderId="0" xfId="0" applyNumberFormat="1" applyFont="1" applyAlignment="1">
      <alignment vertical="center" wrapText="1"/>
    </xf>
    <xf numFmtId="168" fontId="19" fillId="0" borderId="0" xfId="0" applyNumberFormat="1" applyFont="1" applyAlignment="1">
      <alignment vertical="center" wrapText="1"/>
    </xf>
    <xf numFmtId="2" fontId="17" fillId="0" borderId="0" xfId="0" applyNumberFormat="1" applyFont="1" applyAlignment="1">
      <alignment vertical="center" wrapText="1"/>
    </xf>
    <xf numFmtId="168" fontId="19" fillId="0" borderId="9" xfId="0" applyNumberFormat="1" applyFont="1" applyBorder="1" applyAlignment="1">
      <alignment vertical="center" wrapText="1"/>
    </xf>
    <xf numFmtId="2" fontId="17" fillId="0" borderId="9" xfId="0" applyNumberFormat="1" applyFont="1" applyBorder="1" applyAlignment="1">
      <alignment vertical="center" wrapText="1"/>
    </xf>
    <xf numFmtId="0" fontId="17" fillId="0" borderId="9" xfId="0" applyNumberFormat="1" applyFont="1" applyBorder="1" applyAlignment="1">
      <alignment vertical="center" wrapText="1"/>
    </xf>
    <xf numFmtId="0" fontId="23" fillId="0" borderId="0" xfId="0" applyNumberFormat="1" applyFont="1" applyAlignment="1">
      <alignment horizontal="left" vertical="center" wrapText="1"/>
    </xf>
    <xf numFmtId="168" fontId="24" fillId="0" borderId="0" xfId="0" applyNumberFormat="1" applyFont="1" applyAlignment="1">
      <alignment wrapText="1"/>
    </xf>
    <xf numFmtId="0" fontId="24" fillId="0" borderId="0" xfId="0" applyNumberFormat="1" applyFont="1" applyAlignment="1">
      <alignment wrapText="1"/>
    </xf>
    <xf numFmtId="0" fontId="14" fillId="0" borderId="0" xfId="0" applyNumberFormat="1" applyFont="1" applyAlignment="1">
      <alignment horizontal="center" vertical="center" wrapText="1"/>
    </xf>
    <xf numFmtId="168" fontId="25" fillId="0" borderId="0" xfId="0" applyNumberFormat="1" applyFont="1" applyAlignment="1">
      <alignment wrapText="1"/>
    </xf>
    <xf numFmtId="0" fontId="25"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xf numFmtId="0" fontId="14" fillId="0" borderId="9" xfId="0" applyNumberFormat="1" applyFont="1" applyBorder="1" applyAlignment="1">
      <alignment horizontal="center" vertical="center" wrapText="1"/>
    </xf>
    <xf numFmtId="0" fontId="25" fillId="0" borderId="9" xfId="0" applyNumberFormat="1" applyFont="1" applyBorder="1" applyAlignment="1">
      <alignment wrapText="1"/>
    </xf>
    <xf numFmtId="168" fontId="25" fillId="0" borderId="9" xfId="0" applyNumberFormat="1" applyFont="1" applyBorder="1" applyAlignment="1">
      <alignment wrapText="1"/>
    </xf>
    <xf numFmtId="0" fontId="2" fillId="0" borderId="9" xfId="0" applyNumberFormat="1" applyFont="1" applyBorder="1" applyAlignment="1">
      <alignment horizontal="center" vertical="center" wrapText="1"/>
    </xf>
    <xf numFmtId="0" fontId="23" fillId="0" borderId="10" xfId="0" applyNumberFormat="1" applyFont="1" applyBorder="1" applyAlignment="1">
      <alignment horizontal="left" vertical="center" wrapText="1"/>
    </xf>
    <xf numFmtId="168" fontId="24" fillId="0" borderId="10" xfId="0" applyNumberFormat="1" applyFont="1" applyBorder="1" applyAlignment="1">
      <alignment wrapText="1"/>
    </xf>
    <xf numFmtId="0" fontId="23" fillId="0" borderId="0" xfId="0" applyNumberFormat="1" applyFont="1" applyBorder="1" applyAlignment="1">
      <alignment horizontal="left" vertical="center" wrapText="1"/>
    </xf>
    <xf numFmtId="168" fontId="24" fillId="0" borderId="0" xfId="0" applyNumberFormat="1" applyFont="1" applyBorder="1" applyAlignment="1">
      <alignment wrapText="1"/>
    </xf>
    <xf numFmtId="0" fontId="24" fillId="0" borderId="0" xfId="0" applyNumberFormat="1" applyFont="1" applyBorder="1" applyAlignment="1">
      <alignment wrapText="1"/>
    </xf>
    <xf numFmtId="168" fontId="25" fillId="0" borderId="11" xfId="0" applyNumberFormat="1" applyFont="1" applyBorder="1" applyAlignment="1">
      <alignment wrapText="1"/>
    </xf>
    <xf numFmtId="0" fontId="24" fillId="0" borderId="10" xfId="0" applyNumberFormat="1" applyFont="1" applyBorder="1" applyAlignment="1">
      <alignment wrapText="1"/>
    </xf>
    <xf numFmtId="0" fontId="14" fillId="0" borderId="9" xfId="0" applyNumberFormat="1" applyFont="1" applyBorder="1" applyAlignment="1">
      <alignment horizontal="left" vertical="center" wrapText="1"/>
    </xf>
    <xf numFmtId="0" fontId="14" fillId="0" borderId="11" xfId="0" applyNumberFormat="1" applyFont="1" applyBorder="1" applyAlignment="1">
      <alignment horizontal="center" vertical="center" wrapText="1"/>
    </xf>
    <xf numFmtId="0" fontId="2" fillId="0" borderId="9" xfId="0" applyNumberFormat="1" applyFont="1" applyBorder="1" applyAlignment="1">
      <alignment vertical="center" wrapText="1"/>
    </xf>
    <xf numFmtId="2" fontId="25" fillId="0" borderId="9" xfId="0" applyNumberFormat="1" applyFont="1" applyBorder="1" applyAlignment="1">
      <alignment wrapText="1"/>
    </xf>
    <xf numFmtId="0" fontId="17" fillId="0" borderId="0" xfId="0" applyFont="1"/>
    <xf numFmtId="0" fontId="16" fillId="0" borderId="11" xfId="0" applyNumberFormat="1" applyFont="1" applyBorder="1" applyAlignment="1">
      <alignment horizontal="left" wrapText="1"/>
    </xf>
    <xf numFmtId="0" fontId="17" fillId="0" borderId="0" xfId="0" applyFont="1" applyAlignment="1">
      <alignment horizontal="left"/>
    </xf>
    <xf numFmtId="0" fontId="16" fillId="0" borderId="5" xfId="0" applyNumberFormat="1" applyFont="1" applyBorder="1" applyAlignment="1">
      <alignment horizontal="left" vertical="center" wrapText="1"/>
    </xf>
    <xf numFmtId="168" fontId="17" fillId="0" borderId="5" xfId="0" applyNumberFormat="1" applyFont="1" applyBorder="1" applyAlignment="1">
      <alignment wrapText="1"/>
    </xf>
    <xf numFmtId="2" fontId="17" fillId="0" borderId="5" xfId="0" applyNumberFormat="1" applyFont="1" applyBorder="1" applyAlignment="1">
      <alignment wrapText="1"/>
    </xf>
    <xf numFmtId="168" fontId="26" fillId="0" borderId="9" xfId="0" applyNumberFormat="1" applyFont="1" applyBorder="1" applyAlignment="1">
      <alignment wrapText="1"/>
    </xf>
    <xf numFmtId="2" fontId="26" fillId="0" borderId="9" xfId="0" applyNumberFormat="1" applyFont="1" applyBorder="1" applyAlignment="1">
      <alignment wrapText="1"/>
    </xf>
    <xf numFmtId="0" fontId="16" fillId="0" borderId="13" xfId="0" applyNumberFormat="1" applyFont="1" applyBorder="1" applyAlignment="1">
      <alignment vertical="center" wrapText="1"/>
    </xf>
    <xf numFmtId="0" fontId="16" fillId="0" borderId="13" xfId="0" applyNumberFormat="1" applyFont="1" applyBorder="1" applyAlignment="1">
      <alignment horizontal="center" vertical="center" wrapText="1"/>
    </xf>
    <xf numFmtId="0" fontId="26" fillId="0" borderId="9" xfId="0" applyNumberFormat="1" applyFont="1" applyBorder="1" applyAlignment="1">
      <alignment horizontal="left" vertical="center" wrapText="1"/>
    </xf>
    <xf numFmtId="168" fontId="26" fillId="0" borderId="9" xfId="0" applyNumberFormat="1" applyFont="1" applyBorder="1" applyAlignment="1">
      <alignment vertical="center" wrapText="1"/>
    </xf>
    <xf numFmtId="0" fontId="19" fillId="0" borderId="9" xfId="0" applyNumberFormat="1" applyFont="1" applyBorder="1" applyAlignment="1">
      <alignment horizontal="right" vertical="center" wrapText="1"/>
    </xf>
    <xf numFmtId="168" fontId="27" fillId="0" borderId="0" xfId="0" applyNumberFormat="1" applyFont="1" applyAlignment="1">
      <alignment wrapText="1"/>
    </xf>
    <xf numFmtId="168" fontId="27" fillId="0" borderId="5" xfId="0" applyNumberFormat="1" applyFont="1" applyBorder="1" applyAlignment="1">
      <alignment wrapText="1"/>
    </xf>
    <xf numFmtId="168" fontId="27" fillId="0" borderId="0" xfId="0" applyNumberFormat="1" applyFont="1" applyAlignment="1">
      <alignment vertical="center" wrapText="1"/>
    </xf>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168" fontId="17" fillId="0" borderId="1" xfId="0" applyNumberFormat="1" applyFont="1" applyBorder="1"/>
    <xf numFmtId="168" fontId="26" fillId="0" borderId="14" xfId="0" applyNumberFormat="1" applyFont="1" applyBorder="1"/>
    <xf numFmtId="168" fontId="17" fillId="0" borderId="8" xfId="0" applyNumberFormat="1" applyFont="1" applyBorder="1"/>
    <xf numFmtId="168" fontId="26" fillId="0" borderId="18" xfId="0" applyNumberFormat="1" applyFont="1" applyBorder="1"/>
    <xf numFmtId="168" fontId="17" fillId="0" borderId="6" xfId="0" applyNumberFormat="1" applyFont="1" applyBorder="1"/>
    <xf numFmtId="168" fontId="26" fillId="0" borderId="29" xfId="0" applyNumberFormat="1" applyFont="1" applyBorder="1"/>
    <xf numFmtId="168" fontId="17" fillId="0" borderId="20" xfId="0" applyNumberFormat="1" applyFont="1" applyBorder="1"/>
    <xf numFmtId="168" fontId="26" fillId="0" borderId="21" xfId="0" applyNumberFormat="1" applyFont="1" applyBorder="1"/>
    <xf numFmtId="168" fontId="17" fillId="0" borderId="32" xfId="0" applyNumberFormat="1" applyFont="1" applyBorder="1"/>
    <xf numFmtId="168" fontId="17" fillId="0" borderId="33" xfId="0" applyNumberFormat="1" applyFont="1" applyBorder="1"/>
    <xf numFmtId="168" fontId="26" fillId="0" borderId="22" xfId="0" applyNumberFormat="1" applyFont="1" applyBorder="1"/>
    <xf numFmtId="168" fontId="26" fillId="0" borderId="34" xfId="0" applyNumberFormat="1" applyFont="1" applyBorder="1"/>
    <xf numFmtId="168" fontId="17" fillId="0" borderId="7" xfId="0" applyNumberFormat="1" applyFont="1" applyBorder="1"/>
    <xf numFmtId="168" fontId="26" fillId="0" borderId="9" xfId="0" applyNumberFormat="1" applyFont="1" applyBorder="1"/>
    <xf numFmtId="2" fontId="15" fillId="0" borderId="9" xfId="0" applyNumberFormat="1" applyFont="1" applyBorder="1" applyAlignment="1">
      <alignment horizontal="right" wrapText="1" indent="2"/>
    </xf>
    <xf numFmtId="0" fontId="0" fillId="0" borderId="0" xfId="0"/>
    <xf numFmtId="2" fontId="0" fillId="0" borderId="0" xfId="0" applyNumberFormat="1" applyFont="1" applyAlignment="1">
      <alignment horizontal="right" vertical="center" wrapText="1" indent="3"/>
    </xf>
    <xf numFmtId="168" fontId="0" fillId="0" borderId="0" xfId="0" applyNumberFormat="1" applyFont="1" applyAlignment="1">
      <alignment horizontal="right" vertical="center" wrapText="1" indent="2"/>
    </xf>
    <xf numFmtId="0" fontId="2" fillId="0" borderId="10" xfId="0" applyNumberFormat="1" applyFont="1" applyBorder="1" applyAlignment="1">
      <alignment wrapText="1"/>
    </xf>
    <xf numFmtId="0" fontId="2" fillId="0" borderId="9" xfId="0" applyNumberFormat="1" applyFont="1" applyBorder="1" applyAlignment="1">
      <alignment horizontal="right" vertical="center" wrapText="1" indent="2"/>
    </xf>
    <xf numFmtId="2" fontId="15" fillId="0" borderId="9" xfId="0" applyNumberFormat="1" applyFont="1" applyBorder="1" applyAlignment="1">
      <alignment horizontal="right" vertical="center" wrapText="1" indent="3"/>
    </xf>
    <xf numFmtId="168" fontId="16" fillId="0" borderId="0" xfId="0" applyNumberFormat="1" applyFont="1" applyAlignment="1">
      <alignment wrapText="1"/>
    </xf>
    <xf numFmtId="168" fontId="19" fillId="0" borderId="0" xfId="0" applyNumberFormat="1" applyFont="1" applyAlignment="1">
      <alignment wrapText="1"/>
    </xf>
    <xf numFmtId="168" fontId="16" fillId="0" borderId="9" xfId="0" applyNumberFormat="1" applyFont="1" applyBorder="1" applyAlignment="1">
      <alignment wrapText="1"/>
    </xf>
    <xf numFmtId="0" fontId="26" fillId="0" borderId="9" xfId="0" applyNumberFormat="1" applyFont="1" applyBorder="1" applyAlignment="1">
      <alignment wrapText="1"/>
    </xf>
    <xf numFmtId="168" fontId="17" fillId="0" borderId="10" xfId="0" applyNumberFormat="1" applyFont="1" applyBorder="1" applyAlignment="1">
      <alignment wrapText="1"/>
    </xf>
    <xf numFmtId="168" fontId="27" fillId="0" borderId="10" xfId="0" applyNumberFormat="1" applyFont="1" applyBorder="1" applyAlignment="1">
      <alignment wrapText="1"/>
    </xf>
    <xf numFmtId="168" fontId="17" fillId="0" borderId="0" xfId="0" applyNumberFormat="1" applyFont="1" applyBorder="1" applyAlignment="1">
      <alignment wrapText="1"/>
    </xf>
    <xf numFmtId="168" fontId="27" fillId="0" borderId="0" xfId="0" applyNumberFormat="1" applyFont="1" applyBorder="1" applyAlignment="1">
      <alignment wrapText="1"/>
    </xf>
    <xf numFmtId="0" fontId="14" fillId="0" borderId="11" xfId="0" applyNumberFormat="1" applyFont="1" applyBorder="1" applyAlignment="1">
      <alignment horizontal="left" vertical="center" wrapText="1"/>
    </xf>
    <xf numFmtId="168" fontId="16" fillId="0" borderId="11" xfId="0" applyNumberFormat="1" applyFont="1" applyBorder="1" applyAlignment="1">
      <alignment wrapText="1"/>
    </xf>
    <xf numFmtId="168" fontId="19" fillId="0" borderId="11" xfId="0" applyNumberFormat="1" applyFont="1" applyBorder="1" applyAlignment="1">
      <alignment wrapText="1"/>
    </xf>
    <xf numFmtId="2" fontId="16" fillId="0" borderId="9" xfId="0" applyNumberFormat="1" applyFont="1" applyBorder="1" applyAlignment="1">
      <alignment wrapText="1"/>
    </xf>
    <xf numFmtId="168" fontId="14" fillId="0" borderId="0" xfId="0" applyNumberFormat="1" applyFont="1" applyAlignment="1">
      <alignment wrapText="1"/>
    </xf>
    <xf numFmtId="2" fontId="14" fillId="0" borderId="0" xfId="0" applyNumberFormat="1" applyFont="1" applyAlignment="1">
      <alignment wrapText="1"/>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4" fillId="0" borderId="0" xfId="0" applyFont="1" applyAlignment="1">
      <alignment horizontal="center" vertical="center"/>
    </xf>
    <xf numFmtId="168" fontId="0" fillId="0" borderId="1" xfId="0" applyNumberFormat="1" applyBorder="1"/>
    <xf numFmtId="168" fontId="14" fillId="0" borderId="14" xfId="0" applyNumberFormat="1" applyFont="1" applyBorder="1"/>
    <xf numFmtId="0" fontId="14" fillId="0" borderId="15" xfId="0" applyFont="1" applyBorder="1" applyAlignment="1">
      <alignment horizontal="center" vertical="center" wrapText="1"/>
    </xf>
    <xf numFmtId="0" fontId="0" fillId="0" borderId="39" xfId="0" applyBorder="1"/>
    <xf numFmtId="0" fontId="14" fillId="0" borderId="36" xfId="0" applyFont="1" applyBorder="1"/>
    <xf numFmtId="168" fontId="0" fillId="0" borderId="20" xfId="0" applyNumberFormat="1" applyBorder="1"/>
    <xf numFmtId="168" fontId="14" fillId="0" borderId="21" xfId="0" applyNumberFormat="1" applyFont="1" applyBorder="1"/>
    <xf numFmtId="0" fontId="14" fillId="0" borderId="13" xfId="0" applyFont="1" applyBorder="1" applyAlignment="1">
      <alignment horizontal="center" vertical="center" wrapText="1"/>
    </xf>
    <xf numFmtId="168" fontId="0" fillId="0" borderId="7" xfId="0" applyNumberFormat="1" applyBorder="1"/>
    <xf numFmtId="168" fontId="14" fillId="0" borderId="9" xfId="0" applyNumberFormat="1" applyFont="1" applyBorder="1"/>
    <xf numFmtId="10" fontId="0" fillId="0" borderId="20" xfId="0" applyNumberFormat="1" applyBorder="1"/>
    <xf numFmtId="10" fontId="14" fillId="0" borderId="21" xfId="0" applyNumberFormat="1" applyFont="1" applyBorder="1"/>
    <xf numFmtId="0" fontId="14" fillId="0" borderId="0" xfId="0" applyNumberFormat="1" applyFont="1" applyAlignment="1">
      <alignment wrapText="1"/>
    </xf>
    <xf numFmtId="0" fontId="14" fillId="0" borderId="0" xfId="0" applyNumberFormat="1" applyFont="1" applyAlignment="1">
      <alignment vertical="center" wrapText="1"/>
    </xf>
    <xf numFmtId="0" fontId="2" fillId="0" borderId="13" xfId="0" applyNumberFormat="1" applyFont="1" applyBorder="1" applyAlignment="1">
      <alignment horizontal="center" vertical="center" wrapText="1"/>
    </xf>
    <xf numFmtId="168" fontId="0" fillId="0" borderId="10" xfId="0" applyNumberFormat="1" applyFont="1" applyBorder="1" applyAlignment="1">
      <alignment wrapText="1"/>
    </xf>
    <xf numFmtId="0" fontId="0" fillId="0" borderId="10" xfId="0" applyNumberFormat="1" applyFont="1" applyBorder="1" applyAlignment="1">
      <alignment wrapText="1"/>
    </xf>
    <xf numFmtId="2" fontId="0" fillId="0" borderId="10" xfId="0" applyNumberFormat="1" applyFont="1" applyBorder="1" applyAlignment="1">
      <alignment wrapText="1"/>
    </xf>
    <xf numFmtId="168" fontId="0" fillId="0" borderId="0" xfId="0" applyNumberFormat="1" applyFont="1" applyBorder="1" applyAlignment="1">
      <alignment wrapText="1"/>
    </xf>
    <xf numFmtId="0" fontId="0" fillId="0" borderId="0" xfId="0" applyNumberFormat="1" applyFont="1" applyBorder="1" applyAlignment="1">
      <alignment wrapText="1"/>
    </xf>
    <xf numFmtId="2" fontId="0" fillId="0" borderId="0" xfId="0" applyNumberFormat="1" applyFont="1" applyBorder="1" applyAlignment="1">
      <alignment wrapText="1"/>
    </xf>
    <xf numFmtId="168" fontId="14" fillId="0" borderId="11" xfId="0" applyNumberFormat="1" applyFont="1" applyBorder="1" applyAlignment="1">
      <alignment wrapText="1"/>
    </xf>
    <xf numFmtId="0" fontId="14" fillId="0" borderId="11" xfId="0" applyNumberFormat="1" applyFont="1" applyBorder="1" applyAlignment="1">
      <alignment wrapText="1"/>
    </xf>
    <xf numFmtId="2" fontId="14" fillId="0" borderId="11" xfId="0" applyNumberFormat="1" applyFont="1" applyBorder="1" applyAlignment="1">
      <alignment wrapText="1"/>
    </xf>
    <xf numFmtId="168" fontId="14" fillId="0" borderId="9" xfId="0" applyNumberFormat="1" applyFont="1" applyBorder="1" applyAlignment="1">
      <alignment wrapText="1"/>
    </xf>
    <xf numFmtId="2" fontId="14" fillId="0" borderId="9" xfId="0" applyNumberFormat="1" applyFont="1" applyBorder="1" applyAlignment="1">
      <alignment wrapText="1"/>
    </xf>
    <xf numFmtId="0" fontId="14" fillId="0" borderId="9" xfId="0" applyNumberFormat="1" applyFont="1" applyBorder="1" applyAlignment="1">
      <alignment vertical="center"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0" fontId="16" fillId="0" borderId="11" xfId="0" applyNumberFormat="1" applyFont="1" applyBorder="1" applyAlignment="1">
      <alignment horizontal="left" wrapText="1"/>
    </xf>
    <xf numFmtId="0" fontId="2" fillId="0" borderId="0" xfId="0" applyFont="1" applyAlignment="1">
      <alignment horizontal="center" wrapText="1"/>
    </xf>
    <xf numFmtId="168" fontId="0" fillId="0" borderId="0" xfId="0" applyNumberFormat="1" applyFont="1" applyAlignment="1">
      <alignment vertical="center" wrapText="1"/>
    </xf>
    <xf numFmtId="0" fontId="20" fillId="0" borderId="9" xfId="0" applyNumberFormat="1" applyFont="1" applyBorder="1" applyAlignment="1">
      <alignment horizontal="left" vertical="center" wrapText="1"/>
    </xf>
    <xf numFmtId="168" fontId="15" fillId="0" borderId="9" xfId="0" applyNumberFormat="1" applyFont="1" applyBorder="1" applyAlignment="1">
      <alignment vertical="center" wrapText="1"/>
    </xf>
    <xf numFmtId="0" fontId="17" fillId="0" borderId="0" xfId="0" applyFont="1"/>
    <xf numFmtId="0" fontId="16" fillId="0" borderId="0" xfId="0" applyFont="1" applyAlignment="1">
      <alignment horizontal="center" wrapText="1"/>
    </xf>
    <xf numFmtId="2" fontId="0" fillId="0" borderId="0" xfId="0" applyNumberFormat="1" applyFont="1" applyAlignment="1">
      <alignment horizontal="right" vertical="center" wrapText="1" indent="2"/>
    </xf>
    <xf numFmtId="2" fontId="15" fillId="0" borderId="9" xfId="0" applyNumberFormat="1" applyFont="1" applyBorder="1" applyAlignment="1">
      <alignment horizontal="right" vertical="center" wrapText="1" indent="2"/>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6" fillId="0" borderId="9" xfId="0" applyNumberFormat="1" applyFont="1" applyBorder="1" applyAlignment="1">
      <alignment horizontal="right" wrapText="1"/>
    </xf>
    <xf numFmtId="0" fontId="2" fillId="0" borderId="13" xfId="0" applyNumberFormat="1" applyFont="1" applyBorder="1" applyAlignment="1">
      <alignment horizontal="right" vertical="center" wrapText="1" indent="1"/>
    </xf>
    <xf numFmtId="2" fontId="14" fillId="0" borderId="9" xfId="0" applyNumberFormat="1" applyFont="1" applyBorder="1" applyAlignment="1">
      <alignment horizontal="right" wrapText="1" indent="1"/>
    </xf>
    <xf numFmtId="168" fontId="15" fillId="0" borderId="10" xfId="0" applyNumberFormat="1" applyFont="1" applyBorder="1" applyAlignment="1">
      <alignment horizontal="right" wrapText="1" indent="1"/>
    </xf>
    <xf numFmtId="0" fontId="15" fillId="0" borderId="10" xfId="0" applyNumberFormat="1" applyFont="1" applyBorder="1" applyAlignment="1">
      <alignment horizontal="left" vertical="center" wrapText="1"/>
    </xf>
    <xf numFmtId="0" fontId="0" fillId="0" borderId="0" xfId="0"/>
    <xf numFmtId="0" fontId="14" fillId="0" borderId="0" xfId="0" applyFont="1"/>
    <xf numFmtId="168" fontId="0" fillId="0" borderId="0" xfId="0" applyNumberFormat="1" applyFont="1" applyAlignment="1">
      <alignment horizontal="right" vertical="center" wrapText="1" indent="1"/>
    </xf>
    <xf numFmtId="0" fontId="0" fillId="0" borderId="0" xfId="0" applyNumberFormat="1" applyFont="1" applyAlignment="1">
      <alignment horizontal="right" vertical="center" wrapText="1" indent="1"/>
    </xf>
    <xf numFmtId="168" fontId="15" fillId="0" borderId="9" xfId="0" applyNumberFormat="1" applyFont="1" applyBorder="1" applyAlignment="1">
      <alignment horizontal="right" vertical="center" wrapText="1" indent="1"/>
    </xf>
    <xf numFmtId="0" fontId="15" fillId="0" borderId="13" xfId="0" applyNumberFormat="1" applyFont="1" applyBorder="1" applyAlignment="1">
      <alignment horizontal="right" vertical="center" wrapText="1" indent="1"/>
    </xf>
    <xf numFmtId="168" fontId="15" fillId="0" borderId="0" xfId="0" applyNumberFormat="1" applyFont="1" applyAlignment="1">
      <alignment horizontal="right" vertical="center" wrapText="1" indent="1"/>
    </xf>
    <xf numFmtId="0" fontId="0" fillId="0" borderId="9" xfId="0" applyNumberFormat="1" applyFont="1" applyBorder="1" applyAlignment="1">
      <alignment horizontal="right" vertical="center" wrapText="1" indent="1"/>
    </xf>
    <xf numFmtId="168" fontId="21" fillId="0" borderId="0" xfId="0" applyNumberFormat="1" applyFont="1" applyAlignment="1">
      <alignment wrapText="1"/>
    </xf>
    <xf numFmtId="168" fontId="20" fillId="0" borderId="0" xfId="0" applyNumberFormat="1" applyFont="1" applyAlignment="1">
      <alignment wrapText="1"/>
    </xf>
    <xf numFmtId="0" fontId="2" fillId="0" borderId="9" xfId="0" applyNumberFormat="1" applyFont="1" applyBorder="1" applyAlignment="1">
      <alignment wrapText="1"/>
    </xf>
    <xf numFmtId="0" fontId="14" fillId="0" borderId="9" xfId="0" applyNumberFormat="1" applyFont="1" applyBorder="1" applyAlignment="1">
      <alignment horizontal="right" vertical="center" wrapText="1"/>
    </xf>
    <xf numFmtId="0" fontId="2" fillId="0" borderId="9" xfId="0" applyNumberFormat="1" applyFont="1" applyBorder="1" applyAlignment="1">
      <alignment horizontal="right" vertical="center" wrapText="1"/>
    </xf>
    <xf numFmtId="0" fontId="20" fillId="0" borderId="9" xfId="0" applyNumberFormat="1" applyFont="1" applyBorder="1" applyAlignment="1">
      <alignment horizontal="right" vertical="center" wrapText="1"/>
    </xf>
    <xf numFmtId="168" fontId="21" fillId="0" borderId="10" xfId="0" applyNumberFormat="1" applyFont="1" applyBorder="1" applyAlignment="1">
      <alignment wrapText="1"/>
    </xf>
    <xf numFmtId="168" fontId="20" fillId="0" borderId="11" xfId="0" applyNumberFormat="1" applyFont="1" applyBorder="1" applyAlignment="1">
      <alignment wrapText="1"/>
    </xf>
    <xf numFmtId="168" fontId="21" fillId="0" borderId="0" xfId="0" applyNumberFormat="1" applyFont="1" applyBorder="1" applyAlignment="1">
      <alignment wrapText="1"/>
    </xf>
    <xf numFmtId="0" fontId="14" fillId="0" borderId="11" xfId="0" applyNumberFormat="1" applyFont="1" applyBorder="1" applyAlignment="1">
      <alignment vertical="center"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17" fillId="0" borderId="0" xfId="0" applyFont="1"/>
    <xf numFmtId="0" fontId="29" fillId="0" borderId="0" xfId="0" applyFont="1" applyAlignment="1">
      <alignment horizontal="left"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0" fontId="30" fillId="2" borderId="0" xfId="0" applyFont="1" applyFill="1" applyAlignment="1">
      <alignment horizontal="justify" vertical="center" wrapText="1"/>
    </xf>
    <xf numFmtId="0" fontId="32" fillId="0" borderId="0" xfId="0" applyFont="1" applyAlignment="1">
      <alignment horizontal="left" vertical="center"/>
    </xf>
    <xf numFmtId="0" fontId="32" fillId="2" borderId="0" xfId="0" applyFont="1" applyFill="1" applyAlignment="1">
      <alignment horizontal="justify" vertical="center"/>
    </xf>
    <xf numFmtId="0" fontId="34" fillId="2" borderId="0" xfId="0" applyFont="1" applyFill="1" applyAlignment="1">
      <alignment horizontal="justify" vertical="top"/>
    </xf>
    <xf numFmtId="0" fontId="34" fillId="2" borderId="0" xfId="0" applyFont="1" applyFill="1" applyAlignment="1">
      <alignment horizontal="justify" vertical="center"/>
    </xf>
    <xf numFmtId="0" fontId="35" fillId="2" borderId="0" xfId="0" applyFont="1" applyFill="1" applyAlignment="1">
      <alignment horizontal="justify" vertical="center"/>
    </xf>
    <xf numFmtId="0" fontId="35" fillId="2" borderId="0" xfId="0" applyFont="1" applyFill="1" applyAlignment="1">
      <alignment horizontal="right" vertical="center"/>
    </xf>
    <xf numFmtId="0" fontId="0" fillId="2" borderId="0" xfId="0" applyFill="1"/>
    <xf numFmtId="0" fontId="33" fillId="2" borderId="0" xfId="0" applyFont="1" applyFill="1" applyAlignment="1">
      <alignment horizontal="justify"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26" fillId="0" borderId="0" xfId="0" applyFont="1" applyAlignment="1">
      <alignment vertical="center"/>
    </xf>
    <xf numFmtId="0" fontId="10" fillId="0" borderId="1" xfId="0" applyNumberFormat="1" applyFont="1" applyBorder="1" applyAlignment="1">
      <alignment horizontal="left" vertical="center" wrapText="1"/>
    </xf>
    <xf numFmtId="168" fontId="9" fillId="0" borderId="1" xfId="0" applyNumberFormat="1" applyFont="1" applyBorder="1" applyAlignment="1">
      <alignment horizontal="right" vertical="center" wrapText="1" indent="1"/>
    </xf>
    <xf numFmtId="0" fontId="0" fillId="2" borderId="40" xfId="0" applyFill="1" applyBorder="1"/>
    <xf numFmtId="0" fontId="0" fillId="2" borderId="10" xfId="0" applyFill="1" applyBorder="1"/>
    <xf numFmtId="0" fontId="0" fillId="2" borderId="12" xfId="0" applyFill="1" applyBorder="1"/>
    <xf numFmtId="0" fontId="0" fillId="2" borderId="41" xfId="0" applyFill="1" applyBorder="1"/>
    <xf numFmtId="0" fontId="0" fillId="2" borderId="42" xfId="0" applyFill="1" applyBorder="1"/>
    <xf numFmtId="0" fontId="0" fillId="2" borderId="28" xfId="0" applyFill="1" applyBorder="1"/>
    <xf numFmtId="0" fontId="0" fillId="2" borderId="35" xfId="0" applyFill="1" applyBorder="1"/>
    <xf numFmtId="0" fontId="0" fillId="2" borderId="17" xfId="0" applyFill="1" applyBorder="1"/>
    <xf numFmtId="0" fontId="0" fillId="2" borderId="43" xfId="0" applyFill="1" applyBorder="1"/>
    <xf numFmtId="0" fontId="0" fillId="0" borderId="44" xfId="0" applyBorder="1"/>
    <xf numFmtId="0" fontId="0" fillId="2" borderId="0" xfId="0" applyFill="1" applyBorder="1"/>
    <xf numFmtId="0" fontId="0" fillId="2" borderId="45" xfId="0" applyFill="1" applyBorder="1"/>
    <xf numFmtId="0" fontId="0" fillId="2" borderId="44" xfId="0" applyFill="1" applyBorder="1"/>
    <xf numFmtId="0" fontId="39" fillId="2" borderId="44" xfId="0" applyFont="1" applyFill="1" applyBorder="1" applyAlignment="1">
      <alignment horizontal="center"/>
    </xf>
    <xf numFmtId="0" fontId="39" fillId="2" borderId="0" xfId="0" applyFont="1" applyFill="1" applyBorder="1" applyAlignment="1">
      <alignment horizontal="left"/>
    </xf>
    <xf numFmtId="0" fontId="39" fillId="2" borderId="0" xfId="0" applyFont="1" applyFill="1" applyBorder="1" applyAlignment="1">
      <alignment horizontal="center"/>
    </xf>
    <xf numFmtId="0" fontId="39" fillId="2" borderId="46" xfId="0" applyFont="1" applyFill="1" applyBorder="1" applyAlignment="1">
      <alignment horizontal="center"/>
    </xf>
    <xf numFmtId="0" fontId="0" fillId="2" borderId="3" xfId="0" applyFill="1" applyBorder="1"/>
    <xf numFmtId="0" fontId="0" fillId="2" borderId="4" xfId="0" applyFill="1" applyBorder="1"/>
    <xf numFmtId="0" fontId="0" fillId="2" borderId="47" xfId="0" applyFill="1" applyBorder="1"/>
    <xf numFmtId="0" fontId="0" fillId="2" borderId="48" xfId="0" applyFill="1" applyBorder="1"/>
    <xf numFmtId="0" fontId="0" fillId="2" borderId="2" xfId="0" applyFill="1" applyBorder="1"/>
    <xf numFmtId="0" fontId="0" fillId="2" borderId="42" xfId="0" applyFill="1"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2" borderId="43" xfId="0" applyFill="1" applyBorder="1" applyAlignment="1">
      <alignment vertical="center"/>
    </xf>
    <xf numFmtId="0" fontId="0" fillId="0" borderId="42" xfId="0" applyBorder="1"/>
    <xf numFmtId="0" fontId="0" fillId="0" borderId="11" xfId="0" applyBorder="1"/>
    <xf numFmtId="0" fontId="0" fillId="0" borderId="49" xfId="0" applyBorder="1"/>
    <xf numFmtId="0" fontId="0" fillId="0" borderId="0" xfId="0" applyBorder="1"/>
    <xf numFmtId="168" fontId="15" fillId="0" borderId="9" xfId="0" applyNumberFormat="1" applyFont="1" applyBorder="1" applyAlignment="1">
      <alignment horizontal="right" vertical="center" wrapText="1" indent="2"/>
    </xf>
    <xf numFmtId="2" fontId="14" fillId="0" borderId="9" xfId="0" applyNumberFormat="1" applyFont="1" applyBorder="1" applyAlignment="1">
      <alignment horizontal="right" wrapText="1" indent="2"/>
    </xf>
    <xf numFmtId="0" fontId="2" fillId="0" borderId="11"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23" fillId="0" borderId="0" xfId="0" applyNumberFormat="1" applyFont="1" applyBorder="1" applyAlignment="1">
      <alignment horizontal="center" vertical="center" wrapText="1"/>
    </xf>
    <xf numFmtId="0" fontId="23" fillId="0" borderId="0" xfId="0" applyNumberFormat="1" applyFont="1" applyAlignment="1">
      <alignment horizontal="center" vertical="center" wrapText="1"/>
    </xf>
    <xf numFmtId="0" fontId="2" fillId="0" borderId="0" xfId="0" applyNumberFormat="1" applyFont="1" applyAlignment="1">
      <alignment horizontal="left" vertical="center" wrapText="1"/>
    </xf>
    <xf numFmtId="0" fontId="23" fillId="0" borderId="10" xfId="0" applyNumberFormat="1" applyFont="1" applyBorder="1" applyAlignment="1">
      <alignment horizontal="center" vertical="center" wrapText="1"/>
    </xf>
    <xf numFmtId="0" fontId="2" fillId="0" borderId="11" xfId="0" applyNumberFormat="1" applyFont="1" applyBorder="1" applyAlignment="1">
      <alignment horizontal="left" vertical="center" wrapText="1"/>
    </xf>
    <xf numFmtId="0" fontId="22" fillId="0" borderId="9" xfId="0" applyNumberFormat="1" applyFont="1" applyBorder="1" applyAlignment="1">
      <alignment horizontal="center" wrapText="1"/>
    </xf>
    <xf numFmtId="0" fontId="16" fillId="0" borderId="13" xfId="0" applyNumberFormat="1" applyFont="1" applyBorder="1" applyAlignment="1">
      <alignment horizontal="right" vertical="center" wrapText="1"/>
    </xf>
    <xf numFmtId="0" fontId="17" fillId="0" borderId="0" xfId="0" applyFont="1"/>
    <xf numFmtId="0" fontId="2" fillId="0" borderId="0" xfId="0" applyNumberFormat="1" applyFont="1" applyAlignment="1">
      <alignment horizontal="center" vertical="center" wrapText="1"/>
    </xf>
    <xf numFmtId="0" fontId="2" fillId="0" borderId="0" xfId="0" applyNumberFormat="1" applyFont="1" applyAlignment="1">
      <alignment horizontal="left" vertical="center" wrapText="1"/>
    </xf>
    <xf numFmtId="0" fontId="2" fillId="0" borderId="0" xfId="0" applyNumberFormat="1" applyFont="1" applyAlignment="1">
      <alignment wrapText="1"/>
    </xf>
    <xf numFmtId="0" fontId="2" fillId="0" borderId="11" xfId="0" applyNumberFormat="1" applyFont="1" applyBorder="1" applyAlignment="1">
      <alignment horizontal="center" vertical="center" wrapText="1"/>
    </xf>
    <xf numFmtId="0" fontId="2" fillId="0" borderId="11" xfId="0" applyNumberFormat="1" applyFont="1" applyBorder="1" applyAlignment="1">
      <alignment horizontal="left" vertical="center" wrapText="1"/>
    </xf>
    <xf numFmtId="0" fontId="2" fillId="0" borderId="9" xfId="0" applyNumberFormat="1" applyFont="1" applyBorder="1" applyAlignment="1">
      <alignment horizontal="center" vertical="center" wrapText="1"/>
    </xf>
    <xf numFmtId="10" fontId="26" fillId="0" borderId="37" xfId="0" applyNumberFormat="1" applyFont="1" applyBorder="1"/>
    <xf numFmtId="168" fontId="26" fillId="0" borderId="37" xfId="0" applyNumberFormat="1" applyFont="1" applyBorder="1"/>
    <xf numFmtId="168" fontId="26" fillId="0" borderId="36" xfId="0" applyNumberFormat="1" applyFont="1" applyBorder="1"/>
    <xf numFmtId="0" fontId="26" fillId="0" borderId="36" xfId="0" applyFont="1" applyBorder="1"/>
    <xf numFmtId="10" fontId="17" fillId="0" borderId="43" xfId="0" applyNumberFormat="1" applyFont="1" applyBorder="1"/>
    <xf numFmtId="168" fontId="17" fillId="0" borderId="50" xfId="0" applyNumberFormat="1" applyFont="1" applyBorder="1"/>
    <xf numFmtId="168" fontId="17" fillId="0" borderId="44" xfId="0" applyNumberFormat="1" applyFont="1" applyBorder="1"/>
    <xf numFmtId="168" fontId="17" fillId="0" borderId="3" xfId="0" applyNumberFormat="1" applyFont="1" applyBorder="1"/>
    <xf numFmtId="168" fontId="17" fillId="0" borderId="45" xfId="0" applyNumberFormat="1" applyFont="1" applyBorder="1"/>
    <xf numFmtId="168" fontId="17" fillId="0" borderId="0" xfId="0" applyNumberFormat="1" applyFont="1" applyBorder="1"/>
    <xf numFmtId="168" fontId="17" fillId="0" borderId="51" xfId="0" applyNumberFormat="1" applyFont="1" applyBorder="1"/>
    <xf numFmtId="168" fontId="17" fillId="0" borderId="52" xfId="0" applyNumberFormat="1" applyFont="1" applyBorder="1"/>
    <xf numFmtId="168" fontId="17" fillId="0" borderId="43" xfId="0" applyNumberFormat="1" applyFont="1" applyBorder="1"/>
    <xf numFmtId="168" fontId="17" fillId="0" borderId="42" xfId="0" applyNumberFormat="1" applyFont="1" applyBorder="1"/>
    <xf numFmtId="0" fontId="17" fillId="0" borderId="42" xfId="0" applyFont="1" applyBorder="1"/>
    <xf numFmtId="10" fontId="17" fillId="0" borderId="53" xfId="0" applyNumberFormat="1" applyFont="1" applyBorder="1"/>
    <xf numFmtId="168" fontId="17" fillId="0" borderId="53" xfId="0" applyNumberFormat="1" applyFont="1" applyBorder="1"/>
    <xf numFmtId="168" fontId="17" fillId="0" borderId="39" xfId="0" applyNumberFormat="1" applyFont="1" applyBorder="1"/>
    <xf numFmtId="0" fontId="17" fillId="0" borderId="39" xfId="0" applyFont="1" applyBorder="1"/>
    <xf numFmtId="10" fontId="26" fillId="0" borderId="43" xfId="0" applyNumberFormat="1" applyFont="1" applyBorder="1"/>
    <xf numFmtId="168" fontId="26" fillId="0" borderId="50" xfId="0" applyNumberFormat="1" applyFont="1" applyBorder="1"/>
    <xf numFmtId="168" fontId="26" fillId="0" borderId="44" xfId="0" applyNumberFormat="1" applyFont="1" applyBorder="1"/>
    <xf numFmtId="168" fontId="26" fillId="0" borderId="3" xfId="0" applyNumberFormat="1" applyFont="1" applyBorder="1"/>
    <xf numFmtId="168" fontId="26" fillId="0" borderId="45" xfId="0" applyNumberFormat="1" applyFont="1" applyBorder="1"/>
    <xf numFmtId="168" fontId="26" fillId="0" borderId="0" xfId="0" applyNumberFormat="1" applyFont="1" applyBorder="1"/>
    <xf numFmtId="168" fontId="26" fillId="0" borderId="51" xfId="0" applyNumberFormat="1" applyFont="1" applyBorder="1"/>
    <xf numFmtId="168" fontId="26" fillId="0" borderId="52" xfId="0" applyNumberFormat="1" applyFont="1" applyBorder="1"/>
    <xf numFmtId="168" fontId="26" fillId="0" borderId="43" xfId="0" applyNumberFormat="1" applyFont="1" applyBorder="1"/>
    <xf numFmtId="168" fontId="26" fillId="0" borderId="42" xfId="0" applyNumberFormat="1" applyFont="1" applyBorder="1"/>
    <xf numFmtId="0" fontId="26" fillId="0" borderId="42" xfId="0" applyFont="1" applyBorder="1"/>
    <xf numFmtId="168" fontId="17" fillId="0" borderId="48" xfId="0" applyNumberFormat="1" applyFont="1" applyBorder="1"/>
    <xf numFmtId="0" fontId="17" fillId="0" borderId="0" xfId="0" applyFont="1" applyAlignment="1">
      <alignment horizontal="center" vertical="center"/>
    </xf>
    <xf numFmtId="0" fontId="26" fillId="0" borderId="2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0" xfId="0" applyFont="1" applyBorder="1" applyAlignment="1">
      <alignment horizontal="center" vertical="center" wrapText="1"/>
    </xf>
    <xf numFmtId="0" fontId="0" fillId="0" borderId="0" xfId="0"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 fillId="0" borderId="0" xfId="0" applyNumberFormat="1" applyFont="1" applyAlignment="1">
      <alignment horizontal="left" wrapText="1"/>
    </xf>
    <xf numFmtId="0" fontId="2" fillId="0" borderId="0" xfId="0" applyNumberFormat="1" applyFont="1" applyAlignment="1">
      <alignment vertical="center" wrapText="1"/>
    </xf>
    <xf numFmtId="0" fontId="0" fillId="0" borderId="10" xfId="0" applyNumberFormat="1" applyFont="1" applyBorder="1" applyAlignment="1">
      <alignment horizontal="left" vertical="center" wrapText="1"/>
    </xf>
    <xf numFmtId="0" fontId="0" fillId="0" borderId="0"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20" fillId="0" borderId="9" xfId="0" applyNumberFormat="1" applyFont="1" applyBorder="1" applyAlignment="1">
      <alignment vertical="center" wrapText="1"/>
    </xf>
    <xf numFmtId="0" fontId="19" fillId="0" borderId="0" xfId="0" applyNumberFormat="1" applyFont="1" applyAlignment="1">
      <alignment horizontal="right" wrapText="1"/>
    </xf>
    <xf numFmtId="2" fontId="41" fillId="0" borderId="9" xfId="0" applyNumberFormat="1" applyFont="1" applyBorder="1" applyAlignment="1">
      <alignment wrapText="1"/>
    </xf>
    <xf numFmtId="0" fontId="0" fillId="0" borderId="0" xfId="0"/>
    <xf numFmtId="0" fontId="2" fillId="0" borderId="0" xfId="0" applyFont="1" applyAlignment="1">
      <alignment horizontal="center" wrapText="1"/>
    </xf>
    <xf numFmtId="0" fontId="14" fillId="0" borderId="16" xfId="0" applyFont="1" applyBorder="1" applyAlignment="1">
      <alignment horizontal="center" vertical="center" wrapText="1"/>
    </xf>
    <xf numFmtId="10" fontId="14" fillId="0" borderId="24" xfId="0" applyNumberFormat="1" applyFont="1" applyBorder="1"/>
    <xf numFmtId="168" fontId="14" fillId="0" borderId="24" xfId="0" applyNumberFormat="1" applyFont="1" applyBorder="1"/>
    <xf numFmtId="168" fontId="14" fillId="0" borderId="49" xfId="0" applyNumberFormat="1" applyFont="1" applyBorder="1"/>
    <xf numFmtId="168" fontId="14" fillId="0" borderId="47" xfId="0" applyNumberFormat="1" applyFont="1" applyBorder="1"/>
    <xf numFmtId="168" fontId="14" fillId="0" borderId="54" xfId="0" applyNumberFormat="1" applyFont="1" applyBorder="1"/>
    <xf numFmtId="168" fontId="14" fillId="0" borderId="11" xfId="0" applyNumberFormat="1" applyFont="1" applyBorder="1"/>
    <xf numFmtId="0" fontId="14" fillId="0" borderId="54" xfId="0" applyFont="1" applyBorder="1"/>
    <xf numFmtId="168" fontId="14" fillId="0" borderId="37" xfId="0" applyNumberFormat="1" applyFont="1" applyBorder="1"/>
    <xf numFmtId="168" fontId="14" fillId="0" borderId="36" xfId="0" applyNumberFormat="1" applyFont="1" applyBorder="1"/>
    <xf numFmtId="10" fontId="0" fillId="0" borderId="50" xfId="0" applyNumberFormat="1" applyBorder="1"/>
    <xf numFmtId="168" fontId="0" fillId="0" borderId="50" xfId="0" applyNumberFormat="1" applyBorder="1"/>
    <xf numFmtId="168" fontId="0" fillId="0" borderId="43" xfId="0" applyNumberFormat="1" applyBorder="1"/>
    <xf numFmtId="168" fontId="0" fillId="0" borderId="3" xfId="0" applyNumberFormat="1" applyBorder="1"/>
    <xf numFmtId="168" fontId="0" fillId="0" borderId="42" xfId="0" applyNumberFormat="1" applyBorder="1"/>
    <xf numFmtId="168" fontId="0" fillId="0" borderId="0" xfId="0" applyNumberFormat="1" applyBorder="1"/>
    <xf numFmtId="168" fontId="0" fillId="0" borderId="53" xfId="0" applyNumberFormat="1" applyBorder="1"/>
    <xf numFmtId="168" fontId="0" fillId="0" borderId="39" xfId="0" applyNumberFormat="1" applyBorder="1"/>
    <xf numFmtId="10" fontId="14" fillId="0" borderId="50" xfId="0" applyNumberFormat="1" applyFont="1" applyBorder="1"/>
    <xf numFmtId="168" fontId="14" fillId="0" borderId="50" xfId="0" applyNumberFormat="1" applyFont="1" applyBorder="1"/>
    <xf numFmtId="168" fontId="14" fillId="0" borderId="43" xfId="0" applyNumberFormat="1" applyFont="1" applyBorder="1"/>
    <xf numFmtId="168" fontId="14" fillId="0" borderId="3" xfId="0" applyNumberFormat="1" applyFont="1" applyBorder="1"/>
    <xf numFmtId="168" fontId="14" fillId="0" borderId="42" xfId="0" applyNumberFormat="1" applyFont="1" applyBorder="1"/>
    <xf numFmtId="168" fontId="14" fillId="0" borderId="0" xfId="0" applyNumberFormat="1" applyFont="1" applyBorder="1"/>
    <xf numFmtId="0" fontId="14" fillId="0" borderId="42" xfId="0" applyFont="1" applyBorder="1"/>
    <xf numFmtId="10" fontId="0" fillId="0" borderId="24" xfId="0" applyNumberFormat="1" applyBorder="1"/>
    <xf numFmtId="168" fontId="0" fillId="0" borderId="24" xfId="0" applyNumberFormat="1" applyBorder="1"/>
    <xf numFmtId="168" fontId="0" fillId="0" borderId="49" xfId="0" applyNumberFormat="1" applyBorder="1"/>
    <xf numFmtId="168" fontId="0" fillId="0" borderId="47" xfId="0" applyNumberFormat="1" applyBorder="1"/>
    <xf numFmtId="168" fontId="0" fillId="0" borderId="54" xfId="0" applyNumberFormat="1" applyBorder="1"/>
    <xf numFmtId="168" fontId="0" fillId="0" borderId="11" xfId="0" applyNumberFormat="1" applyBorder="1"/>
    <xf numFmtId="0" fontId="0" fillId="0" borderId="54" xfId="0" applyBorder="1"/>
    <xf numFmtId="10" fontId="0" fillId="0" borderId="23" xfId="0" applyNumberFormat="1" applyBorder="1"/>
    <xf numFmtId="168" fontId="0" fillId="0" borderId="23" xfId="0" applyNumberFormat="1" applyBorder="1"/>
    <xf numFmtId="168" fontId="0" fillId="0" borderId="41" xfId="0" applyNumberFormat="1" applyBorder="1"/>
    <xf numFmtId="168" fontId="0" fillId="0" borderId="48" xfId="0" applyNumberFormat="1" applyBorder="1"/>
    <xf numFmtId="168" fontId="0" fillId="0" borderId="40" xfId="0" applyNumberFormat="1" applyBorder="1"/>
    <xf numFmtId="168" fontId="0" fillId="0" borderId="10" xfId="0" applyNumberFormat="1" applyBorder="1"/>
    <xf numFmtId="0" fontId="0" fillId="0" borderId="40" xfId="0" applyBorder="1"/>
    <xf numFmtId="0" fontId="14" fillId="0" borderId="5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3" xfId="0" applyFont="1" applyBorder="1" applyAlignment="1">
      <alignment horizontal="center" vertical="center" wrapText="1"/>
    </xf>
    <xf numFmtId="0" fontId="23" fillId="0" borderId="0" xfId="0" applyFont="1"/>
    <xf numFmtId="0" fontId="23" fillId="0" borderId="10" xfId="0" applyNumberFormat="1" applyFont="1" applyBorder="1" applyAlignment="1">
      <alignment horizontal="left" wrapText="1"/>
    </xf>
    <xf numFmtId="0" fontId="2" fillId="0" borderId="10" xfId="0" applyNumberFormat="1" applyFont="1" applyBorder="1" applyAlignment="1">
      <alignment horizontal="center" wrapText="1"/>
    </xf>
    <xf numFmtId="0" fontId="14" fillId="0" borderId="9" xfId="0" applyNumberFormat="1" applyFont="1" applyBorder="1" applyAlignment="1">
      <alignment wrapText="1"/>
    </xf>
    <xf numFmtId="168" fontId="0" fillId="0" borderId="0" xfId="0" applyNumberFormat="1" applyFont="1" applyAlignment="1">
      <alignment wrapText="1"/>
    </xf>
    <xf numFmtId="0" fontId="2" fillId="0" borderId="0" xfId="0" applyNumberFormat="1" applyFont="1" applyAlignment="1">
      <alignment horizontal="left" vertical="center" wrapText="1"/>
    </xf>
    <xf numFmtId="0" fontId="2" fillId="0" borderId="0" xfId="0" applyNumberFormat="1" applyFont="1" applyAlignment="1">
      <alignment horizontal="center" vertical="center" wrapText="1"/>
    </xf>
    <xf numFmtId="0" fontId="2" fillId="0" borderId="1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2" fontId="14" fillId="0" borderId="9" xfId="0" applyNumberFormat="1" applyFont="1" applyBorder="1" applyAlignment="1">
      <alignment horizontal="right" vertical="center" wrapText="1" indent="1"/>
    </xf>
    <xf numFmtId="2" fontId="14" fillId="0" borderId="0" xfId="0" applyNumberFormat="1" applyFont="1" applyAlignment="1">
      <alignment horizontal="right" vertical="center" wrapText="1" indent="1"/>
    </xf>
    <xf numFmtId="168" fontId="20" fillId="0" borderId="9" xfId="0" applyNumberFormat="1" applyFont="1" applyBorder="1" applyAlignment="1">
      <alignment wrapText="1"/>
    </xf>
    <xf numFmtId="0" fontId="28" fillId="0" borderId="0" xfId="6" applyAlignment="1">
      <alignment vertical="center"/>
    </xf>
    <xf numFmtId="0" fontId="0" fillId="0" borderId="0" xfId="0" applyAlignment="1"/>
    <xf numFmtId="0" fontId="28" fillId="0" borderId="0" xfId="6" applyAlignment="1"/>
    <xf numFmtId="0" fontId="2" fillId="0" borderId="13" xfId="0" applyNumberFormat="1" applyFont="1" applyBorder="1" applyAlignment="1">
      <alignment horizontal="right" wrapText="1" indent="1"/>
    </xf>
    <xf numFmtId="0" fontId="39" fillId="2" borderId="44" xfId="0" applyFont="1" applyFill="1" applyBorder="1" applyAlignment="1">
      <alignment horizontal="center"/>
    </xf>
    <xf numFmtId="0" fontId="39" fillId="2" borderId="0" xfId="0" applyFont="1" applyFill="1" applyBorder="1" applyAlignment="1">
      <alignment horizontal="center"/>
    </xf>
    <xf numFmtId="0" fontId="39" fillId="2" borderId="45" xfId="0" applyFont="1" applyFill="1" applyBorder="1" applyAlignment="1">
      <alignment horizontal="center"/>
    </xf>
    <xf numFmtId="0" fontId="39" fillId="2" borderId="44"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45" xfId="0" applyFont="1" applyFill="1" applyBorder="1" applyAlignment="1">
      <alignment horizontal="center" vertical="center"/>
    </xf>
    <xf numFmtId="0" fontId="39" fillId="2" borderId="0" xfId="0" applyFont="1" applyFill="1" applyBorder="1" applyAlignment="1">
      <alignment horizontal="right"/>
    </xf>
    <xf numFmtId="0" fontId="40" fillId="2" borderId="0" xfId="0" applyFont="1" applyFill="1" applyBorder="1" applyAlignment="1">
      <alignment horizontal="right"/>
    </xf>
    <xf numFmtId="49" fontId="11" fillId="2" borderId="44" xfId="0" applyNumberFormat="1" applyFont="1" applyFill="1" applyBorder="1" applyAlignment="1">
      <alignment horizontal="center"/>
    </xf>
    <xf numFmtId="49" fontId="11" fillId="2" borderId="0" xfId="0" applyNumberFormat="1" applyFont="1" applyFill="1" applyBorder="1" applyAlignment="1">
      <alignment horizontal="center"/>
    </xf>
    <xf numFmtId="49" fontId="11" fillId="2" borderId="45" xfId="0" applyNumberFormat="1" applyFont="1" applyFill="1" applyBorder="1" applyAlignment="1">
      <alignment horizontal="center"/>
    </xf>
    <xf numFmtId="0" fontId="39" fillId="2" borderId="3" xfId="0" applyFont="1" applyFill="1" applyBorder="1" applyAlignment="1">
      <alignment horizontal="center"/>
    </xf>
    <xf numFmtId="0" fontId="7" fillId="0" borderId="0" xfId="0" applyFont="1" applyAlignment="1">
      <alignment horizontal="center" vertical="center" wrapText="1"/>
    </xf>
    <xf numFmtId="0" fontId="5" fillId="0" borderId="0" xfId="0" applyFont="1" applyAlignment="1">
      <alignment wrapText="1"/>
    </xf>
    <xf numFmtId="0" fontId="5" fillId="0" borderId="0" xfId="0" applyFont="1"/>
    <xf numFmtId="0" fontId="34" fillId="2" borderId="0" xfId="0" applyFont="1" applyFill="1" applyAlignment="1">
      <alignment horizontal="justify" vertical="top" wrapText="1"/>
    </xf>
    <xf numFmtId="0" fontId="33" fillId="2" borderId="0" xfId="0" applyFont="1" applyFill="1" applyAlignment="1">
      <alignment horizontal="center" vertical="center"/>
    </xf>
    <xf numFmtId="0" fontId="28" fillId="0" borderId="0" xfId="6" applyAlignment="1">
      <alignment horizontal="left" vertical="center"/>
    </xf>
    <xf numFmtId="0" fontId="0" fillId="0" borderId="0" xfId="0" applyAlignment="1">
      <alignment horizontal="left"/>
    </xf>
    <xf numFmtId="0" fontId="9" fillId="0" borderId="1" xfId="0" applyNumberFormat="1" applyFont="1" applyBorder="1" applyAlignment="1">
      <alignment horizontal="center" wrapText="1"/>
    </xf>
    <xf numFmtId="0" fontId="7" fillId="0" borderId="1" xfId="0" applyNumberFormat="1" applyFont="1" applyBorder="1" applyAlignment="1">
      <alignment horizont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8" fillId="0" borderId="1" xfId="0" applyNumberFormat="1" applyFont="1" applyBorder="1" applyAlignment="1">
      <alignment horizontal="center" wrapText="1"/>
    </xf>
    <xf numFmtId="0" fontId="12" fillId="0" borderId="0" xfId="0" applyFont="1" applyBorder="1" applyAlignment="1">
      <alignment horizontal="center" vertical="center" wrapText="1"/>
    </xf>
    <xf numFmtId="0" fontId="12" fillId="0" borderId="0" xfId="0" applyFont="1" applyBorder="1" applyAlignment="1">
      <alignment vertical="center"/>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1" fillId="0" borderId="0" xfId="0" applyFont="1" applyAlignment="1">
      <alignment wrapText="1"/>
    </xf>
    <xf numFmtId="0" fontId="11" fillId="0" borderId="0" xfId="0" applyFont="1"/>
    <xf numFmtId="0" fontId="13"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vertical="center"/>
    </xf>
    <xf numFmtId="0" fontId="2" fillId="0" borderId="9" xfId="0" applyNumberFormat="1" applyFont="1" applyBorder="1" applyAlignment="1">
      <alignment horizontal="center" wrapText="1"/>
    </xf>
    <xf numFmtId="0" fontId="16" fillId="0" borderId="0" xfId="0" applyFont="1" applyAlignment="1">
      <alignment horizontal="center" vertical="center" wrapText="1"/>
    </xf>
    <xf numFmtId="0" fontId="17" fillId="0" borderId="0" xfId="0" applyFont="1" applyAlignment="1">
      <alignment vertical="center"/>
    </xf>
    <xf numFmtId="0" fontId="16" fillId="0" borderId="12" xfId="0" applyNumberFormat="1" applyFont="1" applyBorder="1" applyAlignment="1">
      <alignment horizontal="center" vertical="center" wrapText="1"/>
    </xf>
    <xf numFmtId="0" fontId="16" fillId="0" borderId="10" xfId="0" applyNumberFormat="1" applyFont="1" applyBorder="1" applyAlignment="1">
      <alignment horizontal="left" vertical="center" wrapText="1"/>
    </xf>
    <xf numFmtId="0" fontId="16" fillId="0" borderId="11" xfId="0" applyNumberFormat="1" applyFont="1" applyBorder="1" applyAlignment="1">
      <alignment horizontal="left" vertical="center" wrapText="1"/>
    </xf>
    <xf numFmtId="0" fontId="19" fillId="0" borderId="10" xfId="0" applyNumberFormat="1" applyFont="1" applyBorder="1" applyAlignment="1">
      <alignment horizontal="center" vertical="center" wrapText="1"/>
    </xf>
    <xf numFmtId="0" fontId="19" fillId="0" borderId="11" xfId="0" applyNumberFormat="1" applyFont="1" applyBorder="1" applyAlignment="1">
      <alignment horizontal="center" vertical="center" wrapText="1"/>
    </xf>
    <xf numFmtId="0" fontId="16" fillId="0" borderId="10" xfId="0" applyNumberFormat="1" applyFont="1" applyBorder="1" applyAlignment="1">
      <alignment horizontal="center" vertical="center" wrapText="1"/>
    </xf>
    <xf numFmtId="0" fontId="16"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xf>
    <xf numFmtId="0" fontId="2" fillId="0" borderId="12" xfId="0" applyNumberFormat="1" applyFont="1" applyBorder="1" applyAlignment="1">
      <alignment horizont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xf>
    <xf numFmtId="0" fontId="16" fillId="0" borderId="9" xfId="0" applyNumberFormat="1" applyFont="1" applyBorder="1" applyAlignment="1">
      <alignment horizontal="center" wrapText="1"/>
    </xf>
    <xf numFmtId="0" fontId="16" fillId="0" borderId="10" xfId="0" applyNumberFormat="1" applyFont="1" applyBorder="1" applyAlignment="1">
      <alignment wrapText="1"/>
    </xf>
    <xf numFmtId="0" fontId="2" fillId="0" borderId="10"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3" fillId="0" borderId="0" xfId="0" applyNumberFormat="1" applyFont="1" applyAlignment="1">
      <alignment horizontal="center" vertical="center" wrapText="1"/>
    </xf>
    <xf numFmtId="0" fontId="23" fillId="0" borderId="10"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2" fillId="0" borderId="9" xfId="0" applyNumberFormat="1" applyFont="1" applyBorder="1" applyAlignment="1">
      <alignment horizontal="center" wrapText="1"/>
    </xf>
    <xf numFmtId="0" fontId="22" fillId="0" borderId="10" xfId="0" applyNumberFormat="1" applyFont="1" applyBorder="1" applyAlignment="1">
      <alignment horizontal="center" wrapText="1"/>
    </xf>
    <xf numFmtId="0" fontId="22" fillId="0" borderId="11" xfId="0" applyNumberFormat="1" applyFont="1" applyBorder="1" applyAlignment="1">
      <alignment horizontal="center" wrapText="1"/>
    </xf>
    <xf numFmtId="0" fontId="22" fillId="0" borderId="11" xfId="0" applyNumberFormat="1" applyFont="1" applyBorder="1" applyAlignment="1">
      <alignment horizontal="left" wrapText="1"/>
    </xf>
    <xf numFmtId="0" fontId="16" fillId="0" borderId="9" xfId="0" applyNumberFormat="1" applyFont="1" applyBorder="1" applyAlignment="1">
      <alignment horizontal="center" vertical="center" wrapText="1"/>
    </xf>
    <xf numFmtId="0" fontId="26" fillId="0" borderId="10"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center" vertical="center"/>
    </xf>
    <xf numFmtId="0" fontId="26" fillId="0" borderId="40" xfId="0" applyFont="1" applyBorder="1" applyAlignment="1">
      <alignment horizontal="left" vertical="center"/>
    </xf>
    <xf numFmtId="0" fontId="26" fillId="0" borderId="54" xfId="0" applyFont="1" applyBorder="1" applyAlignment="1">
      <alignment horizontal="left" vertical="center"/>
    </xf>
    <xf numFmtId="0" fontId="26" fillId="0" borderId="56" xfId="0" applyFont="1" applyBorder="1" applyAlignment="1">
      <alignment horizontal="center" vertical="center"/>
    </xf>
    <xf numFmtId="0" fontId="26" fillId="0" borderId="48" xfId="0" applyFont="1" applyBorder="1" applyAlignment="1">
      <alignment horizontal="center" vertical="center"/>
    </xf>
    <xf numFmtId="0" fontId="26" fillId="0" borderId="55" xfId="0" applyFont="1" applyBorder="1" applyAlignment="1">
      <alignment horizontal="center" vertical="center"/>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9" xfId="0" applyFont="1" applyBorder="1" applyAlignment="1">
      <alignment horizontal="center" vertical="center" wrapText="1"/>
    </xf>
    <xf numFmtId="0" fontId="2" fillId="0" borderId="0" xfId="0" applyNumberFormat="1" applyFont="1" applyAlignment="1">
      <alignment horizontal="left" vertical="center" wrapText="1"/>
    </xf>
    <xf numFmtId="0" fontId="2" fillId="0" borderId="0" xfId="0" applyNumberFormat="1" applyFont="1" applyAlignment="1">
      <alignment horizontal="center" vertical="center" wrapText="1"/>
    </xf>
    <xf numFmtId="0" fontId="2" fillId="0" borderId="0"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0" fillId="0" borderId="9" xfId="0" applyBorder="1" applyAlignment="1">
      <alignment vertical="center"/>
    </xf>
    <xf numFmtId="0" fontId="2" fillId="0" borderId="0" xfId="0" applyNumberFormat="1" applyFont="1" applyAlignment="1">
      <alignment horizontal="center" wrapText="1"/>
    </xf>
    <xf numFmtId="0" fontId="16" fillId="0" borderId="0" xfId="0" applyNumberFormat="1" applyFont="1" applyAlignment="1">
      <alignment horizontal="left" wrapText="1"/>
    </xf>
    <xf numFmtId="0" fontId="14" fillId="0" borderId="23"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1" xfId="0" applyFont="1" applyBorder="1" applyAlignment="1">
      <alignment horizontal="center"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2" fillId="0" borderId="0" xfId="0" applyFont="1" applyAlignment="1">
      <alignment horizontal="center" wrapText="1"/>
    </xf>
    <xf numFmtId="0" fontId="0" fillId="0" borderId="0" xfId="0"/>
    <xf numFmtId="0" fontId="2" fillId="0" borderId="12"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19" fillId="0" borderId="10" xfId="0" applyNumberFormat="1" applyFont="1" applyBorder="1" applyAlignment="1">
      <alignment horizontal="right" vertical="center" wrapText="1"/>
    </xf>
    <xf numFmtId="0" fontId="19" fillId="0" borderId="11" xfId="0" applyNumberFormat="1" applyFont="1" applyBorder="1" applyAlignment="1">
      <alignment horizontal="right" vertical="center" wrapText="1"/>
    </xf>
    <xf numFmtId="0" fontId="16" fillId="0" borderId="10" xfId="0" applyNumberFormat="1" applyFont="1" applyBorder="1" applyAlignment="1">
      <alignment horizontal="right" vertical="center" wrapText="1"/>
    </xf>
    <xf numFmtId="0" fontId="16" fillId="0" borderId="11" xfId="0" applyNumberFormat="1" applyFont="1" applyBorder="1" applyAlignment="1">
      <alignment horizontal="right" vertical="center" wrapText="1"/>
    </xf>
    <xf numFmtId="0" fontId="16" fillId="0" borderId="0" xfId="0" applyFont="1" applyAlignment="1">
      <alignment horizontal="center" wrapText="1"/>
    </xf>
    <xf numFmtId="0" fontId="17" fillId="0" borderId="0" xfId="0" applyFont="1"/>
    <xf numFmtId="0" fontId="19" fillId="0" borderId="9" xfId="0" applyNumberFormat="1" applyFont="1" applyBorder="1" applyAlignment="1">
      <alignment horizontal="right" vertical="center" wrapText="1"/>
    </xf>
    <xf numFmtId="0" fontId="16" fillId="0" borderId="9" xfId="0" applyNumberFormat="1" applyFont="1" applyBorder="1" applyAlignment="1">
      <alignment horizontal="right" vertical="center" wrapText="1"/>
    </xf>
    <xf numFmtId="0" fontId="15" fillId="0" borderId="10"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2" fillId="0" borderId="12" xfId="0" applyNumberFormat="1" applyFont="1" applyBorder="1" applyAlignment="1">
      <alignment vertical="center" wrapText="1"/>
    </xf>
    <xf numFmtId="0" fontId="0" fillId="0" borderId="11" xfId="0" applyBorder="1" applyAlignment="1">
      <alignment vertical="center"/>
    </xf>
  </cellXfs>
  <cellStyles count="22">
    <cellStyle name="Comma" xfId="4"/>
    <cellStyle name="Comma [0]" xfId="5"/>
    <cellStyle name="Comma [0] 2" xfId="10"/>
    <cellStyle name="Comma [0] 3" xfId="19"/>
    <cellStyle name="Comma 2" xfId="9"/>
    <cellStyle name="Comma 3" xfId="12"/>
    <cellStyle name="Comma 4" xfId="18"/>
    <cellStyle name="Comma 5" xfId="21"/>
    <cellStyle name="Currency" xfId="2"/>
    <cellStyle name="Currency [0]" xfId="3"/>
    <cellStyle name="Currency [0] 2" xfId="8"/>
    <cellStyle name="Currency [0] 3" xfId="17"/>
    <cellStyle name="Currency 2" xfId="7"/>
    <cellStyle name="Currency 3" xfId="11"/>
    <cellStyle name="Currency 4" xfId="16"/>
    <cellStyle name="Currency 5" xfId="20"/>
    <cellStyle name="Köprü" xfId="6" builtinId="8"/>
    <cellStyle name="Köprü 2" xfId="13"/>
    <cellStyle name="Normal" xfId="0" builtinId="0"/>
    <cellStyle name="Normal 2" xfId="15"/>
    <cellStyle name="Normal 3" xfId="14"/>
    <cellStyle name="Percent" xfId="1"/>
  </cellStyles>
  <dxfs count="0"/>
  <tableStyles count="0" defaultTableStyle="TableStyleMedium2" defaultPivotStyle="PivotStyleLight16"/>
  <colors>
    <mruColors>
      <color rgb="FF6666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13639</xdr:colOff>
      <xdr:row>0</xdr:row>
      <xdr:rowOff>13609</xdr:rowOff>
    </xdr:from>
    <xdr:to>
      <xdr:col>12</xdr:col>
      <xdr:colOff>370360</xdr:colOff>
      <xdr:row>58</xdr:row>
      <xdr:rowOff>39015</xdr:rowOff>
    </xdr:to>
    <xdr:pic>
      <xdr:nvPicPr>
        <xdr:cNvPr id="6" name="Resim 5">
          <a:extLst>
            <a:ext uri="{FF2B5EF4-FFF2-40B4-BE49-F238E27FC236}">
              <a16:creationId xmlns:a16="http://schemas.microsoft.com/office/drawing/2014/main" xmlns="" id="{B66A8371-A467-4E2D-B303-496775D192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39" y="13609"/>
          <a:ext cx="6602400" cy="9536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85724</xdr:rowOff>
    </xdr:from>
    <xdr:to>
      <xdr:col>10</xdr:col>
      <xdr:colOff>544286</xdr:colOff>
      <xdr:row>5</xdr:row>
      <xdr:rowOff>95250</xdr:rowOff>
    </xdr:to>
    <xdr:sp macro="" textlink="">
      <xdr:nvSpPr>
        <xdr:cNvPr id="2" name="Rectangle 20">
          <a:extLst>
            <a:ext uri="{FF2B5EF4-FFF2-40B4-BE49-F238E27FC236}">
              <a16:creationId xmlns:a16="http://schemas.microsoft.com/office/drawing/2014/main" xmlns="" id="{00000000-0008-0000-0200-000002000000}"/>
            </a:ext>
          </a:extLst>
        </xdr:cNvPr>
        <xdr:cNvSpPr>
          <a:spLocks noChangeArrowheads="1"/>
        </xdr:cNvSpPr>
      </xdr:nvSpPr>
      <xdr:spPr bwMode="auto">
        <a:xfrm>
          <a:off x="762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300" b="1" i="0" u="none" strike="noStrike" baseline="0">
              <a:solidFill>
                <a:srgbClr val="000000"/>
              </a:solidFill>
              <a:latin typeface="Times New Roman"/>
              <a:cs typeface="Times New Roman"/>
            </a:rPr>
            <a:t>BU YAYININ 5846 SAYILI FİKİR VE SANAT ESERLERİ KANUNU’NA GÖRE HER HAKKI  T.C. KÜLTÜR VE TURİZM BAKANLIĞI’NA AİTTİR. GERÇEK VE TÜZEL KİŞİLER TARAFINDAN İZİNSİZ ÇOĞALTILAMAZ VE DAĞITILAMAZ.</a:t>
          </a:r>
        </a:p>
      </xdr:txBody>
    </xdr:sp>
    <xdr:clientData/>
  </xdr:twoCellAnchor>
  <xdr:twoCellAnchor>
    <xdr:from>
      <xdr:col>0</xdr:col>
      <xdr:colOff>81644</xdr:colOff>
      <xdr:row>6</xdr:row>
      <xdr:rowOff>44451</xdr:rowOff>
    </xdr:from>
    <xdr:to>
      <xdr:col>5</xdr:col>
      <xdr:colOff>222251</xdr:colOff>
      <xdr:row>8</xdr:row>
      <xdr:rowOff>127001</xdr:rowOff>
    </xdr:to>
    <xdr:sp macro="" textlink="">
      <xdr:nvSpPr>
        <xdr:cNvPr id="3" name="Rectangle 18">
          <a:extLst>
            <a:ext uri="{FF2B5EF4-FFF2-40B4-BE49-F238E27FC236}">
              <a16:creationId xmlns:a16="http://schemas.microsoft.com/office/drawing/2014/main" xmlns="" id="{00000000-0008-0000-0200-000003000000}"/>
            </a:ext>
          </a:extLst>
        </xdr:cNvPr>
        <xdr:cNvSpPr>
          <a:spLocks noChangeArrowheads="1"/>
        </xdr:cNvSpPr>
      </xdr:nvSpPr>
      <xdr:spPr bwMode="auto">
        <a:xfrm>
          <a:off x="816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YAYIN NO   :   </a:t>
          </a:r>
          <a:r>
            <a:rPr lang="tr-TR" sz="1600" b="1" i="0" u="none" strike="noStrike" baseline="0">
              <a:solidFill>
                <a:srgbClr val="FF0000"/>
              </a:solidFill>
              <a:latin typeface="Times New Roman"/>
              <a:cs typeface="Times New Roman"/>
            </a:rPr>
            <a:t>2023 /4</a:t>
          </a:r>
          <a:endParaRPr lang="tr-TR" sz="1600" b="0" i="0" u="none" strike="noStrike" baseline="0">
            <a:solidFill>
              <a:srgbClr val="FF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403226</xdr:colOff>
      <xdr:row>6</xdr:row>
      <xdr:rowOff>42334</xdr:rowOff>
    </xdr:from>
    <xdr:to>
      <xdr:col>10</xdr:col>
      <xdr:colOff>539750</xdr:colOff>
      <xdr:row>8</xdr:row>
      <xdr:rowOff>126999</xdr:rowOff>
    </xdr:to>
    <xdr:sp macro="" textlink="">
      <xdr:nvSpPr>
        <xdr:cNvPr id="4" name="Rectangle 17">
          <a:extLst>
            <a:ext uri="{FF2B5EF4-FFF2-40B4-BE49-F238E27FC236}">
              <a16:creationId xmlns:a16="http://schemas.microsoft.com/office/drawing/2014/main" xmlns="" id="{00000000-0008-0000-0200-000004000000}"/>
            </a:ext>
          </a:extLst>
        </xdr:cNvPr>
        <xdr:cNvSpPr>
          <a:spLocks noChangeArrowheads="1"/>
        </xdr:cNvSpPr>
      </xdr:nvSpPr>
      <xdr:spPr bwMode="auto">
        <a:xfrm>
          <a:off x="34512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Arial"/>
              <a:cs typeface="Arial"/>
            </a:rPr>
            <a:t>       </a:t>
          </a:r>
          <a:r>
            <a:rPr lang="tr-TR" sz="1400" b="1" i="0" u="none" strike="noStrike" baseline="0">
              <a:solidFill>
                <a:srgbClr val="000000"/>
              </a:solidFill>
              <a:latin typeface="Times New Roman"/>
              <a:cs typeface="Times New Roman"/>
            </a:rPr>
            <a:t>  ISSN – 1300 - 6932</a:t>
          </a:r>
          <a:endParaRPr lang="tr-TR" sz="14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Times New Roman"/>
              <a:cs typeface="Times New Roman"/>
            </a:rPr>
            <a:t>    </a:t>
          </a:r>
        </a:p>
      </xdr:txBody>
    </xdr:sp>
    <xdr:clientData/>
  </xdr:twoCellAnchor>
  <xdr:twoCellAnchor>
    <xdr:from>
      <xdr:col>0</xdr:col>
      <xdr:colOff>81643</xdr:colOff>
      <xdr:row>9</xdr:row>
      <xdr:rowOff>38554</xdr:rowOff>
    </xdr:from>
    <xdr:to>
      <xdr:col>10</xdr:col>
      <xdr:colOff>542018</xdr:colOff>
      <xdr:row>32</xdr:row>
      <xdr:rowOff>95705</xdr:rowOff>
    </xdr:to>
    <xdr:sp macro="" textlink="">
      <xdr:nvSpPr>
        <xdr:cNvPr id="5" name="Rectangle 16">
          <a:extLst>
            <a:ext uri="{FF2B5EF4-FFF2-40B4-BE49-F238E27FC236}">
              <a16:creationId xmlns:a16="http://schemas.microsoft.com/office/drawing/2014/main" xmlns="" id="{00000000-0008-0000-0200-000005000000}"/>
            </a:ext>
          </a:extLst>
        </xdr:cNvPr>
        <xdr:cNvSpPr>
          <a:spLocks noChangeArrowheads="1"/>
        </xdr:cNvSpPr>
      </xdr:nvSpPr>
      <xdr:spPr bwMode="auto">
        <a:xfrm>
          <a:off x="816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BİLGİ TALEPLERİ İÇİN </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ADRES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T.C. KÜLTÜR  VE TURİZM BAKANLIĞI</a:t>
          </a:r>
        </a:p>
        <a:p>
          <a:pPr algn="l" rtl="0">
            <a:defRPr sz="1000"/>
          </a:pPr>
          <a:r>
            <a:rPr lang="tr-TR" sz="1400" b="1" i="0" u="none" strike="noStrike" baseline="0">
              <a:solidFill>
                <a:srgbClr val="000000"/>
              </a:solidFill>
              <a:latin typeface="Times New Roman"/>
              <a:cs typeface="Times New Roman"/>
            </a:rPr>
            <a:t>YATIRIM VE İŞLETMELER GENEL MÜDÜRLÜĞÜ</a:t>
          </a:r>
        </a:p>
        <a:p>
          <a:pPr algn="l" rtl="0">
            <a:defRPr sz="1000"/>
          </a:pPr>
          <a:r>
            <a:rPr lang="tr-TR" sz="1400" b="1" i="0" u="none" strike="noStrike" baseline="0">
              <a:solidFill>
                <a:srgbClr val="000000"/>
              </a:solidFill>
              <a:latin typeface="Times New Roman"/>
              <a:cs typeface="Times New Roman"/>
            </a:rPr>
            <a:t>ARAŞTIRMA VE DEĞERLENDİRME DAİRE BAŞKANLIĞI</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TELEFON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FAKS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79375</xdr:colOff>
      <xdr:row>34</xdr:row>
      <xdr:rowOff>59267</xdr:rowOff>
    </xdr:from>
    <xdr:to>
      <xdr:col>10</xdr:col>
      <xdr:colOff>544286</xdr:colOff>
      <xdr:row>37</xdr:row>
      <xdr:rowOff>68792</xdr:rowOff>
    </xdr:to>
    <xdr:sp macro="" textlink="">
      <xdr:nvSpPr>
        <xdr:cNvPr id="6" name="Rectangle 15">
          <a:extLst>
            <a:ext uri="{FF2B5EF4-FFF2-40B4-BE49-F238E27FC236}">
              <a16:creationId xmlns:a16="http://schemas.microsoft.com/office/drawing/2014/main" xmlns="" id="{00000000-0008-0000-0200-000006000000}"/>
            </a:ext>
          </a:extLst>
        </xdr:cNvPr>
        <xdr:cNvSpPr>
          <a:spLocks noChangeArrowheads="1"/>
        </xdr:cNvSpPr>
      </xdr:nvSpPr>
      <xdr:spPr bwMode="auto">
        <a:xfrm>
          <a:off x="793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 Posta</a:t>
          </a:r>
          <a:r>
            <a:rPr lang="tr-TR" sz="1200" b="0" i="0" u="none" strike="noStrike" baseline="0">
              <a:solidFill>
                <a:srgbClr val="000000"/>
              </a:solidFill>
              <a:latin typeface="Times New Roman"/>
              <a:cs typeface="Times New Roman"/>
            </a:rPr>
            <a:t> :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63500</xdr:colOff>
      <xdr:row>38</xdr:row>
      <xdr:rowOff>142876</xdr:rowOff>
    </xdr:from>
    <xdr:to>
      <xdr:col>10</xdr:col>
      <xdr:colOff>539750</xdr:colOff>
      <xdr:row>66</xdr:row>
      <xdr:rowOff>105834</xdr:rowOff>
    </xdr:to>
    <xdr:sp macro="" textlink="">
      <xdr:nvSpPr>
        <xdr:cNvPr id="7" name="Rectangle 14">
          <a:extLst>
            <a:ext uri="{FF2B5EF4-FFF2-40B4-BE49-F238E27FC236}">
              <a16:creationId xmlns:a16="http://schemas.microsoft.com/office/drawing/2014/main" xmlns="" id="{00000000-0008-0000-0200-000007000000}"/>
            </a:ext>
          </a:extLst>
        </xdr:cNvPr>
        <xdr:cNvSpPr>
          <a:spLocks noChangeArrowheads="1"/>
        </xdr:cNvSpPr>
      </xdr:nvSpPr>
      <xdr:spPr bwMode="auto">
        <a:xfrm>
          <a:off x="635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YÖNETİM</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VERİ HAZIRLAMA VE DEĞERLENDİRME</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145595</xdr:colOff>
      <xdr:row>42</xdr:row>
      <xdr:rowOff>57151</xdr:rowOff>
    </xdr:from>
    <xdr:to>
      <xdr:col>10</xdr:col>
      <xdr:colOff>454024</xdr:colOff>
      <xdr:row>50</xdr:row>
      <xdr:rowOff>76201</xdr:rowOff>
    </xdr:to>
    <xdr:sp macro="" textlink="">
      <xdr:nvSpPr>
        <xdr:cNvPr id="8" name="Rectangle 13">
          <a:extLst>
            <a:ext uri="{FF2B5EF4-FFF2-40B4-BE49-F238E27FC236}">
              <a16:creationId xmlns:a16="http://schemas.microsoft.com/office/drawing/2014/main" xmlns="" id="{00000000-0008-0000-0200-000008000000}"/>
            </a:ext>
          </a:extLst>
        </xdr:cNvPr>
        <xdr:cNvSpPr>
          <a:spLocks noChangeArrowheads="1"/>
        </xdr:cNvSpPr>
      </xdr:nvSpPr>
      <xdr:spPr bwMode="auto">
        <a:xfrm>
          <a:off x="145595" y="6858001"/>
          <a:ext cx="6404429" cy="1314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  ŞENNUR ALDEMİR DOĞAN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YARDIMCISI                         :  LEVENT KIRCAN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DAİRE BAŞKANI V.		                    :  HALİL SAĞKURT</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GRUP SORUMLUSU		                    :  SERPİL GÜNEY AKKOYUN</a:t>
          </a:r>
        </a:p>
        <a:p>
          <a:pPr algn="l" rtl="0">
            <a:lnSpc>
              <a:spcPts val="1100"/>
            </a:lnSpc>
            <a:defRPr sz="1000"/>
          </a:pPr>
          <a:endParaRPr lang="tr-TR" sz="1400" b="1" i="0" u="none" strike="noStrike" baseline="0">
            <a:solidFill>
              <a:srgbClr val="000000"/>
            </a:solidFill>
            <a:latin typeface="Times New Roman"/>
            <a:cs typeface="Times New Roman"/>
          </a:endParaRPr>
        </a:p>
      </xdr:txBody>
    </xdr:sp>
    <xdr:clientData/>
  </xdr:twoCellAnchor>
  <xdr:twoCellAnchor>
    <xdr:from>
      <xdr:col>0</xdr:col>
      <xdr:colOff>142875</xdr:colOff>
      <xdr:row>55</xdr:row>
      <xdr:rowOff>136526</xdr:rowOff>
    </xdr:from>
    <xdr:to>
      <xdr:col>10</xdr:col>
      <xdr:colOff>458562</xdr:colOff>
      <xdr:row>65</xdr:row>
      <xdr:rowOff>9526</xdr:rowOff>
    </xdr:to>
    <xdr:sp macro="" textlink="">
      <xdr:nvSpPr>
        <xdr:cNvPr id="9" name="Rectangle 13">
          <a:extLst>
            <a:ext uri="{FF2B5EF4-FFF2-40B4-BE49-F238E27FC236}">
              <a16:creationId xmlns:a16="http://schemas.microsoft.com/office/drawing/2014/main" xmlns="" id="{00000000-0008-0000-0200-000009000000}"/>
            </a:ext>
          </a:extLst>
        </xdr:cNvPr>
        <xdr:cNvSpPr>
          <a:spLocks noChangeArrowheads="1"/>
        </xdr:cNvSpPr>
      </xdr:nvSpPr>
      <xdr:spPr bwMode="auto">
        <a:xfrm>
          <a:off x="142875" y="9042401"/>
          <a:ext cx="6411687" cy="14922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VERİ  DEĞERLENDİRME                               :  Hüdaverdi ARIK                 İstatistikçi                                                                                   </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VERİ HAZIRLAMA                                           :  Hüdaverdi ARIK                 İstatistikçi                                                                                   			           Mukaddes GÜLEÇ	         Şef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H.Avni ALTINDAL	         İşçi</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showWhiteSpace="0" view="pageBreakPreview" zoomScale="60" zoomScaleNormal="70" workbookViewId="0">
      <selection activeCell="N2" sqref="N2"/>
    </sheetView>
  </sheetViews>
  <sheetFormatPr defaultRowHeight="12.75" x14ac:dyDescent="0.2"/>
  <cols>
    <col min="1" max="1" width="1" style="237" customWidth="1"/>
    <col min="2" max="7" width="9.140625" style="237"/>
    <col min="8" max="10" width="9.140625" style="237" customWidth="1"/>
    <col min="11" max="11" width="9.140625" style="237"/>
    <col min="12" max="12" width="0.85546875" style="237" customWidth="1"/>
    <col min="13" max="16384" width="9.140625" style="237"/>
  </cols>
  <sheetData>
    <row r="1" spans="1:12" ht="3.75" customHeight="1" x14ac:dyDescent="0.2">
      <c r="A1" s="259"/>
      <c r="B1" s="260"/>
      <c r="C1" s="260"/>
      <c r="D1" s="260"/>
      <c r="E1" s="260"/>
      <c r="F1" s="260"/>
      <c r="G1" s="260"/>
      <c r="H1" s="260"/>
      <c r="I1" s="260"/>
      <c r="J1" s="261"/>
      <c r="K1" s="260"/>
      <c r="L1" s="262"/>
    </row>
    <row r="2" spans="1:12" x14ac:dyDescent="0.2">
      <c r="A2" s="263"/>
      <c r="B2" s="264"/>
      <c r="C2" s="265"/>
      <c r="D2" s="265"/>
      <c r="E2" s="265"/>
      <c r="F2" s="265"/>
      <c r="G2" s="265"/>
      <c r="H2" s="265"/>
      <c r="I2" s="265"/>
      <c r="J2" s="265"/>
      <c r="K2" s="266"/>
      <c r="L2" s="267"/>
    </row>
    <row r="3" spans="1:12" x14ac:dyDescent="0.2">
      <c r="A3" s="263"/>
      <c r="B3" s="268"/>
      <c r="C3" s="269"/>
      <c r="D3" s="269"/>
      <c r="E3" s="269"/>
      <c r="F3" s="269"/>
      <c r="G3" s="269"/>
      <c r="H3" s="269"/>
      <c r="J3" s="269"/>
      <c r="K3" s="270"/>
      <c r="L3" s="267"/>
    </row>
    <row r="4" spans="1:12" x14ac:dyDescent="0.2">
      <c r="A4" s="263"/>
      <c r="B4" s="271"/>
      <c r="C4" s="269"/>
      <c r="D4" s="269"/>
      <c r="E4" s="269"/>
      <c r="F4" s="269"/>
      <c r="G4" s="269"/>
      <c r="H4" s="269"/>
      <c r="I4" s="269"/>
      <c r="J4" s="269"/>
      <c r="K4" s="270"/>
      <c r="L4" s="267"/>
    </row>
    <row r="5" spans="1:12" x14ac:dyDescent="0.2">
      <c r="A5" s="263"/>
      <c r="B5" s="271"/>
      <c r="C5" s="269"/>
      <c r="D5" s="269"/>
      <c r="E5" s="269"/>
      <c r="F5" s="269"/>
      <c r="G5" s="269"/>
      <c r="H5" s="269"/>
      <c r="I5" s="269"/>
      <c r="J5" s="269"/>
      <c r="K5" s="270"/>
      <c r="L5" s="267"/>
    </row>
    <row r="6" spans="1:12" x14ac:dyDescent="0.2">
      <c r="A6" s="263"/>
      <c r="B6" s="271"/>
      <c r="C6" s="269"/>
      <c r="D6" s="269"/>
      <c r="E6" s="269"/>
      <c r="F6" s="269"/>
      <c r="G6" s="269"/>
      <c r="H6" s="269"/>
      <c r="I6" s="269"/>
      <c r="J6" s="269"/>
      <c r="K6" s="270"/>
      <c r="L6" s="267"/>
    </row>
    <row r="7" spans="1:12" x14ac:dyDescent="0.2">
      <c r="A7" s="263"/>
      <c r="B7" s="271"/>
      <c r="C7" s="269"/>
      <c r="D7" s="269"/>
      <c r="E7" s="269"/>
      <c r="F7" s="269"/>
      <c r="G7" s="269"/>
      <c r="H7" s="269"/>
      <c r="I7" s="269"/>
      <c r="J7" s="269"/>
      <c r="K7" s="270"/>
      <c r="L7" s="267"/>
    </row>
    <row r="8" spans="1:12" ht="15.75" x14ac:dyDescent="0.25">
      <c r="A8" s="263"/>
      <c r="B8" s="272"/>
      <c r="C8" s="273"/>
      <c r="D8" s="274"/>
      <c r="E8" s="275"/>
      <c r="F8" s="269"/>
      <c r="G8" s="425"/>
      <c r="H8" s="425"/>
      <c r="I8" s="425"/>
      <c r="J8" s="425"/>
      <c r="K8" s="270"/>
      <c r="L8" s="267"/>
    </row>
    <row r="9" spans="1:12" x14ac:dyDescent="0.2">
      <c r="A9" s="263"/>
      <c r="B9" s="271"/>
      <c r="C9" s="269"/>
      <c r="D9" s="269"/>
      <c r="E9" s="269"/>
      <c r="F9" s="269"/>
      <c r="G9" s="269"/>
      <c r="H9" s="269"/>
      <c r="I9" s="269"/>
      <c r="J9" s="269"/>
      <c r="K9" s="270"/>
      <c r="L9" s="267"/>
    </row>
    <row r="10" spans="1:12" x14ac:dyDescent="0.2">
      <c r="A10" s="263"/>
      <c r="B10" s="271"/>
      <c r="C10" s="269"/>
      <c r="D10" s="269"/>
      <c r="E10" s="269"/>
      <c r="F10" s="269"/>
      <c r="G10" s="269"/>
      <c r="H10" s="269"/>
      <c r="I10" s="269"/>
      <c r="J10" s="269"/>
      <c r="K10" s="270"/>
      <c r="L10" s="267"/>
    </row>
    <row r="11" spans="1:12" x14ac:dyDescent="0.2">
      <c r="A11" s="263"/>
      <c r="B11" s="271"/>
      <c r="C11" s="269"/>
      <c r="D11" s="269"/>
      <c r="E11" s="269"/>
      <c r="F11" s="269"/>
      <c r="G11" s="269"/>
      <c r="H11" s="269"/>
      <c r="I11" s="269"/>
      <c r="J11" s="269"/>
      <c r="K11" s="270"/>
      <c r="L11" s="267"/>
    </row>
    <row r="12" spans="1:12" x14ac:dyDescent="0.2">
      <c r="A12" s="263"/>
      <c r="B12" s="271"/>
      <c r="C12" s="269"/>
      <c r="D12" s="269"/>
      <c r="E12" s="269"/>
      <c r="F12" s="269"/>
      <c r="G12" s="269"/>
      <c r="H12" s="269"/>
      <c r="I12" s="269"/>
      <c r="J12" s="269"/>
      <c r="K12" s="270"/>
      <c r="L12" s="267"/>
    </row>
    <row r="13" spans="1:12" x14ac:dyDescent="0.2">
      <c r="A13" s="263"/>
      <c r="B13" s="271"/>
      <c r="C13" s="269"/>
      <c r="D13" s="269"/>
      <c r="E13" s="269"/>
      <c r="F13" s="269"/>
      <c r="G13" s="269"/>
      <c r="H13" s="269"/>
      <c r="I13" s="269"/>
      <c r="J13" s="269"/>
      <c r="K13" s="270"/>
      <c r="L13" s="267"/>
    </row>
    <row r="14" spans="1:12" x14ac:dyDescent="0.2">
      <c r="A14" s="263"/>
      <c r="B14" s="271"/>
      <c r="C14" s="269"/>
      <c r="D14" s="269"/>
      <c r="E14" s="269"/>
      <c r="F14" s="269"/>
      <c r="G14" s="269"/>
      <c r="H14" s="269"/>
      <c r="I14" s="269"/>
      <c r="J14" s="269"/>
      <c r="K14" s="270"/>
      <c r="L14" s="267"/>
    </row>
    <row r="15" spans="1:12" x14ac:dyDescent="0.2">
      <c r="A15" s="263"/>
      <c r="B15" s="271"/>
      <c r="C15" s="269"/>
      <c r="D15" s="269"/>
      <c r="E15" s="269"/>
      <c r="F15" s="269"/>
      <c r="G15" s="269"/>
      <c r="H15" s="269"/>
      <c r="I15" s="269"/>
      <c r="J15" s="269"/>
      <c r="K15" s="270"/>
      <c r="L15" s="267"/>
    </row>
    <row r="16" spans="1:12" x14ac:dyDescent="0.2">
      <c r="A16" s="263"/>
      <c r="B16" s="271"/>
      <c r="C16" s="269"/>
      <c r="D16" s="269"/>
      <c r="E16" s="269"/>
      <c r="F16" s="269"/>
      <c r="G16" s="269"/>
      <c r="H16" s="269"/>
      <c r="I16" s="269"/>
      <c r="J16" s="269"/>
      <c r="K16" s="270"/>
      <c r="L16" s="267"/>
    </row>
    <row r="17" spans="1:12" x14ac:dyDescent="0.2">
      <c r="A17" s="263"/>
      <c r="B17" s="271"/>
      <c r="C17" s="269"/>
      <c r="D17" s="269"/>
      <c r="E17" s="269"/>
      <c r="F17" s="269"/>
      <c r="G17" s="269"/>
      <c r="H17" s="269"/>
      <c r="I17" s="269"/>
      <c r="J17" s="269"/>
      <c r="K17" s="270"/>
      <c r="L17" s="267"/>
    </row>
    <row r="18" spans="1:12" x14ac:dyDescent="0.2">
      <c r="A18" s="263"/>
      <c r="B18" s="271"/>
      <c r="C18" s="269"/>
      <c r="D18" s="269"/>
      <c r="E18" s="269"/>
      <c r="F18" s="269"/>
      <c r="G18" s="269"/>
      <c r="H18" s="269"/>
      <c r="I18" s="269"/>
      <c r="J18" s="269"/>
      <c r="K18" s="270"/>
      <c r="L18" s="267"/>
    </row>
    <row r="19" spans="1:12" x14ac:dyDescent="0.2">
      <c r="A19" s="263"/>
      <c r="B19" s="271"/>
      <c r="C19" s="269"/>
      <c r="D19" s="269"/>
      <c r="E19" s="269"/>
      <c r="F19" s="269"/>
      <c r="G19" s="269"/>
      <c r="H19" s="269"/>
      <c r="I19" s="269"/>
      <c r="J19" s="269"/>
      <c r="K19" s="270"/>
      <c r="L19" s="267"/>
    </row>
    <row r="20" spans="1:12" x14ac:dyDescent="0.2">
      <c r="A20" s="263"/>
      <c r="B20" s="271"/>
      <c r="C20" s="269"/>
      <c r="D20" s="269"/>
      <c r="E20" s="269"/>
      <c r="F20" s="269"/>
      <c r="G20" s="269"/>
      <c r="H20" s="269"/>
      <c r="I20" s="269"/>
      <c r="J20" s="269"/>
      <c r="K20" s="270"/>
      <c r="L20" s="267"/>
    </row>
    <row r="21" spans="1:12" x14ac:dyDescent="0.2">
      <c r="A21" s="263"/>
      <c r="B21" s="271"/>
      <c r="C21" s="269"/>
      <c r="D21" s="269"/>
      <c r="E21" s="269"/>
      <c r="F21" s="269"/>
      <c r="G21" s="269"/>
      <c r="H21" s="269"/>
      <c r="I21" s="269"/>
      <c r="J21" s="269"/>
      <c r="K21" s="270"/>
      <c r="L21" s="267"/>
    </row>
    <row r="22" spans="1:12" x14ac:dyDescent="0.2">
      <c r="A22" s="263"/>
      <c r="B22" s="271"/>
      <c r="C22" s="269"/>
      <c r="D22" s="269"/>
      <c r="E22" s="269"/>
      <c r="F22" s="269"/>
      <c r="G22" s="269"/>
      <c r="H22" s="269"/>
      <c r="I22" s="269"/>
      <c r="J22" s="269"/>
      <c r="K22" s="270"/>
      <c r="L22" s="267"/>
    </row>
    <row r="23" spans="1:12" x14ac:dyDescent="0.2">
      <c r="A23" s="263"/>
      <c r="B23" s="271"/>
      <c r="C23" s="269"/>
      <c r="D23" s="269"/>
      <c r="E23" s="269"/>
      <c r="F23" s="269"/>
      <c r="G23" s="269"/>
      <c r="H23" s="269"/>
      <c r="I23" s="269"/>
      <c r="J23" s="269"/>
      <c r="K23" s="270"/>
      <c r="L23" s="267"/>
    </row>
    <row r="24" spans="1:12" x14ac:dyDescent="0.2">
      <c r="A24" s="263"/>
      <c r="B24" s="271"/>
      <c r="C24" s="269"/>
      <c r="D24" s="269"/>
      <c r="E24" s="269"/>
      <c r="F24" s="269"/>
      <c r="G24" s="269"/>
      <c r="H24" s="269"/>
      <c r="I24" s="269"/>
      <c r="J24" s="269"/>
      <c r="K24" s="270"/>
      <c r="L24" s="267"/>
    </row>
    <row r="25" spans="1:12" x14ac:dyDescent="0.2">
      <c r="A25" s="263"/>
      <c r="B25" s="271"/>
      <c r="C25" s="269"/>
      <c r="D25" s="269"/>
      <c r="E25" s="269"/>
      <c r="F25" s="269"/>
      <c r="G25" s="269"/>
      <c r="H25" s="269"/>
      <c r="I25" s="269"/>
      <c r="J25" s="269"/>
      <c r="K25" s="270"/>
      <c r="L25" s="267"/>
    </row>
    <row r="26" spans="1:12" x14ac:dyDescent="0.2">
      <c r="A26" s="263"/>
      <c r="B26" s="271"/>
      <c r="C26" s="269"/>
      <c r="D26" s="269"/>
      <c r="E26" s="269"/>
      <c r="F26" s="269"/>
      <c r="G26" s="269"/>
      <c r="H26" s="269"/>
      <c r="I26" s="269"/>
      <c r="J26" s="269"/>
      <c r="K26" s="270"/>
      <c r="L26" s="267"/>
    </row>
    <row r="27" spans="1:12" ht="33.75" x14ac:dyDescent="0.5">
      <c r="A27" s="263"/>
      <c r="B27" s="271"/>
      <c r="C27" s="269"/>
      <c r="D27" s="426"/>
      <c r="E27" s="426"/>
      <c r="F27" s="426"/>
      <c r="G27" s="426"/>
      <c r="H27" s="426"/>
      <c r="I27" s="426"/>
      <c r="J27" s="426"/>
      <c r="K27" s="270"/>
      <c r="L27" s="267"/>
    </row>
    <row r="28" spans="1:12" x14ac:dyDescent="0.2">
      <c r="A28" s="263"/>
      <c r="B28" s="271"/>
      <c r="C28" s="269"/>
      <c r="D28" s="269"/>
      <c r="E28" s="269"/>
      <c r="F28" s="269"/>
      <c r="G28" s="269"/>
      <c r="H28" s="269"/>
      <c r="I28" s="269"/>
      <c r="J28" s="269"/>
      <c r="K28" s="270"/>
      <c r="L28" s="267"/>
    </row>
    <row r="29" spans="1:12" ht="33.75" x14ac:dyDescent="0.5">
      <c r="A29" s="263"/>
      <c r="B29" s="271"/>
      <c r="C29" s="269"/>
      <c r="D29" s="269"/>
      <c r="E29" s="269"/>
      <c r="F29" s="269"/>
      <c r="G29" s="269"/>
      <c r="H29" s="426"/>
      <c r="I29" s="426"/>
      <c r="J29" s="426"/>
      <c r="K29" s="270"/>
      <c r="L29" s="267"/>
    </row>
    <row r="30" spans="1:12" x14ac:dyDescent="0.2">
      <c r="A30" s="263"/>
      <c r="B30" s="271"/>
      <c r="C30" s="269"/>
      <c r="D30" s="269"/>
      <c r="E30" s="269"/>
      <c r="F30" s="269"/>
      <c r="G30" s="269"/>
      <c r="H30" s="269"/>
      <c r="I30" s="269"/>
      <c r="J30" s="269"/>
      <c r="K30" s="270"/>
      <c r="L30" s="267"/>
    </row>
    <row r="31" spans="1:12" x14ac:dyDescent="0.2">
      <c r="A31" s="263"/>
      <c r="B31" s="271"/>
      <c r="C31" s="269"/>
      <c r="D31" s="269"/>
      <c r="E31" s="269"/>
      <c r="F31" s="269"/>
      <c r="G31" s="269"/>
      <c r="H31" s="269"/>
      <c r="I31" s="269"/>
      <c r="J31" s="269"/>
      <c r="K31" s="270"/>
      <c r="L31" s="267"/>
    </row>
    <row r="32" spans="1:12" x14ac:dyDescent="0.2">
      <c r="A32" s="263"/>
      <c r="B32" s="271"/>
      <c r="C32" s="269"/>
      <c r="D32" s="269"/>
      <c r="E32" s="269"/>
      <c r="F32" s="269"/>
      <c r="G32" s="269"/>
      <c r="H32" s="269"/>
      <c r="I32" s="269"/>
      <c r="J32" s="269"/>
      <c r="K32" s="270"/>
      <c r="L32" s="267"/>
    </row>
    <row r="33" spans="1:13" x14ac:dyDescent="0.2">
      <c r="A33" s="263"/>
      <c r="B33" s="271"/>
      <c r="C33" s="269"/>
      <c r="D33" s="269"/>
      <c r="E33" s="269"/>
      <c r="F33" s="269"/>
      <c r="G33" s="269"/>
      <c r="H33" s="269"/>
      <c r="I33" s="269"/>
      <c r="J33" s="269"/>
      <c r="K33" s="270"/>
      <c r="L33" s="267"/>
    </row>
    <row r="34" spans="1:13" x14ac:dyDescent="0.2">
      <c r="A34" s="263"/>
      <c r="B34" s="271"/>
      <c r="C34" s="269"/>
      <c r="D34" s="269"/>
      <c r="E34" s="269"/>
      <c r="F34" s="269"/>
      <c r="G34" s="269"/>
      <c r="H34" s="269"/>
      <c r="I34" s="269"/>
      <c r="J34" s="269"/>
      <c r="K34" s="270"/>
      <c r="L34" s="267"/>
    </row>
    <row r="35" spans="1:13" x14ac:dyDescent="0.2">
      <c r="A35" s="263"/>
      <c r="B35" s="271"/>
      <c r="C35" s="269"/>
      <c r="D35" s="269"/>
      <c r="E35" s="269"/>
      <c r="F35" s="269"/>
      <c r="G35" s="269"/>
      <c r="H35" s="269"/>
      <c r="I35" s="269"/>
      <c r="J35" s="269"/>
      <c r="K35" s="270"/>
      <c r="L35" s="267"/>
    </row>
    <row r="36" spans="1:13" x14ac:dyDescent="0.2">
      <c r="A36" s="263"/>
      <c r="B36" s="271"/>
      <c r="C36" s="269"/>
      <c r="D36" s="269"/>
      <c r="E36" s="269"/>
      <c r="F36" s="269"/>
      <c r="G36" s="269"/>
      <c r="H36" s="269"/>
      <c r="I36" s="269"/>
      <c r="J36" s="269"/>
      <c r="K36" s="270"/>
      <c r="L36" s="267"/>
    </row>
    <row r="37" spans="1:13" x14ac:dyDescent="0.2">
      <c r="A37" s="263"/>
      <c r="B37" s="271"/>
      <c r="C37" s="269"/>
      <c r="D37" s="269"/>
      <c r="E37" s="269"/>
      <c r="F37" s="269"/>
      <c r="G37" s="269"/>
      <c r="H37" s="269"/>
      <c r="I37" s="269"/>
      <c r="J37" s="269"/>
      <c r="K37" s="270"/>
      <c r="L37" s="267"/>
    </row>
    <row r="38" spans="1:13" x14ac:dyDescent="0.2">
      <c r="A38" s="263"/>
      <c r="B38" s="271"/>
      <c r="C38" s="269"/>
      <c r="D38" s="269"/>
      <c r="E38" s="269"/>
      <c r="F38" s="269"/>
      <c r="G38" s="269"/>
      <c r="H38" s="269"/>
      <c r="I38" s="269"/>
      <c r="J38" s="269"/>
      <c r="K38" s="270"/>
      <c r="L38" s="267"/>
    </row>
    <row r="39" spans="1:13" x14ac:dyDescent="0.2">
      <c r="A39" s="263"/>
      <c r="B39" s="271"/>
      <c r="C39" s="269"/>
      <c r="D39" s="269"/>
      <c r="E39" s="269"/>
      <c r="F39" s="269"/>
      <c r="G39" s="269"/>
      <c r="H39" s="269"/>
      <c r="I39" s="269"/>
      <c r="J39" s="269"/>
      <c r="K39" s="270"/>
      <c r="L39" s="267"/>
    </row>
    <row r="40" spans="1:13" x14ac:dyDescent="0.2">
      <c r="A40" s="263"/>
      <c r="B40" s="271"/>
      <c r="C40" s="269"/>
      <c r="D40" s="269"/>
      <c r="E40" s="269"/>
      <c r="F40" s="269"/>
      <c r="G40" s="269"/>
      <c r="H40" s="269"/>
      <c r="I40" s="269"/>
      <c r="J40" s="269"/>
      <c r="K40" s="270"/>
      <c r="L40" s="267"/>
    </row>
    <row r="41" spans="1:13" x14ac:dyDescent="0.2">
      <c r="A41" s="263"/>
      <c r="B41" s="271"/>
      <c r="C41" s="269"/>
      <c r="D41" s="269"/>
      <c r="E41" s="269"/>
      <c r="F41" s="269"/>
      <c r="G41" s="269"/>
      <c r="H41" s="269"/>
      <c r="I41" s="269"/>
      <c r="J41" s="269"/>
      <c r="K41" s="270"/>
      <c r="L41" s="267"/>
    </row>
    <row r="42" spans="1:13" x14ac:dyDescent="0.2">
      <c r="A42" s="263"/>
      <c r="B42" s="271"/>
      <c r="C42" s="269"/>
      <c r="D42" s="269"/>
      <c r="E42" s="269"/>
      <c r="F42" s="269"/>
      <c r="G42" s="269"/>
      <c r="H42" s="269"/>
      <c r="I42" s="269"/>
      <c r="J42" s="269"/>
      <c r="K42" s="270"/>
      <c r="L42" s="267"/>
    </row>
    <row r="43" spans="1:13" x14ac:dyDescent="0.2">
      <c r="A43" s="263"/>
      <c r="B43" s="271"/>
      <c r="C43" s="269"/>
      <c r="D43" s="269"/>
      <c r="E43" s="269"/>
      <c r="F43" s="269"/>
      <c r="G43" s="269"/>
      <c r="H43" s="269"/>
      <c r="I43" s="269"/>
      <c r="J43" s="269"/>
      <c r="K43" s="270"/>
      <c r="L43" s="267"/>
    </row>
    <row r="44" spans="1:13" x14ac:dyDescent="0.2">
      <c r="A44" s="263"/>
      <c r="B44" s="271"/>
      <c r="C44" s="269"/>
      <c r="D44" s="269"/>
      <c r="E44" s="269"/>
      <c r="F44" s="269"/>
      <c r="G44" s="269"/>
      <c r="H44" s="269"/>
      <c r="I44" s="269"/>
      <c r="J44" s="269"/>
      <c r="K44" s="270"/>
      <c r="L44" s="267"/>
    </row>
    <row r="45" spans="1:13" x14ac:dyDescent="0.2">
      <c r="A45" s="263"/>
      <c r="B45" s="271"/>
      <c r="C45" s="269"/>
      <c r="D45" s="269"/>
      <c r="E45" s="269"/>
      <c r="F45" s="269"/>
      <c r="G45" s="269"/>
      <c r="H45" s="269"/>
      <c r="I45" s="269"/>
      <c r="J45" s="269"/>
      <c r="K45" s="270"/>
      <c r="L45" s="267"/>
    </row>
    <row r="46" spans="1:13" ht="15" x14ac:dyDescent="0.25">
      <c r="A46" s="263"/>
      <c r="B46" s="427"/>
      <c r="C46" s="428"/>
      <c r="D46" s="428"/>
      <c r="E46" s="428"/>
      <c r="F46" s="428"/>
      <c r="G46" s="428"/>
      <c r="H46" s="428"/>
      <c r="I46" s="428"/>
      <c r="J46" s="428"/>
      <c r="K46" s="429"/>
      <c r="L46" s="267"/>
    </row>
    <row r="47" spans="1:13" x14ac:dyDescent="0.2">
      <c r="A47" s="276"/>
      <c r="B47" s="277"/>
      <c r="C47" s="277"/>
      <c r="D47" s="277"/>
      <c r="E47" s="277"/>
      <c r="F47" s="277"/>
      <c r="G47" s="277"/>
      <c r="H47" s="277"/>
      <c r="I47" s="277"/>
      <c r="J47" s="277"/>
      <c r="K47" s="277"/>
      <c r="L47" s="276"/>
      <c r="M47" s="268"/>
    </row>
    <row r="48" spans="1:13" ht="5.0999999999999996" customHeight="1" thickBot="1" x14ac:dyDescent="0.25">
      <c r="A48" s="276"/>
      <c r="B48" s="278"/>
      <c r="C48" s="278"/>
      <c r="D48" s="278"/>
      <c r="E48" s="278"/>
      <c r="F48" s="278"/>
      <c r="G48" s="278"/>
      <c r="H48" s="278"/>
      <c r="I48" s="278"/>
      <c r="J48" s="278"/>
      <c r="K48" s="278"/>
      <c r="L48" s="278"/>
      <c r="M48" s="268"/>
    </row>
    <row r="49" spans="1:13" ht="5.0999999999999996" customHeight="1" thickBot="1" x14ac:dyDescent="0.25">
      <c r="A49" s="276"/>
      <c r="B49" s="276"/>
      <c r="C49" s="276"/>
      <c r="D49" s="276"/>
      <c r="E49" s="276"/>
      <c r="F49" s="276"/>
      <c r="G49" s="276"/>
      <c r="H49" s="276"/>
      <c r="I49" s="276"/>
      <c r="J49" s="276"/>
      <c r="K49" s="276"/>
      <c r="L49" s="276"/>
      <c r="M49" s="268"/>
    </row>
    <row r="50" spans="1:13" ht="6" customHeight="1" x14ac:dyDescent="0.2">
      <c r="A50" s="276"/>
      <c r="B50" s="279"/>
      <c r="C50" s="279"/>
      <c r="D50" s="279"/>
      <c r="E50" s="279"/>
      <c r="F50" s="279"/>
      <c r="G50" s="279"/>
      <c r="H50" s="279"/>
      <c r="I50" s="279"/>
      <c r="J50" s="279"/>
      <c r="K50" s="279"/>
      <c r="L50" s="279"/>
      <c r="M50" s="268"/>
    </row>
    <row r="51" spans="1:13" ht="3" customHeight="1" x14ac:dyDescent="0.2">
      <c r="A51" s="276"/>
      <c r="B51" s="280"/>
      <c r="C51" s="280"/>
      <c r="D51" s="280"/>
      <c r="E51" s="280"/>
      <c r="F51" s="280"/>
      <c r="G51" s="280"/>
      <c r="H51" s="280"/>
      <c r="I51" s="280"/>
      <c r="J51" s="280"/>
      <c r="K51" s="280"/>
      <c r="L51" s="276"/>
      <c r="M51" s="268"/>
    </row>
    <row r="52" spans="1:13" ht="5.25" customHeight="1" x14ac:dyDescent="0.2">
      <c r="A52" s="276"/>
      <c r="B52" s="276"/>
      <c r="C52" s="276"/>
      <c r="D52" s="276"/>
      <c r="E52" s="276"/>
      <c r="F52" s="276"/>
      <c r="G52" s="276"/>
      <c r="H52" s="276"/>
      <c r="I52" s="276"/>
      <c r="J52" s="276"/>
      <c r="K52" s="276"/>
      <c r="L52" s="276"/>
      <c r="M52" s="268"/>
    </row>
    <row r="53" spans="1:13" ht="15.75" x14ac:dyDescent="0.25">
      <c r="A53" s="276"/>
      <c r="B53" s="430"/>
      <c r="C53" s="430"/>
      <c r="D53" s="430"/>
      <c r="E53" s="430"/>
      <c r="F53" s="430"/>
      <c r="G53" s="430"/>
      <c r="H53" s="430"/>
      <c r="I53" s="430"/>
      <c r="J53" s="430"/>
      <c r="K53" s="430"/>
      <c r="L53" s="276"/>
      <c r="M53" s="268"/>
    </row>
    <row r="54" spans="1:13" ht="15.75" x14ac:dyDescent="0.25">
      <c r="A54" s="276"/>
      <c r="B54" s="430"/>
      <c r="C54" s="430"/>
      <c r="D54" s="430"/>
      <c r="E54" s="430"/>
      <c r="F54" s="430"/>
      <c r="G54" s="430"/>
      <c r="H54" s="430"/>
      <c r="I54" s="430"/>
      <c r="J54" s="430"/>
      <c r="K54" s="430"/>
      <c r="L54" s="276"/>
      <c r="M54" s="268"/>
    </row>
    <row r="55" spans="1:13" ht="15.75" x14ac:dyDescent="0.25">
      <c r="A55" s="263"/>
      <c r="B55" s="419"/>
      <c r="C55" s="420"/>
      <c r="D55" s="420"/>
      <c r="E55" s="420"/>
      <c r="F55" s="420"/>
      <c r="G55" s="420"/>
      <c r="H55" s="420"/>
      <c r="I55" s="420"/>
      <c r="J55" s="420"/>
      <c r="K55" s="421"/>
      <c r="L55" s="267"/>
    </row>
    <row r="56" spans="1:13" ht="15.75" x14ac:dyDescent="0.2">
      <c r="A56" s="263"/>
      <c r="B56" s="422"/>
      <c r="C56" s="423"/>
      <c r="D56" s="423"/>
      <c r="E56" s="423"/>
      <c r="F56" s="423"/>
      <c r="G56" s="423"/>
      <c r="H56" s="423"/>
      <c r="I56" s="423"/>
      <c r="J56" s="423"/>
      <c r="K56" s="424"/>
      <c r="L56" s="267"/>
    </row>
    <row r="57" spans="1:13" s="238" customFormat="1" ht="12.75" customHeight="1" x14ac:dyDescent="0.2">
      <c r="A57" s="281"/>
      <c r="B57" s="282"/>
      <c r="C57" s="283"/>
      <c r="D57" s="283"/>
      <c r="E57" s="283"/>
      <c r="F57" s="283"/>
      <c r="G57" s="283"/>
      <c r="H57" s="283"/>
      <c r="I57" s="283"/>
      <c r="J57" s="283"/>
      <c r="K57" s="284"/>
      <c r="L57" s="285"/>
    </row>
    <row r="58" spans="1:13" ht="5.0999999999999996" customHeight="1" thickBot="1" x14ac:dyDescent="0.25">
      <c r="A58" s="286"/>
      <c r="B58" s="287"/>
      <c r="C58" s="287"/>
      <c r="D58" s="287"/>
      <c r="E58" s="287"/>
      <c r="F58" s="287"/>
      <c r="G58" s="287"/>
      <c r="H58" s="287"/>
      <c r="I58" s="287"/>
      <c r="J58" s="287"/>
      <c r="K58" s="287"/>
      <c r="L58" s="288"/>
    </row>
    <row r="59" spans="1:13" x14ac:dyDescent="0.2">
      <c r="A59" s="289"/>
    </row>
  </sheetData>
  <mergeCells count="8">
    <mergeCell ref="B55:K55"/>
    <mergeCell ref="B56:K56"/>
    <mergeCell ref="G8:J8"/>
    <mergeCell ref="D27:J27"/>
    <mergeCell ref="H29:J29"/>
    <mergeCell ref="B46:K46"/>
    <mergeCell ref="B53:K53"/>
    <mergeCell ref="B54:K54"/>
  </mergeCells>
  <printOptions horizontalCentered="1"/>
  <pageMargins left="0.23622047244094491" right="0.23622047244094491" top="0.77"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251"/>
  <sheetViews>
    <sheetView view="pageBreakPreview" zoomScaleNormal="100" zoomScaleSheetLayoutView="100" workbookViewId="0"/>
  </sheetViews>
  <sheetFormatPr defaultColWidth="9.140625" defaultRowHeight="12.75" x14ac:dyDescent="0.2"/>
  <cols>
    <col min="1" max="1" width="9.140625" style="19"/>
    <col min="2" max="2" width="38.7109375" style="6" customWidth="1"/>
    <col min="3" max="18" width="10.140625" customWidth="1"/>
  </cols>
  <sheetData>
    <row r="1" spans="2:18" ht="16.5" customHeight="1" x14ac:dyDescent="0.25">
      <c r="B1" s="451" t="s">
        <v>595</v>
      </c>
      <c r="C1" s="451"/>
      <c r="D1" s="451"/>
      <c r="E1" s="451"/>
      <c r="F1" s="451"/>
      <c r="G1" s="451"/>
      <c r="H1" s="451"/>
      <c r="I1" s="451"/>
      <c r="J1" s="451"/>
      <c r="K1" s="451"/>
      <c r="L1" s="451"/>
      <c r="M1" s="451"/>
      <c r="N1" s="451"/>
      <c r="O1" s="451"/>
      <c r="P1" s="451"/>
      <c r="Q1" s="451"/>
      <c r="R1" s="451"/>
    </row>
    <row r="2" spans="2:18" s="19" customFormat="1" ht="6" customHeight="1" x14ac:dyDescent="0.2">
      <c r="B2" s="20"/>
    </row>
    <row r="3" spans="2:18" ht="12.75" customHeight="1" x14ac:dyDescent="0.2">
      <c r="B3" s="27" t="s">
        <v>268</v>
      </c>
      <c r="C3" s="28">
        <v>2007</v>
      </c>
      <c r="D3" s="28">
        <v>2008</v>
      </c>
      <c r="E3" s="28">
        <v>2009</v>
      </c>
      <c r="F3" s="28">
        <v>2010</v>
      </c>
      <c r="G3" s="28">
        <v>2011</v>
      </c>
      <c r="H3" s="28">
        <v>2012</v>
      </c>
      <c r="I3" s="28">
        <v>2013</v>
      </c>
      <c r="J3" s="28">
        <v>2014</v>
      </c>
      <c r="K3" s="28">
        <v>2015</v>
      </c>
      <c r="L3" s="28">
        <v>2016</v>
      </c>
      <c r="M3" s="28">
        <v>2017</v>
      </c>
      <c r="N3" s="28">
        <v>2018</v>
      </c>
      <c r="O3" s="28">
        <v>2019</v>
      </c>
      <c r="P3" s="28">
        <v>2020</v>
      </c>
      <c r="Q3" s="28">
        <v>2021</v>
      </c>
      <c r="R3" s="28">
        <v>2022</v>
      </c>
    </row>
    <row r="4" spans="2:18" ht="12.75" customHeight="1" x14ac:dyDescent="0.2">
      <c r="B4" s="29" t="s">
        <v>20</v>
      </c>
      <c r="C4" s="30"/>
      <c r="D4" s="30"/>
      <c r="E4" s="30"/>
      <c r="F4" s="30"/>
      <c r="G4" s="30"/>
      <c r="H4" s="30"/>
      <c r="I4" s="30"/>
      <c r="J4" s="30"/>
      <c r="K4" s="30"/>
      <c r="L4" s="30"/>
      <c r="M4" s="30">
        <v>1</v>
      </c>
      <c r="N4" s="30"/>
      <c r="O4" s="30"/>
      <c r="P4" s="30">
        <v>0</v>
      </c>
      <c r="Q4" s="30"/>
      <c r="R4" s="30"/>
    </row>
    <row r="5" spans="2:18" ht="12.75" customHeight="1" x14ac:dyDescent="0.2">
      <c r="B5" s="29" t="s">
        <v>21</v>
      </c>
      <c r="C5" s="30">
        <v>16919</v>
      </c>
      <c r="D5" s="30">
        <v>11473</v>
      </c>
      <c r="E5" s="30">
        <v>21508</v>
      </c>
      <c r="F5" s="30">
        <v>12511</v>
      </c>
      <c r="G5" s="30">
        <v>16395</v>
      </c>
      <c r="H5" s="30">
        <v>15373</v>
      </c>
      <c r="I5" s="30">
        <v>19704</v>
      </c>
      <c r="J5" s="30">
        <v>22599</v>
      </c>
      <c r="K5" s="30">
        <v>31983</v>
      </c>
      <c r="L5" s="30">
        <v>50197</v>
      </c>
      <c r="M5" s="30">
        <v>48668</v>
      </c>
      <c r="N5" s="30">
        <v>56543</v>
      </c>
      <c r="O5" s="30">
        <v>68681</v>
      </c>
      <c r="P5" s="30">
        <v>30020</v>
      </c>
      <c r="Q5" s="30">
        <v>56300</v>
      </c>
      <c r="R5" s="30">
        <v>57241</v>
      </c>
    </row>
    <row r="6" spans="2:18" ht="12.75" customHeight="1" x14ac:dyDescent="0.2">
      <c r="B6" s="29" t="s">
        <v>22</v>
      </c>
      <c r="C6" s="30">
        <v>4149805</v>
      </c>
      <c r="D6" s="30">
        <v>4415525</v>
      </c>
      <c r="E6" s="30">
        <v>4488350</v>
      </c>
      <c r="F6" s="30">
        <v>4385263</v>
      </c>
      <c r="G6" s="30">
        <v>4826315</v>
      </c>
      <c r="H6" s="30">
        <v>5028745</v>
      </c>
      <c r="I6" s="30">
        <v>5041323</v>
      </c>
      <c r="J6" s="30">
        <v>5250036</v>
      </c>
      <c r="K6" s="30">
        <v>5580792</v>
      </c>
      <c r="L6" s="30">
        <v>3890074</v>
      </c>
      <c r="M6" s="30">
        <v>3584653</v>
      </c>
      <c r="N6" s="30">
        <v>4512360</v>
      </c>
      <c r="O6" s="30">
        <v>5027472</v>
      </c>
      <c r="P6" s="30">
        <v>1118932</v>
      </c>
      <c r="Q6" s="30">
        <v>3085215</v>
      </c>
      <c r="R6" s="30">
        <v>5679194</v>
      </c>
    </row>
    <row r="7" spans="2:18" ht="12.75" customHeight="1" x14ac:dyDescent="0.2">
      <c r="B7" s="29" t="s">
        <v>23</v>
      </c>
      <c r="C7" s="30">
        <v>642911</v>
      </c>
      <c r="D7" s="30">
        <v>679445</v>
      </c>
      <c r="E7" s="30">
        <v>667159</v>
      </c>
      <c r="F7" s="30">
        <v>642768</v>
      </c>
      <c r="G7" s="30">
        <v>757143</v>
      </c>
      <c r="H7" s="30">
        <v>771837</v>
      </c>
      <c r="I7" s="30">
        <v>785971</v>
      </c>
      <c r="J7" s="30">
        <v>784917</v>
      </c>
      <c r="K7" s="30">
        <v>798787</v>
      </c>
      <c r="L7" s="30">
        <v>459493</v>
      </c>
      <c r="M7" s="30">
        <v>329257</v>
      </c>
      <c r="N7" s="30">
        <v>448327</v>
      </c>
      <c r="O7" s="30">
        <v>578074</v>
      </c>
      <c r="P7" s="30">
        <v>148937</v>
      </c>
      <c r="Q7" s="30">
        <v>371759</v>
      </c>
      <c r="R7" s="30">
        <v>1013478</v>
      </c>
    </row>
    <row r="8" spans="2:18" ht="12.75" customHeight="1" x14ac:dyDescent="0.2">
      <c r="B8" s="29" t="s">
        <v>24</v>
      </c>
      <c r="C8" s="30"/>
      <c r="D8" s="30"/>
      <c r="E8" s="30"/>
      <c r="F8" s="30"/>
      <c r="G8" s="30"/>
      <c r="H8" s="30">
        <v>2734</v>
      </c>
      <c r="I8" s="30">
        <v>120</v>
      </c>
      <c r="J8" s="30"/>
      <c r="K8" s="30"/>
      <c r="L8" s="30">
        <v>1</v>
      </c>
      <c r="M8" s="30">
        <v>12</v>
      </c>
      <c r="N8" s="30"/>
      <c r="O8" s="30"/>
      <c r="P8" s="30"/>
      <c r="Q8" s="30"/>
      <c r="R8" s="30"/>
    </row>
    <row r="9" spans="2:18" ht="12.75" customHeight="1" x14ac:dyDescent="0.2">
      <c r="B9" s="29" t="s">
        <v>25</v>
      </c>
      <c r="C9" s="30">
        <v>296</v>
      </c>
      <c r="D9" s="30">
        <v>340</v>
      </c>
      <c r="E9" s="30">
        <v>568</v>
      </c>
      <c r="F9" s="30">
        <v>498</v>
      </c>
      <c r="G9" s="30">
        <v>402</v>
      </c>
      <c r="H9" s="30">
        <v>356</v>
      </c>
      <c r="I9" s="30">
        <v>415</v>
      </c>
      <c r="J9" s="30">
        <v>421</v>
      </c>
      <c r="K9" s="30">
        <v>321</v>
      </c>
      <c r="L9" s="30">
        <v>126</v>
      </c>
      <c r="M9" s="30">
        <v>148</v>
      </c>
      <c r="N9" s="30">
        <v>317</v>
      </c>
      <c r="O9" s="30">
        <v>879</v>
      </c>
      <c r="P9" s="30">
        <v>102</v>
      </c>
      <c r="Q9" s="30">
        <v>228</v>
      </c>
      <c r="R9" s="30">
        <v>581</v>
      </c>
    </row>
    <row r="10" spans="2:18" ht="12.75" customHeight="1" x14ac:dyDescent="0.2">
      <c r="B10" s="29" t="s">
        <v>26</v>
      </c>
      <c r="C10" s="30">
        <v>621</v>
      </c>
      <c r="D10" s="30">
        <v>290</v>
      </c>
      <c r="E10" s="30">
        <v>391</v>
      </c>
      <c r="F10" s="30">
        <v>375</v>
      </c>
      <c r="G10" s="30">
        <v>796</v>
      </c>
      <c r="H10" s="30">
        <v>857</v>
      </c>
      <c r="I10" s="30">
        <v>1458</v>
      </c>
      <c r="J10" s="30">
        <v>2526</v>
      </c>
      <c r="K10" s="30">
        <v>2019</v>
      </c>
      <c r="L10" s="30">
        <v>1404</v>
      </c>
      <c r="M10" s="30">
        <v>2015</v>
      </c>
      <c r="N10" s="30">
        <v>3432</v>
      </c>
      <c r="O10" s="30">
        <v>7719</v>
      </c>
      <c r="P10" s="30">
        <v>1430</v>
      </c>
      <c r="Q10" s="30">
        <v>3657</v>
      </c>
      <c r="R10" s="30">
        <v>4974</v>
      </c>
    </row>
    <row r="11" spans="2:18" ht="12.75" customHeight="1" x14ac:dyDescent="0.2">
      <c r="B11" s="29" t="s">
        <v>27</v>
      </c>
      <c r="C11" s="30"/>
      <c r="D11" s="30"/>
      <c r="E11" s="30"/>
      <c r="F11" s="30"/>
      <c r="G11" s="30"/>
      <c r="H11" s="30"/>
      <c r="I11" s="30"/>
      <c r="J11" s="30"/>
      <c r="K11" s="30"/>
      <c r="L11" s="30">
        <v>32</v>
      </c>
      <c r="M11" s="30">
        <v>12</v>
      </c>
      <c r="N11" s="30"/>
      <c r="O11" s="30"/>
      <c r="P11" s="30"/>
      <c r="Q11" s="30"/>
      <c r="R11" s="30"/>
    </row>
    <row r="12" spans="2:18" ht="12.75" customHeight="1" x14ac:dyDescent="0.2">
      <c r="B12" s="29" t="s">
        <v>28</v>
      </c>
      <c r="C12" s="30">
        <v>25</v>
      </c>
      <c r="D12" s="30">
        <v>68</v>
      </c>
      <c r="E12" s="30">
        <v>14</v>
      </c>
      <c r="F12" s="30">
        <v>27</v>
      </c>
      <c r="G12" s="30">
        <v>27</v>
      </c>
      <c r="H12" s="30">
        <v>45</v>
      </c>
      <c r="I12" s="30">
        <v>50</v>
      </c>
      <c r="J12" s="30">
        <v>59</v>
      </c>
      <c r="K12" s="30">
        <v>48</v>
      </c>
      <c r="L12" s="30">
        <v>197</v>
      </c>
      <c r="M12" s="30">
        <v>393</v>
      </c>
      <c r="N12" s="30">
        <v>494</v>
      </c>
      <c r="O12" s="30">
        <v>632</v>
      </c>
      <c r="P12" s="30">
        <v>332</v>
      </c>
      <c r="Q12" s="30">
        <v>773</v>
      </c>
      <c r="R12" s="30">
        <v>1208</v>
      </c>
    </row>
    <row r="13" spans="2:18" ht="12.75" customHeight="1" x14ac:dyDescent="0.2">
      <c r="B13" s="29" t="s">
        <v>29</v>
      </c>
      <c r="C13" s="30">
        <v>14600</v>
      </c>
      <c r="D13" s="30">
        <v>18599</v>
      </c>
      <c r="E13" s="30">
        <v>20578</v>
      </c>
      <c r="F13" s="30">
        <v>22255</v>
      </c>
      <c r="G13" s="30">
        <v>27136</v>
      </c>
      <c r="H13" s="30">
        <v>28559</v>
      </c>
      <c r="I13" s="30">
        <v>46729</v>
      </c>
      <c r="J13" s="30">
        <v>44407</v>
      </c>
      <c r="K13" s="30">
        <v>82977</v>
      </c>
      <c r="L13" s="30">
        <v>62394</v>
      </c>
      <c r="M13" s="30">
        <v>48280</v>
      </c>
      <c r="N13" s="30">
        <v>68668</v>
      </c>
      <c r="O13" s="30">
        <v>64483</v>
      </c>
      <c r="P13" s="30">
        <v>7228</v>
      </c>
      <c r="Q13" s="30">
        <v>6992</v>
      </c>
      <c r="R13" s="30">
        <v>41708</v>
      </c>
    </row>
    <row r="14" spans="2:18" ht="12.75" customHeight="1" x14ac:dyDescent="0.2">
      <c r="B14" s="29" t="s">
        <v>30</v>
      </c>
      <c r="C14" s="30">
        <v>57601</v>
      </c>
      <c r="D14" s="30">
        <v>63146</v>
      </c>
      <c r="E14" s="30">
        <v>59958</v>
      </c>
      <c r="F14" s="30">
        <v>49954</v>
      </c>
      <c r="G14" s="30">
        <v>53141</v>
      </c>
      <c r="H14" s="30">
        <v>59565</v>
      </c>
      <c r="I14" s="30">
        <v>65113</v>
      </c>
      <c r="J14" s="30">
        <v>76273</v>
      </c>
      <c r="K14" s="30">
        <v>80032</v>
      </c>
      <c r="L14" s="30">
        <v>83029</v>
      </c>
      <c r="M14" s="30">
        <v>103593</v>
      </c>
      <c r="N14" s="30">
        <v>125935</v>
      </c>
      <c r="O14" s="30">
        <v>134869</v>
      </c>
      <c r="P14" s="30">
        <v>49667</v>
      </c>
      <c r="Q14" s="30">
        <v>89748</v>
      </c>
      <c r="R14" s="30">
        <v>145032</v>
      </c>
    </row>
    <row r="15" spans="2:18" ht="12.75" customHeight="1" x14ac:dyDescent="0.2">
      <c r="B15" s="29" t="s">
        <v>31</v>
      </c>
      <c r="C15" s="30"/>
      <c r="D15" s="30">
        <v>1</v>
      </c>
      <c r="E15" s="30"/>
      <c r="F15" s="30"/>
      <c r="G15" s="30"/>
      <c r="H15" s="30"/>
      <c r="I15" s="30"/>
      <c r="J15" s="30"/>
      <c r="K15" s="30">
        <v>8</v>
      </c>
      <c r="L15" s="30"/>
      <c r="M15" s="30"/>
      <c r="N15" s="30">
        <v>27</v>
      </c>
      <c r="O15" s="30">
        <v>4</v>
      </c>
      <c r="P15" s="30"/>
      <c r="Q15" s="30"/>
      <c r="R15" s="30"/>
    </row>
    <row r="16" spans="2:18" ht="12.75" customHeight="1" x14ac:dyDescent="0.2">
      <c r="B16" s="29" t="s">
        <v>32</v>
      </c>
      <c r="C16" s="30"/>
      <c r="D16" s="30"/>
      <c r="E16" s="30"/>
      <c r="F16" s="30"/>
      <c r="G16" s="30"/>
      <c r="H16" s="30"/>
      <c r="I16" s="30"/>
      <c r="J16" s="30"/>
      <c r="K16" s="30"/>
      <c r="L16" s="30"/>
      <c r="M16" s="30"/>
      <c r="N16" s="30"/>
      <c r="O16" s="30">
        <v>66</v>
      </c>
      <c r="P16" s="30">
        <v>29</v>
      </c>
      <c r="Q16" s="30">
        <v>68</v>
      </c>
      <c r="R16" s="30">
        <v>72</v>
      </c>
    </row>
    <row r="17" spans="2:18" ht="12.75" customHeight="1" x14ac:dyDescent="0.2">
      <c r="B17" s="29" t="s">
        <v>33</v>
      </c>
      <c r="C17" s="30">
        <v>109865</v>
      </c>
      <c r="D17" s="30">
        <v>124400</v>
      </c>
      <c r="E17" s="30">
        <v>129642</v>
      </c>
      <c r="F17" s="30">
        <v>131685</v>
      </c>
      <c r="G17" s="30">
        <v>156009</v>
      </c>
      <c r="H17" s="30">
        <v>164899</v>
      </c>
      <c r="I17" s="30">
        <v>190457</v>
      </c>
      <c r="J17" s="30">
        <v>200730</v>
      </c>
      <c r="K17" s="30">
        <v>225762</v>
      </c>
      <c r="L17" s="30">
        <v>97626</v>
      </c>
      <c r="M17" s="30">
        <v>77153</v>
      </c>
      <c r="N17" s="30">
        <v>96488</v>
      </c>
      <c r="O17" s="30">
        <v>120837</v>
      </c>
      <c r="P17" s="30">
        <v>15109</v>
      </c>
      <c r="Q17" s="30">
        <v>15674</v>
      </c>
      <c r="R17" s="30">
        <v>118847</v>
      </c>
    </row>
    <row r="18" spans="2:18" ht="12.75" customHeight="1" x14ac:dyDescent="0.2">
      <c r="B18" s="29" t="s">
        <v>34</v>
      </c>
      <c r="C18" s="30">
        <v>472482</v>
      </c>
      <c r="D18" s="30">
        <v>520334</v>
      </c>
      <c r="E18" s="30">
        <v>548117</v>
      </c>
      <c r="F18" s="30">
        <v>500321</v>
      </c>
      <c r="G18" s="30">
        <v>528966</v>
      </c>
      <c r="H18" s="30">
        <v>505560</v>
      </c>
      <c r="I18" s="30">
        <v>518273</v>
      </c>
      <c r="J18" s="30">
        <v>512339</v>
      </c>
      <c r="K18" s="30">
        <v>486044</v>
      </c>
      <c r="L18" s="30">
        <v>310946</v>
      </c>
      <c r="M18" s="30">
        <v>287746</v>
      </c>
      <c r="N18" s="30">
        <v>353628</v>
      </c>
      <c r="O18" s="30">
        <v>401475</v>
      </c>
      <c r="P18" s="30">
        <v>112126</v>
      </c>
      <c r="Q18" s="30">
        <v>284095</v>
      </c>
      <c r="R18" s="30">
        <v>454638</v>
      </c>
    </row>
    <row r="19" spans="2:18" ht="12.75" customHeight="1" x14ac:dyDescent="0.2">
      <c r="B19" s="29" t="s">
        <v>35</v>
      </c>
      <c r="C19" s="30">
        <v>434577</v>
      </c>
      <c r="D19" s="30">
        <v>459593</v>
      </c>
      <c r="E19" s="30">
        <v>424155</v>
      </c>
      <c r="F19" s="30">
        <v>486381</v>
      </c>
      <c r="G19" s="30">
        <v>578685</v>
      </c>
      <c r="H19" s="30">
        <v>593238</v>
      </c>
      <c r="I19" s="30">
        <v>630754</v>
      </c>
      <c r="J19" s="30">
        <v>657684</v>
      </c>
      <c r="K19" s="30">
        <v>602488</v>
      </c>
      <c r="L19" s="30">
        <v>606223</v>
      </c>
      <c r="M19" s="30">
        <v>765514</v>
      </c>
      <c r="N19" s="30">
        <v>858506</v>
      </c>
      <c r="O19" s="30">
        <v>901723</v>
      </c>
      <c r="P19" s="30">
        <v>236797</v>
      </c>
      <c r="Q19" s="30">
        <v>470618</v>
      </c>
      <c r="R19" s="30">
        <v>683834</v>
      </c>
    </row>
    <row r="20" spans="2:18" ht="12.75" customHeight="1" x14ac:dyDescent="0.2">
      <c r="B20" s="29" t="s">
        <v>36</v>
      </c>
      <c r="C20" s="30">
        <v>82</v>
      </c>
      <c r="D20" s="30">
        <v>189</v>
      </c>
      <c r="E20" s="30">
        <v>238</v>
      </c>
      <c r="F20" s="30">
        <v>205</v>
      </c>
      <c r="G20" s="30">
        <v>209</v>
      </c>
      <c r="H20" s="30">
        <v>138</v>
      </c>
      <c r="I20" s="30">
        <v>326</v>
      </c>
      <c r="J20" s="30">
        <v>485</v>
      </c>
      <c r="K20" s="30">
        <v>347</v>
      </c>
      <c r="L20" s="30">
        <v>240</v>
      </c>
      <c r="M20" s="30">
        <v>93</v>
      </c>
      <c r="N20" s="30">
        <v>139</v>
      </c>
      <c r="O20" s="30">
        <v>191</v>
      </c>
      <c r="P20" s="30">
        <v>51</v>
      </c>
      <c r="Q20" s="30">
        <v>82</v>
      </c>
      <c r="R20" s="30">
        <v>288</v>
      </c>
    </row>
    <row r="21" spans="2:18" ht="12.75" customHeight="1" x14ac:dyDescent="0.2">
      <c r="B21" s="29" t="s">
        <v>37</v>
      </c>
      <c r="C21" s="30">
        <v>5829</v>
      </c>
      <c r="D21" s="30">
        <v>8081</v>
      </c>
      <c r="E21" s="30">
        <v>9090</v>
      </c>
      <c r="F21" s="30">
        <v>9375</v>
      </c>
      <c r="G21" s="30">
        <v>9712</v>
      </c>
      <c r="H21" s="30">
        <v>13342</v>
      </c>
      <c r="I21" s="30">
        <v>16230</v>
      </c>
      <c r="J21" s="30">
        <v>24305</v>
      </c>
      <c r="K21" s="30">
        <v>32476</v>
      </c>
      <c r="L21" s="30">
        <v>41505</v>
      </c>
      <c r="M21" s="30">
        <v>59442</v>
      </c>
      <c r="N21" s="30">
        <v>77075</v>
      </c>
      <c r="O21" s="30">
        <v>90299</v>
      </c>
      <c r="P21" s="30">
        <v>17852</v>
      </c>
      <c r="Q21" s="30">
        <v>62730</v>
      </c>
      <c r="R21" s="30">
        <v>98147</v>
      </c>
    </row>
    <row r="22" spans="2:18" ht="12.75" customHeight="1" x14ac:dyDescent="0.2">
      <c r="B22" s="29" t="s">
        <v>38</v>
      </c>
      <c r="C22" s="30">
        <v>2351</v>
      </c>
      <c r="D22" s="30">
        <v>2950</v>
      </c>
      <c r="E22" s="30">
        <v>3599</v>
      </c>
      <c r="F22" s="30">
        <v>2190</v>
      </c>
      <c r="G22" s="30">
        <v>6168</v>
      </c>
      <c r="H22" s="30">
        <v>6652</v>
      </c>
      <c r="I22" s="30">
        <v>8856</v>
      </c>
      <c r="J22" s="30">
        <v>12706</v>
      </c>
      <c r="K22" s="30">
        <v>12212</v>
      </c>
      <c r="L22" s="30">
        <v>8951</v>
      </c>
      <c r="M22" s="30">
        <v>11346</v>
      </c>
      <c r="N22" s="30">
        <v>17932</v>
      </c>
      <c r="O22" s="30">
        <v>20605</v>
      </c>
      <c r="P22" s="30">
        <v>5634</v>
      </c>
      <c r="Q22" s="30">
        <v>8226</v>
      </c>
      <c r="R22" s="30">
        <v>24335</v>
      </c>
    </row>
    <row r="23" spans="2:18" ht="12.75" customHeight="1" x14ac:dyDescent="0.2">
      <c r="B23" s="29" t="s">
        <v>39</v>
      </c>
      <c r="C23" s="30">
        <v>115</v>
      </c>
      <c r="D23" s="30">
        <v>239</v>
      </c>
      <c r="E23" s="30">
        <v>195</v>
      </c>
      <c r="F23" s="30">
        <v>185</v>
      </c>
      <c r="G23" s="30">
        <v>203</v>
      </c>
      <c r="H23" s="30">
        <v>230</v>
      </c>
      <c r="I23" s="30">
        <v>182</v>
      </c>
      <c r="J23" s="30">
        <v>270</v>
      </c>
      <c r="K23" s="30">
        <v>201</v>
      </c>
      <c r="L23" s="30">
        <v>165</v>
      </c>
      <c r="M23" s="30">
        <v>124</v>
      </c>
      <c r="N23" s="30">
        <v>134</v>
      </c>
      <c r="O23" s="30">
        <v>179</v>
      </c>
      <c r="P23" s="30">
        <v>51</v>
      </c>
      <c r="Q23" s="30">
        <v>135</v>
      </c>
      <c r="R23" s="30">
        <v>438</v>
      </c>
    </row>
    <row r="24" spans="2:18" ht="12.75" customHeight="1" x14ac:dyDescent="0.2">
      <c r="B24" s="29" t="s">
        <v>40</v>
      </c>
      <c r="C24" s="30"/>
      <c r="D24" s="30"/>
      <c r="E24" s="30"/>
      <c r="F24" s="30"/>
      <c r="G24" s="30"/>
      <c r="H24" s="30"/>
      <c r="I24" s="30"/>
      <c r="J24" s="30"/>
      <c r="K24" s="30"/>
      <c r="L24" s="30"/>
      <c r="M24" s="30"/>
      <c r="N24" s="30"/>
      <c r="O24" s="30"/>
      <c r="P24" s="30"/>
      <c r="Q24" s="30"/>
      <c r="R24" s="30"/>
    </row>
    <row r="25" spans="2:18" ht="12.75" customHeight="1" x14ac:dyDescent="0.2">
      <c r="B25" s="29" t="s">
        <v>41</v>
      </c>
      <c r="C25" s="30"/>
      <c r="D25" s="30">
        <v>3</v>
      </c>
      <c r="E25" s="30">
        <v>10</v>
      </c>
      <c r="F25" s="30">
        <v>2075</v>
      </c>
      <c r="G25" s="30">
        <v>21</v>
      </c>
      <c r="H25" s="30"/>
      <c r="I25" s="30">
        <v>8</v>
      </c>
      <c r="J25" s="30">
        <v>7</v>
      </c>
      <c r="K25" s="30">
        <v>6</v>
      </c>
      <c r="L25" s="30">
        <v>17</v>
      </c>
      <c r="M25" s="30"/>
      <c r="N25" s="30"/>
      <c r="O25" s="30">
        <v>184</v>
      </c>
      <c r="P25" s="30"/>
      <c r="Q25" s="30"/>
      <c r="R25" s="30"/>
    </row>
    <row r="26" spans="2:18" ht="12.75" customHeight="1" x14ac:dyDescent="0.2">
      <c r="B26" s="29" t="s">
        <v>42</v>
      </c>
      <c r="C26" s="30"/>
      <c r="D26" s="30"/>
      <c r="E26" s="30"/>
      <c r="F26" s="30"/>
      <c r="G26" s="30"/>
      <c r="H26" s="30"/>
      <c r="I26" s="30"/>
      <c r="J26" s="30">
        <v>6</v>
      </c>
      <c r="K26" s="30"/>
      <c r="L26" s="30"/>
      <c r="M26" s="30"/>
      <c r="N26" s="30"/>
      <c r="O26" s="30"/>
      <c r="P26" s="30"/>
      <c r="Q26" s="30"/>
      <c r="R26" s="30"/>
    </row>
    <row r="27" spans="2:18" ht="12.75" customHeight="1" x14ac:dyDescent="0.2">
      <c r="B27" s="29" t="s">
        <v>43</v>
      </c>
      <c r="C27" s="30">
        <v>542712</v>
      </c>
      <c r="D27" s="30">
        <v>596442</v>
      </c>
      <c r="E27" s="30">
        <v>592078</v>
      </c>
      <c r="F27" s="30">
        <v>543003</v>
      </c>
      <c r="G27" s="30">
        <v>585860</v>
      </c>
      <c r="H27" s="30">
        <v>608071</v>
      </c>
      <c r="I27" s="30">
        <v>651596</v>
      </c>
      <c r="J27" s="30">
        <v>660857</v>
      </c>
      <c r="K27" s="30">
        <v>617406</v>
      </c>
      <c r="L27" s="30">
        <v>413614</v>
      </c>
      <c r="M27" s="30">
        <v>419998</v>
      </c>
      <c r="N27" s="30">
        <v>511559</v>
      </c>
      <c r="O27" s="30">
        <v>557435</v>
      </c>
      <c r="P27" s="30">
        <v>138729</v>
      </c>
      <c r="Q27" s="30">
        <v>339529</v>
      </c>
      <c r="R27" s="30">
        <v>596173</v>
      </c>
    </row>
    <row r="28" spans="2:18" ht="12.75" customHeight="1" x14ac:dyDescent="0.2">
      <c r="B28" s="29" t="s">
        <v>44</v>
      </c>
      <c r="C28" s="30">
        <v>115</v>
      </c>
      <c r="D28" s="30">
        <v>68</v>
      </c>
      <c r="E28" s="30">
        <v>56</v>
      </c>
      <c r="F28" s="30">
        <v>56</v>
      </c>
      <c r="G28" s="30">
        <v>69</v>
      </c>
      <c r="H28" s="30">
        <v>58</v>
      </c>
      <c r="I28" s="30">
        <v>90</v>
      </c>
      <c r="J28" s="30">
        <v>177</v>
      </c>
      <c r="K28" s="30">
        <v>200</v>
      </c>
      <c r="L28" s="30">
        <v>203</v>
      </c>
      <c r="M28" s="30">
        <v>239</v>
      </c>
      <c r="N28" s="30">
        <v>276</v>
      </c>
      <c r="O28" s="30">
        <v>292</v>
      </c>
      <c r="P28" s="30">
        <v>103</v>
      </c>
      <c r="Q28" s="30">
        <v>228</v>
      </c>
      <c r="R28" s="30">
        <v>303</v>
      </c>
    </row>
    <row r="29" spans="2:18" ht="12.75" customHeight="1" x14ac:dyDescent="0.2">
      <c r="B29" s="29" t="s">
        <v>45</v>
      </c>
      <c r="C29" s="30">
        <v>115</v>
      </c>
      <c r="D29" s="30">
        <v>145</v>
      </c>
      <c r="E29" s="30">
        <v>201</v>
      </c>
      <c r="F29" s="30">
        <v>155</v>
      </c>
      <c r="G29" s="30">
        <v>288</v>
      </c>
      <c r="H29" s="30">
        <v>339</v>
      </c>
      <c r="I29" s="30">
        <v>1577</v>
      </c>
      <c r="J29" s="30">
        <v>714</v>
      </c>
      <c r="K29" s="30">
        <v>818</v>
      </c>
      <c r="L29" s="30">
        <v>779</v>
      </c>
      <c r="M29" s="30">
        <v>851</v>
      </c>
      <c r="N29" s="30">
        <v>1028</v>
      </c>
      <c r="O29" s="30">
        <v>1351</v>
      </c>
      <c r="P29" s="30">
        <v>521</v>
      </c>
      <c r="Q29" s="30">
        <v>1163</v>
      </c>
      <c r="R29" s="30">
        <v>1777</v>
      </c>
    </row>
    <row r="30" spans="2:18" ht="12.75" customHeight="1" x14ac:dyDescent="0.2">
      <c r="B30" s="29" t="s">
        <v>46</v>
      </c>
      <c r="C30" s="30">
        <v>52</v>
      </c>
      <c r="D30" s="30">
        <v>22</v>
      </c>
      <c r="E30" s="30">
        <v>3</v>
      </c>
      <c r="F30" s="30">
        <v>13</v>
      </c>
      <c r="G30" s="30">
        <v>4</v>
      </c>
      <c r="H30" s="30">
        <v>1</v>
      </c>
      <c r="I30" s="30">
        <v>5</v>
      </c>
      <c r="J30" s="30">
        <v>2</v>
      </c>
      <c r="K30" s="30">
        <v>1</v>
      </c>
      <c r="L30" s="30">
        <v>2</v>
      </c>
      <c r="M30" s="30"/>
      <c r="N30" s="30"/>
      <c r="O30" s="30"/>
      <c r="P30" s="30"/>
      <c r="Q30" s="30"/>
      <c r="R30" s="30"/>
    </row>
    <row r="31" spans="2:18" ht="12.75" customHeight="1" x14ac:dyDescent="0.2">
      <c r="B31" s="29" t="s">
        <v>47</v>
      </c>
      <c r="C31" s="30">
        <v>106578</v>
      </c>
      <c r="D31" s="30">
        <v>152961</v>
      </c>
      <c r="E31" s="30">
        <v>142422</v>
      </c>
      <c r="F31" s="30">
        <v>152421</v>
      </c>
      <c r="G31" s="30">
        <v>123607</v>
      </c>
      <c r="H31" s="30">
        <v>138007</v>
      </c>
      <c r="I31" s="30">
        <v>200659</v>
      </c>
      <c r="J31" s="30">
        <v>223975</v>
      </c>
      <c r="K31" s="30">
        <v>204355</v>
      </c>
      <c r="L31" s="30">
        <v>113793</v>
      </c>
      <c r="M31" s="30">
        <v>229229</v>
      </c>
      <c r="N31" s="30">
        <v>245254</v>
      </c>
      <c r="O31" s="30">
        <v>258419</v>
      </c>
      <c r="P31" s="30">
        <v>106426</v>
      </c>
      <c r="Q31" s="30">
        <v>220932</v>
      </c>
      <c r="R31" s="30">
        <v>239966</v>
      </c>
    </row>
    <row r="32" spans="2:18" ht="12.75" customHeight="1" x14ac:dyDescent="0.2">
      <c r="B32" s="29" t="s">
        <v>48</v>
      </c>
      <c r="C32" s="30">
        <v>21</v>
      </c>
      <c r="D32" s="30">
        <v>18</v>
      </c>
      <c r="E32" s="30">
        <v>34</v>
      </c>
      <c r="F32" s="30">
        <v>27</v>
      </c>
      <c r="G32" s="30">
        <v>40</v>
      </c>
      <c r="H32" s="30">
        <v>46</v>
      </c>
      <c r="I32" s="30">
        <v>40</v>
      </c>
      <c r="J32" s="30">
        <v>33</v>
      </c>
      <c r="K32" s="30">
        <v>55</v>
      </c>
      <c r="L32" s="30">
        <v>48</v>
      </c>
      <c r="M32" s="30">
        <v>36</v>
      </c>
      <c r="N32" s="30">
        <v>27</v>
      </c>
      <c r="O32" s="30">
        <v>79</v>
      </c>
      <c r="P32" s="30">
        <v>2</v>
      </c>
      <c r="Q32" s="30">
        <v>18</v>
      </c>
      <c r="R32" s="30">
        <v>42</v>
      </c>
    </row>
    <row r="33" spans="2:18" ht="12.75" customHeight="1" x14ac:dyDescent="0.2">
      <c r="B33" s="29" t="s">
        <v>49</v>
      </c>
      <c r="C33" s="30">
        <v>13005</v>
      </c>
      <c r="D33" s="30">
        <v>19676</v>
      </c>
      <c r="E33" s="30">
        <v>22051</v>
      </c>
      <c r="F33" s="30">
        <v>30480</v>
      </c>
      <c r="G33" s="30">
        <v>35579</v>
      </c>
      <c r="H33" s="30">
        <v>48071</v>
      </c>
      <c r="I33" s="30">
        <v>52424</v>
      </c>
      <c r="J33" s="30">
        <v>53736</v>
      </c>
      <c r="K33" s="30">
        <v>51600</v>
      </c>
      <c r="L33" s="30">
        <v>38315</v>
      </c>
      <c r="M33" s="30">
        <v>49360</v>
      </c>
      <c r="N33" s="30">
        <v>43292</v>
      </c>
      <c r="O33" s="30">
        <v>37500</v>
      </c>
      <c r="P33" s="30">
        <v>3772</v>
      </c>
      <c r="Q33" s="30">
        <v>52587</v>
      </c>
      <c r="R33" s="30">
        <v>146438</v>
      </c>
    </row>
    <row r="34" spans="2:18" ht="12.75" customHeight="1" x14ac:dyDescent="0.2">
      <c r="B34" s="29" t="s">
        <v>50</v>
      </c>
      <c r="C34" s="30">
        <v>35280</v>
      </c>
      <c r="D34" s="30">
        <v>22790</v>
      </c>
      <c r="E34" s="30">
        <v>37313</v>
      </c>
      <c r="F34" s="30">
        <v>7516</v>
      </c>
      <c r="G34" s="30">
        <v>8201</v>
      </c>
      <c r="H34" s="30">
        <v>4920</v>
      </c>
      <c r="I34" s="30">
        <v>5205</v>
      </c>
      <c r="J34" s="30">
        <v>6437</v>
      </c>
      <c r="K34" s="30">
        <v>7911</v>
      </c>
      <c r="L34" s="30">
        <v>4716</v>
      </c>
      <c r="M34" s="30">
        <v>4811</v>
      </c>
      <c r="N34" s="30">
        <v>5441</v>
      </c>
      <c r="O34" s="30">
        <v>5015</v>
      </c>
      <c r="P34" s="30">
        <v>1224</v>
      </c>
      <c r="Q34" s="30">
        <v>1328</v>
      </c>
      <c r="R34" s="30">
        <v>3839</v>
      </c>
    </row>
    <row r="35" spans="2:18" ht="12.75" customHeight="1" x14ac:dyDescent="0.2">
      <c r="B35" s="29" t="s">
        <v>51</v>
      </c>
      <c r="C35" s="30"/>
      <c r="D35" s="30"/>
      <c r="E35" s="30"/>
      <c r="F35" s="30"/>
      <c r="G35" s="30"/>
      <c r="H35" s="30"/>
      <c r="I35" s="30"/>
      <c r="J35" s="30"/>
      <c r="K35" s="30"/>
      <c r="L35" s="30"/>
      <c r="M35" s="30"/>
      <c r="N35" s="30"/>
      <c r="O35" s="30">
        <v>0</v>
      </c>
      <c r="P35" s="30"/>
      <c r="Q35" s="30"/>
      <c r="R35" s="30"/>
    </row>
    <row r="36" spans="2:18" ht="12.75" customHeight="1" x14ac:dyDescent="0.2">
      <c r="B36" s="29" t="s">
        <v>52</v>
      </c>
      <c r="C36" s="30">
        <v>594</v>
      </c>
      <c r="D36" s="30">
        <v>943</v>
      </c>
      <c r="E36" s="30">
        <v>896</v>
      </c>
      <c r="F36" s="30">
        <v>759</v>
      </c>
      <c r="G36" s="30">
        <v>968</v>
      </c>
      <c r="H36" s="30">
        <v>1145</v>
      </c>
      <c r="I36" s="30">
        <v>1029</v>
      </c>
      <c r="J36" s="30">
        <v>1356</v>
      </c>
      <c r="K36" s="30">
        <v>1555</v>
      </c>
      <c r="L36" s="30">
        <v>1282</v>
      </c>
      <c r="M36" s="30">
        <v>1264</v>
      </c>
      <c r="N36" s="30">
        <v>1780</v>
      </c>
      <c r="O36" s="30">
        <v>2491</v>
      </c>
      <c r="P36" s="30">
        <v>553</v>
      </c>
      <c r="Q36" s="30">
        <v>947</v>
      </c>
      <c r="R36" s="30">
        <v>3207</v>
      </c>
    </row>
    <row r="37" spans="2:18" ht="12.75" customHeight="1" x14ac:dyDescent="0.2">
      <c r="B37" s="29" t="s">
        <v>53</v>
      </c>
      <c r="C37" s="30">
        <v>50437</v>
      </c>
      <c r="D37" s="30">
        <v>58910</v>
      </c>
      <c r="E37" s="30">
        <v>52271</v>
      </c>
      <c r="F37" s="30">
        <v>47361</v>
      </c>
      <c r="G37" s="30">
        <v>56522</v>
      </c>
      <c r="H37" s="30">
        <v>61851</v>
      </c>
      <c r="I37" s="30">
        <v>72086</v>
      </c>
      <c r="J37" s="30">
        <v>83258</v>
      </c>
      <c r="K37" s="30">
        <v>85434</v>
      </c>
      <c r="L37" s="30">
        <v>66177</v>
      </c>
      <c r="M37" s="30">
        <v>90378</v>
      </c>
      <c r="N37" s="30">
        <v>120480</v>
      </c>
      <c r="O37" s="30">
        <v>144445</v>
      </c>
      <c r="P37" s="30">
        <v>61651</v>
      </c>
      <c r="Q37" s="30">
        <v>131347</v>
      </c>
      <c r="R37" s="30">
        <v>200698</v>
      </c>
    </row>
    <row r="38" spans="2:18" ht="12.75" customHeight="1" x14ac:dyDescent="0.2">
      <c r="B38" s="29" t="s">
        <v>54</v>
      </c>
      <c r="C38" s="30">
        <v>145</v>
      </c>
      <c r="D38" s="30">
        <v>47</v>
      </c>
      <c r="E38" s="30">
        <v>110</v>
      </c>
      <c r="F38" s="30">
        <v>65</v>
      </c>
      <c r="G38" s="30">
        <v>102</v>
      </c>
      <c r="H38" s="30">
        <v>202</v>
      </c>
      <c r="I38" s="30">
        <v>168</v>
      </c>
      <c r="J38" s="30">
        <v>629</v>
      </c>
      <c r="K38" s="30">
        <v>188</v>
      </c>
      <c r="L38" s="30">
        <v>167</v>
      </c>
      <c r="M38" s="30">
        <v>168</v>
      </c>
      <c r="N38" s="30">
        <v>301</v>
      </c>
      <c r="O38" s="30">
        <v>417</v>
      </c>
      <c r="P38" s="30">
        <v>81</v>
      </c>
      <c r="Q38" s="30">
        <v>186</v>
      </c>
      <c r="R38" s="30">
        <v>461</v>
      </c>
    </row>
    <row r="39" spans="2:18" ht="12.75" customHeight="1" x14ac:dyDescent="0.2">
      <c r="B39" s="29" t="s">
        <v>55</v>
      </c>
      <c r="C39" s="30"/>
      <c r="D39" s="30"/>
      <c r="E39" s="30"/>
      <c r="F39" s="30"/>
      <c r="G39" s="30"/>
      <c r="H39" s="30"/>
      <c r="I39" s="30"/>
      <c r="J39" s="30"/>
      <c r="K39" s="30"/>
      <c r="L39" s="30"/>
      <c r="M39" s="30">
        <v>1</v>
      </c>
      <c r="N39" s="30"/>
      <c r="O39" s="30"/>
      <c r="P39" s="30"/>
      <c r="Q39" s="30"/>
      <c r="R39" s="30"/>
    </row>
    <row r="40" spans="2:18" ht="12.75" customHeight="1" x14ac:dyDescent="0.2">
      <c r="B40" s="29" t="s">
        <v>56</v>
      </c>
      <c r="C40" s="30">
        <v>33136</v>
      </c>
      <c r="D40" s="30">
        <v>43647</v>
      </c>
      <c r="E40" s="30">
        <v>53574</v>
      </c>
      <c r="F40" s="30">
        <v>65246</v>
      </c>
      <c r="G40" s="30">
        <v>89442</v>
      </c>
      <c r="H40" s="30">
        <v>88903</v>
      </c>
      <c r="I40" s="30">
        <v>113433</v>
      </c>
      <c r="J40" s="30">
        <v>91627</v>
      </c>
      <c r="K40" s="30">
        <v>85473</v>
      </c>
      <c r="L40" s="30">
        <v>42530</v>
      </c>
      <c r="M40" s="30">
        <v>49754</v>
      </c>
      <c r="N40" s="30">
        <v>78691</v>
      </c>
      <c r="O40" s="30">
        <v>101164</v>
      </c>
      <c r="P40" s="30">
        <v>22722</v>
      </c>
      <c r="Q40" s="30">
        <v>17788</v>
      </c>
      <c r="R40" s="30">
        <v>84582</v>
      </c>
    </row>
    <row r="41" spans="2:18" ht="12.75" customHeight="1" x14ac:dyDescent="0.2">
      <c r="B41" s="29" t="s">
        <v>57</v>
      </c>
      <c r="C41" s="30">
        <v>978</v>
      </c>
      <c r="D41" s="30">
        <v>134</v>
      </c>
      <c r="E41" s="30">
        <v>266</v>
      </c>
      <c r="F41" s="30">
        <v>315</v>
      </c>
      <c r="G41" s="30">
        <v>19504</v>
      </c>
      <c r="H41" s="30">
        <v>552</v>
      </c>
      <c r="I41" s="30">
        <v>634</v>
      </c>
      <c r="J41" s="30">
        <v>893</v>
      </c>
      <c r="K41" s="30">
        <v>909</v>
      </c>
      <c r="L41" s="30">
        <v>605</v>
      </c>
      <c r="M41" s="30">
        <v>554</v>
      </c>
      <c r="N41" s="30">
        <v>918</v>
      </c>
      <c r="O41" s="30">
        <v>1282</v>
      </c>
      <c r="P41" s="30">
        <v>158</v>
      </c>
      <c r="Q41" s="30">
        <v>33</v>
      </c>
      <c r="R41" s="30">
        <v>869</v>
      </c>
    </row>
    <row r="42" spans="2:18" ht="12.75" customHeight="1" x14ac:dyDescent="0.2">
      <c r="B42" s="29" t="s">
        <v>58</v>
      </c>
      <c r="C42" s="30">
        <v>1239667</v>
      </c>
      <c r="D42" s="30">
        <v>1255343</v>
      </c>
      <c r="E42" s="30">
        <v>1406604</v>
      </c>
      <c r="F42" s="30">
        <v>1433970</v>
      </c>
      <c r="G42" s="30">
        <v>1491561</v>
      </c>
      <c r="H42" s="30">
        <v>1492073</v>
      </c>
      <c r="I42" s="30">
        <v>1582912</v>
      </c>
      <c r="J42" s="30">
        <v>1693591</v>
      </c>
      <c r="K42" s="30">
        <v>1821480</v>
      </c>
      <c r="L42" s="30">
        <v>1690766</v>
      </c>
      <c r="M42" s="30">
        <v>1852867</v>
      </c>
      <c r="N42" s="30">
        <v>2386885</v>
      </c>
      <c r="O42" s="30">
        <v>2713464</v>
      </c>
      <c r="P42" s="30">
        <v>1242961</v>
      </c>
      <c r="Q42" s="30">
        <v>1402795</v>
      </c>
      <c r="R42" s="30">
        <v>2882512</v>
      </c>
    </row>
    <row r="43" spans="2:18" ht="12.75" customHeight="1" x14ac:dyDescent="0.2">
      <c r="B43" s="29" t="s">
        <v>59</v>
      </c>
      <c r="C43" s="30">
        <v>203</v>
      </c>
      <c r="D43" s="30">
        <v>261</v>
      </c>
      <c r="E43" s="30">
        <v>326</v>
      </c>
      <c r="F43" s="30">
        <v>413</v>
      </c>
      <c r="G43" s="30">
        <v>506</v>
      </c>
      <c r="H43" s="30">
        <v>621</v>
      </c>
      <c r="I43" s="30">
        <v>1563</v>
      </c>
      <c r="J43" s="30">
        <v>2120</v>
      </c>
      <c r="K43" s="30">
        <v>2389</v>
      </c>
      <c r="L43" s="30">
        <v>1676</v>
      </c>
      <c r="M43" s="30">
        <v>2000</v>
      </c>
      <c r="N43" s="30">
        <v>2312</v>
      </c>
      <c r="O43" s="30">
        <v>2481</v>
      </c>
      <c r="P43" s="30">
        <v>985</v>
      </c>
      <c r="Q43" s="30">
        <v>2466</v>
      </c>
      <c r="R43" s="30">
        <v>3254</v>
      </c>
    </row>
    <row r="44" spans="2:18" ht="12.75" customHeight="1" x14ac:dyDescent="0.2">
      <c r="B44" s="29" t="s">
        <v>60</v>
      </c>
      <c r="C44" s="30">
        <v>57</v>
      </c>
      <c r="D44" s="30">
        <v>76</v>
      </c>
      <c r="E44" s="30">
        <v>95</v>
      </c>
      <c r="F44" s="30">
        <v>93</v>
      </c>
      <c r="G44" s="30">
        <v>119</v>
      </c>
      <c r="H44" s="30">
        <v>178</v>
      </c>
      <c r="I44" s="30">
        <v>251</v>
      </c>
      <c r="J44" s="30">
        <v>265</v>
      </c>
      <c r="K44" s="30">
        <v>268</v>
      </c>
      <c r="L44" s="30">
        <v>282</v>
      </c>
      <c r="M44" s="30">
        <v>260</v>
      </c>
      <c r="N44" s="30">
        <v>363</v>
      </c>
      <c r="O44" s="30">
        <v>348</v>
      </c>
      <c r="P44" s="30">
        <v>136</v>
      </c>
      <c r="Q44" s="30">
        <v>431</v>
      </c>
      <c r="R44" s="30">
        <v>572</v>
      </c>
    </row>
    <row r="45" spans="2:18" ht="12.75" customHeight="1" x14ac:dyDescent="0.2">
      <c r="B45" s="29" t="s">
        <v>61</v>
      </c>
      <c r="C45" s="30"/>
      <c r="D45" s="30"/>
      <c r="E45" s="30"/>
      <c r="F45" s="30"/>
      <c r="G45" s="30"/>
      <c r="H45" s="30"/>
      <c r="I45" s="30"/>
      <c r="J45" s="30"/>
      <c r="K45" s="30"/>
      <c r="L45" s="30"/>
      <c r="M45" s="30">
        <v>1</v>
      </c>
      <c r="N45" s="30"/>
      <c r="O45" s="30"/>
      <c r="P45" s="30"/>
      <c r="Q45" s="30"/>
      <c r="R45" s="30"/>
    </row>
    <row r="46" spans="2:18" ht="12.75" customHeight="1" x14ac:dyDescent="0.2">
      <c r="B46" s="29" t="s">
        <v>62</v>
      </c>
      <c r="C46" s="30"/>
      <c r="D46" s="30"/>
      <c r="E46" s="30"/>
      <c r="F46" s="30"/>
      <c r="G46" s="30"/>
      <c r="H46" s="30">
        <v>2</v>
      </c>
      <c r="I46" s="30">
        <v>3</v>
      </c>
      <c r="J46" s="30">
        <v>4</v>
      </c>
      <c r="K46" s="30">
        <v>1</v>
      </c>
      <c r="L46" s="30"/>
      <c r="M46" s="30"/>
      <c r="N46" s="30"/>
      <c r="O46" s="30"/>
      <c r="P46" s="30"/>
      <c r="Q46" s="30"/>
      <c r="R46" s="30"/>
    </row>
    <row r="47" spans="2:18" ht="12.75" customHeight="1" x14ac:dyDescent="0.2">
      <c r="B47" s="29" t="s">
        <v>63</v>
      </c>
      <c r="C47" s="30">
        <v>45006</v>
      </c>
      <c r="D47" s="30">
        <v>63904</v>
      </c>
      <c r="E47" s="30">
        <v>91222</v>
      </c>
      <c r="F47" s="30">
        <v>67954</v>
      </c>
      <c r="G47" s="30">
        <v>84844</v>
      </c>
      <c r="H47" s="30">
        <v>104489</v>
      </c>
      <c r="I47" s="30">
        <v>118189</v>
      </c>
      <c r="J47" s="30">
        <v>160052</v>
      </c>
      <c r="K47" s="30">
        <v>171873</v>
      </c>
      <c r="L47" s="30">
        <v>176233</v>
      </c>
      <c r="M47" s="30">
        <v>213333</v>
      </c>
      <c r="N47" s="30">
        <v>288207</v>
      </c>
      <c r="O47" s="30">
        <v>295512</v>
      </c>
      <c r="P47" s="30">
        <v>50121</v>
      </c>
      <c r="Q47" s="30">
        <v>48827</v>
      </c>
      <c r="R47" s="30">
        <v>210478</v>
      </c>
    </row>
    <row r="48" spans="2:18" ht="12.75" customHeight="1" x14ac:dyDescent="0.2">
      <c r="B48" s="29" t="s">
        <v>64</v>
      </c>
      <c r="C48" s="30">
        <v>90</v>
      </c>
      <c r="D48" s="30">
        <v>128</v>
      </c>
      <c r="E48" s="30">
        <v>229</v>
      </c>
      <c r="F48" s="30">
        <v>105</v>
      </c>
      <c r="G48" s="30">
        <v>186</v>
      </c>
      <c r="H48" s="30">
        <v>281</v>
      </c>
      <c r="I48" s="30">
        <v>646</v>
      </c>
      <c r="J48" s="30">
        <v>916</v>
      </c>
      <c r="K48" s="30">
        <v>1199</v>
      </c>
      <c r="L48" s="30">
        <v>1463</v>
      </c>
      <c r="M48" s="30">
        <v>1665</v>
      </c>
      <c r="N48" s="30">
        <v>2671</v>
      </c>
      <c r="O48" s="30">
        <v>4670</v>
      </c>
      <c r="P48" s="30">
        <v>3723</v>
      </c>
      <c r="Q48" s="30">
        <v>7005</v>
      </c>
      <c r="R48" s="30">
        <v>5497</v>
      </c>
    </row>
    <row r="49" spans="2:18" ht="12.75" customHeight="1" x14ac:dyDescent="0.2">
      <c r="B49" s="29" t="s">
        <v>65</v>
      </c>
      <c r="C49" s="30"/>
      <c r="D49" s="30"/>
      <c r="E49" s="30"/>
      <c r="F49" s="30"/>
      <c r="G49" s="30"/>
      <c r="H49" s="30"/>
      <c r="I49" s="30">
        <v>1</v>
      </c>
      <c r="J49" s="30"/>
      <c r="K49" s="30"/>
      <c r="L49" s="30"/>
      <c r="M49" s="30"/>
      <c r="N49" s="30"/>
      <c r="O49" s="30"/>
      <c r="P49" s="30"/>
      <c r="Q49" s="30"/>
      <c r="R49" s="30"/>
    </row>
    <row r="50" spans="2:18" ht="12.75" customHeight="1" x14ac:dyDescent="0.2">
      <c r="B50" s="29" t="s">
        <v>66</v>
      </c>
      <c r="C50" s="30"/>
      <c r="D50" s="30"/>
      <c r="E50" s="30"/>
      <c r="F50" s="30"/>
      <c r="G50" s="30"/>
      <c r="H50" s="30"/>
      <c r="I50" s="30"/>
      <c r="J50" s="30"/>
      <c r="K50" s="30"/>
      <c r="L50" s="30"/>
      <c r="M50" s="30"/>
      <c r="N50" s="30"/>
      <c r="O50" s="30"/>
      <c r="P50" s="30"/>
      <c r="Q50" s="30"/>
      <c r="R50" s="30"/>
    </row>
    <row r="51" spans="2:18" ht="12.75" customHeight="1" x14ac:dyDescent="0.2">
      <c r="B51" s="29" t="s">
        <v>67</v>
      </c>
      <c r="C51" s="30">
        <v>57</v>
      </c>
      <c r="D51" s="30">
        <v>63</v>
      </c>
      <c r="E51" s="30">
        <v>111</v>
      </c>
      <c r="F51" s="30">
        <v>106</v>
      </c>
      <c r="G51" s="30">
        <v>150</v>
      </c>
      <c r="H51" s="30">
        <v>147</v>
      </c>
      <c r="I51" s="30">
        <v>417</v>
      </c>
      <c r="J51" s="30">
        <v>979</v>
      </c>
      <c r="K51" s="30">
        <v>925</v>
      </c>
      <c r="L51" s="30">
        <v>1010</v>
      </c>
      <c r="M51" s="30">
        <v>1061</v>
      </c>
      <c r="N51" s="30">
        <v>1237</v>
      </c>
      <c r="O51" s="30">
        <v>1712</v>
      </c>
      <c r="P51" s="30">
        <v>1327</v>
      </c>
      <c r="Q51" s="30">
        <v>4357</v>
      </c>
      <c r="R51" s="30">
        <v>6830</v>
      </c>
    </row>
    <row r="52" spans="2:18" ht="12.75" customHeight="1" x14ac:dyDescent="0.2">
      <c r="B52" s="29" t="s">
        <v>68</v>
      </c>
      <c r="C52" s="30">
        <v>129730</v>
      </c>
      <c r="D52" s="30">
        <v>158858</v>
      </c>
      <c r="E52" s="30">
        <v>164733</v>
      </c>
      <c r="F52" s="30">
        <v>174426</v>
      </c>
      <c r="G52" s="30">
        <v>223369</v>
      </c>
      <c r="H52" s="30">
        <v>223986</v>
      </c>
      <c r="I52" s="30">
        <v>217254</v>
      </c>
      <c r="J52" s="30">
        <v>226189</v>
      </c>
      <c r="K52" s="30">
        <v>212464</v>
      </c>
      <c r="L52" s="30">
        <v>87328</v>
      </c>
      <c r="M52" s="30">
        <v>126567</v>
      </c>
      <c r="N52" s="30">
        <v>228251</v>
      </c>
      <c r="O52" s="30">
        <v>311359</v>
      </c>
      <c r="P52" s="30">
        <v>15642</v>
      </c>
      <c r="Q52" s="30">
        <v>89734</v>
      </c>
      <c r="R52" s="30">
        <v>295454</v>
      </c>
    </row>
    <row r="53" spans="2:18" ht="12.75" customHeight="1" x14ac:dyDescent="0.2">
      <c r="B53" s="29" t="s">
        <v>69</v>
      </c>
      <c r="C53" s="30">
        <v>68252</v>
      </c>
      <c r="D53" s="30">
        <v>61882</v>
      </c>
      <c r="E53" s="30">
        <v>69336</v>
      </c>
      <c r="F53" s="30">
        <v>77142</v>
      </c>
      <c r="G53" s="30">
        <v>96701</v>
      </c>
      <c r="H53" s="30">
        <v>114582</v>
      </c>
      <c r="I53" s="30">
        <v>138876</v>
      </c>
      <c r="J53" s="30">
        <v>199746</v>
      </c>
      <c r="K53" s="30">
        <v>313704</v>
      </c>
      <c r="L53" s="30">
        <v>167570</v>
      </c>
      <c r="M53" s="30">
        <v>247277</v>
      </c>
      <c r="N53" s="30">
        <v>394109</v>
      </c>
      <c r="O53" s="30">
        <v>426344</v>
      </c>
      <c r="P53" s="30">
        <v>40264</v>
      </c>
      <c r="Q53" s="30">
        <v>33641</v>
      </c>
      <c r="R53" s="30">
        <v>89515</v>
      </c>
    </row>
    <row r="54" spans="2:18" ht="12.75" customHeight="1" x14ac:dyDescent="0.2">
      <c r="B54" s="29" t="s">
        <v>70</v>
      </c>
      <c r="C54" s="30">
        <v>265429</v>
      </c>
      <c r="D54" s="30">
        <v>276805</v>
      </c>
      <c r="E54" s="30">
        <v>296085</v>
      </c>
      <c r="F54" s="30">
        <v>314446</v>
      </c>
      <c r="G54" s="30">
        <v>369867</v>
      </c>
      <c r="H54" s="30">
        <v>391312</v>
      </c>
      <c r="I54" s="30">
        <v>402818</v>
      </c>
      <c r="J54" s="30">
        <v>408287</v>
      </c>
      <c r="K54" s="30">
        <v>408841</v>
      </c>
      <c r="L54" s="30">
        <v>329618</v>
      </c>
      <c r="M54" s="30">
        <v>269026</v>
      </c>
      <c r="N54" s="30">
        <v>326278</v>
      </c>
      <c r="O54" s="30">
        <v>335877</v>
      </c>
      <c r="P54" s="30">
        <v>44694</v>
      </c>
      <c r="Q54" s="30">
        <v>111499</v>
      </c>
      <c r="R54" s="30">
        <v>356127</v>
      </c>
    </row>
    <row r="55" spans="2:18" ht="12.75" customHeight="1" x14ac:dyDescent="0.2">
      <c r="B55" s="29" t="s">
        <v>71</v>
      </c>
      <c r="C55" s="30">
        <v>42</v>
      </c>
      <c r="D55" s="30">
        <v>250</v>
      </c>
      <c r="E55" s="30">
        <v>32</v>
      </c>
      <c r="F55" s="30">
        <v>223</v>
      </c>
      <c r="G55" s="30">
        <v>11</v>
      </c>
      <c r="H55" s="30">
        <v>327</v>
      </c>
      <c r="I55" s="30">
        <v>4312</v>
      </c>
      <c r="J55" s="30">
        <v>6026</v>
      </c>
      <c r="K55" s="30">
        <v>5979</v>
      </c>
      <c r="L55" s="30">
        <v>5179</v>
      </c>
      <c r="M55" s="30">
        <v>6132</v>
      </c>
      <c r="N55" s="30">
        <v>7751</v>
      </c>
      <c r="O55" s="30">
        <v>8628</v>
      </c>
      <c r="P55" s="30">
        <v>3877</v>
      </c>
      <c r="Q55" s="30">
        <v>7676</v>
      </c>
      <c r="R55" s="30">
        <v>10744</v>
      </c>
    </row>
    <row r="56" spans="2:18" ht="12.75" customHeight="1" x14ac:dyDescent="0.2">
      <c r="B56" s="29" t="s">
        <v>72</v>
      </c>
      <c r="C56" s="30"/>
      <c r="D56" s="30">
        <v>6</v>
      </c>
      <c r="E56" s="30">
        <v>17</v>
      </c>
      <c r="F56" s="30">
        <v>3</v>
      </c>
      <c r="G56" s="30">
        <v>9</v>
      </c>
      <c r="H56" s="30">
        <v>20</v>
      </c>
      <c r="I56" s="30">
        <v>391</v>
      </c>
      <c r="J56" s="30">
        <v>33</v>
      </c>
      <c r="K56" s="30">
        <v>16</v>
      </c>
      <c r="L56" s="30">
        <v>31</v>
      </c>
      <c r="M56" s="30">
        <v>17</v>
      </c>
      <c r="N56" s="30">
        <v>39</v>
      </c>
      <c r="O56" s="30">
        <v>24</v>
      </c>
      <c r="P56" s="30">
        <v>5</v>
      </c>
      <c r="Q56" s="30">
        <v>12</v>
      </c>
      <c r="R56" s="30">
        <v>45</v>
      </c>
    </row>
    <row r="57" spans="2:18" ht="12.75" customHeight="1" x14ac:dyDescent="0.2">
      <c r="B57" s="29" t="s">
        <v>73</v>
      </c>
      <c r="C57" s="30">
        <v>1886</v>
      </c>
      <c r="D57" s="30">
        <v>948</v>
      </c>
      <c r="E57" s="30">
        <v>913</v>
      </c>
      <c r="F57" s="30">
        <v>1467</v>
      </c>
      <c r="G57" s="30">
        <v>2924</v>
      </c>
      <c r="H57" s="30">
        <v>2073</v>
      </c>
      <c r="I57" s="30">
        <v>727</v>
      </c>
      <c r="J57" s="30">
        <v>1349</v>
      </c>
      <c r="K57" s="30">
        <v>2583</v>
      </c>
      <c r="L57" s="30">
        <v>1625</v>
      </c>
      <c r="M57" s="30">
        <v>1359</v>
      </c>
      <c r="N57" s="30">
        <v>1938</v>
      </c>
      <c r="O57" s="30">
        <v>3478</v>
      </c>
      <c r="P57" s="30">
        <v>728</v>
      </c>
      <c r="Q57" s="30">
        <v>2302</v>
      </c>
      <c r="R57" s="30">
        <v>4737</v>
      </c>
    </row>
    <row r="58" spans="2:18" ht="12.75" customHeight="1" x14ac:dyDescent="0.2">
      <c r="B58" s="29" t="s">
        <v>74</v>
      </c>
      <c r="C58" s="30">
        <v>120</v>
      </c>
      <c r="D58" s="30">
        <v>523</v>
      </c>
      <c r="E58" s="30">
        <v>668</v>
      </c>
      <c r="F58" s="30">
        <v>668</v>
      </c>
      <c r="G58" s="30">
        <v>523</v>
      </c>
      <c r="H58" s="30">
        <v>246</v>
      </c>
      <c r="I58" s="30">
        <v>1127</v>
      </c>
      <c r="J58" s="30">
        <v>682</v>
      </c>
      <c r="K58" s="30">
        <v>476</v>
      </c>
      <c r="L58" s="30">
        <v>748</v>
      </c>
      <c r="M58" s="30">
        <v>2017</v>
      </c>
      <c r="N58" s="30">
        <v>3611</v>
      </c>
      <c r="O58" s="30">
        <v>5679</v>
      </c>
      <c r="P58" s="30">
        <v>2342</v>
      </c>
      <c r="Q58" s="30">
        <v>7679</v>
      </c>
      <c r="R58" s="30">
        <v>10295</v>
      </c>
    </row>
    <row r="59" spans="2:18" ht="12.75" customHeight="1" x14ac:dyDescent="0.2">
      <c r="B59" s="29" t="s">
        <v>75</v>
      </c>
      <c r="C59" s="30">
        <v>2307</v>
      </c>
      <c r="D59" s="30">
        <v>2308</v>
      </c>
      <c r="E59" s="30">
        <v>2478</v>
      </c>
      <c r="F59" s="30">
        <v>2704</v>
      </c>
      <c r="G59" s="30">
        <v>3892</v>
      </c>
      <c r="H59" s="30">
        <v>4433</v>
      </c>
      <c r="I59" s="30">
        <v>4780</v>
      </c>
      <c r="J59" s="30">
        <v>5093</v>
      </c>
      <c r="K59" s="30">
        <v>6791</v>
      </c>
      <c r="L59" s="30">
        <v>4323</v>
      </c>
      <c r="M59" s="30">
        <v>5548</v>
      </c>
      <c r="N59" s="30">
        <v>8423</v>
      </c>
      <c r="O59" s="30">
        <v>8416</v>
      </c>
      <c r="P59" s="30">
        <v>1558</v>
      </c>
      <c r="Q59" s="30">
        <v>4833</v>
      </c>
      <c r="R59" s="30">
        <v>15807</v>
      </c>
    </row>
    <row r="60" spans="2:18" ht="12.75" customHeight="1" x14ac:dyDescent="0.2">
      <c r="B60" s="29" t="s">
        <v>76</v>
      </c>
      <c r="C60" s="30">
        <v>2</v>
      </c>
      <c r="D60" s="30">
        <v>29</v>
      </c>
      <c r="E60" s="30">
        <v>15</v>
      </c>
      <c r="F60" s="30">
        <v>10</v>
      </c>
      <c r="G60" s="30">
        <v>57</v>
      </c>
      <c r="H60" s="30">
        <v>44</v>
      </c>
      <c r="I60" s="30">
        <v>69</v>
      </c>
      <c r="J60" s="30">
        <v>130</v>
      </c>
      <c r="K60" s="30">
        <v>117</v>
      </c>
      <c r="L60" s="30">
        <v>133</v>
      </c>
      <c r="M60" s="30">
        <v>80</v>
      </c>
      <c r="N60" s="30">
        <v>235</v>
      </c>
      <c r="O60" s="30">
        <v>290</v>
      </c>
      <c r="P60" s="30">
        <v>233</v>
      </c>
      <c r="Q60" s="30">
        <v>646</v>
      </c>
      <c r="R60" s="30">
        <v>906</v>
      </c>
    </row>
    <row r="61" spans="2:18" ht="12.75" customHeight="1" x14ac:dyDescent="0.2">
      <c r="B61" s="29" t="s">
        <v>77</v>
      </c>
      <c r="C61" s="30">
        <v>486</v>
      </c>
      <c r="D61" s="30">
        <v>437</v>
      </c>
      <c r="E61" s="30">
        <v>358</v>
      </c>
      <c r="F61" s="30">
        <v>462</v>
      </c>
      <c r="G61" s="30">
        <v>570</v>
      </c>
      <c r="H61" s="30">
        <v>652</v>
      </c>
      <c r="I61" s="30">
        <v>745</v>
      </c>
      <c r="J61" s="30">
        <v>2032</v>
      </c>
      <c r="K61" s="30">
        <v>799</v>
      </c>
      <c r="L61" s="30">
        <v>637</v>
      </c>
      <c r="M61" s="30">
        <v>1082</v>
      </c>
      <c r="N61" s="30">
        <v>948</v>
      </c>
      <c r="O61" s="30">
        <v>1237</v>
      </c>
      <c r="P61" s="30">
        <v>216</v>
      </c>
      <c r="Q61" s="30">
        <v>623</v>
      </c>
      <c r="R61" s="30">
        <v>1817</v>
      </c>
    </row>
    <row r="62" spans="2:18" ht="12.75" customHeight="1" x14ac:dyDescent="0.2">
      <c r="B62" s="29" t="s">
        <v>78</v>
      </c>
      <c r="C62" s="30">
        <v>11792</v>
      </c>
      <c r="D62" s="30">
        <v>15627</v>
      </c>
      <c r="E62" s="30">
        <v>23361</v>
      </c>
      <c r="F62" s="30">
        <v>24349</v>
      </c>
      <c r="G62" s="30">
        <v>40282</v>
      </c>
      <c r="H62" s="30">
        <v>56113</v>
      </c>
      <c r="I62" s="30">
        <v>57385</v>
      </c>
      <c r="J62" s="30">
        <v>59486</v>
      </c>
      <c r="K62" s="30">
        <v>56867</v>
      </c>
      <c r="L62" s="30">
        <v>47232</v>
      </c>
      <c r="M62" s="30">
        <v>85031</v>
      </c>
      <c r="N62" s="30">
        <v>119337</v>
      </c>
      <c r="O62" s="30">
        <v>127149</v>
      </c>
      <c r="P62" s="30">
        <v>39690</v>
      </c>
      <c r="Q62" s="30">
        <v>49319</v>
      </c>
      <c r="R62" s="30">
        <v>152995</v>
      </c>
    </row>
    <row r="63" spans="2:18" ht="12.75" customHeight="1" x14ac:dyDescent="0.2">
      <c r="B63" s="29" t="s">
        <v>79</v>
      </c>
      <c r="C63" s="30">
        <v>667</v>
      </c>
      <c r="D63" s="30">
        <v>745</v>
      </c>
      <c r="E63" s="30">
        <v>445</v>
      </c>
      <c r="F63" s="30">
        <v>561</v>
      </c>
      <c r="G63" s="30">
        <v>382</v>
      </c>
      <c r="H63" s="30">
        <v>546</v>
      </c>
      <c r="I63" s="30">
        <v>584</v>
      </c>
      <c r="J63" s="30">
        <v>1237</v>
      </c>
      <c r="K63" s="30">
        <v>1608</v>
      </c>
      <c r="L63" s="30">
        <v>1447</v>
      </c>
      <c r="M63" s="30">
        <v>2982</v>
      </c>
      <c r="N63" s="30">
        <v>6741</v>
      </c>
      <c r="O63" s="30">
        <v>10004</v>
      </c>
      <c r="P63" s="30">
        <v>2225</v>
      </c>
      <c r="Q63" s="30">
        <v>5409</v>
      </c>
      <c r="R63" s="30">
        <v>11032</v>
      </c>
    </row>
    <row r="64" spans="2:18" ht="12.75" customHeight="1" x14ac:dyDescent="0.2">
      <c r="B64" s="29" t="s">
        <v>80</v>
      </c>
      <c r="C64" s="30">
        <v>53142</v>
      </c>
      <c r="D64" s="30">
        <v>63855</v>
      </c>
      <c r="E64" s="30">
        <v>64982</v>
      </c>
      <c r="F64" s="30">
        <v>69323</v>
      </c>
      <c r="G64" s="30">
        <v>72393</v>
      </c>
      <c r="H64" s="30">
        <v>70956</v>
      </c>
      <c r="I64" s="30">
        <v>73365</v>
      </c>
      <c r="J64" s="30">
        <v>67198</v>
      </c>
      <c r="K64" s="30">
        <v>48522</v>
      </c>
      <c r="L64" s="30">
        <v>39063</v>
      </c>
      <c r="M64" s="30">
        <v>48320</v>
      </c>
      <c r="N64" s="30">
        <v>51880</v>
      </c>
      <c r="O64" s="30">
        <v>66882</v>
      </c>
      <c r="P64" s="30">
        <v>9309</v>
      </c>
      <c r="Q64" s="30">
        <v>10178</v>
      </c>
      <c r="R64" s="30">
        <v>36445</v>
      </c>
    </row>
    <row r="65" spans="2:18" ht="12.75" customHeight="1" x14ac:dyDescent="0.2">
      <c r="B65" s="29" t="s">
        <v>81</v>
      </c>
      <c r="C65" s="30">
        <v>24369</v>
      </c>
      <c r="D65" s="30">
        <v>33752</v>
      </c>
      <c r="E65" s="30">
        <v>36413</v>
      </c>
      <c r="F65" s="30">
        <v>35136</v>
      </c>
      <c r="G65" s="30">
        <v>34921</v>
      </c>
      <c r="H65" s="30">
        <v>35459</v>
      </c>
      <c r="I65" s="30">
        <v>48537</v>
      </c>
      <c r="J65" s="30">
        <v>55649</v>
      </c>
      <c r="K65" s="30">
        <v>63363</v>
      </c>
      <c r="L65" s="30">
        <v>35549</v>
      </c>
      <c r="M65" s="30">
        <v>48024</v>
      </c>
      <c r="N65" s="30">
        <v>61707</v>
      </c>
      <c r="O65" s="30">
        <v>77041</v>
      </c>
      <c r="P65" s="30">
        <v>5113</v>
      </c>
      <c r="Q65" s="30">
        <v>47597</v>
      </c>
      <c r="R65" s="30">
        <v>93209</v>
      </c>
    </row>
    <row r="66" spans="2:18" ht="12.75" customHeight="1" x14ac:dyDescent="0.2">
      <c r="B66" s="29" t="s">
        <v>82</v>
      </c>
      <c r="C66" s="30">
        <v>2081</v>
      </c>
      <c r="D66" s="30">
        <v>2057</v>
      </c>
      <c r="E66" s="30">
        <v>2062</v>
      </c>
      <c r="F66" s="30">
        <v>1479</v>
      </c>
      <c r="G66" s="30">
        <v>1912</v>
      </c>
      <c r="H66" s="30">
        <v>2826</v>
      </c>
      <c r="I66" s="30">
        <v>3488</v>
      </c>
      <c r="J66" s="30">
        <v>4480</v>
      </c>
      <c r="K66" s="30">
        <v>5095</v>
      </c>
      <c r="L66" s="30">
        <v>5408</v>
      </c>
      <c r="M66" s="30">
        <v>6078</v>
      </c>
      <c r="N66" s="30">
        <v>9137</v>
      </c>
      <c r="O66" s="30">
        <v>20714</v>
      </c>
      <c r="P66" s="30">
        <v>14356</v>
      </c>
      <c r="Q66" s="30">
        <v>45230</v>
      </c>
      <c r="R66" s="30">
        <v>25619</v>
      </c>
    </row>
    <row r="67" spans="2:18" ht="12.75" customHeight="1" x14ac:dyDescent="0.2">
      <c r="B67" s="29" t="s">
        <v>83</v>
      </c>
      <c r="C67" s="30"/>
      <c r="D67" s="30"/>
      <c r="E67" s="30"/>
      <c r="F67" s="30"/>
      <c r="G67" s="30"/>
      <c r="H67" s="30"/>
      <c r="I67" s="30"/>
      <c r="J67" s="30"/>
      <c r="K67" s="30"/>
      <c r="L67" s="30">
        <v>2</v>
      </c>
      <c r="M67" s="30">
        <v>8</v>
      </c>
      <c r="N67" s="30"/>
      <c r="O67" s="30"/>
      <c r="P67" s="30"/>
      <c r="Q67" s="30"/>
      <c r="R67" s="30"/>
    </row>
    <row r="68" spans="2:18" ht="12.75" customHeight="1" x14ac:dyDescent="0.2">
      <c r="B68" s="29" t="s">
        <v>84</v>
      </c>
      <c r="C68" s="30"/>
      <c r="D68" s="30"/>
      <c r="E68" s="30"/>
      <c r="F68" s="30"/>
      <c r="G68" s="30"/>
      <c r="H68" s="30"/>
      <c r="I68" s="30"/>
      <c r="J68" s="30"/>
      <c r="K68" s="30"/>
      <c r="L68" s="30"/>
      <c r="M68" s="30">
        <v>1</v>
      </c>
      <c r="N68" s="30">
        <v>2</v>
      </c>
      <c r="O68" s="30">
        <v>1</v>
      </c>
      <c r="P68" s="30"/>
      <c r="Q68" s="30"/>
      <c r="R68" s="30"/>
    </row>
    <row r="69" spans="2:18" ht="12.75" customHeight="1" x14ac:dyDescent="0.2">
      <c r="B69" s="29" t="s">
        <v>85</v>
      </c>
      <c r="C69" s="30">
        <v>37788</v>
      </c>
      <c r="D69" s="30">
        <v>44023</v>
      </c>
      <c r="E69" s="30">
        <v>65875</v>
      </c>
      <c r="F69" s="30">
        <v>57447</v>
      </c>
      <c r="G69" s="30">
        <v>68645</v>
      </c>
      <c r="H69" s="30">
        <v>77884</v>
      </c>
      <c r="I69" s="30">
        <v>82579</v>
      </c>
      <c r="J69" s="30">
        <v>89562</v>
      </c>
      <c r="K69" s="30">
        <v>109775</v>
      </c>
      <c r="L69" s="30">
        <v>87660</v>
      </c>
      <c r="M69" s="30">
        <v>114155</v>
      </c>
      <c r="N69" s="30">
        <v>176538</v>
      </c>
      <c r="O69" s="30">
        <v>234264</v>
      </c>
      <c r="P69" s="30">
        <v>67775</v>
      </c>
      <c r="Q69" s="30">
        <v>121333</v>
      </c>
      <c r="R69" s="30">
        <v>251708</v>
      </c>
    </row>
    <row r="70" spans="2:18" ht="12.75" customHeight="1" x14ac:dyDescent="0.2">
      <c r="B70" s="29" t="s">
        <v>86</v>
      </c>
      <c r="C70" s="30">
        <v>53</v>
      </c>
      <c r="D70" s="30">
        <v>42</v>
      </c>
      <c r="E70" s="30">
        <v>50</v>
      </c>
      <c r="F70" s="30">
        <v>34</v>
      </c>
      <c r="G70" s="30">
        <v>33</v>
      </c>
      <c r="H70" s="30">
        <v>167</v>
      </c>
      <c r="I70" s="30">
        <v>80</v>
      </c>
      <c r="J70" s="30">
        <v>148</v>
      </c>
      <c r="K70" s="30">
        <v>118</v>
      </c>
      <c r="L70" s="30">
        <v>93</v>
      </c>
      <c r="M70" s="30">
        <v>75</v>
      </c>
      <c r="N70" s="30">
        <v>140</v>
      </c>
      <c r="O70" s="30">
        <v>127</v>
      </c>
      <c r="P70" s="30">
        <v>52</v>
      </c>
      <c r="Q70" s="30">
        <v>53</v>
      </c>
      <c r="R70" s="30">
        <v>230</v>
      </c>
    </row>
    <row r="71" spans="2:18" ht="12.75" customHeight="1" x14ac:dyDescent="0.2">
      <c r="B71" s="29" t="s">
        <v>87</v>
      </c>
      <c r="C71" s="30">
        <v>63</v>
      </c>
      <c r="D71" s="30">
        <v>457</v>
      </c>
      <c r="E71" s="30">
        <v>804</v>
      </c>
      <c r="F71" s="30">
        <v>755</v>
      </c>
      <c r="G71" s="30">
        <v>1280</v>
      </c>
      <c r="H71" s="30">
        <v>1847</v>
      </c>
      <c r="I71" s="30">
        <v>2407</v>
      </c>
      <c r="J71" s="30">
        <v>6373</v>
      </c>
      <c r="K71" s="30">
        <v>2957</v>
      </c>
      <c r="L71" s="30">
        <v>2807</v>
      </c>
      <c r="M71" s="30">
        <v>2891</v>
      </c>
      <c r="N71" s="30">
        <v>3571</v>
      </c>
      <c r="O71" s="30">
        <v>4528</v>
      </c>
      <c r="P71" s="30">
        <v>2501</v>
      </c>
      <c r="Q71" s="30">
        <v>7124</v>
      </c>
      <c r="R71" s="30">
        <v>9294</v>
      </c>
    </row>
    <row r="72" spans="2:18" ht="12.75" customHeight="1" x14ac:dyDescent="0.2">
      <c r="B72" s="29" t="s">
        <v>88</v>
      </c>
      <c r="C72" s="30">
        <v>24757</v>
      </c>
      <c r="D72" s="30">
        <v>28222</v>
      </c>
      <c r="E72" s="30">
        <v>35814</v>
      </c>
      <c r="F72" s="30">
        <v>31658</v>
      </c>
      <c r="G72" s="30">
        <v>51610</v>
      </c>
      <c r="H72" s="30">
        <v>65272</v>
      </c>
      <c r="I72" s="30">
        <v>59734</v>
      </c>
      <c r="J72" s="30">
        <v>69229</v>
      </c>
      <c r="K72" s="30">
        <v>83515</v>
      </c>
      <c r="L72" s="30">
        <v>59015</v>
      </c>
      <c r="M72" s="30">
        <v>63244</v>
      </c>
      <c r="N72" s="30">
        <v>95068</v>
      </c>
      <c r="O72" s="30">
        <v>139126</v>
      </c>
      <c r="P72" s="30">
        <v>48440</v>
      </c>
      <c r="Q72" s="30">
        <v>55397</v>
      </c>
      <c r="R72" s="30">
        <v>97954</v>
      </c>
    </row>
    <row r="73" spans="2:18" ht="12.75" customHeight="1" x14ac:dyDescent="0.2">
      <c r="B73" s="29" t="s">
        <v>89</v>
      </c>
      <c r="C73" s="30">
        <v>3634</v>
      </c>
      <c r="D73" s="30">
        <v>4130</v>
      </c>
      <c r="E73" s="30">
        <v>5402</v>
      </c>
      <c r="F73" s="30">
        <v>4685</v>
      </c>
      <c r="G73" s="30">
        <v>5447</v>
      </c>
      <c r="H73" s="30">
        <v>6327</v>
      </c>
      <c r="I73" s="30">
        <v>7971</v>
      </c>
      <c r="J73" s="30">
        <v>11435</v>
      </c>
      <c r="K73" s="30">
        <v>16218</v>
      </c>
      <c r="L73" s="30">
        <v>19353</v>
      </c>
      <c r="M73" s="30">
        <v>32339</v>
      </c>
      <c r="N73" s="30">
        <v>56816</v>
      </c>
      <c r="O73" s="30">
        <v>72760</v>
      </c>
      <c r="P73" s="30">
        <v>17181</v>
      </c>
      <c r="Q73" s="30">
        <v>64073</v>
      </c>
      <c r="R73" s="30">
        <v>97011</v>
      </c>
    </row>
    <row r="74" spans="2:18" ht="12.75" customHeight="1" x14ac:dyDescent="0.2">
      <c r="B74" s="29" t="s">
        <v>90</v>
      </c>
      <c r="C74" s="30">
        <v>84378</v>
      </c>
      <c r="D74" s="30">
        <v>102883</v>
      </c>
      <c r="E74" s="30">
        <v>136489</v>
      </c>
      <c r="F74" s="30">
        <v>143204</v>
      </c>
      <c r="G74" s="30">
        <v>186562</v>
      </c>
      <c r="H74" s="30">
        <v>195083</v>
      </c>
      <c r="I74" s="30">
        <v>219044</v>
      </c>
      <c r="J74" s="30">
        <v>228138</v>
      </c>
      <c r="K74" s="30">
        <v>213803</v>
      </c>
      <c r="L74" s="30">
        <v>122185</v>
      </c>
      <c r="M74" s="30">
        <v>97112</v>
      </c>
      <c r="N74" s="30">
        <v>128860</v>
      </c>
      <c r="O74" s="30">
        <v>135192</v>
      </c>
      <c r="P74" s="30">
        <v>15003</v>
      </c>
      <c r="Q74" s="30">
        <v>32809</v>
      </c>
      <c r="R74" s="30">
        <v>117281</v>
      </c>
    </row>
    <row r="75" spans="2:18" ht="12.75" customHeight="1" x14ac:dyDescent="0.2">
      <c r="B75" s="29" t="s">
        <v>91</v>
      </c>
      <c r="C75" s="30">
        <v>768167</v>
      </c>
      <c r="D75" s="30">
        <v>885006</v>
      </c>
      <c r="E75" s="30">
        <v>932809</v>
      </c>
      <c r="F75" s="30">
        <v>928376</v>
      </c>
      <c r="G75" s="30">
        <v>1140459</v>
      </c>
      <c r="H75" s="30">
        <v>1032565</v>
      </c>
      <c r="I75" s="30">
        <v>1046010</v>
      </c>
      <c r="J75" s="30">
        <v>1037152</v>
      </c>
      <c r="K75" s="30">
        <v>847259</v>
      </c>
      <c r="L75" s="30">
        <v>555151</v>
      </c>
      <c r="M75" s="30">
        <v>578524</v>
      </c>
      <c r="N75" s="30">
        <v>731379</v>
      </c>
      <c r="O75" s="30">
        <v>875957</v>
      </c>
      <c r="P75" s="30">
        <v>311708</v>
      </c>
      <c r="Q75" s="30">
        <v>621493</v>
      </c>
      <c r="R75" s="30">
        <v>986090</v>
      </c>
    </row>
    <row r="76" spans="2:18" ht="12.75" customHeight="1" x14ac:dyDescent="0.2">
      <c r="B76" s="29" t="s">
        <v>92</v>
      </c>
      <c r="C76" s="30"/>
      <c r="D76" s="30"/>
      <c r="E76" s="30"/>
      <c r="F76" s="30"/>
      <c r="G76" s="30"/>
      <c r="H76" s="30"/>
      <c r="I76" s="30"/>
      <c r="J76" s="30"/>
      <c r="K76" s="30"/>
      <c r="L76" s="30"/>
      <c r="M76" s="30"/>
      <c r="N76" s="30"/>
      <c r="O76" s="30"/>
      <c r="P76" s="30"/>
      <c r="Q76" s="30"/>
      <c r="R76" s="30"/>
    </row>
    <row r="77" spans="2:18" ht="12.75" customHeight="1" x14ac:dyDescent="0.2">
      <c r="B77" s="29" t="s">
        <v>93</v>
      </c>
      <c r="C77" s="30">
        <v>64</v>
      </c>
      <c r="D77" s="30">
        <v>100</v>
      </c>
      <c r="E77" s="30">
        <v>175</v>
      </c>
      <c r="F77" s="30">
        <v>161</v>
      </c>
      <c r="G77" s="30">
        <v>268</v>
      </c>
      <c r="H77" s="30">
        <v>473</v>
      </c>
      <c r="I77" s="30">
        <v>1902</v>
      </c>
      <c r="J77" s="30">
        <v>1691</v>
      </c>
      <c r="K77" s="30">
        <v>2259</v>
      </c>
      <c r="L77" s="30">
        <v>1577</v>
      </c>
      <c r="M77" s="30">
        <v>1565</v>
      </c>
      <c r="N77" s="30">
        <v>2289</v>
      </c>
      <c r="O77" s="30">
        <v>2872</v>
      </c>
      <c r="P77" s="30">
        <v>1338</v>
      </c>
      <c r="Q77" s="30">
        <v>4777</v>
      </c>
      <c r="R77" s="30">
        <v>6208</v>
      </c>
    </row>
    <row r="78" spans="2:18" ht="12.75" customHeight="1" x14ac:dyDescent="0.2">
      <c r="B78" s="29" t="s">
        <v>94</v>
      </c>
      <c r="C78" s="30">
        <v>199</v>
      </c>
      <c r="D78" s="30">
        <v>176</v>
      </c>
      <c r="E78" s="30">
        <v>199</v>
      </c>
      <c r="F78" s="30">
        <v>188</v>
      </c>
      <c r="G78" s="30">
        <v>350</v>
      </c>
      <c r="H78" s="30">
        <v>389</v>
      </c>
      <c r="I78" s="30">
        <v>528</v>
      </c>
      <c r="J78" s="30">
        <v>633</v>
      </c>
      <c r="K78" s="30">
        <v>560</v>
      </c>
      <c r="L78" s="30">
        <v>694</v>
      </c>
      <c r="M78" s="30">
        <v>796</v>
      </c>
      <c r="N78" s="30">
        <v>1173</v>
      </c>
      <c r="O78" s="30">
        <v>2404</v>
      </c>
      <c r="P78" s="30">
        <v>989</v>
      </c>
      <c r="Q78" s="30">
        <v>2684</v>
      </c>
      <c r="R78" s="30">
        <v>2573</v>
      </c>
    </row>
    <row r="79" spans="2:18" ht="12.75" customHeight="1" x14ac:dyDescent="0.2">
      <c r="B79" s="29" t="s">
        <v>95</v>
      </c>
      <c r="C79" s="30">
        <v>646</v>
      </c>
      <c r="D79" s="30">
        <v>726</v>
      </c>
      <c r="E79" s="30">
        <v>837</v>
      </c>
      <c r="F79" s="30">
        <v>760</v>
      </c>
      <c r="G79" s="30">
        <v>1817</v>
      </c>
      <c r="H79" s="30">
        <v>3597</v>
      </c>
      <c r="I79" s="30">
        <v>5225</v>
      </c>
      <c r="J79" s="30">
        <v>4093</v>
      </c>
      <c r="K79" s="30">
        <v>3765</v>
      </c>
      <c r="L79" s="30">
        <v>3309</v>
      </c>
      <c r="M79" s="30">
        <v>4369</v>
      </c>
      <c r="N79" s="30">
        <v>5801</v>
      </c>
      <c r="O79" s="30">
        <v>6437</v>
      </c>
      <c r="P79" s="30">
        <v>2068</v>
      </c>
      <c r="Q79" s="30">
        <v>4767</v>
      </c>
      <c r="R79" s="30">
        <v>6438</v>
      </c>
    </row>
    <row r="80" spans="2:18" ht="12.75" customHeight="1" x14ac:dyDescent="0.2">
      <c r="B80" s="29" t="s">
        <v>96</v>
      </c>
      <c r="C80" s="30"/>
      <c r="D80" s="30">
        <v>1</v>
      </c>
      <c r="E80" s="30">
        <v>60</v>
      </c>
      <c r="F80" s="30">
        <v>15</v>
      </c>
      <c r="G80" s="30">
        <v>23</v>
      </c>
      <c r="H80" s="30">
        <v>3</v>
      </c>
      <c r="I80" s="30">
        <v>0</v>
      </c>
      <c r="J80" s="30"/>
      <c r="K80" s="30">
        <v>2</v>
      </c>
      <c r="L80" s="30"/>
      <c r="M80" s="30"/>
      <c r="N80" s="30"/>
      <c r="O80" s="30"/>
      <c r="P80" s="30"/>
      <c r="Q80" s="30"/>
      <c r="R80" s="30"/>
    </row>
    <row r="81" spans="2:18" ht="12.75" customHeight="1" x14ac:dyDescent="0.2">
      <c r="B81" s="29" t="s">
        <v>97</v>
      </c>
      <c r="C81" s="30">
        <v>506</v>
      </c>
      <c r="D81" s="30">
        <v>835</v>
      </c>
      <c r="E81" s="30">
        <v>625</v>
      </c>
      <c r="F81" s="30">
        <v>723</v>
      </c>
      <c r="G81" s="30">
        <v>645</v>
      </c>
      <c r="H81" s="30">
        <v>601</v>
      </c>
      <c r="I81" s="30">
        <v>666</v>
      </c>
      <c r="J81" s="30">
        <v>710</v>
      </c>
      <c r="K81" s="30">
        <v>829</v>
      </c>
      <c r="L81" s="30">
        <v>1041</v>
      </c>
      <c r="M81" s="30">
        <v>1295</v>
      </c>
      <c r="N81" s="30">
        <v>1471</v>
      </c>
      <c r="O81" s="30">
        <v>1957</v>
      </c>
      <c r="P81" s="30">
        <v>1049</v>
      </c>
      <c r="Q81" s="30">
        <v>3768</v>
      </c>
      <c r="R81" s="30">
        <v>5519</v>
      </c>
    </row>
    <row r="82" spans="2:18" ht="12.75" customHeight="1" x14ac:dyDescent="0.2">
      <c r="B82" s="29" t="s">
        <v>98</v>
      </c>
      <c r="C82" s="30">
        <v>30</v>
      </c>
      <c r="D82" s="30">
        <v>62</v>
      </c>
      <c r="E82" s="30">
        <v>131</v>
      </c>
      <c r="F82" s="30">
        <v>70</v>
      </c>
      <c r="G82" s="30">
        <v>112</v>
      </c>
      <c r="H82" s="30">
        <v>135</v>
      </c>
      <c r="I82" s="30">
        <v>161</v>
      </c>
      <c r="J82" s="30">
        <v>159</v>
      </c>
      <c r="K82" s="30">
        <v>172</v>
      </c>
      <c r="L82" s="30">
        <v>162</v>
      </c>
      <c r="M82" s="30">
        <v>231</v>
      </c>
      <c r="N82" s="30">
        <v>188</v>
      </c>
      <c r="O82" s="30">
        <v>228</v>
      </c>
      <c r="P82" s="30">
        <v>162</v>
      </c>
      <c r="Q82" s="30">
        <v>411</v>
      </c>
      <c r="R82" s="30">
        <v>390</v>
      </c>
    </row>
    <row r="83" spans="2:18" ht="12.75" customHeight="1" x14ac:dyDescent="0.2">
      <c r="B83" s="29" t="s">
        <v>99</v>
      </c>
      <c r="C83" s="30">
        <v>34</v>
      </c>
      <c r="D83" s="30">
        <v>43</v>
      </c>
      <c r="E83" s="30">
        <v>62</v>
      </c>
      <c r="F83" s="30">
        <v>60</v>
      </c>
      <c r="G83" s="30">
        <v>58</v>
      </c>
      <c r="H83" s="30">
        <v>75</v>
      </c>
      <c r="I83" s="30">
        <v>53</v>
      </c>
      <c r="J83" s="30">
        <v>100</v>
      </c>
      <c r="K83" s="30">
        <v>120</v>
      </c>
      <c r="L83" s="30">
        <v>112</v>
      </c>
      <c r="M83" s="30">
        <v>283</v>
      </c>
      <c r="N83" s="30">
        <v>498</v>
      </c>
      <c r="O83" s="30">
        <v>644</v>
      </c>
      <c r="P83" s="30">
        <v>178</v>
      </c>
      <c r="Q83" s="30">
        <v>564</v>
      </c>
      <c r="R83" s="30">
        <v>741</v>
      </c>
    </row>
    <row r="84" spans="2:18" ht="12.75" customHeight="1" x14ac:dyDescent="0.2">
      <c r="B84" s="29" t="s">
        <v>100</v>
      </c>
      <c r="C84" s="30"/>
      <c r="D84" s="30"/>
      <c r="E84" s="30"/>
      <c r="F84" s="30"/>
      <c r="G84" s="30"/>
      <c r="H84" s="30"/>
      <c r="I84" s="30"/>
      <c r="J84" s="30"/>
      <c r="K84" s="30"/>
      <c r="L84" s="30">
        <v>5</v>
      </c>
      <c r="M84" s="30">
        <v>10</v>
      </c>
      <c r="N84" s="30"/>
      <c r="O84" s="30"/>
      <c r="P84" s="30"/>
      <c r="Q84" s="30"/>
      <c r="R84" s="30"/>
    </row>
    <row r="85" spans="2:18" ht="12.75" customHeight="1" x14ac:dyDescent="0.2">
      <c r="B85" s="29" t="s">
        <v>101</v>
      </c>
      <c r="C85" s="30"/>
      <c r="D85" s="30"/>
      <c r="E85" s="30"/>
      <c r="F85" s="30"/>
      <c r="G85" s="30"/>
      <c r="H85" s="30"/>
      <c r="I85" s="30"/>
      <c r="J85" s="30"/>
      <c r="K85" s="30"/>
      <c r="L85" s="30"/>
      <c r="M85" s="30"/>
      <c r="N85" s="30"/>
      <c r="O85" s="30"/>
      <c r="P85" s="30"/>
      <c r="Q85" s="30"/>
      <c r="R85" s="30"/>
    </row>
    <row r="86" spans="2:18" ht="12.75" customHeight="1" x14ac:dyDescent="0.2">
      <c r="B86" s="29" t="s">
        <v>102</v>
      </c>
      <c r="C86" s="30"/>
      <c r="D86" s="30"/>
      <c r="E86" s="30"/>
      <c r="F86" s="30"/>
      <c r="G86" s="30"/>
      <c r="H86" s="30"/>
      <c r="I86" s="30"/>
      <c r="J86" s="30"/>
      <c r="K86" s="30"/>
      <c r="L86" s="30">
        <v>1</v>
      </c>
      <c r="M86" s="30"/>
      <c r="N86" s="30"/>
      <c r="O86" s="30"/>
      <c r="P86" s="30"/>
      <c r="Q86" s="30"/>
      <c r="R86" s="30"/>
    </row>
    <row r="87" spans="2:18" ht="12.75" customHeight="1" x14ac:dyDescent="0.2">
      <c r="B87" s="29" t="s">
        <v>103</v>
      </c>
      <c r="C87" s="30">
        <v>1056</v>
      </c>
      <c r="D87" s="30">
        <v>1211</v>
      </c>
      <c r="E87" s="30">
        <v>1124</v>
      </c>
      <c r="F87" s="30">
        <v>893</v>
      </c>
      <c r="G87" s="30">
        <v>1266</v>
      </c>
      <c r="H87" s="30">
        <v>1193</v>
      </c>
      <c r="I87" s="30">
        <v>1586</v>
      </c>
      <c r="J87" s="30">
        <v>1633</v>
      </c>
      <c r="K87" s="30">
        <v>1728</v>
      </c>
      <c r="L87" s="30">
        <v>1276</v>
      </c>
      <c r="M87" s="30">
        <v>1050</v>
      </c>
      <c r="N87" s="30">
        <v>1824</v>
      </c>
      <c r="O87" s="30">
        <v>2931</v>
      </c>
      <c r="P87" s="30">
        <v>330</v>
      </c>
      <c r="Q87" s="30">
        <v>1086</v>
      </c>
      <c r="R87" s="30">
        <v>4341</v>
      </c>
    </row>
    <row r="88" spans="2:18" ht="12.75" customHeight="1" x14ac:dyDescent="0.2">
      <c r="B88" s="29" t="s">
        <v>104</v>
      </c>
      <c r="C88" s="30">
        <v>56</v>
      </c>
      <c r="D88" s="30">
        <v>41</v>
      </c>
      <c r="E88" s="30">
        <v>59</v>
      </c>
      <c r="F88" s="30">
        <v>47</v>
      </c>
      <c r="G88" s="30">
        <v>68</v>
      </c>
      <c r="H88" s="30">
        <v>134</v>
      </c>
      <c r="I88" s="30">
        <v>60</v>
      </c>
      <c r="J88" s="30">
        <v>90</v>
      </c>
      <c r="K88" s="30">
        <v>102</v>
      </c>
      <c r="L88" s="30">
        <v>89</v>
      </c>
      <c r="M88" s="30">
        <v>55</v>
      </c>
      <c r="N88" s="30">
        <v>39</v>
      </c>
      <c r="O88" s="30">
        <v>60</v>
      </c>
      <c r="P88" s="30">
        <v>16</v>
      </c>
      <c r="Q88" s="30">
        <v>22</v>
      </c>
      <c r="R88" s="30">
        <v>91</v>
      </c>
    </row>
    <row r="89" spans="2:18" ht="12.75" customHeight="1" x14ac:dyDescent="0.2">
      <c r="B89" s="29" t="s">
        <v>105</v>
      </c>
      <c r="C89" s="30">
        <v>14349</v>
      </c>
      <c r="D89" s="30">
        <v>20774</v>
      </c>
      <c r="E89" s="30">
        <v>24402</v>
      </c>
      <c r="F89" s="30">
        <v>27177</v>
      </c>
      <c r="G89" s="30">
        <v>34394</v>
      </c>
      <c r="H89" s="30">
        <v>40771</v>
      </c>
      <c r="I89" s="30">
        <v>44798</v>
      </c>
      <c r="J89" s="30">
        <v>43049</v>
      </c>
      <c r="K89" s="30">
        <v>47679</v>
      </c>
      <c r="L89" s="30">
        <v>29316</v>
      </c>
      <c r="M89" s="30">
        <v>34487</v>
      </c>
      <c r="N89" s="30">
        <v>53544</v>
      </c>
      <c r="O89" s="30">
        <v>74652</v>
      </c>
      <c r="P89" s="30">
        <v>12251</v>
      </c>
      <c r="Q89" s="30">
        <v>6088</v>
      </c>
      <c r="R89" s="30">
        <v>71636</v>
      </c>
    </row>
    <row r="90" spans="2:18" ht="12.75" customHeight="1" x14ac:dyDescent="0.2">
      <c r="B90" s="29" t="s">
        <v>106</v>
      </c>
      <c r="C90" s="30">
        <v>5800</v>
      </c>
      <c r="D90" s="30">
        <v>9617</v>
      </c>
      <c r="E90" s="30">
        <v>13574</v>
      </c>
      <c r="F90" s="30">
        <v>15421</v>
      </c>
      <c r="G90" s="30">
        <v>16749</v>
      </c>
      <c r="H90" s="30">
        <v>18924</v>
      </c>
      <c r="I90" s="30">
        <v>14265</v>
      </c>
      <c r="J90" s="30">
        <v>15943</v>
      </c>
      <c r="K90" s="30">
        <v>12967</v>
      </c>
      <c r="L90" s="30">
        <v>10342</v>
      </c>
      <c r="M90" s="30">
        <v>10201</v>
      </c>
      <c r="N90" s="30">
        <v>10516</v>
      </c>
      <c r="O90" s="30">
        <v>12355</v>
      </c>
      <c r="P90" s="30">
        <v>2207</v>
      </c>
      <c r="Q90" s="30">
        <v>2471</v>
      </c>
      <c r="R90" s="30">
        <v>11254</v>
      </c>
    </row>
    <row r="91" spans="2:18" ht="12.75" customHeight="1" x14ac:dyDescent="0.2">
      <c r="B91" s="29" t="s">
        <v>107</v>
      </c>
      <c r="C91" s="30">
        <v>135124</v>
      </c>
      <c r="D91" s="30">
        <v>119500</v>
      </c>
      <c r="E91" s="30">
        <v>89148</v>
      </c>
      <c r="F91" s="30">
        <v>123315</v>
      </c>
      <c r="G91" s="30">
        <v>149943</v>
      </c>
      <c r="H91" s="30">
        <v>159084</v>
      </c>
      <c r="I91" s="30">
        <v>187040</v>
      </c>
      <c r="J91" s="30">
        <v>248910</v>
      </c>
      <c r="K91" s="30">
        <v>228694</v>
      </c>
      <c r="L91" s="30">
        <v>106904</v>
      </c>
      <c r="M91" s="30">
        <v>120622</v>
      </c>
      <c r="N91" s="30">
        <v>159354</v>
      </c>
      <c r="O91" s="30">
        <v>212970</v>
      </c>
      <c r="P91" s="30">
        <v>36636</v>
      </c>
      <c r="Q91" s="30">
        <v>15206</v>
      </c>
      <c r="R91" s="30">
        <v>99869</v>
      </c>
    </row>
    <row r="92" spans="2:18" ht="12.75" customHeight="1" x14ac:dyDescent="0.2">
      <c r="B92" s="29" t="s">
        <v>108</v>
      </c>
      <c r="C92" s="30"/>
      <c r="D92" s="30"/>
      <c r="E92" s="30"/>
      <c r="F92" s="30"/>
      <c r="G92" s="30"/>
      <c r="H92" s="30"/>
      <c r="I92" s="30"/>
      <c r="J92" s="30"/>
      <c r="K92" s="30"/>
      <c r="L92" s="30">
        <v>194</v>
      </c>
      <c r="M92" s="30">
        <v>227</v>
      </c>
      <c r="N92" s="30">
        <v>7</v>
      </c>
      <c r="O92" s="30">
        <v>369</v>
      </c>
      <c r="P92" s="30">
        <v>199</v>
      </c>
      <c r="Q92" s="30">
        <v>481</v>
      </c>
      <c r="R92" s="30">
        <v>1113</v>
      </c>
    </row>
    <row r="93" spans="2:18" ht="12.75" customHeight="1" x14ac:dyDescent="0.2">
      <c r="B93" s="29" t="s">
        <v>109</v>
      </c>
      <c r="C93" s="30">
        <v>630979</v>
      </c>
      <c r="D93" s="30">
        <v>830184</v>
      </c>
      <c r="E93" s="30">
        <v>995381</v>
      </c>
      <c r="F93" s="30">
        <v>1112193</v>
      </c>
      <c r="G93" s="30">
        <v>1152661</v>
      </c>
      <c r="H93" s="30">
        <v>1404882</v>
      </c>
      <c r="I93" s="30">
        <v>1769447</v>
      </c>
      <c r="J93" s="30">
        <v>1755289</v>
      </c>
      <c r="K93" s="30">
        <v>1911832</v>
      </c>
      <c r="L93" s="30">
        <v>2206266</v>
      </c>
      <c r="M93" s="30">
        <v>2438730</v>
      </c>
      <c r="N93" s="30">
        <v>2069392</v>
      </c>
      <c r="O93" s="30">
        <v>1995254</v>
      </c>
      <c r="P93" s="30">
        <v>410501</v>
      </c>
      <c r="Q93" s="30">
        <v>291852</v>
      </c>
      <c r="R93" s="30">
        <v>1514813</v>
      </c>
    </row>
    <row r="94" spans="2:18" ht="12.75" customHeight="1" x14ac:dyDescent="0.2">
      <c r="B94" s="29" t="s">
        <v>110</v>
      </c>
      <c r="C94" s="30">
        <v>118</v>
      </c>
      <c r="D94" s="30">
        <v>107</v>
      </c>
      <c r="E94" s="30">
        <v>198</v>
      </c>
      <c r="F94" s="30">
        <v>179</v>
      </c>
      <c r="G94" s="30">
        <v>296</v>
      </c>
      <c r="H94" s="30">
        <v>294</v>
      </c>
      <c r="I94" s="30">
        <v>222</v>
      </c>
      <c r="J94" s="30">
        <v>288</v>
      </c>
      <c r="K94" s="30">
        <v>359</v>
      </c>
      <c r="L94" s="30">
        <v>295</v>
      </c>
      <c r="M94" s="30">
        <v>256</v>
      </c>
      <c r="N94" s="30">
        <v>450</v>
      </c>
      <c r="O94" s="30">
        <v>678</v>
      </c>
      <c r="P94" s="30">
        <v>772</v>
      </c>
      <c r="Q94" s="30">
        <v>5556</v>
      </c>
      <c r="R94" s="30">
        <v>2526</v>
      </c>
    </row>
    <row r="95" spans="2:18" ht="12.75" customHeight="1" x14ac:dyDescent="0.2">
      <c r="B95" s="29" t="s">
        <v>111</v>
      </c>
      <c r="C95" s="30">
        <v>29470</v>
      </c>
      <c r="D95" s="30">
        <v>31186</v>
      </c>
      <c r="E95" s="30">
        <v>31407</v>
      </c>
      <c r="F95" s="30">
        <v>33563</v>
      </c>
      <c r="G95" s="30">
        <v>41959</v>
      </c>
      <c r="H95" s="30">
        <v>47144</v>
      </c>
      <c r="I95" s="30">
        <v>44058</v>
      </c>
      <c r="J95" s="30">
        <v>45297</v>
      </c>
      <c r="K95" s="30">
        <v>38598</v>
      </c>
      <c r="L95" s="30">
        <v>21346</v>
      </c>
      <c r="M95" s="30">
        <v>23630</v>
      </c>
      <c r="N95" s="30">
        <v>44188</v>
      </c>
      <c r="O95" s="30">
        <v>56465</v>
      </c>
      <c r="P95" s="30">
        <v>16566</v>
      </c>
      <c r="Q95" s="30">
        <v>29464</v>
      </c>
      <c r="R95" s="30">
        <v>61327</v>
      </c>
    </row>
    <row r="96" spans="2:18" ht="12.75" customHeight="1" x14ac:dyDescent="0.2">
      <c r="B96" s="29" t="s">
        <v>112</v>
      </c>
      <c r="C96" s="30">
        <v>45175</v>
      </c>
      <c r="D96" s="30">
        <v>55798</v>
      </c>
      <c r="E96" s="30">
        <v>55114</v>
      </c>
      <c r="F96" s="30">
        <v>63406</v>
      </c>
      <c r="G96" s="30">
        <v>73731</v>
      </c>
      <c r="H96" s="30">
        <v>90934</v>
      </c>
      <c r="I96" s="30">
        <v>95014</v>
      </c>
      <c r="J96" s="30">
        <v>119503</v>
      </c>
      <c r="K96" s="30">
        <v>131869</v>
      </c>
      <c r="L96" s="30">
        <v>79316</v>
      </c>
      <c r="M96" s="30">
        <v>86996</v>
      </c>
      <c r="N96" s="30">
        <v>147127</v>
      </c>
      <c r="O96" s="30">
        <v>230131</v>
      </c>
      <c r="P96" s="30">
        <v>44707</v>
      </c>
      <c r="Q96" s="30">
        <v>52651</v>
      </c>
      <c r="R96" s="30">
        <v>231579</v>
      </c>
    </row>
    <row r="97" spans="2:18" ht="12.75" customHeight="1" x14ac:dyDescent="0.2">
      <c r="B97" s="29" t="s">
        <v>113</v>
      </c>
      <c r="C97" s="30">
        <v>1053675</v>
      </c>
      <c r="D97" s="30">
        <v>1141580</v>
      </c>
      <c r="E97" s="30">
        <v>1127150</v>
      </c>
      <c r="F97" s="30">
        <v>1073064</v>
      </c>
      <c r="G97" s="30">
        <v>1222823</v>
      </c>
      <c r="H97" s="30">
        <v>1273593</v>
      </c>
      <c r="I97" s="30">
        <v>1312466</v>
      </c>
      <c r="J97" s="30">
        <v>1303730</v>
      </c>
      <c r="K97" s="30">
        <v>1232487</v>
      </c>
      <c r="L97" s="30">
        <v>906336</v>
      </c>
      <c r="M97" s="30">
        <v>799006</v>
      </c>
      <c r="N97" s="30">
        <v>1013642</v>
      </c>
      <c r="O97" s="30">
        <v>1117290</v>
      </c>
      <c r="P97" s="30">
        <v>271526</v>
      </c>
      <c r="Q97" s="30">
        <v>645601</v>
      </c>
      <c r="R97" s="30">
        <v>1244756</v>
      </c>
    </row>
    <row r="98" spans="2:18" ht="12.75" customHeight="1" x14ac:dyDescent="0.2">
      <c r="B98" s="29" t="s">
        <v>591</v>
      </c>
      <c r="C98" s="30"/>
      <c r="D98" s="30"/>
      <c r="E98" s="30"/>
      <c r="F98" s="30"/>
      <c r="G98" s="30"/>
      <c r="H98" s="30"/>
      <c r="I98" s="30"/>
      <c r="J98" s="30"/>
      <c r="K98" s="30"/>
      <c r="L98" s="30"/>
      <c r="M98" s="30"/>
      <c r="N98" s="30"/>
      <c r="O98" s="30"/>
      <c r="P98" s="30"/>
      <c r="Q98" s="30"/>
      <c r="R98" s="30">
        <v>1</v>
      </c>
    </row>
    <row r="99" spans="2:18" ht="12.75" customHeight="1" x14ac:dyDescent="0.2">
      <c r="B99" s="29" t="s">
        <v>114</v>
      </c>
      <c r="C99" s="30">
        <v>646</v>
      </c>
      <c r="D99" s="30">
        <v>675</v>
      </c>
      <c r="E99" s="30">
        <v>1470</v>
      </c>
      <c r="F99" s="30">
        <v>599</v>
      </c>
      <c r="G99" s="30">
        <v>1252</v>
      </c>
      <c r="H99" s="30">
        <v>1167</v>
      </c>
      <c r="I99" s="30">
        <v>1330</v>
      </c>
      <c r="J99" s="30">
        <v>1601</v>
      </c>
      <c r="K99" s="30">
        <v>1691</v>
      </c>
      <c r="L99" s="30">
        <v>1300</v>
      </c>
      <c r="M99" s="30">
        <v>1435</v>
      </c>
      <c r="N99" s="30">
        <v>1595</v>
      </c>
      <c r="O99" s="30">
        <v>2814</v>
      </c>
      <c r="P99" s="30">
        <v>355</v>
      </c>
      <c r="Q99" s="30">
        <v>1023</v>
      </c>
      <c r="R99" s="30">
        <v>2825</v>
      </c>
    </row>
    <row r="100" spans="2:18" ht="12.75" customHeight="1" x14ac:dyDescent="0.2">
      <c r="B100" s="29" t="s">
        <v>115</v>
      </c>
      <c r="C100" s="30"/>
      <c r="D100" s="30">
        <v>6575</v>
      </c>
      <c r="E100" s="30">
        <v>6560</v>
      </c>
      <c r="F100" s="30">
        <v>6442</v>
      </c>
      <c r="G100" s="30">
        <v>10666</v>
      </c>
      <c r="H100" s="30">
        <v>13138</v>
      </c>
      <c r="I100" s="30">
        <v>12650</v>
      </c>
      <c r="J100" s="30">
        <v>20217</v>
      </c>
      <c r="K100" s="30">
        <v>19074</v>
      </c>
      <c r="L100" s="30">
        <v>6399</v>
      </c>
      <c r="M100" s="30">
        <v>6994</v>
      </c>
      <c r="N100" s="30">
        <v>18683</v>
      </c>
      <c r="O100" s="30">
        <v>30092</v>
      </c>
      <c r="P100" s="30">
        <v>4053</v>
      </c>
      <c r="Q100" s="30">
        <v>1043</v>
      </c>
      <c r="R100" s="30">
        <v>5435</v>
      </c>
    </row>
    <row r="101" spans="2:18" ht="12.75" customHeight="1" x14ac:dyDescent="0.2">
      <c r="B101" s="29" t="s">
        <v>116</v>
      </c>
      <c r="C101" s="30">
        <v>180217</v>
      </c>
      <c r="D101" s="30">
        <v>250130</v>
      </c>
      <c r="E101" s="30">
        <v>285229</v>
      </c>
      <c r="F101" s="30">
        <v>280328</v>
      </c>
      <c r="G101" s="30">
        <v>369033</v>
      </c>
      <c r="H101" s="30">
        <v>533149</v>
      </c>
      <c r="I101" s="30">
        <v>730639</v>
      </c>
      <c r="J101" s="30">
        <v>857246</v>
      </c>
      <c r="K101" s="30">
        <v>1094144</v>
      </c>
      <c r="L101" s="30">
        <v>420831</v>
      </c>
      <c r="M101" s="30">
        <v>896876</v>
      </c>
      <c r="N101" s="30">
        <v>1172896</v>
      </c>
      <c r="O101" s="30">
        <v>1374896</v>
      </c>
      <c r="P101" s="30">
        <v>387587</v>
      </c>
      <c r="Q101" s="30">
        <v>836624</v>
      </c>
      <c r="R101" s="30">
        <v>1208895</v>
      </c>
    </row>
    <row r="102" spans="2:18" ht="12.75" customHeight="1" x14ac:dyDescent="0.2">
      <c r="B102" s="29" t="s">
        <v>117</v>
      </c>
      <c r="C102" s="30"/>
      <c r="D102" s="30"/>
      <c r="E102" s="30">
        <v>8</v>
      </c>
      <c r="F102" s="30">
        <v>296</v>
      </c>
      <c r="G102" s="30"/>
      <c r="H102" s="30">
        <v>0</v>
      </c>
      <c r="I102" s="30">
        <v>0</v>
      </c>
      <c r="J102" s="30">
        <v>2188</v>
      </c>
      <c r="K102" s="30"/>
      <c r="L102" s="30"/>
      <c r="M102" s="30"/>
      <c r="N102" s="30"/>
      <c r="O102" s="30"/>
      <c r="P102" s="30"/>
      <c r="Q102" s="30"/>
      <c r="R102" s="30"/>
    </row>
    <row r="103" spans="2:18" ht="12.75" customHeight="1" x14ac:dyDescent="0.2">
      <c r="B103" s="29" t="s">
        <v>118</v>
      </c>
      <c r="C103" s="30">
        <v>1916130</v>
      </c>
      <c r="D103" s="30">
        <v>2169924</v>
      </c>
      <c r="E103" s="30">
        <v>2426749</v>
      </c>
      <c r="F103" s="30">
        <v>2673605</v>
      </c>
      <c r="G103" s="30">
        <v>2582054</v>
      </c>
      <c r="H103" s="30">
        <v>2456519</v>
      </c>
      <c r="I103" s="30">
        <v>2509357</v>
      </c>
      <c r="J103" s="30">
        <v>2600360</v>
      </c>
      <c r="K103" s="30">
        <v>2512139</v>
      </c>
      <c r="L103" s="30">
        <v>1711481</v>
      </c>
      <c r="M103" s="30">
        <v>1658715</v>
      </c>
      <c r="N103" s="30">
        <v>2254871</v>
      </c>
      <c r="O103" s="30">
        <v>2562064</v>
      </c>
      <c r="P103" s="30">
        <v>820709</v>
      </c>
      <c r="Q103" s="30">
        <v>392746</v>
      </c>
      <c r="R103" s="30">
        <v>3370739</v>
      </c>
    </row>
    <row r="104" spans="2:18" ht="12.75" customHeight="1" x14ac:dyDescent="0.2">
      <c r="B104" s="29" t="s">
        <v>592</v>
      </c>
      <c r="C104" s="30"/>
      <c r="D104" s="30"/>
      <c r="E104" s="30"/>
      <c r="F104" s="30"/>
      <c r="G104" s="30"/>
      <c r="H104" s="30"/>
      <c r="I104" s="30"/>
      <c r="J104" s="30"/>
      <c r="K104" s="30"/>
      <c r="L104" s="30"/>
      <c r="M104" s="30"/>
      <c r="N104" s="30"/>
      <c r="O104" s="30"/>
      <c r="P104" s="30"/>
      <c r="Q104" s="30"/>
      <c r="R104" s="30">
        <v>0</v>
      </c>
    </row>
    <row r="105" spans="2:18" ht="12.75" customHeight="1" x14ac:dyDescent="0.2">
      <c r="B105" s="29" t="s">
        <v>119</v>
      </c>
      <c r="C105" s="30">
        <v>1058206</v>
      </c>
      <c r="D105" s="30">
        <v>1134965</v>
      </c>
      <c r="E105" s="30">
        <v>1383261</v>
      </c>
      <c r="F105" s="30">
        <v>1885097</v>
      </c>
      <c r="G105" s="30">
        <v>1879304</v>
      </c>
      <c r="H105" s="30">
        <v>1186343</v>
      </c>
      <c r="I105" s="30">
        <v>1196801</v>
      </c>
      <c r="J105" s="30">
        <v>1590664</v>
      </c>
      <c r="K105" s="30">
        <v>1700385</v>
      </c>
      <c r="L105" s="30">
        <v>1665160</v>
      </c>
      <c r="M105" s="30">
        <v>2501948</v>
      </c>
      <c r="N105" s="30">
        <v>2001744</v>
      </c>
      <c r="O105" s="30">
        <v>2102890</v>
      </c>
      <c r="P105" s="30">
        <v>385762</v>
      </c>
      <c r="Q105" s="30">
        <v>1153092</v>
      </c>
      <c r="R105" s="30">
        <v>2331076</v>
      </c>
    </row>
    <row r="106" spans="2:18" ht="12.75" customHeight="1" x14ac:dyDescent="0.2">
      <c r="B106" s="29" t="s">
        <v>120</v>
      </c>
      <c r="C106" s="30">
        <v>109287</v>
      </c>
      <c r="D106" s="30">
        <v>115388</v>
      </c>
      <c r="E106" s="30">
        <v>117360</v>
      </c>
      <c r="F106" s="30">
        <v>111065</v>
      </c>
      <c r="G106" s="30">
        <v>118620</v>
      </c>
      <c r="H106" s="30">
        <v>110863</v>
      </c>
      <c r="I106" s="30">
        <v>112665</v>
      </c>
      <c r="J106" s="30">
        <v>105001</v>
      </c>
      <c r="K106" s="30">
        <v>101379</v>
      </c>
      <c r="L106" s="30">
        <v>54221</v>
      </c>
      <c r="M106" s="30">
        <v>50102</v>
      </c>
      <c r="N106" s="30">
        <v>71221</v>
      </c>
      <c r="O106" s="30">
        <v>96886</v>
      </c>
      <c r="P106" s="30">
        <v>26176</v>
      </c>
      <c r="Q106" s="30">
        <v>36947</v>
      </c>
      <c r="R106" s="30">
        <v>136608</v>
      </c>
    </row>
    <row r="107" spans="2:18" ht="12.75" customHeight="1" x14ac:dyDescent="0.2">
      <c r="B107" s="29" t="s">
        <v>121</v>
      </c>
      <c r="C107" s="30">
        <v>288358</v>
      </c>
      <c r="D107" s="30">
        <v>342104</v>
      </c>
      <c r="E107" s="30">
        <v>376215</v>
      </c>
      <c r="F107" s="30">
        <v>321325</v>
      </c>
      <c r="G107" s="30">
        <v>300084</v>
      </c>
      <c r="H107" s="30">
        <v>278164</v>
      </c>
      <c r="I107" s="30">
        <v>290422</v>
      </c>
      <c r="J107" s="30">
        <v>283926</v>
      </c>
      <c r="K107" s="30">
        <v>236063</v>
      </c>
      <c r="L107" s="30">
        <v>106582</v>
      </c>
      <c r="M107" s="30">
        <v>106757</v>
      </c>
      <c r="N107" s="30">
        <v>178018</v>
      </c>
      <c r="O107" s="30">
        <v>257342</v>
      </c>
      <c r="P107" s="30">
        <v>54381</v>
      </c>
      <c r="Q107" s="30">
        <v>104848</v>
      </c>
      <c r="R107" s="30">
        <v>298165</v>
      </c>
    </row>
    <row r="108" spans="2:18" ht="12.75" customHeight="1" x14ac:dyDescent="0.2">
      <c r="B108" s="29" t="s">
        <v>122</v>
      </c>
      <c r="C108" s="30">
        <v>511435</v>
      </c>
      <c r="D108" s="30">
        <v>558183</v>
      </c>
      <c r="E108" s="30">
        <v>311582</v>
      </c>
      <c r="F108" s="30">
        <v>109559</v>
      </c>
      <c r="G108" s="30">
        <v>79140</v>
      </c>
      <c r="H108" s="30">
        <v>83740</v>
      </c>
      <c r="I108" s="30">
        <v>164917</v>
      </c>
      <c r="J108" s="30">
        <v>188608</v>
      </c>
      <c r="K108" s="30">
        <v>224568</v>
      </c>
      <c r="L108" s="30">
        <v>293988</v>
      </c>
      <c r="M108" s="30">
        <v>380415</v>
      </c>
      <c r="N108" s="30">
        <v>443732</v>
      </c>
      <c r="O108" s="30">
        <v>569368</v>
      </c>
      <c r="P108" s="30">
        <v>129677</v>
      </c>
      <c r="Q108" s="30">
        <v>225238</v>
      </c>
      <c r="R108" s="30">
        <v>843028</v>
      </c>
    </row>
    <row r="109" spans="2:18" ht="12.75" customHeight="1" x14ac:dyDescent="0.2">
      <c r="B109" s="29" t="s">
        <v>123</v>
      </c>
      <c r="C109" s="30">
        <v>338182</v>
      </c>
      <c r="D109" s="30">
        <v>404092</v>
      </c>
      <c r="E109" s="30">
        <v>401740</v>
      </c>
      <c r="F109" s="30">
        <v>447270</v>
      </c>
      <c r="G109" s="30">
        <v>571917</v>
      </c>
      <c r="H109" s="30">
        <v>617811</v>
      </c>
      <c r="I109" s="30">
        <v>692186</v>
      </c>
      <c r="J109" s="30">
        <v>667551</v>
      </c>
      <c r="K109" s="30">
        <v>624649</v>
      </c>
      <c r="L109" s="30">
        <v>320580</v>
      </c>
      <c r="M109" s="30">
        <v>289134</v>
      </c>
      <c r="N109" s="30">
        <v>384397</v>
      </c>
      <c r="O109" s="30">
        <v>444285</v>
      </c>
      <c r="P109" s="30">
        <v>93703</v>
      </c>
      <c r="Q109" s="30">
        <v>192872</v>
      </c>
      <c r="R109" s="30">
        <v>415696</v>
      </c>
    </row>
    <row r="110" spans="2:18" ht="12.75" customHeight="1" x14ac:dyDescent="0.2">
      <c r="B110" s="29" t="s">
        <v>124</v>
      </c>
      <c r="C110" s="30">
        <v>229688</v>
      </c>
      <c r="D110" s="30">
        <v>252925</v>
      </c>
      <c r="E110" s="30">
        <v>283060</v>
      </c>
      <c r="F110" s="30">
        <v>271139</v>
      </c>
      <c r="G110" s="30">
        <v>328825</v>
      </c>
      <c r="H110" s="30">
        <v>354461</v>
      </c>
      <c r="I110" s="30">
        <v>379344</v>
      </c>
      <c r="J110" s="30">
        <v>394458</v>
      </c>
      <c r="K110" s="30">
        <v>380338</v>
      </c>
      <c r="L110" s="30">
        <v>215194</v>
      </c>
      <c r="M110" s="30">
        <v>206479</v>
      </c>
      <c r="N110" s="30">
        <v>269649</v>
      </c>
      <c r="O110" s="30">
        <v>311107</v>
      </c>
      <c r="P110" s="30">
        <v>127643</v>
      </c>
      <c r="Q110" s="30">
        <v>219591</v>
      </c>
      <c r="R110" s="30">
        <v>382835</v>
      </c>
    </row>
    <row r="111" spans="2:18" ht="12.75" customHeight="1" x14ac:dyDescent="0.2">
      <c r="B111" s="29" t="s">
        <v>125</v>
      </c>
      <c r="C111" s="30">
        <v>514803</v>
      </c>
      <c r="D111" s="30">
        <v>600261</v>
      </c>
      <c r="E111" s="30">
        <v>634886</v>
      </c>
      <c r="F111" s="30">
        <v>671060</v>
      </c>
      <c r="G111" s="30">
        <v>752238</v>
      </c>
      <c r="H111" s="30">
        <v>714041</v>
      </c>
      <c r="I111" s="30">
        <v>731784</v>
      </c>
      <c r="J111" s="30">
        <v>697360</v>
      </c>
      <c r="K111" s="30">
        <v>507897</v>
      </c>
      <c r="L111" s="30">
        <v>213227</v>
      </c>
      <c r="M111" s="30">
        <v>205788</v>
      </c>
      <c r="N111" s="30">
        <v>284195</v>
      </c>
      <c r="O111" s="30">
        <v>377011</v>
      </c>
      <c r="P111" s="30">
        <v>72619</v>
      </c>
      <c r="Q111" s="30">
        <v>116806</v>
      </c>
      <c r="R111" s="30">
        <v>420661</v>
      </c>
    </row>
    <row r="112" spans="2:18" ht="12.75" customHeight="1" x14ac:dyDescent="0.2">
      <c r="B112" s="29" t="s">
        <v>126</v>
      </c>
      <c r="C112" s="30">
        <v>9103</v>
      </c>
      <c r="D112" s="30">
        <v>9374</v>
      </c>
      <c r="E112" s="30">
        <v>7838</v>
      </c>
      <c r="F112" s="30">
        <v>6476</v>
      </c>
      <c r="G112" s="30">
        <v>6156</v>
      </c>
      <c r="H112" s="30">
        <v>5797</v>
      </c>
      <c r="I112" s="30">
        <v>4909</v>
      </c>
      <c r="J112" s="30">
        <v>8691</v>
      </c>
      <c r="K112" s="30">
        <v>9579</v>
      </c>
      <c r="L112" s="30">
        <v>3314</v>
      </c>
      <c r="M112" s="30">
        <v>2455</v>
      </c>
      <c r="N112" s="30">
        <v>2935</v>
      </c>
      <c r="O112" s="30">
        <v>3966</v>
      </c>
      <c r="P112" s="30">
        <v>541</v>
      </c>
      <c r="Q112" s="30">
        <v>962</v>
      </c>
      <c r="R112" s="30">
        <v>4070</v>
      </c>
    </row>
    <row r="113" spans="2:18" ht="12.75" customHeight="1" x14ac:dyDescent="0.2">
      <c r="B113" s="29" t="s">
        <v>127</v>
      </c>
      <c r="C113" s="30">
        <v>381</v>
      </c>
      <c r="D113" s="30">
        <v>575</v>
      </c>
      <c r="E113" s="30">
        <v>815</v>
      </c>
      <c r="F113" s="30">
        <v>433</v>
      </c>
      <c r="G113" s="30">
        <v>628</v>
      </c>
      <c r="H113" s="30">
        <v>1024</v>
      </c>
      <c r="I113" s="30">
        <v>781</v>
      </c>
      <c r="J113" s="30">
        <v>1222</v>
      </c>
      <c r="K113" s="30">
        <v>1259</v>
      </c>
      <c r="L113" s="30">
        <v>1161</v>
      </c>
      <c r="M113" s="30">
        <v>717</v>
      </c>
      <c r="N113" s="30">
        <v>1421</v>
      </c>
      <c r="O113" s="30">
        <v>1640</v>
      </c>
      <c r="P113" s="30">
        <v>610</v>
      </c>
      <c r="Q113" s="30">
        <v>478</v>
      </c>
      <c r="R113" s="30">
        <v>1972</v>
      </c>
    </row>
    <row r="114" spans="2:18" ht="12.75" customHeight="1" x14ac:dyDescent="0.2">
      <c r="B114" s="29" t="s">
        <v>128</v>
      </c>
      <c r="C114" s="30"/>
      <c r="D114" s="30"/>
      <c r="E114" s="30"/>
      <c r="F114" s="30"/>
      <c r="G114" s="30"/>
      <c r="H114" s="30"/>
      <c r="I114" s="30"/>
      <c r="J114" s="30"/>
      <c r="K114" s="30"/>
      <c r="L114" s="30"/>
      <c r="M114" s="30"/>
      <c r="N114" s="30"/>
      <c r="O114" s="30"/>
      <c r="P114" s="30"/>
      <c r="Q114" s="30"/>
      <c r="R114" s="30"/>
    </row>
    <row r="115" spans="2:18" ht="12.75" customHeight="1" x14ac:dyDescent="0.2">
      <c r="B115" s="29" t="s">
        <v>129</v>
      </c>
      <c r="C115" s="30">
        <v>168852</v>
      </c>
      <c r="D115" s="30">
        <v>149731</v>
      </c>
      <c r="E115" s="30">
        <v>147641</v>
      </c>
      <c r="F115" s="30">
        <v>195404</v>
      </c>
      <c r="G115" s="30">
        <v>188312</v>
      </c>
      <c r="H115" s="30">
        <v>203592</v>
      </c>
      <c r="I115" s="30">
        <v>174150</v>
      </c>
      <c r="J115" s="30">
        <v>170550</v>
      </c>
      <c r="K115" s="30">
        <v>104847</v>
      </c>
      <c r="L115" s="30">
        <v>44695</v>
      </c>
      <c r="M115" s="30">
        <v>49323</v>
      </c>
      <c r="N115" s="30">
        <v>81931</v>
      </c>
      <c r="O115" s="30">
        <v>103320</v>
      </c>
      <c r="P115" s="30">
        <v>19122</v>
      </c>
      <c r="Q115" s="30">
        <v>7153</v>
      </c>
      <c r="R115" s="30">
        <v>30610</v>
      </c>
    </row>
    <row r="116" spans="2:18" ht="12.75" customHeight="1" x14ac:dyDescent="0.2">
      <c r="B116" s="29" t="s">
        <v>130</v>
      </c>
      <c r="C116" s="30">
        <v>96</v>
      </c>
      <c r="D116" s="30">
        <v>1946</v>
      </c>
      <c r="E116" s="30">
        <v>287</v>
      </c>
      <c r="F116" s="30">
        <v>112</v>
      </c>
      <c r="G116" s="30">
        <v>139</v>
      </c>
      <c r="H116" s="30">
        <v>148</v>
      </c>
      <c r="I116" s="30">
        <v>133</v>
      </c>
      <c r="J116" s="30">
        <v>173</v>
      </c>
      <c r="K116" s="30">
        <v>228</v>
      </c>
      <c r="L116" s="30">
        <v>223</v>
      </c>
      <c r="M116" s="30">
        <v>196</v>
      </c>
      <c r="N116" s="30">
        <v>321</v>
      </c>
      <c r="O116" s="30">
        <v>609</v>
      </c>
      <c r="P116" s="30">
        <v>97</v>
      </c>
      <c r="Q116" s="30">
        <v>113</v>
      </c>
      <c r="R116" s="30">
        <v>379</v>
      </c>
    </row>
    <row r="117" spans="2:18" ht="12.75" customHeight="1" x14ac:dyDescent="0.2">
      <c r="B117" s="29" t="s">
        <v>131</v>
      </c>
      <c r="C117" s="30">
        <v>808</v>
      </c>
      <c r="D117" s="30">
        <v>996</v>
      </c>
      <c r="E117" s="30">
        <v>1553</v>
      </c>
      <c r="F117" s="30">
        <v>1381</v>
      </c>
      <c r="G117" s="30">
        <v>1609</v>
      </c>
      <c r="H117" s="30">
        <v>2411</v>
      </c>
      <c r="I117" s="30">
        <v>5775</v>
      </c>
      <c r="J117" s="30">
        <v>6027</v>
      </c>
      <c r="K117" s="30">
        <v>6198</v>
      </c>
      <c r="L117" s="30">
        <v>5498</v>
      </c>
      <c r="M117" s="30">
        <v>5883</v>
      </c>
      <c r="N117" s="30">
        <v>8015</v>
      </c>
      <c r="O117" s="30">
        <v>8742</v>
      </c>
      <c r="P117" s="30">
        <v>3570</v>
      </c>
      <c r="Q117" s="30">
        <v>7592</v>
      </c>
      <c r="R117" s="30">
        <v>9545</v>
      </c>
    </row>
    <row r="118" spans="2:18" ht="12.75" customHeight="1" x14ac:dyDescent="0.2">
      <c r="B118" s="29" t="s">
        <v>132</v>
      </c>
      <c r="C118" s="30">
        <v>128567</v>
      </c>
      <c r="D118" s="30">
        <v>147631</v>
      </c>
      <c r="E118" s="30">
        <v>155270</v>
      </c>
      <c r="F118" s="30">
        <v>152556</v>
      </c>
      <c r="G118" s="30">
        <v>191903</v>
      </c>
      <c r="H118" s="30">
        <v>182252</v>
      </c>
      <c r="I118" s="30">
        <v>199497</v>
      </c>
      <c r="J118" s="30">
        <v>190116</v>
      </c>
      <c r="K118" s="30">
        <v>187615</v>
      </c>
      <c r="L118" s="30">
        <v>106285</v>
      </c>
      <c r="M118" s="30">
        <v>81196</v>
      </c>
      <c r="N118" s="30">
        <v>108272</v>
      </c>
      <c r="O118" s="30">
        <v>139164</v>
      </c>
      <c r="P118" s="30">
        <v>34210</v>
      </c>
      <c r="Q118" s="30">
        <v>72034</v>
      </c>
      <c r="R118" s="30">
        <v>197416</v>
      </c>
    </row>
    <row r="119" spans="2:18" ht="12.75" customHeight="1" x14ac:dyDescent="0.2">
      <c r="B119" s="29" t="s">
        <v>133</v>
      </c>
      <c r="C119" s="30"/>
      <c r="D119" s="30"/>
      <c r="E119" s="30">
        <v>11837</v>
      </c>
      <c r="F119" s="30">
        <v>11610</v>
      </c>
      <c r="G119" s="30">
        <v>13793</v>
      </c>
      <c r="H119" s="30">
        <v>16559</v>
      </c>
      <c r="I119" s="30">
        <v>18838</v>
      </c>
      <c r="J119" s="30">
        <v>20423</v>
      </c>
      <c r="K119" s="30">
        <v>19768</v>
      </c>
      <c r="L119" s="30">
        <v>16709</v>
      </c>
      <c r="M119" s="30">
        <v>19555</v>
      </c>
      <c r="N119" s="30">
        <v>24183</v>
      </c>
      <c r="O119" s="30">
        <v>27639</v>
      </c>
      <c r="P119" s="30">
        <v>11441</v>
      </c>
      <c r="Q119" s="30">
        <v>20812</v>
      </c>
      <c r="R119" s="30">
        <v>29417</v>
      </c>
    </row>
    <row r="120" spans="2:18" ht="12.75" customHeight="1" x14ac:dyDescent="0.2">
      <c r="B120" s="29" t="s">
        <v>134</v>
      </c>
      <c r="C120" s="30">
        <v>3783</v>
      </c>
      <c r="D120" s="30">
        <v>4862</v>
      </c>
      <c r="E120" s="30">
        <v>4902</v>
      </c>
      <c r="F120" s="30">
        <v>6043</v>
      </c>
      <c r="G120" s="30">
        <v>7661</v>
      </c>
      <c r="H120" s="30">
        <v>13971</v>
      </c>
      <c r="I120" s="30">
        <v>18630</v>
      </c>
      <c r="J120" s="30">
        <v>29743</v>
      </c>
      <c r="K120" s="30">
        <v>35832</v>
      </c>
      <c r="L120" s="30">
        <v>32681</v>
      </c>
      <c r="M120" s="30">
        <v>48764</v>
      </c>
      <c r="N120" s="30">
        <v>96327</v>
      </c>
      <c r="O120" s="30">
        <v>108496</v>
      </c>
      <c r="P120" s="30">
        <v>31956</v>
      </c>
      <c r="Q120" s="30">
        <v>83831</v>
      </c>
      <c r="R120" s="30">
        <v>92439</v>
      </c>
    </row>
    <row r="121" spans="2:18" ht="12.75" customHeight="1" x14ac:dyDescent="0.2">
      <c r="B121" s="29" t="s">
        <v>135</v>
      </c>
      <c r="C121" s="30"/>
      <c r="D121" s="30"/>
      <c r="E121" s="30"/>
      <c r="F121" s="30"/>
      <c r="G121" s="30"/>
      <c r="H121" s="30"/>
      <c r="I121" s="30"/>
      <c r="J121" s="30"/>
      <c r="K121" s="30"/>
      <c r="L121" s="30"/>
      <c r="M121" s="30">
        <v>0</v>
      </c>
      <c r="N121" s="30"/>
      <c r="O121" s="30"/>
      <c r="P121" s="30"/>
      <c r="Q121" s="30"/>
      <c r="R121" s="30"/>
    </row>
    <row r="122" spans="2:18" ht="12.75" customHeight="1" x14ac:dyDescent="0.2">
      <c r="B122" s="29" t="s">
        <v>136</v>
      </c>
      <c r="C122" s="30">
        <v>195219</v>
      </c>
      <c r="D122" s="30">
        <v>213072</v>
      </c>
      <c r="E122" s="30">
        <v>219445</v>
      </c>
      <c r="F122" s="30">
        <v>247784</v>
      </c>
      <c r="G122" s="30">
        <v>315907</v>
      </c>
      <c r="H122" s="30">
        <v>380046</v>
      </c>
      <c r="I122" s="30">
        <v>425773</v>
      </c>
      <c r="J122" s="30">
        <v>437971</v>
      </c>
      <c r="K122" s="30">
        <v>423744</v>
      </c>
      <c r="L122" s="30">
        <v>240188</v>
      </c>
      <c r="M122" s="30">
        <v>402830</v>
      </c>
      <c r="N122" s="30">
        <v>426916</v>
      </c>
      <c r="O122" s="30">
        <v>455724</v>
      </c>
      <c r="P122" s="30">
        <v>137213</v>
      </c>
      <c r="Q122" s="30">
        <v>366076</v>
      </c>
      <c r="R122" s="30">
        <v>712136</v>
      </c>
    </row>
    <row r="123" spans="2:18" ht="12.75" customHeight="1" x14ac:dyDescent="0.2">
      <c r="B123" s="29" t="s">
        <v>137</v>
      </c>
      <c r="C123" s="30">
        <v>3793</v>
      </c>
      <c r="D123" s="30">
        <v>3627</v>
      </c>
      <c r="E123" s="30">
        <v>4991</v>
      </c>
      <c r="F123" s="30">
        <v>4319</v>
      </c>
      <c r="G123" s="30">
        <v>4541</v>
      </c>
      <c r="H123" s="30">
        <v>5510</v>
      </c>
      <c r="I123" s="30">
        <v>6226</v>
      </c>
      <c r="J123" s="30">
        <v>6880</v>
      </c>
      <c r="K123" s="30">
        <v>7506</v>
      </c>
      <c r="L123" s="30">
        <v>5986</v>
      </c>
      <c r="M123" s="30">
        <v>5046</v>
      </c>
      <c r="N123" s="30">
        <v>7197</v>
      </c>
      <c r="O123" s="30">
        <v>7902</v>
      </c>
      <c r="P123" s="30">
        <v>2815</v>
      </c>
      <c r="Q123" s="30">
        <v>8263</v>
      </c>
      <c r="R123" s="30">
        <v>11323</v>
      </c>
    </row>
    <row r="124" spans="2:18" ht="12.75" customHeight="1" x14ac:dyDescent="0.2">
      <c r="B124" s="29" t="s">
        <v>138</v>
      </c>
      <c r="C124" s="30">
        <v>44638</v>
      </c>
      <c r="D124" s="30">
        <v>47730</v>
      </c>
      <c r="E124" s="30">
        <v>40882</v>
      </c>
      <c r="F124" s="30">
        <v>35665</v>
      </c>
      <c r="G124" s="30">
        <v>41197</v>
      </c>
      <c r="H124" s="30">
        <v>42866</v>
      </c>
      <c r="I124" s="30">
        <v>64905</v>
      </c>
      <c r="J124" s="30">
        <v>81941</v>
      </c>
      <c r="K124" s="30">
        <v>88369</v>
      </c>
      <c r="L124" s="30">
        <v>88877</v>
      </c>
      <c r="M124" s="30">
        <v>104911</v>
      </c>
      <c r="N124" s="30">
        <v>114926</v>
      </c>
      <c r="O124" s="30">
        <v>121364</v>
      </c>
      <c r="P124" s="30">
        <v>52142</v>
      </c>
      <c r="Q124" s="30">
        <v>102840</v>
      </c>
      <c r="R124" s="30">
        <v>147487</v>
      </c>
    </row>
    <row r="125" spans="2:18" ht="12.75" customHeight="1" x14ac:dyDescent="0.2">
      <c r="B125" s="29" t="s">
        <v>139</v>
      </c>
      <c r="C125" s="30">
        <v>19</v>
      </c>
      <c r="D125" s="30">
        <v>19</v>
      </c>
      <c r="E125" s="30">
        <v>11</v>
      </c>
      <c r="F125" s="30">
        <v>6</v>
      </c>
      <c r="G125" s="30">
        <v>185</v>
      </c>
      <c r="H125" s="30">
        <v>40</v>
      </c>
      <c r="I125" s="30">
        <v>70</v>
      </c>
      <c r="J125" s="30">
        <v>14</v>
      </c>
      <c r="K125" s="30">
        <v>23</v>
      </c>
      <c r="L125" s="30">
        <v>80</v>
      </c>
      <c r="M125" s="30">
        <v>55</v>
      </c>
      <c r="N125" s="30">
        <v>150</v>
      </c>
      <c r="O125" s="30">
        <v>524</v>
      </c>
      <c r="P125" s="30">
        <v>239</v>
      </c>
      <c r="Q125" s="30">
        <v>5</v>
      </c>
      <c r="R125" s="30">
        <v>9</v>
      </c>
    </row>
    <row r="126" spans="2:18" ht="12.75" customHeight="1" x14ac:dyDescent="0.2">
      <c r="B126" s="29" t="s">
        <v>140</v>
      </c>
      <c r="C126" s="30">
        <v>5066</v>
      </c>
      <c r="D126" s="30">
        <v>6070</v>
      </c>
      <c r="E126" s="30">
        <v>7248</v>
      </c>
      <c r="F126" s="30">
        <v>7129</v>
      </c>
      <c r="G126" s="30">
        <v>9853</v>
      </c>
      <c r="H126" s="30">
        <v>12987</v>
      </c>
      <c r="I126" s="30">
        <v>21979</v>
      </c>
      <c r="J126" s="30">
        <v>23378</v>
      </c>
      <c r="K126" s="30">
        <v>26046</v>
      </c>
      <c r="L126" s="30">
        <v>19416</v>
      </c>
      <c r="M126" s="30">
        <v>29650</v>
      </c>
      <c r="N126" s="30">
        <v>56031</v>
      </c>
      <c r="O126" s="30">
        <v>70974</v>
      </c>
      <c r="P126" s="30">
        <v>10601</v>
      </c>
      <c r="Q126" s="30">
        <v>30094</v>
      </c>
      <c r="R126" s="30">
        <v>77863</v>
      </c>
    </row>
    <row r="127" spans="2:18" ht="12.75" customHeight="1" x14ac:dyDescent="0.2">
      <c r="B127" s="29" t="s">
        <v>141</v>
      </c>
      <c r="C127" s="30">
        <v>66</v>
      </c>
      <c r="D127" s="30">
        <v>397</v>
      </c>
      <c r="E127" s="30">
        <v>598</v>
      </c>
      <c r="F127" s="30">
        <v>459</v>
      </c>
      <c r="G127" s="30">
        <v>1020</v>
      </c>
      <c r="H127" s="30">
        <v>783</v>
      </c>
      <c r="I127" s="30">
        <v>989</v>
      </c>
      <c r="J127" s="30">
        <v>1196</v>
      </c>
      <c r="K127" s="30">
        <v>1210</v>
      </c>
      <c r="L127" s="30">
        <v>983</v>
      </c>
      <c r="M127" s="30">
        <v>1209</v>
      </c>
      <c r="N127" s="30">
        <v>1204</v>
      </c>
      <c r="O127" s="30">
        <v>1351</v>
      </c>
      <c r="P127" s="30">
        <v>669</v>
      </c>
      <c r="Q127" s="30">
        <v>1202</v>
      </c>
      <c r="R127" s="30">
        <v>1570</v>
      </c>
    </row>
    <row r="128" spans="2:18" ht="12.75" customHeight="1" x14ac:dyDescent="0.2">
      <c r="B128" s="29" t="s">
        <v>142</v>
      </c>
      <c r="C128" s="30">
        <v>2377</v>
      </c>
      <c r="D128" s="30">
        <v>2686</v>
      </c>
      <c r="E128" s="30">
        <v>3355</v>
      </c>
      <c r="F128" s="30">
        <v>2323</v>
      </c>
      <c r="G128" s="30">
        <v>3902</v>
      </c>
      <c r="H128" s="30">
        <v>2847</v>
      </c>
      <c r="I128" s="30">
        <v>781</v>
      </c>
      <c r="J128" s="30">
        <v>605</v>
      </c>
      <c r="K128" s="30">
        <v>837</v>
      </c>
      <c r="L128" s="30">
        <v>683</v>
      </c>
      <c r="M128" s="30">
        <v>651</v>
      </c>
      <c r="N128" s="30">
        <v>835</v>
      </c>
      <c r="O128" s="30">
        <v>1133</v>
      </c>
      <c r="P128" s="30">
        <v>529</v>
      </c>
      <c r="Q128" s="30">
        <v>1542</v>
      </c>
      <c r="R128" s="30">
        <v>3084</v>
      </c>
    </row>
    <row r="129" spans="2:18" ht="12.75" customHeight="1" x14ac:dyDescent="0.2">
      <c r="B129" s="29" t="s">
        <v>143</v>
      </c>
      <c r="C129" s="30"/>
      <c r="D129" s="30"/>
      <c r="E129" s="30">
        <v>28171</v>
      </c>
      <c r="F129" s="30">
        <v>46228</v>
      </c>
      <c r="G129" s="30">
        <v>56411</v>
      </c>
      <c r="H129" s="30">
        <v>70156</v>
      </c>
      <c r="I129" s="30">
        <v>78825</v>
      </c>
      <c r="J129" s="30">
        <v>86272</v>
      </c>
      <c r="K129" s="30">
        <v>97818</v>
      </c>
      <c r="L129" s="30">
        <v>100022</v>
      </c>
      <c r="M129" s="30">
        <v>116049</v>
      </c>
      <c r="N129" s="30">
        <v>139500</v>
      </c>
      <c r="O129" s="30">
        <v>152048</v>
      </c>
      <c r="P129" s="30">
        <v>70462</v>
      </c>
      <c r="Q129" s="30">
        <v>145931</v>
      </c>
      <c r="R129" s="30">
        <v>193823</v>
      </c>
    </row>
    <row r="130" spans="2:18" ht="12.75" customHeight="1" x14ac:dyDescent="0.2">
      <c r="B130" s="29" t="s">
        <v>144</v>
      </c>
      <c r="C130" s="30">
        <v>1324</v>
      </c>
      <c r="D130" s="30">
        <v>1615</v>
      </c>
      <c r="E130" s="30">
        <v>1774</v>
      </c>
      <c r="F130" s="30">
        <v>1305</v>
      </c>
      <c r="G130" s="30">
        <v>2179</v>
      </c>
      <c r="H130" s="30">
        <v>2465</v>
      </c>
      <c r="I130" s="30">
        <v>2639</v>
      </c>
      <c r="J130" s="30">
        <v>2731</v>
      </c>
      <c r="K130" s="30">
        <v>3659</v>
      </c>
      <c r="L130" s="30">
        <v>2088</v>
      </c>
      <c r="M130" s="30">
        <v>1936</v>
      </c>
      <c r="N130" s="30">
        <v>3621</v>
      </c>
      <c r="O130" s="30">
        <v>5026</v>
      </c>
      <c r="P130" s="30">
        <v>755</v>
      </c>
      <c r="Q130" s="30">
        <v>1734</v>
      </c>
      <c r="R130" s="30">
        <v>8745</v>
      </c>
    </row>
    <row r="131" spans="2:18" ht="12.75" customHeight="1" x14ac:dyDescent="0.2">
      <c r="B131" s="29" t="s">
        <v>145</v>
      </c>
      <c r="C131" s="30">
        <v>12589</v>
      </c>
      <c r="D131" s="30">
        <v>22084</v>
      </c>
      <c r="E131" s="30">
        <v>26801</v>
      </c>
      <c r="F131" s="30">
        <v>27281</v>
      </c>
      <c r="G131" s="30">
        <v>41617</v>
      </c>
      <c r="H131" s="30">
        <v>65167</v>
      </c>
      <c r="I131" s="30">
        <v>88238</v>
      </c>
      <c r="J131" s="30">
        <v>133128</v>
      </c>
      <c r="K131" s="30">
        <v>174486</v>
      </c>
      <c r="L131" s="30">
        <v>179938</v>
      </c>
      <c r="M131" s="30">
        <v>255644</v>
      </c>
      <c r="N131" s="30">
        <v>298620</v>
      </c>
      <c r="O131" s="30">
        <v>374191</v>
      </c>
      <c r="P131" s="30">
        <v>120221</v>
      </c>
      <c r="Q131" s="30">
        <v>246249</v>
      </c>
      <c r="R131" s="30">
        <v>480123</v>
      </c>
    </row>
    <row r="132" spans="2:18" ht="12.75" customHeight="1" x14ac:dyDescent="0.2">
      <c r="B132" s="29" t="s">
        <v>146</v>
      </c>
      <c r="C132" s="30">
        <v>190512</v>
      </c>
      <c r="D132" s="30">
        <v>195909</v>
      </c>
      <c r="E132" s="30">
        <v>197442</v>
      </c>
      <c r="F132" s="30">
        <v>191993</v>
      </c>
      <c r="G132" s="30">
        <v>203272</v>
      </c>
      <c r="H132" s="30">
        <v>211828</v>
      </c>
      <c r="I132" s="30">
        <v>216881</v>
      </c>
      <c r="J132" s="30">
        <v>227612</v>
      </c>
      <c r="K132" s="30">
        <v>233278</v>
      </c>
      <c r="L132" s="30">
        <v>222839</v>
      </c>
      <c r="M132" s="30">
        <v>245858</v>
      </c>
      <c r="N132" s="30">
        <v>256343</v>
      </c>
      <c r="O132" s="30">
        <v>255986</v>
      </c>
      <c r="P132" s="30">
        <v>57601</v>
      </c>
      <c r="Q132" s="30">
        <v>65882</v>
      </c>
      <c r="R132" s="30">
        <v>171691</v>
      </c>
    </row>
    <row r="133" spans="2:18" ht="12.75" customHeight="1" x14ac:dyDescent="0.2">
      <c r="B133" s="29" t="s">
        <v>147</v>
      </c>
      <c r="C133" s="30">
        <v>120</v>
      </c>
      <c r="D133" s="30">
        <v>226</v>
      </c>
      <c r="E133" s="30">
        <v>937</v>
      </c>
      <c r="F133" s="30">
        <v>149</v>
      </c>
      <c r="G133" s="30">
        <v>56</v>
      </c>
      <c r="H133" s="30">
        <v>714</v>
      </c>
      <c r="I133" s="30">
        <v>586</v>
      </c>
      <c r="J133" s="30">
        <v>57</v>
      </c>
      <c r="K133" s="30">
        <v>61</v>
      </c>
      <c r="L133" s="30">
        <v>80</v>
      </c>
      <c r="M133" s="30">
        <v>345</v>
      </c>
      <c r="N133" s="30">
        <v>29</v>
      </c>
      <c r="O133" s="30">
        <v>39</v>
      </c>
      <c r="P133" s="30">
        <v>9</v>
      </c>
      <c r="Q133" s="30">
        <v>4</v>
      </c>
      <c r="R133" s="30">
        <v>74</v>
      </c>
    </row>
    <row r="134" spans="2:18" ht="12.75" customHeight="1" x14ac:dyDescent="0.2">
      <c r="B134" s="29" t="s">
        <v>148</v>
      </c>
      <c r="C134" s="30">
        <v>93705</v>
      </c>
      <c r="D134" s="30">
        <v>106645</v>
      </c>
      <c r="E134" s="30">
        <v>107389</v>
      </c>
      <c r="F134" s="30">
        <v>115541</v>
      </c>
      <c r="G134" s="30">
        <v>130648</v>
      </c>
      <c r="H134" s="30">
        <v>137579</v>
      </c>
      <c r="I134" s="30">
        <v>140793</v>
      </c>
      <c r="J134" s="30">
        <v>156138</v>
      </c>
      <c r="K134" s="30">
        <v>167428</v>
      </c>
      <c r="L134" s="30">
        <v>146008</v>
      </c>
      <c r="M134" s="30">
        <v>172851</v>
      </c>
      <c r="N134" s="30">
        <v>209519</v>
      </c>
      <c r="O134" s="30">
        <v>222862</v>
      </c>
      <c r="P134" s="30">
        <v>115483</v>
      </c>
      <c r="Q134" s="30">
        <v>182045</v>
      </c>
      <c r="R134" s="30">
        <v>266184</v>
      </c>
    </row>
    <row r="135" spans="2:18" ht="12.75" customHeight="1" x14ac:dyDescent="0.2">
      <c r="B135" s="29" t="s">
        <v>149</v>
      </c>
      <c r="C135" s="30"/>
      <c r="D135" s="30"/>
      <c r="E135" s="30"/>
      <c r="F135" s="30"/>
      <c r="G135" s="30"/>
      <c r="H135" s="30"/>
      <c r="I135" s="30"/>
      <c r="J135" s="30"/>
      <c r="K135" s="30">
        <v>2</v>
      </c>
      <c r="L135" s="30">
        <v>1</v>
      </c>
      <c r="M135" s="30"/>
      <c r="N135" s="30">
        <v>3</v>
      </c>
      <c r="O135" s="30"/>
      <c r="P135" s="30"/>
      <c r="Q135" s="30"/>
      <c r="R135" s="30"/>
    </row>
    <row r="136" spans="2:18" ht="12.75" customHeight="1" x14ac:dyDescent="0.2">
      <c r="B136" s="29" t="s">
        <v>150</v>
      </c>
      <c r="C136" s="30">
        <v>722</v>
      </c>
      <c r="D136" s="30">
        <v>913</v>
      </c>
      <c r="E136" s="30">
        <v>807</v>
      </c>
      <c r="F136" s="30">
        <v>773</v>
      </c>
      <c r="G136" s="30">
        <v>828</v>
      </c>
      <c r="H136" s="30">
        <v>784</v>
      </c>
      <c r="I136" s="30">
        <v>1064</v>
      </c>
      <c r="J136" s="30">
        <v>1654</v>
      </c>
      <c r="K136" s="30">
        <v>1745</v>
      </c>
      <c r="L136" s="30">
        <v>1375</v>
      </c>
      <c r="M136" s="30">
        <v>2505</v>
      </c>
      <c r="N136" s="30">
        <v>3097</v>
      </c>
      <c r="O136" s="30">
        <v>3087</v>
      </c>
      <c r="P136" s="30">
        <v>596</v>
      </c>
      <c r="Q136" s="30">
        <v>1502</v>
      </c>
      <c r="R136" s="30">
        <v>3557</v>
      </c>
    </row>
    <row r="137" spans="2:18" ht="12.75" customHeight="1" x14ac:dyDescent="0.2">
      <c r="B137" s="29" t="s">
        <v>151</v>
      </c>
      <c r="C137" s="30">
        <v>20</v>
      </c>
      <c r="D137" s="30">
        <v>32</v>
      </c>
      <c r="E137" s="30">
        <v>83</v>
      </c>
      <c r="F137" s="30">
        <v>22</v>
      </c>
      <c r="G137" s="30">
        <v>90</v>
      </c>
      <c r="H137" s="30">
        <v>82</v>
      </c>
      <c r="I137" s="30">
        <v>72</v>
      </c>
      <c r="J137" s="30">
        <v>112</v>
      </c>
      <c r="K137" s="30">
        <v>106</v>
      </c>
      <c r="L137" s="30">
        <v>47</v>
      </c>
      <c r="M137" s="30">
        <v>39</v>
      </c>
      <c r="N137" s="30">
        <v>51</v>
      </c>
      <c r="O137" s="30">
        <v>84</v>
      </c>
      <c r="P137" s="30">
        <v>27</v>
      </c>
      <c r="Q137" s="30">
        <v>17</v>
      </c>
      <c r="R137" s="30">
        <v>105</v>
      </c>
    </row>
    <row r="138" spans="2:18" ht="12.75" customHeight="1" x14ac:dyDescent="0.2">
      <c r="B138" s="29" t="s">
        <v>152</v>
      </c>
      <c r="C138" s="30">
        <v>43</v>
      </c>
      <c r="D138" s="30">
        <v>30</v>
      </c>
      <c r="E138" s="30">
        <v>59</v>
      </c>
      <c r="F138" s="30">
        <v>20</v>
      </c>
      <c r="G138" s="30">
        <v>87</v>
      </c>
      <c r="H138" s="30">
        <v>35</v>
      </c>
      <c r="I138" s="30">
        <v>49</v>
      </c>
      <c r="J138" s="30">
        <v>61</v>
      </c>
      <c r="K138" s="30">
        <v>80</v>
      </c>
      <c r="L138" s="30">
        <v>76</v>
      </c>
      <c r="M138" s="30">
        <v>56</v>
      </c>
      <c r="N138" s="30">
        <v>120</v>
      </c>
      <c r="O138" s="30">
        <v>136</v>
      </c>
      <c r="P138" s="30">
        <v>30</v>
      </c>
      <c r="Q138" s="30">
        <v>34</v>
      </c>
      <c r="R138" s="30">
        <v>126</v>
      </c>
    </row>
    <row r="139" spans="2:18" ht="12.75" customHeight="1" x14ac:dyDescent="0.2">
      <c r="B139" s="29" t="s">
        <v>153</v>
      </c>
      <c r="C139" s="30">
        <v>57436</v>
      </c>
      <c r="D139" s="30">
        <v>58460</v>
      </c>
      <c r="E139" s="30">
        <v>40686</v>
      </c>
      <c r="F139" s="30">
        <v>39102</v>
      </c>
      <c r="G139" s="30">
        <v>45074</v>
      </c>
      <c r="H139" s="30">
        <v>45725</v>
      </c>
      <c r="I139" s="30">
        <v>55058</v>
      </c>
      <c r="J139" s="30">
        <v>58981</v>
      </c>
      <c r="K139" s="30">
        <v>60485</v>
      </c>
      <c r="L139" s="30">
        <v>34861</v>
      </c>
      <c r="M139" s="30">
        <v>46536</v>
      </c>
      <c r="N139" s="30">
        <v>65868</v>
      </c>
      <c r="O139" s="30">
        <v>86051</v>
      </c>
      <c r="P139" s="30">
        <v>9392</v>
      </c>
      <c r="Q139" s="30">
        <v>44760</v>
      </c>
      <c r="R139" s="30">
        <v>97240</v>
      </c>
    </row>
    <row r="140" spans="2:18" ht="12.75" customHeight="1" x14ac:dyDescent="0.2">
      <c r="B140" s="29" t="s">
        <v>154</v>
      </c>
      <c r="C140" s="30">
        <v>99</v>
      </c>
      <c r="D140" s="30">
        <v>488</v>
      </c>
      <c r="E140" s="30">
        <v>230</v>
      </c>
      <c r="F140" s="30">
        <v>276</v>
      </c>
      <c r="G140" s="30">
        <v>164</v>
      </c>
      <c r="H140" s="30">
        <v>167</v>
      </c>
      <c r="I140" s="30">
        <v>444</v>
      </c>
      <c r="J140" s="30">
        <v>529</v>
      </c>
      <c r="K140" s="30">
        <v>455</v>
      </c>
      <c r="L140" s="30">
        <v>233</v>
      </c>
      <c r="M140" s="30">
        <v>205</v>
      </c>
      <c r="N140" s="30">
        <v>250</v>
      </c>
      <c r="O140" s="30">
        <v>205</v>
      </c>
      <c r="P140" s="30">
        <v>81</v>
      </c>
      <c r="Q140" s="30">
        <v>274</v>
      </c>
      <c r="R140" s="30">
        <v>610</v>
      </c>
    </row>
    <row r="141" spans="2:18" ht="12.75" customHeight="1" x14ac:dyDescent="0.2">
      <c r="B141" s="29" t="s">
        <v>155</v>
      </c>
      <c r="C141" s="30">
        <v>33700</v>
      </c>
      <c r="D141" s="30">
        <v>43779</v>
      </c>
      <c r="E141" s="30">
        <v>64721</v>
      </c>
      <c r="F141" s="30">
        <v>60917</v>
      </c>
      <c r="G141" s="30">
        <v>53562</v>
      </c>
      <c r="H141" s="30">
        <v>213890</v>
      </c>
      <c r="I141" s="30">
        <v>264266</v>
      </c>
      <c r="J141" s="30">
        <v>267501</v>
      </c>
      <c r="K141" s="30">
        <v>234762</v>
      </c>
      <c r="L141" s="30">
        <v>72014</v>
      </c>
      <c r="M141" s="30">
        <v>99395</v>
      </c>
      <c r="N141" s="30">
        <v>188312</v>
      </c>
      <c r="O141" s="30">
        <v>259243</v>
      </c>
      <c r="P141" s="30">
        <v>107251</v>
      </c>
      <c r="Q141" s="30">
        <v>197983</v>
      </c>
      <c r="R141" s="30">
        <v>220179</v>
      </c>
    </row>
    <row r="142" spans="2:18" ht="12.75" customHeight="1" x14ac:dyDescent="0.2">
      <c r="B142" s="29" t="s">
        <v>156</v>
      </c>
      <c r="C142" s="30">
        <v>1249</v>
      </c>
      <c r="D142" s="30">
        <v>1353</v>
      </c>
      <c r="E142" s="30">
        <v>1603</v>
      </c>
      <c r="F142" s="30">
        <v>1362</v>
      </c>
      <c r="G142" s="30">
        <v>1688</v>
      </c>
      <c r="H142" s="30">
        <v>1855</v>
      </c>
      <c r="I142" s="30">
        <v>2099</v>
      </c>
      <c r="J142" s="30">
        <v>2100</v>
      </c>
      <c r="K142" s="30">
        <v>2180</v>
      </c>
      <c r="L142" s="30">
        <v>1161</v>
      </c>
      <c r="M142" s="30">
        <v>1239</v>
      </c>
      <c r="N142" s="30">
        <v>1546</v>
      </c>
      <c r="O142" s="30">
        <v>1796</v>
      </c>
      <c r="P142" s="30">
        <v>562</v>
      </c>
      <c r="Q142" s="30">
        <v>1331</v>
      </c>
      <c r="R142" s="30">
        <v>2092</v>
      </c>
    </row>
    <row r="143" spans="2:18" ht="12.75" customHeight="1" x14ac:dyDescent="0.2">
      <c r="B143" s="29" t="s">
        <v>157</v>
      </c>
      <c r="C143" s="30">
        <v>71791</v>
      </c>
      <c r="D143" s="30">
        <v>92939</v>
      </c>
      <c r="E143" s="30">
        <v>76730</v>
      </c>
      <c r="F143" s="30">
        <v>71992</v>
      </c>
      <c r="G143" s="30">
        <v>76036</v>
      </c>
      <c r="H143" s="30">
        <v>69520</v>
      </c>
      <c r="I143" s="30">
        <v>90180</v>
      </c>
      <c r="J143" s="30">
        <v>106469</v>
      </c>
      <c r="K143" s="30">
        <v>112654</v>
      </c>
      <c r="L143" s="30">
        <v>109749</v>
      </c>
      <c r="M143" s="30">
        <v>134264</v>
      </c>
      <c r="N143" s="30">
        <v>199371</v>
      </c>
      <c r="O143" s="30">
        <v>229704</v>
      </c>
      <c r="P143" s="30">
        <v>14194</v>
      </c>
      <c r="Q143" s="30">
        <v>114227</v>
      </c>
      <c r="R143" s="30">
        <v>251619</v>
      </c>
    </row>
    <row r="144" spans="2:18" ht="12.75" customHeight="1" x14ac:dyDescent="0.2">
      <c r="B144" s="29" t="s">
        <v>158</v>
      </c>
      <c r="C144" s="30">
        <v>45461</v>
      </c>
      <c r="D144" s="30">
        <v>53948</v>
      </c>
      <c r="E144" s="30">
        <v>71771</v>
      </c>
      <c r="F144" s="30">
        <v>134554</v>
      </c>
      <c r="G144" s="30">
        <v>137110</v>
      </c>
      <c r="H144" s="30">
        <v>144491</v>
      </c>
      <c r="I144" s="30">
        <v>143629</v>
      </c>
      <c r="J144" s="30">
        <v>161274</v>
      </c>
      <c r="K144" s="30">
        <v>197552</v>
      </c>
      <c r="L144" s="30">
        <v>191642</v>
      </c>
      <c r="M144" s="30">
        <v>237476</v>
      </c>
      <c r="N144" s="30">
        <v>338837</v>
      </c>
      <c r="O144" s="30">
        <v>376721</v>
      </c>
      <c r="P144" s="30">
        <v>89337</v>
      </c>
      <c r="Q144" s="30">
        <v>191768</v>
      </c>
      <c r="R144" s="30">
        <v>272844</v>
      </c>
    </row>
    <row r="145" spans="2:18" ht="12.75" customHeight="1" x14ac:dyDescent="0.2">
      <c r="B145" s="29" t="s">
        <v>159</v>
      </c>
      <c r="C145" s="30">
        <v>6785</v>
      </c>
      <c r="D145" s="30">
        <v>10852</v>
      </c>
      <c r="E145" s="30">
        <v>9687</v>
      </c>
      <c r="F145" s="30">
        <v>11262</v>
      </c>
      <c r="G145" s="30">
        <v>13286</v>
      </c>
      <c r="H145" s="30">
        <v>14034</v>
      </c>
      <c r="I145" s="30">
        <v>15733</v>
      </c>
      <c r="J145" s="30">
        <v>15310</v>
      </c>
      <c r="K145" s="30">
        <v>12764</v>
      </c>
      <c r="L145" s="30">
        <v>4831</v>
      </c>
      <c r="M145" s="30">
        <v>4922</v>
      </c>
      <c r="N145" s="30">
        <v>7716</v>
      </c>
      <c r="O145" s="30">
        <v>10957</v>
      </c>
      <c r="P145" s="30">
        <v>2228</v>
      </c>
      <c r="Q145" s="30">
        <v>8499</v>
      </c>
      <c r="R145" s="30">
        <v>13186</v>
      </c>
    </row>
    <row r="146" spans="2:18" ht="12.75" customHeight="1" x14ac:dyDescent="0.2">
      <c r="B146" s="29" t="s">
        <v>160</v>
      </c>
      <c r="C146" s="30">
        <v>82718</v>
      </c>
      <c r="D146" s="30">
        <v>95414</v>
      </c>
      <c r="E146" s="30">
        <v>82684</v>
      </c>
      <c r="F146" s="30">
        <v>90944</v>
      </c>
      <c r="G146" s="30">
        <v>103918</v>
      </c>
      <c r="H146" s="30">
        <v>94409</v>
      </c>
      <c r="I146" s="30">
        <v>97074</v>
      </c>
      <c r="J146" s="30">
        <v>119977</v>
      </c>
      <c r="K146" s="30">
        <v>140197</v>
      </c>
      <c r="L146" s="30">
        <v>64737</v>
      </c>
      <c r="M146" s="30">
        <v>79899</v>
      </c>
      <c r="N146" s="30">
        <v>123448</v>
      </c>
      <c r="O146" s="30">
        <v>149523</v>
      </c>
      <c r="P146" s="30">
        <v>16563</v>
      </c>
      <c r="Q146" s="30">
        <v>76257</v>
      </c>
      <c r="R146" s="30">
        <v>165842</v>
      </c>
    </row>
    <row r="147" spans="2:18" ht="12.75" customHeight="1" x14ac:dyDescent="0.2">
      <c r="B147" s="29" t="s">
        <v>161</v>
      </c>
      <c r="C147" s="30">
        <v>64</v>
      </c>
      <c r="D147" s="30">
        <v>97</v>
      </c>
      <c r="E147" s="30">
        <v>169</v>
      </c>
      <c r="F147" s="30">
        <v>134</v>
      </c>
      <c r="G147" s="30">
        <v>341</v>
      </c>
      <c r="H147" s="30">
        <v>837</v>
      </c>
      <c r="I147" s="30">
        <v>357</v>
      </c>
      <c r="J147" s="30">
        <v>319</v>
      </c>
      <c r="K147" s="30">
        <v>326</v>
      </c>
      <c r="L147" s="30">
        <v>360</v>
      </c>
      <c r="M147" s="30">
        <v>367</v>
      </c>
      <c r="N147" s="30">
        <v>428</v>
      </c>
      <c r="O147" s="30">
        <v>509</v>
      </c>
      <c r="P147" s="30">
        <v>116</v>
      </c>
      <c r="Q147" s="30">
        <v>214</v>
      </c>
      <c r="R147" s="30">
        <v>390</v>
      </c>
    </row>
    <row r="148" spans="2:18" ht="12.75" customHeight="1" x14ac:dyDescent="0.2">
      <c r="B148" s="29" t="s">
        <v>162</v>
      </c>
      <c r="C148" s="30">
        <v>198</v>
      </c>
      <c r="D148" s="30">
        <v>54</v>
      </c>
      <c r="E148" s="30">
        <v>123</v>
      </c>
      <c r="F148" s="30">
        <v>115</v>
      </c>
      <c r="G148" s="30">
        <v>185</v>
      </c>
      <c r="H148" s="30">
        <v>190</v>
      </c>
      <c r="I148" s="30">
        <v>242</v>
      </c>
      <c r="J148" s="30">
        <v>685</v>
      </c>
      <c r="K148" s="30">
        <v>719</v>
      </c>
      <c r="L148" s="30">
        <v>160</v>
      </c>
      <c r="M148" s="30">
        <v>227</v>
      </c>
      <c r="N148" s="30">
        <v>653</v>
      </c>
      <c r="O148" s="30">
        <v>1225</v>
      </c>
      <c r="P148" s="30">
        <v>68</v>
      </c>
      <c r="Q148" s="30">
        <v>8</v>
      </c>
      <c r="R148" s="30">
        <v>50</v>
      </c>
    </row>
    <row r="149" spans="2:18" ht="12.75" customHeight="1" x14ac:dyDescent="0.2">
      <c r="B149" s="29" t="s">
        <v>163</v>
      </c>
      <c r="C149" s="30">
        <v>59</v>
      </c>
      <c r="D149" s="30">
        <v>102</v>
      </c>
      <c r="E149" s="30">
        <v>125</v>
      </c>
      <c r="F149" s="30">
        <v>103</v>
      </c>
      <c r="G149" s="30">
        <v>159</v>
      </c>
      <c r="H149" s="30">
        <v>226</v>
      </c>
      <c r="I149" s="30">
        <v>264</v>
      </c>
      <c r="J149" s="30">
        <v>220</v>
      </c>
      <c r="K149" s="30">
        <v>319</v>
      </c>
      <c r="L149" s="30">
        <v>219</v>
      </c>
      <c r="M149" s="30">
        <v>278</v>
      </c>
      <c r="N149" s="30">
        <v>259</v>
      </c>
      <c r="O149" s="30">
        <v>346</v>
      </c>
      <c r="P149" s="30">
        <v>79</v>
      </c>
      <c r="Q149" s="30">
        <v>223</v>
      </c>
      <c r="R149" s="30">
        <v>414</v>
      </c>
    </row>
    <row r="150" spans="2:18" ht="12.75" customHeight="1" x14ac:dyDescent="0.2">
      <c r="B150" s="29" t="s">
        <v>164</v>
      </c>
      <c r="C150" s="30">
        <v>173</v>
      </c>
      <c r="D150" s="30">
        <v>205</v>
      </c>
      <c r="E150" s="30">
        <v>258</v>
      </c>
      <c r="F150" s="30">
        <v>156</v>
      </c>
      <c r="G150" s="30">
        <v>167</v>
      </c>
      <c r="H150" s="30">
        <v>262</v>
      </c>
      <c r="I150" s="30">
        <v>404</v>
      </c>
      <c r="J150" s="30">
        <v>541</v>
      </c>
      <c r="K150" s="30">
        <v>622</v>
      </c>
      <c r="L150" s="30">
        <v>431</v>
      </c>
      <c r="M150" s="30">
        <v>735</v>
      </c>
      <c r="N150" s="30">
        <v>958</v>
      </c>
      <c r="O150" s="30">
        <v>1175</v>
      </c>
      <c r="P150" s="30">
        <v>306</v>
      </c>
      <c r="Q150" s="30">
        <v>3474</v>
      </c>
      <c r="R150" s="30">
        <v>4022</v>
      </c>
    </row>
    <row r="151" spans="2:18" ht="12.75" customHeight="1" x14ac:dyDescent="0.2">
      <c r="B151" s="29" t="s">
        <v>165</v>
      </c>
      <c r="C151" s="30">
        <v>23851</v>
      </c>
      <c r="D151" s="30">
        <v>26881</v>
      </c>
      <c r="E151" s="30">
        <v>29557</v>
      </c>
      <c r="F151" s="30">
        <v>32458</v>
      </c>
      <c r="G151" s="30">
        <v>36222</v>
      </c>
      <c r="H151" s="30">
        <v>41169</v>
      </c>
      <c r="I151" s="30">
        <v>55139</v>
      </c>
      <c r="J151" s="30">
        <v>69968</v>
      </c>
      <c r="K151" s="30">
        <v>69616</v>
      </c>
      <c r="L151" s="30">
        <v>49255</v>
      </c>
      <c r="M151" s="30">
        <v>61166</v>
      </c>
      <c r="N151" s="30">
        <v>95591</v>
      </c>
      <c r="O151" s="30">
        <v>114214</v>
      </c>
      <c r="P151" s="30">
        <v>17892</v>
      </c>
      <c r="Q151" s="30">
        <v>9618</v>
      </c>
      <c r="R151" s="30">
        <v>89766</v>
      </c>
    </row>
    <row r="152" spans="2:18" ht="12.75" customHeight="1" x14ac:dyDescent="0.2">
      <c r="B152" s="29" t="s">
        <v>166</v>
      </c>
      <c r="C152" s="30">
        <v>294</v>
      </c>
      <c r="D152" s="30">
        <v>333</v>
      </c>
      <c r="E152" s="30">
        <v>407</v>
      </c>
      <c r="F152" s="30">
        <v>573</v>
      </c>
      <c r="G152" s="30">
        <v>834</v>
      </c>
      <c r="H152" s="30">
        <v>880</v>
      </c>
      <c r="I152" s="30">
        <v>1439</v>
      </c>
      <c r="J152" s="30">
        <v>1467</v>
      </c>
      <c r="K152" s="30">
        <v>2103</v>
      </c>
      <c r="L152" s="30">
        <v>2149</v>
      </c>
      <c r="M152" s="30">
        <v>2280</v>
      </c>
      <c r="N152" s="30">
        <v>2904</v>
      </c>
      <c r="O152" s="30">
        <v>3402</v>
      </c>
      <c r="P152" s="30">
        <v>1805</v>
      </c>
      <c r="Q152" s="30">
        <v>4580</v>
      </c>
      <c r="R152" s="30">
        <v>6389</v>
      </c>
    </row>
    <row r="153" spans="2:18" ht="12.75" customHeight="1" x14ac:dyDescent="0.2">
      <c r="B153" s="29" t="s">
        <v>167</v>
      </c>
      <c r="C153" s="30">
        <v>2999</v>
      </c>
      <c r="D153" s="30">
        <v>3412</v>
      </c>
      <c r="E153" s="30">
        <v>3616</v>
      </c>
      <c r="F153" s="30">
        <v>3361</v>
      </c>
      <c r="G153" s="30">
        <v>5974</v>
      </c>
      <c r="H153" s="30">
        <v>6397</v>
      </c>
      <c r="I153" s="30">
        <v>6769</v>
      </c>
      <c r="J153" s="30">
        <v>7430</v>
      </c>
      <c r="K153" s="30">
        <v>9210</v>
      </c>
      <c r="L153" s="30">
        <v>5849</v>
      </c>
      <c r="M153" s="30">
        <v>5523</v>
      </c>
      <c r="N153" s="30">
        <v>8287</v>
      </c>
      <c r="O153" s="30">
        <v>8739</v>
      </c>
      <c r="P153" s="30">
        <v>3258</v>
      </c>
      <c r="Q153" s="30">
        <v>7163</v>
      </c>
      <c r="R153" s="30">
        <v>16321</v>
      </c>
    </row>
    <row r="154" spans="2:18" ht="12.75" customHeight="1" x14ac:dyDescent="0.2">
      <c r="B154" s="29" t="s">
        <v>168</v>
      </c>
      <c r="C154" s="30"/>
      <c r="D154" s="30"/>
      <c r="E154" s="30"/>
      <c r="F154" s="30"/>
      <c r="G154" s="30">
        <v>311</v>
      </c>
      <c r="H154" s="30"/>
      <c r="I154" s="30"/>
      <c r="J154" s="30"/>
      <c r="K154" s="30"/>
      <c r="L154" s="30"/>
      <c r="M154" s="30"/>
      <c r="N154" s="30"/>
      <c r="O154" s="30"/>
      <c r="P154" s="30"/>
      <c r="Q154" s="30"/>
      <c r="R154" s="30"/>
    </row>
    <row r="155" spans="2:18" ht="12.75" customHeight="1" x14ac:dyDescent="0.2">
      <c r="B155" s="29" t="s">
        <v>169</v>
      </c>
      <c r="C155" s="30"/>
      <c r="D155" s="30">
        <v>6</v>
      </c>
      <c r="E155" s="30"/>
      <c r="F155" s="30">
        <v>2</v>
      </c>
      <c r="G155" s="30"/>
      <c r="H155" s="30">
        <v>1</v>
      </c>
      <c r="I155" s="30"/>
      <c r="J155" s="30">
        <v>20</v>
      </c>
      <c r="K155" s="30">
        <v>10</v>
      </c>
      <c r="L155" s="30"/>
      <c r="M155" s="30"/>
      <c r="N155" s="30">
        <v>2</v>
      </c>
      <c r="O155" s="30">
        <v>2</v>
      </c>
      <c r="P155" s="30">
        <v>21</v>
      </c>
      <c r="Q155" s="30"/>
      <c r="R155" s="30"/>
    </row>
    <row r="156" spans="2:18" ht="12.75" customHeight="1" x14ac:dyDescent="0.2">
      <c r="B156" s="29" t="s">
        <v>170</v>
      </c>
      <c r="C156" s="30">
        <v>485</v>
      </c>
      <c r="D156" s="30">
        <v>701</v>
      </c>
      <c r="E156" s="30">
        <v>1650</v>
      </c>
      <c r="F156" s="30">
        <v>2117</v>
      </c>
      <c r="G156" s="30">
        <v>3255</v>
      </c>
      <c r="H156" s="30">
        <v>4088</v>
      </c>
      <c r="I156" s="30">
        <v>2648</v>
      </c>
      <c r="J156" s="30">
        <v>4046</v>
      </c>
      <c r="K156" s="30">
        <v>4078</v>
      </c>
      <c r="L156" s="30">
        <v>2499</v>
      </c>
      <c r="M156" s="30">
        <v>5485</v>
      </c>
      <c r="N156" s="30">
        <v>6137</v>
      </c>
      <c r="O156" s="30">
        <v>10714</v>
      </c>
      <c r="P156" s="30">
        <v>2306</v>
      </c>
      <c r="Q156" s="30">
        <v>2831</v>
      </c>
      <c r="R156" s="30">
        <v>13836</v>
      </c>
    </row>
    <row r="157" spans="2:18" ht="12.75" customHeight="1" x14ac:dyDescent="0.2">
      <c r="B157" s="29" t="s">
        <v>171</v>
      </c>
      <c r="C157" s="30"/>
      <c r="D157" s="30"/>
      <c r="E157" s="30"/>
      <c r="F157" s="30"/>
      <c r="G157" s="30"/>
      <c r="H157" s="30"/>
      <c r="I157" s="30"/>
      <c r="J157" s="30"/>
      <c r="K157" s="30"/>
      <c r="L157" s="30"/>
      <c r="M157" s="30">
        <v>1</v>
      </c>
      <c r="N157" s="30"/>
      <c r="O157" s="30"/>
      <c r="P157" s="30"/>
      <c r="Q157" s="30"/>
      <c r="R157" s="30"/>
    </row>
    <row r="158" spans="2:18" ht="12.75" customHeight="1" x14ac:dyDescent="0.2">
      <c r="B158" s="29" t="s">
        <v>172</v>
      </c>
      <c r="C158" s="30">
        <v>25630</v>
      </c>
      <c r="D158" s="30">
        <v>26997</v>
      </c>
      <c r="E158" s="30">
        <v>21912</v>
      </c>
      <c r="F158" s="30">
        <v>22908</v>
      </c>
      <c r="G158" s="30">
        <v>29606</v>
      </c>
      <c r="H158" s="30">
        <v>31576</v>
      </c>
      <c r="I158" s="30">
        <v>36617</v>
      </c>
      <c r="J158" s="30">
        <v>42663</v>
      </c>
      <c r="K158" s="30">
        <v>45902</v>
      </c>
      <c r="L158" s="30">
        <v>20958</v>
      </c>
      <c r="M158" s="30">
        <v>19632</v>
      </c>
      <c r="N158" s="30">
        <v>36737</v>
      </c>
      <c r="O158" s="30">
        <v>66557</v>
      </c>
      <c r="P158" s="30">
        <v>12775</v>
      </c>
      <c r="Q158" s="30">
        <v>34705</v>
      </c>
      <c r="R158" s="30">
        <v>114267</v>
      </c>
    </row>
    <row r="159" spans="2:18" ht="12.75" customHeight="1" x14ac:dyDescent="0.2">
      <c r="B159" s="29" t="s">
        <v>173</v>
      </c>
      <c r="C159" s="30">
        <v>52946</v>
      </c>
      <c r="D159" s="30">
        <v>57994</v>
      </c>
      <c r="E159" s="30">
        <v>66912</v>
      </c>
      <c r="F159" s="30">
        <v>61560</v>
      </c>
      <c r="G159" s="30">
        <v>79665</v>
      </c>
      <c r="H159" s="30">
        <v>112025</v>
      </c>
      <c r="I159" s="30">
        <v>107437</v>
      </c>
      <c r="J159" s="30">
        <v>108762</v>
      </c>
      <c r="K159" s="30">
        <v>100040</v>
      </c>
      <c r="L159" s="30">
        <v>94871</v>
      </c>
      <c r="M159" s="30">
        <v>100971</v>
      </c>
      <c r="N159" s="30">
        <v>148943</v>
      </c>
      <c r="O159" s="30">
        <v>177655</v>
      </c>
      <c r="P159" s="30">
        <v>68936</v>
      </c>
      <c r="Q159" s="30">
        <v>124483</v>
      </c>
      <c r="R159" s="30">
        <v>227850</v>
      </c>
    </row>
    <row r="160" spans="2:18" ht="12.75" customHeight="1" x14ac:dyDescent="0.2">
      <c r="B160" s="29" t="s">
        <v>174</v>
      </c>
      <c r="C160" s="30"/>
      <c r="D160" s="30"/>
      <c r="E160" s="30"/>
      <c r="F160" s="30"/>
      <c r="G160" s="30"/>
      <c r="H160" s="30"/>
      <c r="I160" s="30"/>
      <c r="J160" s="30"/>
      <c r="K160" s="30"/>
      <c r="L160" s="30"/>
      <c r="M160" s="30"/>
      <c r="N160" s="30"/>
      <c r="O160" s="30"/>
      <c r="P160" s="30"/>
      <c r="Q160" s="30"/>
      <c r="R160" s="30"/>
    </row>
    <row r="161" spans="2:18" ht="12.75" customHeight="1" x14ac:dyDescent="0.2">
      <c r="B161" s="29" t="s">
        <v>175</v>
      </c>
      <c r="C161" s="30"/>
      <c r="D161" s="30">
        <v>6</v>
      </c>
      <c r="E161" s="30">
        <v>6</v>
      </c>
      <c r="F161" s="30">
        <v>1</v>
      </c>
      <c r="G161" s="30">
        <v>1</v>
      </c>
      <c r="H161" s="30">
        <v>1</v>
      </c>
      <c r="I161" s="30">
        <v>3</v>
      </c>
      <c r="J161" s="30">
        <v>5</v>
      </c>
      <c r="K161" s="30">
        <v>1</v>
      </c>
      <c r="L161" s="30">
        <v>12</v>
      </c>
      <c r="M161" s="30">
        <v>5</v>
      </c>
      <c r="N161" s="30">
        <v>1</v>
      </c>
      <c r="O161" s="30">
        <v>1</v>
      </c>
      <c r="P161" s="30"/>
      <c r="Q161" s="30">
        <v>1</v>
      </c>
      <c r="R161" s="30">
        <v>3</v>
      </c>
    </row>
    <row r="162" spans="2:18" ht="12.75" customHeight="1" x14ac:dyDescent="0.2">
      <c r="B162" s="29" t="s">
        <v>176</v>
      </c>
      <c r="C162" s="30">
        <v>20365</v>
      </c>
      <c r="D162" s="30">
        <v>23134</v>
      </c>
      <c r="E162" s="30">
        <v>26192</v>
      </c>
      <c r="F162" s="30">
        <v>22897</v>
      </c>
      <c r="G162" s="30">
        <v>26495</v>
      </c>
      <c r="H162" s="30">
        <v>31736</v>
      </c>
      <c r="I162" s="30">
        <v>35501</v>
      </c>
      <c r="J162" s="30">
        <v>45466</v>
      </c>
      <c r="K162" s="30">
        <v>54434</v>
      </c>
      <c r="L162" s="30">
        <v>38447</v>
      </c>
      <c r="M162" s="30">
        <v>54296</v>
      </c>
      <c r="N162" s="30">
        <v>77689</v>
      </c>
      <c r="O162" s="30">
        <v>96424</v>
      </c>
      <c r="P162" s="30">
        <v>29681</v>
      </c>
      <c r="Q162" s="30">
        <v>62423</v>
      </c>
      <c r="R162" s="30">
        <v>89322</v>
      </c>
    </row>
    <row r="163" spans="2:18" ht="12.75" customHeight="1" x14ac:dyDescent="0.2">
      <c r="B163" s="29" t="s">
        <v>177</v>
      </c>
      <c r="C163" s="30">
        <v>3317</v>
      </c>
      <c r="D163" s="30">
        <v>5146</v>
      </c>
      <c r="E163" s="30">
        <v>4916</v>
      </c>
      <c r="F163" s="30">
        <v>4776</v>
      </c>
      <c r="G163" s="30">
        <v>5357</v>
      </c>
      <c r="H163" s="30">
        <v>8154</v>
      </c>
      <c r="I163" s="30">
        <v>10179</v>
      </c>
      <c r="J163" s="30">
        <v>10723</v>
      </c>
      <c r="K163" s="30">
        <v>11231</v>
      </c>
      <c r="L163" s="30">
        <v>10929</v>
      </c>
      <c r="M163" s="30">
        <v>13174</v>
      </c>
      <c r="N163" s="30">
        <v>15876</v>
      </c>
      <c r="O163" s="30">
        <v>17910</v>
      </c>
      <c r="P163" s="30">
        <v>6314</v>
      </c>
      <c r="Q163" s="30">
        <v>12883</v>
      </c>
      <c r="R163" s="30">
        <v>43764</v>
      </c>
    </row>
    <row r="164" spans="2:18" ht="12.75" customHeight="1" x14ac:dyDescent="0.2">
      <c r="B164" s="29" t="s">
        <v>178</v>
      </c>
      <c r="C164" s="30">
        <v>145341</v>
      </c>
      <c r="D164" s="30">
        <v>141514</v>
      </c>
      <c r="E164" s="30">
        <v>117856</v>
      </c>
      <c r="F164" s="30">
        <v>96196</v>
      </c>
      <c r="G164" s="30">
        <v>101124</v>
      </c>
      <c r="H164" s="30">
        <v>108032</v>
      </c>
      <c r="I164" s="30">
        <v>111915</v>
      </c>
      <c r="J164" s="30">
        <v>132338</v>
      </c>
      <c r="K164" s="30">
        <v>149800</v>
      </c>
      <c r="L164" s="30">
        <v>140117</v>
      </c>
      <c r="M164" s="30">
        <v>171538</v>
      </c>
      <c r="N164" s="30">
        <v>194268</v>
      </c>
      <c r="O164" s="30">
        <v>198867</v>
      </c>
      <c r="P164" s="30">
        <v>109137</v>
      </c>
      <c r="Q164" s="30">
        <v>192441</v>
      </c>
      <c r="R164" s="30">
        <v>274257</v>
      </c>
    </row>
    <row r="165" spans="2:18" ht="12.75" customHeight="1" x14ac:dyDescent="0.2">
      <c r="B165" s="29" t="s">
        <v>179</v>
      </c>
      <c r="C165" s="30">
        <v>251</v>
      </c>
      <c r="D165" s="30">
        <v>202</v>
      </c>
      <c r="E165" s="30">
        <v>298</v>
      </c>
      <c r="F165" s="30">
        <v>216</v>
      </c>
      <c r="G165" s="30">
        <v>257</v>
      </c>
      <c r="H165" s="30">
        <v>302</v>
      </c>
      <c r="I165" s="30">
        <v>263</v>
      </c>
      <c r="J165" s="30">
        <v>268</v>
      </c>
      <c r="K165" s="30">
        <v>240</v>
      </c>
      <c r="L165" s="30">
        <v>85</v>
      </c>
      <c r="M165" s="30">
        <v>108</v>
      </c>
      <c r="N165" s="30">
        <v>140</v>
      </c>
      <c r="O165" s="30">
        <v>252</v>
      </c>
      <c r="P165" s="30">
        <v>37</v>
      </c>
      <c r="Q165" s="30">
        <v>78</v>
      </c>
      <c r="R165" s="30">
        <v>134</v>
      </c>
    </row>
    <row r="166" spans="2:18" ht="12.75" customHeight="1" x14ac:dyDescent="0.2">
      <c r="B166" s="29" t="s">
        <v>180</v>
      </c>
      <c r="C166" s="30"/>
      <c r="D166" s="30"/>
      <c r="E166" s="30"/>
      <c r="F166" s="30"/>
      <c r="G166" s="30"/>
      <c r="H166" s="30"/>
      <c r="I166" s="30"/>
      <c r="J166" s="30"/>
      <c r="K166" s="30"/>
      <c r="L166" s="30"/>
      <c r="M166" s="30"/>
      <c r="N166" s="30"/>
      <c r="O166" s="30"/>
      <c r="P166" s="30"/>
      <c r="Q166" s="30"/>
      <c r="R166" s="30"/>
    </row>
    <row r="167" spans="2:18" ht="12.75" customHeight="1" x14ac:dyDescent="0.2">
      <c r="B167" s="29" t="s">
        <v>181</v>
      </c>
      <c r="C167" s="30">
        <v>240</v>
      </c>
      <c r="D167" s="30">
        <v>418</v>
      </c>
      <c r="E167" s="30">
        <v>576</v>
      </c>
      <c r="F167" s="30">
        <v>682</v>
      </c>
      <c r="G167" s="30">
        <v>833</v>
      </c>
      <c r="H167" s="30">
        <v>1333</v>
      </c>
      <c r="I167" s="30">
        <v>1600</v>
      </c>
      <c r="J167" s="30">
        <v>1744</v>
      </c>
      <c r="K167" s="30">
        <v>1742</v>
      </c>
      <c r="L167" s="30">
        <v>1742</v>
      </c>
      <c r="M167" s="30">
        <v>1831</v>
      </c>
      <c r="N167" s="30">
        <v>2714</v>
      </c>
      <c r="O167" s="30">
        <v>3382</v>
      </c>
      <c r="P167" s="30">
        <v>2653</v>
      </c>
      <c r="Q167" s="30">
        <v>6287</v>
      </c>
      <c r="R167" s="30">
        <v>5937</v>
      </c>
    </row>
    <row r="168" spans="2:18" ht="12.75" customHeight="1" x14ac:dyDescent="0.2">
      <c r="B168" s="29" t="s">
        <v>182</v>
      </c>
      <c r="C168" s="30">
        <v>109</v>
      </c>
      <c r="D168" s="30">
        <v>151</v>
      </c>
      <c r="E168" s="30">
        <v>194</v>
      </c>
      <c r="F168" s="30">
        <v>163</v>
      </c>
      <c r="G168" s="30">
        <v>311</v>
      </c>
      <c r="H168" s="30">
        <v>386</v>
      </c>
      <c r="I168" s="30">
        <v>485</v>
      </c>
      <c r="J168" s="30">
        <v>586</v>
      </c>
      <c r="K168" s="30">
        <v>708</v>
      </c>
      <c r="L168" s="30">
        <v>698</v>
      </c>
      <c r="M168" s="30">
        <v>493</v>
      </c>
      <c r="N168" s="30">
        <v>716</v>
      </c>
      <c r="O168" s="30">
        <v>844</v>
      </c>
      <c r="P168" s="30">
        <v>201</v>
      </c>
      <c r="Q168" s="30">
        <v>464</v>
      </c>
      <c r="R168" s="30">
        <v>1230</v>
      </c>
    </row>
    <row r="169" spans="2:18" ht="12.75" customHeight="1" x14ac:dyDescent="0.2">
      <c r="B169" s="29" t="s">
        <v>183</v>
      </c>
      <c r="C169" s="30">
        <v>407</v>
      </c>
      <c r="D169" s="30">
        <v>447</v>
      </c>
      <c r="E169" s="30">
        <v>420</v>
      </c>
      <c r="F169" s="30">
        <v>376</v>
      </c>
      <c r="G169" s="30">
        <v>644</v>
      </c>
      <c r="H169" s="30">
        <v>815</v>
      </c>
      <c r="I169" s="30">
        <v>893</v>
      </c>
      <c r="J169" s="30">
        <v>977</v>
      </c>
      <c r="K169" s="30">
        <v>1301</v>
      </c>
      <c r="L169" s="30">
        <v>851</v>
      </c>
      <c r="M169" s="30">
        <v>782</v>
      </c>
      <c r="N169" s="30">
        <v>1666</v>
      </c>
      <c r="O169" s="30">
        <v>3840</v>
      </c>
      <c r="P169" s="30">
        <v>879</v>
      </c>
      <c r="Q169" s="30">
        <v>663</v>
      </c>
      <c r="R169" s="30">
        <v>1159</v>
      </c>
    </row>
    <row r="170" spans="2:18" ht="12.75" customHeight="1" x14ac:dyDescent="0.2">
      <c r="B170" s="29" t="s">
        <v>184</v>
      </c>
      <c r="C170" s="30">
        <v>66</v>
      </c>
      <c r="D170" s="30">
        <v>113</v>
      </c>
      <c r="E170" s="30">
        <v>107</v>
      </c>
      <c r="F170" s="30">
        <v>124</v>
      </c>
      <c r="G170" s="30">
        <v>178</v>
      </c>
      <c r="H170" s="30">
        <v>206</v>
      </c>
      <c r="I170" s="30">
        <v>253</v>
      </c>
      <c r="J170" s="30">
        <v>271</v>
      </c>
      <c r="K170" s="30">
        <v>363</v>
      </c>
      <c r="L170" s="30">
        <v>314</v>
      </c>
      <c r="M170" s="30">
        <v>248</v>
      </c>
      <c r="N170" s="30">
        <v>11</v>
      </c>
      <c r="O170" s="30">
        <v>429</v>
      </c>
      <c r="P170" s="30">
        <v>136</v>
      </c>
      <c r="Q170" s="30">
        <v>165</v>
      </c>
      <c r="R170" s="30">
        <v>450</v>
      </c>
    </row>
    <row r="171" spans="2:18" ht="12.75" customHeight="1" x14ac:dyDescent="0.2">
      <c r="B171" s="29" t="s">
        <v>185</v>
      </c>
      <c r="C171" s="30">
        <v>0</v>
      </c>
      <c r="D171" s="30">
        <v>5</v>
      </c>
      <c r="E171" s="30">
        <v>1</v>
      </c>
      <c r="F171" s="30"/>
      <c r="G171" s="30"/>
      <c r="H171" s="30">
        <v>4</v>
      </c>
      <c r="I171" s="30">
        <v>9</v>
      </c>
      <c r="J171" s="30">
        <v>34</v>
      </c>
      <c r="K171" s="30">
        <v>1</v>
      </c>
      <c r="L171" s="30">
        <v>10</v>
      </c>
      <c r="M171" s="30"/>
      <c r="N171" s="30"/>
      <c r="O171" s="30">
        <v>2</v>
      </c>
      <c r="P171" s="30"/>
      <c r="Q171" s="30">
        <v>0</v>
      </c>
      <c r="R171" s="30">
        <v>10</v>
      </c>
    </row>
    <row r="172" spans="2:18" ht="12.75" customHeight="1" x14ac:dyDescent="0.2">
      <c r="B172" s="29" t="s">
        <v>186</v>
      </c>
      <c r="C172" s="30">
        <v>397</v>
      </c>
      <c r="D172" s="30">
        <v>418</v>
      </c>
      <c r="E172" s="30">
        <v>712</v>
      </c>
      <c r="F172" s="30">
        <v>634</v>
      </c>
      <c r="G172" s="30">
        <v>915</v>
      </c>
      <c r="H172" s="30">
        <v>1277</v>
      </c>
      <c r="I172" s="30">
        <v>1155</v>
      </c>
      <c r="J172" s="30">
        <v>1880</v>
      </c>
      <c r="K172" s="30">
        <v>3795</v>
      </c>
      <c r="L172" s="30">
        <v>3425</v>
      </c>
      <c r="M172" s="30">
        <v>5904</v>
      </c>
      <c r="N172" s="30">
        <v>7788</v>
      </c>
      <c r="O172" s="30">
        <v>8271</v>
      </c>
      <c r="P172" s="30">
        <v>2446</v>
      </c>
      <c r="Q172" s="30">
        <v>2310</v>
      </c>
      <c r="R172" s="30">
        <v>5382</v>
      </c>
    </row>
    <row r="173" spans="2:18" ht="12.75" customHeight="1" x14ac:dyDescent="0.2">
      <c r="B173" s="29" t="s">
        <v>187</v>
      </c>
      <c r="C173" s="30">
        <v>94</v>
      </c>
      <c r="D173" s="30">
        <v>160</v>
      </c>
      <c r="E173" s="30">
        <v>230</v>
      </c>
      <c r="F173" s="30">
        <v>159</v>
      </c>
      <c r="G173" s="30">
        <v>342</v>
      </c>
      <c r="H173" s="30">
        <v>510</v>
      </c>
      <c r="I173" s="30">
        <v>1338</v>
      </c>
      <c r="J173" s="30">
        <v>1346</v>
      </c>
      <c r="K173" s="30">
        <v>1268</v>
      </c>
      <c r="L173" s="30">
        <v>1369</v>
      </c>
      <c r="M173" s="30">
        <v>1388</v>
      </c>
      <c r="N173" s="30">
        <v>1551</v>
      </c>
      <c r="O173" s="30">
        <v>2127</v>
      </c>
      <c r="P173" s="30">
        <v>1045</v>
      </c>
      <c r="Q173" s="30">
        <v>2713</v>
      </c>
      <c r="R173" s="30">
        <v>4088</v>
      </c>
    </row>
    <row r="174" spans="2:18" ht="12.75" customHeight="1" x14ac:dyDescent="0.2">
      <c r="B174" s="29" t="s">
        <v>188</v>
      </c>
      <c r="C174" s="30">
        <v>5600</v>
      </c>
      <c r="D174" s="30">
        <v>7237</v>
      </c>
      <c r="E174" s="30">
        <v>9420</v>
      </c>
      <c r="F174" s="30">
        <v>9172</v>
      </c>
      <c r="G174" s="30">
        <v>14564</v>
      </c>
      <c r="H174" s="30">
        <v>19897</v>
      </c>
      <c r="I174" s="30">
        <v>22869</v>
      </c>
      <c r="J174" s="30">
        <v>28387</v>
      </c>
      <c r="K174" s="30">
        <v>27711</v>
      </c>
      <c r="L174" s="30">
        <v>25264</v>
      </c>
      <c r="M174" s="30">
        <v>25760</v>
      </c>
      <c r="N174" s="30">
        <v>28510</v>
      </c>
      <c r="O174" s="30">
        <v>39885</v>
      </c>
      <c r="P174" s="30">
        <v>17493</v>
      </c>
      <c r="Q174" s="30">
        <v>26508</v>
      </c>
      <c r="R174" s="30">
        <v>38566</v>
      </c>
    </row>
    <row r="175" spans="2:18" ht="12.75" customHeight="1" x14ac:dyDescent="0.2">
      <c r="B175" s="29" t="s">
        <v>189</v>
      </c>
      <c r="C175" s="30">
        <v>234</v>
      </c>
      <c r="D175" s="30">
        <v>317</v>
      </c>
      <c r="E175" s="30">
        <v>219</v>
      </c>
      <c r="F175" s="30">
        <v>198</v>
      </c>
      <c r="G175" s="30">
        <v>438</v>
      </c>
      <c r="H175" s="30">
        <v>590</v>
      </c>
      <c r="I175" s="30">
        <v>495</v>
      </c>
      <c r="J175" s="30">
        <v>490</v>
      </c>
      <c r="K175" s="30">
        <v>1057</v>
      </c>
      <c r="L175" s="30">
        <v>664</v>
      </c>
      <c r="M175" s="30">
        <v>689</v>
      </c>
      <c r="N175" s="30">
        <v>566</v>
      </c>
      <c r="O175" s="30">
        <v>702</v>
      </c>
      <c r="P175" s="30">
        <v>156</v>
      </c>
      <c r="Q175" s="30">
        <v>461</v>
      </c>
      <c r="R175" s="30">
        <v>1380</v>
      </c>
    </row>
    <row r="176" spans="2:18" ht="12.75" customHeight="1" x14ac:dyDescent="0.2">
      <c r="B176" s="29" t="s">
        <v>190</v>
      </c>
      <c r="C176" s="30"/>
      <c r="D176" s="30"/>
      <c r="E176" s="30"/>
      <c r="F176" s="30"/>
      <c r="G176" s="30"/>
      <c r="H176" s="30"/>
      <c r="I176" s="30"/>
      <c r="J176" s="30"/>
      <c r="K176" s="30"/>
      <c r="L176" s="30"/>
      <c r="M176" s="30"/>
      <c r="N176" s="30"/>
      <c r="O176" s="30"/>
      <c r="P176" s="30"/>
      <c r="Q176" s="30"/>
      <c r="R176" s="30"/>
    </row>
    <row r="177" spans="2:18" ht="12.75" customHeight="1" x14ac:dyDescent="0.2">
      <c r="B177" s="29" t="s">
        <v>191</v>
      </c>
      <c r="C177" s="30">
        <v>184446</v>
      </c>
      <c r="D177" s="30">
        <v>250458</v>
      </c>
      <c r="E177" s="30">
        <v>262314</v>
      </c>
      <c r="F177" s="30">
        <v>299405</v>
      </c>
      <c r="G177" s="30">
        <v>375502</v>
      </c>
      <c r="H177" s="30">
        <v>406879</v>
      </c>
      <c r="I177" s="30">
        <v>412870</v>
      </c>
      <c r="J177" s="30">
        <v>326292</v>
      </c>
      <c r="K177" s="30">
        <v>282210</v>
      </c>
      <c r="L177" s="30">
        <v>156215</v>
      </c>
      <c r="M177" s="30">
        <v>116180</v>
      </c>
      <c r="N177" s="30">
        <v>161789</v>
      </c>
      <c r="O177" s="30">
        <v>208330</v>
      </c>
      <c r="P177" s="30">
        <v>25100</v>
      </c>
      <c r="Q177" s="30">
        <v>54633</v>
      </c>
      <c r="R177" s="30">
        <v>191789</v>
      </c>
    </row>
    <row r="178" spans="2:18" ht="12.75" customHeight="1" x14ac:dyDescent="0.2">
      <c r="B178" s="29" t="s">
        <v>192</v>
      </c>
      <c r="C178" s="30">
        <v>71</v>
      </c>
      <c r="D178" s="30">
        <v>78</v>
      </c>
      <c r="E178" s="30">
        <v>227</v>
      </c>
      <c r="F178" s="30">
        <v>72</v>
      </c>
      <c r="G178" s="30">
        <v>140</v>
      </c>
      <c r="H178" s="30">
        <v>144</v>
      </c>
      <c r="I178" s="30">
        <v>172</v>
      </c>
      <c r="J178" s="30">
        <v>178</v>
      </c>
      <c r="K178" s="30">
        <v>134</v>
      </c>
      <c r="L178" s="30">
        <v>177</v>
      </c>
      <c r="M178" s="30">
        <v>153</v>
      </c>
      <c r="N178" s="30">
        <v>227</v>
      </c>
      <c r="O178" s="30">
        <v>199</v>
      </c>
      <c r="P178" s="30">
        <v>104</v>
      </c>
      <c r="Q178" s="30">
        <v>213</v>
      </c>
      <c r="R178" s="30">
        <v>244</v>
      </c>
    </row>
    <row r="179" spans="2:18" ht="12.75" customHeight="1" x14ac:dyDescent="0.2">
      <c r="B179" s="29" t="s">
        <v>193</v>
      </c>
      <c r="C179" s="30">
        <v>43082</v>
      </c>
      <c r="D179" s="30">
        <v>69127</v>
      </c>
      <c r="E179" s="30">
        <v>73910</v>
      </c>
      <c r="F179" s="30">
        <v>68124</v>
      </c>
      <c r="G179" s="30">
        <v>85011</v>
      </c>
      <c r="H179" s="30">
        <v>105976</v>
      </c>
      <c r="I179" s="30">
        <v>129292</v>
      </c>
      <c r="J179" s="30">
        <v>143354</v>
      </c>
      <c r="K179" s="30">
        <v>143331</v>
      </c>
      <c r="L179" s="30">
        <v>134330</v>
      </c>
      <c r="M179" s="30">
        <v>195745</v>
      </c>
      <c r="N179" s="30">
        <v>241235</v>
      </c>
      <c r="O179" s="30">
        <v>252138</v>
      </c>
      <c r="P179" s="30">
        <v>102598</v>
      </c>
      <c r="Q179" s="30">
        <v>272604</v>
      </c>
      <c r="R179" s="30">
        <v>419673</v>
      </c>
    </row>
    <row r="180" spans="2:18" ht="12.75" customHeight="1" x14ac:dyDescent="0.2">
      <c r="B180" s="29" t="s">
        <v>194</v>
      </c>
      <c r="C180" s="30">
        <v>21307</v>
      </c>
      <c r="D180" s="30">
        <v>22473</v>
      </c>
      <c r="E180" s="30">
        <v>24004</v>
      </c>
      <c r="F180" s="30">
        <v>22540</v>
      </c>
      <c r="G180" s="30">
        <v>26735</v>
      </c>
      <c r="H180" s="30">
        <v>28394</v>
      </c>
      <c r="I180" s="30">
        <v>34170</v>
      </c>
      <c r="J180" s="30">
        <v>48420</v>
      </c>
      <c r="K180" s="30">
        <v>59700</v>
      </c>
      <c r="L180" s="30">
        <v>52023</v>
      </c>
      <c r="M180" s="30">
        <v>77464</v>
      </c>
      <c r="N180" s="30">
        <v>113579</v>
      </c>
      <c r="O180" s="30">
        <v>130736</v>
      </c>
      <c r="P180" s="30">
        <v>51326</v>
      </c>
      <c r="Q180" s="30">
        <v>90681</v>
      </c>
      <c r="R180" s="30">
        <v>173621</v>
      </c>
    </row>
    <row r="181" spans="2:18" ht="12.75" customHeight="1" x14ac:dyDescent="0.2">
      <c r="B181" s="29" t="s">
        <v>195</v>
      </c>
      <c r="C181" s="30"/>
      <c r="D181" s="30">
        <v>14</v>
      </c>
      <c r="E181" s="30">
        <v>10</v>
      </c>
      <c r="F181" s="30">
        <v>1</v>
      </c>
      <c r="G181" s="30">
        <v>4</v>
      </c>
      <c r="H181" s="30">
        <v>8</v>
      </c>
      <c r="I181" s="30">
        <v>10</v>
      </c>
      <c r="J181" s="30">
        <v>3</v>
      </c>
      <c r="K181" s="30">
        <v>2</v>
      </c>
      <c r="L181" s="30">
        <v>10</v>
      </c>
      <c r="M181" s="30">
        <v>4</v>
      </c>
      <c r="N181" s="30">
        <v>23</v>
      </c>
      <c r="O181" s="30">
        <v>1</v>
      </c>
      <c r="P181" s="30">
        <v>1</v>
      </c>
      <c r="Q181" s="30">
        <v>3</v>
      </c>
      <c r="R181" s="30">
        <v>0</v>
      </c>
    </row>
    <row r="182" spans="2:18" ht="12.75" customHeight="1" x14ac:dyDescent="0.2">
      <c r="B182" s="29" t="s">
        <v>196</v>
      </c>
      <c r="C182" s="30">
        <v>671</v>
      </c>
      <c r="D182" s="30">
        <v>732</v>
      </c>
      <c r="E182" s="30">
        <v>1398</v>
      </c>
      <c r="F182" s="30">
        <v>776</v>
      </c>
      <c r="G182" s="30">
        <v>1347</v>
      </c>
      <c r="H182" s="30">
        <v>1529</v>
      </c>
      <c r="I182" s="30">
        <v>1670</v>
      </c>
      <c r="J182" s="30">
        <v>1764</v>
      </c>
      <c r="K182" s="30">
        <v>1997</v>
      </c>
      <c r="L182" s="30">
        <v>1461</v>
      </c>
      <c r="M182" s="30">
        <v>2004</v>
      </c>
      <c r="N182" s="30">
        <v>3701</v>
      </c>
      <c r="O182" s="30">
        <v>4431</v>
      </c>
      <c r="P182" s="30">
        <v>1415</v>
      </c>
      <c r="Q182" s="30">
        <v>2944</v>
      </c>
      <c r="R182" s="30">
        <v>8231</v>
      </c>
    </row>
    <row r="183" spans="2:18" ht="12.75" customHeight="1" x14ac:dyDescent="0.2">
      <c r="B183" s="29" t="s">
        <v>197</v>
      </c>
      <c r="C183" s="30">
        <v>43</v>
      </c>
      <c r="D183" s="30">
        <v>21</v>
      </c>
      <c r="E183" s="30">
        <v>21</v>
      </c>
      <c r="F183" s="30">
        <v>33</v>
      </c>
      <c r="G183" s="30">
        <v>25</v>
      </c>
      <c r="H183" s="30">
        <v>29</v>
      </c>
      <c r="I183" s="30">
        <v>48</v>
      </c>
      <c r="J183" s="30">
        <v>141</v>
      </c>
      <c r="K183" s="30">
        <v>60</v>
      </c>
      <c r="L183" s="30">
        <v>24</v>
      </c>
      <c r="M183" s="30">
        <v>22</v>
      </c>
      <c r="N183" s="30">
        <v>23</v>
      </c>
      <c r="O183" s="30">
        <v>24</v>
      </c>
      <c r="P183" s="30">
        <v>5</v>
      </c>
      <c r="Q183" s="30">
        <v>1</v>
      </c>
      <c r="R183" s="30">
        <v>17</v>
      </c>
    </row>
    <row r="184" spans="2:18" ht="12.75" customHeight="1" x14ac:dyDescent="0.2">
      <c r="B184" s="29" t="s">
        <v>198</v>
      </c>
      <c r="C184" s="30">
        <v>155</v>
      </c>
      <c r="D184" s="30">
        <v>323</v>
      </c>
      <c r="E184" s="30">
        <v>385</v>
      </c>
      <c r="F184" s="30">
        <v>431</v>
      </c>
      <c r="G184" s="30">
        <v>586</v>
      </c>
      <c r="H184" s="30">
        <v>700</v>
      </c>
      <c r="I184" s="30">
        <v>937</v>
      </c>
      <c r="J184" s="30">
        <v>825</v>
      </c>
      <c r="K184" s="30">
        <v>1263</v>
      </c>
      <c r="L184" s="30">
        <v>974</v>
      </c>
      <c r="M184" s="30">
        <v>660</v>
      </c>
      <c r="N184" s="30">
        <v>1025</v>
      </c>
      <c r="O184" s="30">
        <v>1328</v>
      </c>
      <c r="P184" s="30">
        <v>295</v>
      </c>
      <c r="Q184" s="30">
        <v>562</v>
      </c>
      <c r="R184" s="30">
        <v>1599</v>
      </c>
    </row>
    <row r="185" spans="2:18" ht="12.75" customHeight="1" x14ac:dyDescent="0.2">
      <c r="B185" s="29" t="s">
        <v>199</v>
      </c>
      <c r="C185" s="30">
        <v>1616</v>
      </c>
      <c r="D185" s="30">
        <v>1735</v>
      </c>
      <c r="E185" s="30">
        <v>1926</v>
      </c>
      <c r="F185" s="30">
        <v>2016</v>
      </c>
      <c r="G185" s="30">
        <v>2697</v>
      </c>
      <c r="H185" s="30">
        <v>2952</v>
      </c>
      <c r="I185" s="30">
        <v>4393</v>
      </c>
      <c r="J185" s="30">
        <v>5733</v>
      </c>
      <c r="K185" s="30">
        <v>7281</v>
      </c>
      <c r="L185" s="30">
        <v>4667</v>
      </c>
      <c r="M185" s="30">
        <v>5085</v>
      </c>
      <c r="N185" s="30">
        <v>8674</v>
      </c>
      <c r="O185" s="30">
        <v>11430</v>
      </c>
      <c r="P185" s="30">
        <v>1889</v>
      </c>
      <c r="Q185" s="30">
        <v>3642</v>
      </c>
      <c r="R185" s="30">
        <v>13487</v>
      </c>
    </row>
    <row r="186" spans="2:18" ht="12.75" customHeight="1" x14ac:dyDescent="0.2">
      <c r="B186" s="29" t="s">
        <v>200</v>
      </c>
      <c r="C186" s="30"/>
      <c r="D186" s="30"/>
      <c r="E186" s="30"/>
      <c r="F186" s="30"/>
      <c r="G186" s="30"/>
      <c r="H186" s="30"/>
      <c r="I186" s="30"/>
      <c r="J186" s="30">
        <v>100</v>
      </c>
      <c r="K186" s="30"/>
      <c r="L186" s="30"/>
      <c r="M186" s="30">
        <v>2</v>
      </c>
      <c r="N186" s="30"/>
      <c r="O186" s="30"/>
      <c r="P186" s="30"/>
      <c r="Q186" s="30"/>
      <c r="R186" s="30"/>
    </row>
    <row r="187" spans="2:18" ht="12.75" customHeight="1" x14ac:dyDescent="0.2">
      <c r="B187" s="29" t="s">
        <v>201</v>
      </c>
      <c r="C187" s="30">
        <v>276783</v>
      </c>
      <c r="D187" s="30">
        <v>397682</v>
      </c>
      <c r="E187" s="30">
        <v>419475</v>
      </c>
      <c r="F187" s="30">
        <v>428275</v>
      </c>
      <c r="G187" s="30">
        <v>486319</v>
      </c>
      <c r="H187" s="30">
        <v>428440</v>
      </c>
      <c r="I187" s="30">
        <v>423129</v>
      </c>
      <c r="J187" s="30">
        <v>510569</v>
      </c>
      <c r="K187" s="30">
        <v>500779</v>
      </c>
      <c r="L187" s="30">
        <v>205701</v>
      </c>
      <c r="M187" s="30">
        <v>296120</v>
      </c>
      <c r="N187" s="30">
        <v>646365</v>
      </c>
      <c r="O187" s="30">
        <v>880839</v>
      </c>
      <c r="P187" s="30">
        <v>145908</v>
      </c>
      <c r="Q187" s="30">
        <v>585076</v>
      </c>
      <c r="R187" s="30">
        <v>1135903</v>
      </c>
    </row>
    <row r="188" spans="2:18" ht="12.75" customHeight="1" x14ac:dyDescent="0.2">
      <c r="B188" s="29" t="s">
        <v>202</v>
      </c>
      <c r="C188" s="30">
        <v>30512</v>
      </c>
      <c r="D188" s="30">
        <v>36977</v>
      </c>
      <c r="E188" s="30">
        <v>46900</v>
      </c>
      <c r="F188" s="30">
        <v>53373</v>
      </c>
      <c r="G188" s="30">
        <v>52319</v>
      </c>
      <c r="H188" s="30">
        <v>46606</v>
      </c>
      <c r="I188" s="30">
        <v>45928</v>
      </c>
      <c r="J188" s="30">
        <v>52851</v>
      </c>
      <c r="K188" s="30">
        <v>56312</v>
      </c>
      <c r="L188" s="30">
        <v>27015</v>
      </c>
      <c r="M188" s="30">
        <v>26727</v>
      </c>
      <c r="N188" s="30">
        <v>39948</v>
      </c>
      <c r="O188" s="30">
        <v>54130</v>
      </c>
      <c r="P188" s="30">
        <v>12893</v>
      </c>
      <c r="Q188" s="30">
        <v>26379</v>
      </c>
      <c r="R188" s="30">
        <v>74812</v>
      </c>
    </row>
    <row r="189" spans="2:18" ht="12.75" customHeight="1" x14ac:dyDescent="0.2">
      <c r="B189" s="29" t="s">
        <v>593</v>
      </c>
      <c r="C189" s="30"/>
      <c r="D189" s="30"/>
      <c r="E189" s="30"/>
      <c r="F189" s="30"/>
      <c r="G189" s="30"/>
      <c r="H189" s="30"/>
      <c r="I189" s="30"/>
      <c r="J189" s="30"/>
      <c r="K189" s="30"/>
      <c r="L189" s="30"/>
      <c r="M189" s="30"/>
      <c r="N189" s="30"/>
      <c r="O189" s="30"/>
      <c r="P189" s="30"/>
      <c r="Q189" s="30"/>
      <c r="R189" s="30">
        <v>12</v>
      </c>
    </row>
    <row r="190" spans="2:18" ht="12.75" customHeight="1" x14ac:dyDescent="0.2">
      <c r="B190" s="29" t="s">
        <v>203</v>
      </c>
      <c r="C190" s="30"/>
      <c r="D190" s="30">
        <v>1</v>
      </c>
      <c r="E190" s="30">
        <v>3</v>
      </c>
      <c r="F190" s="30">
        <v>16</v>
      </c>
      <c r="G190" s="30">
        <v>15</v>
      </c>
      <c r="H190" s="30"/>
      <c r="I190" s="30">
        <v>2</v>
      </c>
      <c r="J190" s="30"/>
      <c r="K190" s="30"/>
      <c r="L190" s="30"/>
      <c r="M190" s="30"/>
      <c r="N190" s="30"/>
      <c r="O190" s="30"/>
      <c r="P190" s="30"/>
      <c r="Q190" s="30"/>
      <c r="R190" s="30">
        <v>20</v>
      </c>
    </row>
    <row r="191" spans="2:18" ht="12.75" customHeight="1" x14ac:dyDescent="0.2">
      <c r="B191" s="29" t="s">
        <v>204</v>
      </c>
      <c r="C191" s="30"/>
      <c r="D191" s="30">
        <v>0</v>
      </c>
      <c r="E191" s="30"/>
      <c r="F191" s="30"/>
      <c r="G191" s="30"/>
      <c r="H191" s="30"/>
      <c r="I191" s="30"/>
      <c r="J191" s="30"/>
      <c r="K191" s="30"/>
      <c r="L191" s="30">
        <v>6</v>
      </c>
      <c r="M191" s="30"/>
      <c r="N191" s="30"/>
      <c r="O191" s="30"/>
      <c r="P191" s="30"/>
      <c r="Q191" s="30"/>
      <c r="R191" s="30"/>
    </row>
    <row r="192" spans="2:18" ht="12.75" customHeight="1" x14ac:dyDescent="0.2">
      <c r="B192" s="29" t="s">
        <v>205</v>
      </c>
      <c r="C192" s="30">
        <v>390505</v>
      </c>
      <c r="D192" s="30">
        <v>447419</v>
      </c>
      <c r="E192" s="30">
        <v>366698</v>
      </c>
      <c r="F192" s="30">
        <v>355144</v>
      </c>
      <c r="G192" s="30">
        <v>390248</v>
      </c>
      <c r="H192" s="30">
        <v>385055</v>
      </c>
      <c r="I192" s="30">
        <v>395214</v>
      </c>
      <c r="J192" s="30">
        <v>426585</v>
      </c>
      <c r="K192" s="30">
        <v>441097</v>
      </c>
      <c r="L192" s="30">
        <v>357473</v>
      </c>
      <c r="M192" s="30">
        <v>423868</v>
      </c>
      <c r="N192" s="30">
        <v>641484</v>
      </c>
      <c r="O192" s="30">
        <v>763320</v>
      </c>
      <c r="P192" s="30">
        <v>269076</v>
      </c>
      <c r="Q192" s="30">
        <v>496178</v>
      </c>
      <c r="R192" s="30">
        <v>886555</v>
      </c>
    </row>
    <row r="193" spans="2:18" ht="12.75" customHeight="1" x14ac:dyDescent="0.2">
      <c r="B193" s="29" t="s">
        <v>206</v>
      </c>
      <c r="C193" s="30">
        <v>198</v>
      </c>
      <c r="D193" s="30">
        <v>43</v>
      </c>
      <c r="E193" s="30">
        <v>173</v>
      </c>
      <c r="F193" s="30">
        <v>89</v>
      </c>
      <c r="G193" s="30">
        <v>188</v>
      </c>
      <c r="H193" s="30">
        <v>510</v>
      </c>
      <c r="I193" s="30">
        <v>486</v>
      </c>
      <c r="J193" s="30">
        <v>593</v>
      </c>
      <c r="K193" s="30">
        <v>667</v>
      </c>
      <c r="L193" s="30">
        <v>635</v>
      </c>
      <c r="M193" s="30">
        <v>749</v>
      </c>
      <c r="N193" s="30">
        <v>697</v>
      </c>
      <c r="O193" s="30">
        <v>1116</v>
      </c>
      <c r="P193" s="30">
        <v>398</v>
      </c>
      <c r="Q193" s="30">
        <v>1063</v>
      </c>
      <c r="R193" s="30">
        <v>1658</v>
      </c>
    </row>
    <row r="194" spans="2:18" ht="12.75" customHeight="1" x14ac:dyDescent="0.2">
      <c r="B194" s="29" t="s">
        <v>207</v>
      </c>
      <c r="C194" s="30">
        <v>2465336</v>
      </c>
      <c r="D194" s="30">
        <v>2879278</v>
      </c>
      <c r="E194" s="30">
        <v>2694733</v>
      </c>
      <c r="F194" s="30">
        <v>3107043</v>
      </c>
      <c r="G194" s="30">
        <v>3468214</v>
      </c>
      <c r="H194" s="30">
        <v>3599925</v>
      </c>
      <c r="I194" s="30">
        <v>4269306</v>
      </c>
      <c r="J194" s="30">
        <v>4479049</v>
      </c>
      <c r="K194" s="30">
        <v>3649003</v>
      </c>
      <c r="L194" s="30">
        <v>866256</v>
      </c>
      <c r="M194" s="30">
        <v>4715438</v>
      </c>
      <c r="N194" s="30">
        <v>5964613</v>
      </c>
      <c r="O194" s="30">
        <v>7017657</v>
      </c>
      <c r="P194" s="30">
        <v>2128758</v>
      </c>
      <c r="Q194" s="30">
        <v>4694422</v>
      </c>
      <c r="R194" s="30">
        <v>5232611</v>
      </c>
    </row>
    <row r="195" spans="2:18" ht="12.75" customHeight="1" x14ac:dyDescent="0.2">
      <c r="B195" s="29" t="s">
        <v>208</v>
      </c>
      <c r="C195" s="30"/>
      <c r="D195" s="30"/>
      <c r="E195" s="30"/>
      <c r="F195" s="30"/>
      <c r="G195" s="30"/>
      <c r="H195" s="30"/>
      <c r="I195" s="30"/>
      <c r="J195" s="30"/>
      <c r="K195" s="30"/>
      <c r="L195" s="30"/>
      <c r="M195" s="30">
        <v>2</v>
      </c>
      <c r="N195" s="30"/>
      <c r="O195" s="30"/>
      <c r="P195" s="30"/>
      <c r="Q195" s="30"/>
      <c r="R195" s="30"/>
    </row>
    <row r="196" spans="2:18" ht="12.75" customHeight="1" x14ac:dyDescent="0.2">
      <c r="B196" s="29" t="s">
        <v>209</v>
      </c>
      <c r="C196" s="30">
        <v>2</v>
      </c>
      <c r="D196" s="30">
        <v>15</v>
      </c>
      <c r="E196" s="30">
        <v>14</v>
      </c>
      <c r="F196" s="30">
        <v>44</v>
      </c>
      <c r="G196" s="30">
        <v>69</v>
      </c>
      <c r="H196" s="30">
        <v>244</v>
      </c>
      <c r="I196" s="30">
        <v>497</v>
      </c>
      <c r="J196" s="30">
        <v>470</v>
      </c>
      <c r="K196" s="30">
        <v>1335</v>
      </c>
      <c r="L196" s="30">
        <v>1949</v>
      </c>
      <c r="M196" s="30">
        <v>2429</v>
      </c>
      <c r="N196" s="30">
        <v>3414</v>
      </c>
      <c r="O196" s="30">
        <v>4199</v>
      </c>
      <c r="P196" s="30">
        <v>1648</v>
      </c>
      <c r="Q196" s="30">
        <v>5077</v>
      </c>
      <c r="R196" s="30">
        <v>9707</v>
      </c>
    </row>
    <row r="197" spans="2:18" ht="12.75" customHeight="1" x14ac:dyDescent="0.2">
      <c r="B197" s="29" t="s">
        <v>210</v>
      </c>
      <c r="C197" s="30">
        <v>34</v>
      </c>
      <c r="D197" s="30">
        <v>28</v>
      </c>
      <c r="E197" s="30">
        <v>48</v>
      </c>
      <c r="F197" s="30">
        <v>68</v>
      </c>
      <c r="G197" s="30">
        <v>49</v>
      </c>
      <c r="H197" s="30">
        <v>99</v>
      </c>
      <c r="I197" s="30">
        <v>91</v>
      </c>
      <c r="J197" s="30">
        <v>156</v>
      </c>
      <c r="K197" s="30">
        <v>179</v>
      </c>
      <c r="L197" s="30">
        <v>61</v>
      </c>
      <c r="M197" s="30">
        <v>71</v>
      </c>
      <c r="N197" s="30">
        <v>127</v>
      </c>
      <c r="O197" s="30">
        <v>188</v>
      </c>
      <c r="P197" s="30">
        <v>54</v>
      </c>
      <c r="Q197" s="30">
        <v>214</v>
      </c>
      <c r="R197" s="30">
        <v>434</v>
      </c>
    </row>
    <row r="198" spans="2:18" ht="12.75" customHeight="1" x14ac:dyDescent="0.2">
      <c r="B198" s="29" t="s">
        <v>211</v>
      </c>
      <c r="C198" s="30">
        <v>20</v>
      </c>
      <c r="D198" s="30"/>
      <c r="E198" s="30"/>
      <c r="F198" s="30"/>
      <c r="G198" s="30"/>
      <c r="H198" s="30"/>
      <c r="I198" s="30"/>
      <c r="J198" s="30"/>
      <c r="K198" s="30"/>
      <c r="L198" s="30"/>
      <c r="M198" s="30"/>
      <c r="N198" s="30"/>
      <c r="O198" s="30"/>
      <c r="P198" s="30"/>
      <c r="Q198" s="30"/>
      <c r="R198" s="30"/>
    </row>
    <row r="199" spans="2:18" ht="12.75" customHeight="1" x14ac:dyDescent="0.2">
      <c r="B199" s="29" t="s">
        <v>212</v>
      </c>
      <c r="C199" s="30">
        <v>24</v>
      </c>
      <c r="D199" s="30">
        <v>29</v>
      </c>
      <c r="E199" s="30">
        <v>53</v>
      </c>
      <c r="F199" s="30">
        <v>52</v>
      </c>
      <c r="G199" s="30">
        <v>111</v>
      </c>
      <c r="H199" s="30">
        <v>114</v>
      </c>
      <c r="I199" s="30">
        <v>97</v>
      </c>
      <c r="J199" s="30">
        <v>124</v>
      </c>
      <c r="K199" s="30">
        <v>112</v>
      </c>
      <c r="L199" s="30">
        <v>68</v>
      </c>
      <c r="M199" s="30">
        <v>34</v>
      </c>
      <c r="N199" s="30">
        <v>93</v>
      </c>
      <c r="O199" s="30">
        <v>56</v>
      </c>
      <c r="P199" s="30">
        <v>15</v>
      </c>
      <c r="Q199" s="30">
        <v>79</v>
      </c>
      <c r="R199" s="30">
        <v>93</v>
      </c>
    </row>
    <row r="200" spans="2:18" ht="12.75" customHeight="1" x14ac:dyDescent="0.2">
      <c r="B200" s="29" t="s">
        <v>213</v>
      </c>
      <c r="C200" s="30"/>
      <c r="D200" s="30"/>
      <c r="E200" s="30"/>
      <c r="F200" s="30"/>
      <c r="G200" s="30"/>
      <c r="H200" s="30"/>
      <c r="I200" s="30"/>
      <c r="J200" s="30"/>
      <c r="K200" s="30"/>
      <c r="L200" s="30">
        <v>40</v>
      </c>
      <c r="M200" s="30">
        <v>15</v>
      </c>
      <c r="N200" s="30">
        <v>63</v>
      </c>
      <c r="O200" s="30">
        <v>106</v>
      </c>
      <c r="P200" s="30">
        <v>34</v>
      </c>
      <c r="Q200" s="30"/>
      <c r="R200" s="30">
        <v>11</v>
      </c>
    </row>
    <row r="201" spans="2:18" ht="12.75" customHeight="1" x14ac:dyDescent="0.2">
      <c r="B201" s="29" t="s">
        <v>214</v>
      </c>
      <c r="C201" s="30">
        <v>234</v>
      </c>
      <c r="D201" s="30">
        <v>240</v>
      </c>
      <c r="E201" s="30">
        <v>357</v>
      </c>
      <c r="F201" s="30">
        <v>306</v>
      </c>
      <c r="G201" s="30">
        <v>363</v>
      </c>
      <c r="H201" s="30">
        <v>353</v>
      </c>
      <c r="I201" s="30">
        <v>330</v>
      </c>
      <c r="J201" s="30">
        <v>293</v>
      </c>
      <c r="K201" s="30">
        <v>268</v>
      </c>
      <c r="L201" s="30">
        <v>150</v>
      </c>
      <c r="M201" s="30">
        <v>100</v>
      </c>
      <c r="N201" s="30">
        <v>167</v>
      </c>
      <c r="O201" s="30">
        <v>190</v>
      </c>
      <c r="P201" s="30">
        <v>24</v>
      </c>
      <c r="Q201" s="30">
        <v>78</v>
      </c>
      <c r="R201" s="30">
        <v>179</v>
      </c>
    </row>
    <row r="202" spans="2:18" ht="12.75" customHeight="1" x14ac:dyDescent="0.2">
      <c r="B202" s="29" t="s">
        <v>215</v>
      </c>
      <c r="C202" s="30">
        <v>7</v>
      </c>
      <c r="D202" s="30">
        <v>20</v>
      </c>
      <c r="E202" s="30">
        <v>14</v>
      </c>
      <c r="F202" s="30">
        <v>8</v>
      </c>
      <c r="G202" s="30">
        <v>19</v>
      </c>
      <c r="H202" s="30">
        <v>27</v>
      </c>
      <c r="I202" s="30">
        <v>1023</v>
      </c>
      <c r="J202" s="30">
        <v>855</v>
      </c>
      <c r="K202" s="30">
        <v>919</v>
      </c>
      <c r="L202" s="30">
        <v>162</v>
      </c>
      <c r="M202" s="30">
        <v>163</v>
      </c>
      <c r="N202" s="30">
        <v>72</v>
      </c>
      <c r="O202" s="30">
        <v>16</v>
      </c>
      <c r="P202" s="30">
        <v>8</v>
      </c>
      <c r="Q202" s="30">
        <v>13</v>
      </c>
      <c r="R202" s="30">
        <v>19</v>
      </c>
    </row>
    <row r="203" spans="2:18" ht="12.75" customHeight="1" x14ac:dyDescent="0.2">
      <c r="B203" s="29" t="s">
        <v>216</v>
      </c>
      <c r="C203" s="30">
        <v>2434</v>
      </c>
      <c r="D203" s="30">
        <v>2971</v>
      </c>
      <c r="E203" s="30">
        <v>4077</v>
      </c>
      <c r="F203" s="30">
        <v>4755</v>
      </c>
      <c r="G203" s="30">
        <v>5579</v>
      </c>
      <c r="H203" s="30">
        <v>5650</v>
      </c>
      <c r="I203" s="30">
        <v>4811</v>
      </c>
      <c r="J203" s="30">
        <v>5133</v>
      </c>
      <c r="K203" s="30">
        <v>5483</v>
      </c>
      <c r="L203" s="30">
        <v>5705</v>
      </c>
      <c r="M203" s="30">
        <v>6170</v>
      </c>
      <c r="N203" s="30">
        <v>7546</v>
      </c>
      <c r="O203" s="30">
        <v>10290</v>
      </c>
      <c r="P203" s="30">
        <v>5376</v>
      </c>
      <c r="Q203" s="30">
        <v>12641</v>
      </c>
      <c r="R203" s="30">
        <v>16282</v>
      </c>
    </row>
    <row r="204" spans="2:18" ht="12.75" customHeight="1" x14ac:dyDescent="0.2">
      <c r="B204" s="29" t="s">
        <v>217</v>
      </c>
      <c r="C204" s="30">
        <v>57</v>
      </c>
      <c r="D204" s="30">
        <v>37</v>
      </c>
      <c r="E204" s="30">
        <v>64</v>
      </c>
      <c r="F204" s="30">
        <v>51</v>
      </c>
      <c r="G204" s="30">
        <v>80</v>
      </c>
      <c r="H204" s="30">
        <v>120</v>
      </c>
      <c r="I204" s="30">
        <v>131</v>
      </c>
      <c r="J204" s="30">
        <v>206</v>
      </c>
      <c r="K204" s="30">
        <v>203</v>
      </c>
      <c r="L204" s="30">
        <v>141</v>
      </c>
      <c r="M204" s="30">
        <v>227</v>
      </c>
      <c r="N204" s="30">
        <v>515</v>
      </c>
      <c r="O204" s="30">
        <v>550</v>
      </c>
      <c r="P204" s="30">
        <v>88</v>
      </c>
      <c r="Q204" s="30">
        <v>408</v>
      </c>
      <c r="R204" s="30">
        <v>1188</v>
      </c>
    </row>
    <row r="205" spans="2:18" ht="12.75" customHeight="1" x14ac:dyDescent="0.2">
      <c r="B205" s="29" t="s">
        <v>218</v>
      </c>
      <c r="C205" s="30">
        <v>137100</v>
      </c>
      <c r="D205" s="30">
        <v>170399</v>
      </c>
      <c r="E205" s="30">
        <v>102202</v>
      </c>
      <c r="F205" s="30">
        <v>113465</v>
      </c>
      <c r="G205" s="30">
        <v>137934</v>
      </c>
      <c r="H205" s="30">
        <v>157568</v>
      </c>
      <c r="I205" s="30">
        <v>169988</v>
      </c>
      <c r="J205" s="30">
        <v>189396</v>
      </c>
      <c r="K205" s="30">
        <v>178997</v>
      </c>
      <c r="L205" s="30">
        <v>110594</v>
      </c>
      <c r="M205" s="30">
        <v>146852</v>
      </c>
      <c r="N205" s="30">
        <v>225312</v>
      </c>
      <c r="O205" s="30">
        <v>282347</v>
      </c>
      <c r="P205" s="30">
        <v>129284</v>
      </c>
      <c r="Q205" s="30">
        <v>238852</v>
      </c>
      <c r="R205" s="30">
        <v>357787</v>
      </c>
    </row>
    <row r="206" spans="2:18" ht="12.75" customHeight="1" x14ac:dyDescent="0.2">
      <c r="B206" s="29" t="s">
        <v>219</v>
      </c>
      <c r="C206" s="30">
        <v>112</v>
      </c>
      <c r="D206" s="30">
        <v>155</v>
      </c>
      <c r="E206" s="30">
        <v>186</v>
      </c>
      <c r="F206" s="30">
        <v>317</v>
      </c>
      <c r="G206" s="30">
        <v>213</v>
      </c>
      <c r="H206" s="30">
        <v>253</v>
      </c>
      <c r="I206" s="30">
        <v>242</v>
      </c>
      <c r="J206" s="30">
        <v>318</v>
      </c>
      <c r="K206" s="30">
        <v>343</v>
      </c>
      <c r="L206" s="30">
        <v>335</v>
      </c>
      <c r="M206" s="30">
        <v>388</v>
      </c>
      <c r="N206" s="30">
        <v>525</v>
      </c>
      <c r="O206" s="30">
        <v>658</v>
      </c>
      <c r="P206" s="30">
        <v>469</v>
      </c>
      <c r="Q206" s="30">
        <v>3508</v>
      </c>
      <c r="R206" s="30">
        <v>5931</v>
      </c>
    </row>
    <row r="207" spans="2:18" ht="12.75" customHeight="1" x14ac:dyDescent="0.2">
      <c r="B207" s="29" t="s">
        <v>220</v>
      </c>
      <c r="C207" s="30">
        <v>17155</v>
      </c>
      <c r="D207" s="30">
        <v>19121</v>
      </c>
      <c r="E207" s="30">
        <v>20451</v>
      </c>
      <c r="F207" s="30">
        <v>18994</v>
      </c>
      <c r="G207" s="30">
        <v>20957</v>
      </c>
      <c r="H207" s="30">
        <v>22206</v>
      </c>
      <c r="I207" s="30">
        <v>22403</v>
      </c>
      <c r="J207" s="30">
        <v>29449</v>
      </c>
      <c r="K207" s="30">
        <v>26892</v>
      </c>
      <c r="L207" s="30">
        <v>15962</v>
      </c>
      <c r="M207" s="30">
        <v>17561</v>
      </c>
      <c r="N207" s="30">
        <v>28382</v>
      </c>
      <c r="O207" s="30">
        <v>34930</v>
      </c>
      <c r="P207" s="30">
        <v>4912</v>
      </c>
      <c r="Q207" s="30">
        <v>2951</v>
      </c>
      <c r="R207" s="30">
        <v>30602</v>
      </c>
    </row>
    <row r="208" spans="2:18" ht="12.75" customHeight="1" x14ac:dyDescent="0.2">
      <c r="B208" s="29" t="s">
        <v>221</v>
      </c>
      <c r="C208" s="30">
        <v>54729</v>
      </c>
      <c r="D208" s="30">
        <v>69168</v>
      </c>
      <c r="E208" s="30">
        <v>80687</v>
      </c>
      <c r="F208" s="30">
        <v>91765</v>
      </c>
      <c r="G208" s="30">
        <v>122088</v>
      </c>
      <c r="H208" s="30">
        <v>126974</v>
      </c>
      <c r="I208" s="30">
        <v>127455</v>
      </c>
      <c r="J208" s="30">
        <v>136899</v>
      </c>
      <c r="K208" s="30">
        <v>151514</v>
      </c>
      <c r="L208" s="30">
        <v>61477</v>
      </c>
      <c r="M208" s="30">
        <v>97967</v>
      </c>
      <c r="N208" s="30">
        <v>157003</v>
      </c>
      <c r="O208" s="30">
        <v>207108</v>
      </c>
      <c r="P208" s="30">
        <v>8648</v>
      </c>
      <c r="Q208" s="30">
        <v>37963</v>
      </c>
      <c r="R208" s="30">
        <v>196462</v>
      </c>
    </row>
    <row r="209" spans="2:18" ht="12.75" customHeight="1" x14ac:dyDescent="0.2">
      <c r="B209" s="29" t="s">
        <v>222</v>
      </c>
      <c r="C209" s="30">
        <v>35412</v>
      </c>
      <c r="D209" s="30">
        <v>41301</v>
      </c>
      <c r="E209" s="30">
        <v>38134</v>
      </c>
      <c r="F209" s="30">
        <v>38597</v>
      </c>
      <c r="G209" s="30">
        <v>41870</v>
      </c>
      <c r="H209" s="30">
        <v>39899</v>
      </c>
      <c r="I209" s="30">
        <v>37692</v>
      </c>
      <c r="J209" s="30">
        <v>41799</v>
      </c>
      <c r="K209" s="30">
        <v>39734</v>
      </c>
      <c r="L209" s="30">
        <v>18863</v>
      </c>
      <c r="M209" s="30">
        <v>25105</v>
      </c>
      <c r="N209" s="30">
        <v>40716</v>
      </c>
      <c r="O209" s="30">
        <v>50414</v>
      </c>
      <c r="P209" s="30">
        <v>8108</v>
      </c>
      <c r="Q209" s="30">
        <v>18580</v>
      </c>
      <c r="R209" s="30">
        <v>48622</v>
      </c>
    </row>
    <row r="210" spans="2:18" ht="12.75" customHeight="1" x14ac:dyDescent="0.2">
      <c r="B210" s="29" t="s">
        <v>223</v>
      </c>
      <c r="C210" s="30">
        <v>7</v>
      </c>
      <c r="D210" s="30">
        <v>94</v>
      </c>
      <c r="E210" s="30">
        <v>49</v>
      </c>
      <c r="F210" s="30">
        <v>0</v>
      </c>
      <c r="G210" s="30">
        <v>31</v>
      </c>
      <c r="H210" s="30">
        <v>5</v>
      </c>
      <c r="I210" s="30">
        <v>28</v>
      </c>
      <c r="J210" s="30">
        <v>28</v>
      </c>
      <c r="K210" s="30">
        <v>11</v>
      </c>
      <c r="L210" s="30">
        <v>21</v>
      </c>
      <c r="M210" s="30">
        <v>18</v>
      </c>
      <c r="N210" s="30">
        <v>9</v>
      </c>
      <c r="O210" s="30">
        <v>9</v>
      </c>
      <c r="P210" s="30">
        <v>2</v>
      </c>
      <c r="Q210" s="30">
        <v>1</v>
      </c>
      <c r="R210" s="30">
        <v>9</v>
      </c>
    </row>
    <row r="211" spans="2:18" ht="12.75" customHeight="1" x14ac:dyDescent="0.2">
      <c r="B211" s="29" t="s">
        <v>224</v>
      </c>
      <c r="C211" s="30">
        <v>291</v>
      </c>
      <c r="D211" s="30">
        <v>489</v>
      </c>
      <c r="E211" s="30">
        <v>957</v>
      </c>
      <c r="F211" s="30">
        <v>850</v>
      </c>
      <c r="G211" s="30">
        <v>1608</v>
      </c>
      <c r="H211" s="30">
        <v>3501</v>
      </c>
      <c r="I211" s="30">
        <v>3357</v>
      </c>
      <c r="J211" s="30">
        <v>3737</v>
      </c>
      <c r="K211" s="30">
        <v>4502</v>
      </c>
      <c r="L211" s="30">
        <v>3496</v>
      </c>
      <c r="M211" s="30">
        <v>5290</v>
      </c>
      <c r="N211" s="30">
        <v>11425</v>
      </c>
      <c r="O211" s="30">
        <v>21623</v>
      </c>
      <c r="P211" s="30">
        <v>17309</v>
      </c>
      <c r="Q211" s="30">
        <v>29706</v>
      </c>
      <c r="R211" s="30">
        <v>15228</v>
      </c>
    </row>
    <row r="212" spans="2:18" ht="12.75" customHeight="1" x14ac:dyDescent="0.2">
      <c r="B212" s="29" t="s">
        <v>225</v>
      </c>
      <c r="C212" s="30"/>
      <c r="D212" s="30"/>
      <c r="E212" s="30"/>
      <c r="F212" s="30"/>
      <c r="G212" s="30"/>
      <c r="H212" s="30"/>
      <c r="I212" s="30"/>
      <c r="J212" s="30"/>
      <c r="K212" s="30"/>
      <c r="L212" s="30"/>
      <c r="M212" s="30"/>
      <c r="N212" s="30"/>
      <c r="O212" s="30">
        <v>83</v>
      </c>
      <c r="P212" s="30">
        <v>57</v>
      </c>
      <c r="Q212" s="30">
        <v>98</v>
      </c>
      <c r="R212" s="30">
        <v>51</v>
      </c>
    </row>
    <row r="213" spans="2:18" ht="12.75" customHeight="1" x14ac:dyDescent="0.2">
      <c r="B213" s="29" t="s">
        <v>226</v>
      </c>
      <c r="C213" s="30">
        <v>1199</v>
      </c>
      <c r="D213" s="30">
        <v>1518</v>
      </c>
      <c r="E213" s="30">
        <v>1691</v>
      </c>
      <c r="F213" s="30">
        <v>1408</v>
      </c>
      <c r="G213" s="30">
        <v>1769</v>
      </c>
      <c r="H213" s="30">
        <v>2431</v>
      </c>
      <c r="I213" s="30">
        <v>3268</v>
      </c>
      <c r="J213" s="30">
        <v>3141</v>
      </c>
      <c r="K213" s="30">
        <v>3519</v>
      </c>
      <c r="L213" s="30">
        <v>2405</v>
      </c>
      <c r="M213" s="30">
        <v>3219</v>
      </c>
      <c r="N213" s="30">
        <v>5100</v>
      </c>
      <c r="O213" s="30">
        <v>7530</v>
      </c>
      <c r="P213" s="30">
        <v>1602</v>
      </c>
      <c r="Q213" s="30">
        <v>2149</v>
      </c>
      <c r="R213" s="30">
        <v>6630</v>
      </c>
    </row>
    <row r="214" spans="2:18" ht="12.75" customHeight="1" x14ac:dyDescent="0.2">
      <c r="B214" s="29" t="s">
        <v>227</v>
      </c>
      <c r="C214" s="30">
        <v>5989</v>
      </c>
      <c r="D214" s="30">
        <v>8987</v>
      </c>
      <c r="E214" s="30">
        <v>10581</v>
      </c>
      <c r="F214" s="30">
        <v>6634</v>
      </c>
      <c r="G214" s="30">
        <v>7458</v>
      </c>
      <c r="H214" s="30">
        <v>8161</v>
      </c>
      <c r="I214" s="30">
        <v>9319</v>
      </c>
      <c r="J214" s="30">
        <v>10714</v>
      </c>
      <c r="K214" s="30">
        <v>11434</v>
      </c>
      <c r="L214" s="30">
        <v>10562</v>
      </c>
      <c r="M214" s="30">
        <v>12162</v>
      </c>
      <c r="N214" s="30">
        <v>15661</v>
      </c>
      <c r="O214" s="30">
        <v>17863</v>
      </c>
      <c r="P214" s="30">
        <v>10555</v>
      </c>
      <c r="Q214" s="30">
        <v>25965</v>
      </c>
      <c r="R214" s="30">
        <v>43192</v>
      </c>
    </row>
    <row r="215" spans="2:18" ht="12.75" customHeight="1" x14ac:dyDescent="0.2">
      <c r="B215" s="29" t="s">
        <v>228</v>
      </c>
      <c r="C215" s="30"/>
      <c r="D215" s="30">
        <v>201</v>
      </c>
      <c r="E215" s="30">
        <v>238</v>
      </c>
      <c r="F215" s="30">
        <v>264</v>
      </c>
      <c r="G215" s="30">
        <v>180</v>
      </c>
      <c r="H215" s="30">
        <v>196</v>
      </c>
      <c r="I215" s="30">
        <v>271</v>
      </c>
      <c r="J215" s="30">
        <v>367</v>
      </c>
      <c r="K215" s="30">
        <v>405</v>
      </c>
      <c r="L215" s="30">
        <v>192</v>
      </c>
      <c r="M215" s="30">
        <v>225</v>
      </c>
      <c r="N215" s="30">
        <v>786</v>
      </c>
      <c r="O215" s="30">
        <v>616</v>
      </c>
      <c r="P215" s="30">
        <v>52</v>
      </c>
      <c r="Q215" s="30">
        <v>253</v>
      </c>
      <c r="R215" s="30">
        <v>596</v>
      </c>
    </row>
    <row r="216" spans="2:18" ht="12.75" customHeight="1" x14ac:dyDescent="0.2">
      <c r="B216" s="29" t="s">
        <v>229</v>
      </c>
      <c r="C216" s="30">
        <v>332840</v>
      </c>
      <c r="D216" s="30">
        <v>406935</v>
      </c>
      <c r="E216" s="30">
        <v>509679</v>
      </c>
      <c r="F216" s="30">
        <v>899494</v>
      </c>
      <c r="G216" s="30">
        <v>974054</v>
      </c>
      <c r="H216" s="30">
        <v>730039</v>
      </c>
      <c r="I216" s="30">
        <v>1252826</v>
      </c>
      <c r="J216" s="30">
        <v>1176490</v>
      </c>
      <c r="K216" s="30">
        <v>847275</v>
      </c>
      <c r="L216" s="30">
        <v>291754</v>
      </c>
      <c r="M216" s="30">
        <v>404203</v>
      </c>
      <c r="N216" s="30">
        <v>477439</v>
      </c>
      <c r="O216" s="30">
        <v>571976</v>
      </c>
      <c r="P216" s="30">
        <v>211914</v>
      </c>
      <c r="Q216" s="30">
        <v>404064</v>
      </c>
      <c r="R216" s="30">
        <v>370877</v>
      </c>
    </row>
    <row r="217" spans="2:18" ht="12.75" customHeight="1" x14ac:dyDescent="0.2">
      <c r="B217" s="29" t="s">
        <v>230</v>
      </c>
      <c r="C217" s="30">
        <v>41490</v>
      </c>
      <c r="D217" s="30">
        <v>55636</v>
      </c>
      <c r="E217" s="30">
        <v>66938</v>
      </c>
      <c r="F217" s="30">
        <v>84934</v>
      </c>
      <c r="G217" s="30">
        <v>116711</v>
      </c>
      <c r="H217" s="30">
        <v>175467</v>
      </c>
      <c r="I217" s="30">
        <v>234220</v>
      </c>
      <c r="J217" s="30">
        <v>341786</v>
      </c>
      <c r="K217" s="30">
        <v>450674</v>
      </c>
      <c r="L217" s="30">
        <v>530410</v>
      </c>
      <c r="M217" s="30">
        <v>651170</v>
      </c>
      <c r="N217" s="30">
        <v>747233</v>
      </c>
      <c r="O217" s="30">
        <v>564816</v>
      </c>
      <c r="P217" s="30">
        <v>67490</v>
      </c>
      <c r="Q217" s="30">
        <v>10083</v>
      </c>
      <c r="R217" s="30">
        <v>497914</v>
      </c>
    </row>
    <row r="218" spans="2:18" ht="12.75" customHeight="1" x14ac:dyDescent="0.2">
      <c r="B218" s="29" t="s">
        <v>231</v>
      </c>
      <c r="C218" s="30"/>
      <c r="D218" s="30"/>
      <c r="E218" s="30"/>
      <c r="F218" s="30"/>
      <c r="G218" s="30"/>
      <c r="H218" s="30"/>
      <c r="I218" s="30"/>
      <c r="J218" s="30"/>
      <c r="K218" s="30"/>
      <c r="L218" s="30"/>
      <c r="M218" s="30"/>
      <c r="N218" s="30">
        <v>0</v>
      </c>
      <c r="O218" s="30"/>
      <c r="P218" s="30"/>
      <c r="Q218" s="30"/>
      <c r="R218" s="30"/>
    </row>
    <row r="219" spans="2:18" ht="12.75" customHeight="1" x14ac:dyDescent="0.2">
      <c r="B219" s="29" t="s">
        <v>232</v>
      </c>
      <c r="C219" s="30">
        <v>13</v>
      </c>
      <c r="D219" s="30">
        <v>31</v>
      </c>
      <c r="E219" s="30">
        <v>213</v>
      </c>
      <c r="F219" s="30">
        <v>36</v>
      </c>
      <c r="G219" s="30">
        <v>43</v>
      </c>
      <c r="H219" s="30">
        <v>68</v>
      </c>
      <c r="I219" s="30">
        <v>103</v>
      </c>
      <c r="J219" s="30">
        <v>86</v>
      </c>
      <c r="K219" s="30">
        <v>240</v>
      </c>
      <c r="L219" s="30">
        <v>88</v>
      </c>
      <c r="M219" s="30">
        <v>120</v>
      </c>
      <c r="N219" s="30">
        <v>125</v>
      </c>
      <c r="O219" s="30">
        <v>134</v>
      </c>
      <c r="P219" s="30">
        <v>48</v>
      </c>
      <c r="Q219" s="30">
        <v>36</v>
      </c>
      <c r="R219" s="30">
        <v>123</v>
      </c>
    </row>
    <row r="220" spans="2:18" ht="12.75" customHeight="1" x14ac:dyDescent="0.2">
      <c r="B220" s="29" t="s">
        <v>233</v>
      </c>
      <c r="C220" s="30">
        <v>7112</v>
      </c>
      <c r="D220" s="30">
        <v>8580</v>
      </c>
      <c r="E220" s="30">
        <v>7612</v>
      </c>
      <c r="F220" s="30">
        <v>8183</v>
      </c>
      <c r="G220" s="30">
        <v>11964</v>
      </c>
      <c r="H220" s="30">
        <v>12765</v>
      </c>
      <c r="I220" s="30">
        <v>15905</v>
      </c>
      <c r="J220" s="30">
        <v>17451</v>
      </c>
      <c r="K220" s="30">
        <v>24307</v>
      </c>
      <c r="L220" s="30">
        <v>10421</v>
      </c>
      <c r="M220" s="30">
        <v>8645</v>
      </c>
      <c r="N220" s="30">
        <v>14609</v>
      </c>
      <c r="O220" s="30">
        <v>18509</v>
      </c>
      <c r="P220" s="30">
        <v>3320</v>
      </c>
      <c r="Q220" s="30">
        <v>3815</v>
      </c>
      <c r="R220" s="30">
        <v>17333</v>
      </c>
    </row>
    <row r="221" spans="2:18" ht="12.75" customHeight="1" x14ac:dyDescent="0.2">
      <c r="B221" s="29" t="s">
        <v>234</v>
      </c>
      <c r="C221" s="30">
        <v>36415</v>
      </c>
      <c r="D221" s="30">
        <v>36262</v>
      </c>
      <c r="E221" s="30">
        <v>19816</v>
      </c>
      <c r="F221" s="30">
        <v>17737</v>
      </c>
      <c r="G221" s="30">
        <v>16822</v>
      </c>
      <c r="H221" s="30">
        <v>22823</v>
      </c>
      <c r="I221" s="30">
        <v>27174</v>
      </c>
      <c r="J221" s="30">
        <v>34678</v>
      </c>
      <c r="K221" s="30">
        <v>31917</v>
      </c>
      <c r="L221" s="30">
        <v>24768</v>
      </c>
      <c r="M221" s="30">
        <v>30532</v>
      </c>
      <c r="N221" s="30">
        <v>40879</v>
      </c>
      <c r="O221" s="30">
        <v>44155</v>
      </c>
      <c r="P221" s="30">
        <v>16972</v>
      </c>
      <c r="Q221" s="30">
        <v>41440</v>
      </c>
      <c r="R221" s="30">
        <v>74101</v>
      </c>
    </row>
    <row r="222" spans="2:18" ht="12.75" customHeight="1" x14ac:dyDescent="0.2">
      <c r="B222" s="29" t="s">
        <v>235</v>
      </c>
      <c r="C222" s="30"/>
      <c r="D222" s="30"/>
      <c r="E222" s="30"/>
      <c r="F222" s="30"/>
      <c r="G222" s="30"/>
      <c r="H222" s="30"/>
      <c r="I222" s="30"/>
      <c r="J222" s="30"/>
      <c r="K222" s="30"/>
      <c r="L222" s="30"/>
      <c r="M222" s="30"/>
      <c r="N222" s="30"/>
      <c r="O222" s="30"/>
      <c r="P222" s="30"/>
      <c r="Q222" s="30"/>
      <c r="R222" s="30"/>
    </row>
    <row r="223" spans="2:18" ht="12.75" customHeight="1" x14ac:dyDescent="0.2">
      <c r="B223" s="29" t="s">
        <v>236</v>
      </c>
      <c r="C223" s="30">
        <v>651</v>
      </c>
      <c r="D223" s="30">
        <v>781</v>
      </c>
      <c r="E223" s="30">
        <v>1028</v>
      </c>
      <c r="F223" s="30">
        <v>1791</v>
      </c>
      <c r="G223" s="30">
        <v>2247</v>
      </c>
      <c r="H223" s="30">
        <v>2476</v>
      </c>
      <c r="I223" s="30">
        <v>3048</v>
      </c>
      <c r="J223" s="30">
        <v>3439</v>
      </c>
      <c r="K223" s="30">
        <v>3309</v>
      </c>
      <c r="L223" s="30">
        <v>2312</v>
      </c>
      <c r="M223" s="30">
        <v>2549</v>
      </c>
      <c r="N223" s="30">
        <v>3166</v>
      </c>
      <c r="O223" s="30">
        <v>3704</v>
      </c>
      <c r="P223" s="30">
        <v>1651</v>
      </c>
      <c r="Q223" s="30">
        <v>4648</v>
      </c>
      <c r="R223" s="30">
        <v>7414</v>
      </c>
    </row>
    <row r="224" spans="2:18" ht="12.75" customHeight="1" x14ac:dyDescent="0.2">
      <c r="B224" s="29" t="s">
        <v>237</v>
      </c>
      <c r="C224" s="30">
        <v>10999</v>
      </c>
      <c r="D224" s="30">
        <v>10141</v>
      </c>
      <c r="E224" s="30">
        <v>9992</v>
      </c>
      <c r="F224" s="30">
        <v>9282</v>
      </c>
      <c r="G224" s="30">
        <v>11067</v>
      </c>
      <c r="H224" s="30">
        <v>12211</v>
      </c>
      <c r="I224" s="30">
        <v>20783</v>
      </c>
      <c r="J224" s="30">
        <v>26219</v>
      </c>
      <c r="K224" s="30">
        <v>22125</v>
      </c>
      <c r="L224" s="30">
        <v>12483</v>
      </c>
      <c r="M224" s="30">
        <v>30721</v>
      </c>
      <c r="N224" s="30">
        <v>54098</v>
      </c>
      <c r="O224" s="30">
        <v>62192</v>
      </c>
      <c r="P224" s="30">
        <v>8163</v>
      </c>
      <c r="Q224" s="30">
        <v>6687</v>
      </c>
      <c r="R224" s="30">
        <v>29814</v>
      </c>
    </row>
    <row r="225" spans="2:18" ht="12.75" customHeight="1" x14ac:dyDescent="0.2">
      <c r="B225" s="29" t="s">
        <v>238</v>
      </c>
      <c r="C225" s="30">
        <v>15199</v>
      </c>
      <c r="D225" s="30">
        <v>15320</v>
      </c>
      <c r="E225" s="30">
        <v>14694</v>
      </c>
      <c r="F225" s="30">
        <v>17820</v>
      </c>
      <c r="G225" s="30">
        <v>19636</v>
      </c>
      <c r="H225" s="30">
        <v>21569</v>
      </c>
      <c r="I225" s="30">
        <v>31019</v>
      </c>
      <c r="J225" s="30">
        <v>38509</v>
      </c>
      <c r="K225" s="30">
        <v>40029</v>
      </c>
      <c r="L225" s="30">
        <v>46035</v>
      </c>
      <c r="M225" s="30">
        <v>61318</v>
      </c>
      <c r="N225" s="30">
        <v>98097</v>
      </c>
      <c r="O225" s="30">
        <v>107592</v>
      </c>
      <c r="P225" s="30">
        <v>13118</v>
      </c>
      <c r="Q225" s="30">
        <v>2290</v>
      </c>
      <c r="R225" s="30">
        <v>11341</v>
      </c>
    </row>
    <row r="226" spans="2:18" ht="12.75" customHeight="1" x14ac:dyDescent="0.2">
      <c r="B226" s="29" t="s">
        <v>239</v>
      </c>
      <c r="C226" s="30">
        <v>109</v>
      </c>
      <c r="D226" s="30">
        <v>177</v>
      </c>
      <c r="E226" s="30">
        <v>149</v>
      </c>
      <c r="F226" s="30">
        <v>135</v>
      </c>
      <c r="G226" s="30">
        <v>258</v>
      </c>
      <c r="H226" s="30">
        <v>314</v>
      </c>
      <c r="I226" s="30">
        <v>463</v>
      </c>
      <c r="J226" s="30">
        <v>420</v>
      </c>
      <c r="K226" s="30">
        <v>460</v>
      </c>
      <c r="L226" s="30">
        <v>401</v>
      </c>
      <c r="M226" s="30">
        <v>482</v>
      </c>
      <c r="N226" s="30">
        <v>969</v>
      </c>
      <c r="O226" s="30">
        <v>854</v>
      </c>
      <c r="P226" s="30">
        <v>404</v>
      </c>
      <c r="Q226" s="30">
        <v>1226</v>
      </c>
      <c r="R226" s="30">
        <v>1370</v>
      </c>
    </row>
    <row r="227" spans="2:18" ht="12.75" customHeight="1" x14ac:dyDescent="0.2">
      <c r="B227" s="29" t="s">
        <v>240</v>
      </c>
      <c r="C227" s="30"/>
      <c r="D227" s="30"/>
      <c r="E227" s="30"/>
      <c r="F227" s="30"/>
      <c r="G227" s="30"/>
      <c r="H227" s="30"/>
      <c r="I227" s="30"/>
      <c r="J227" s="30"/>
      <c r="K227" s="30"/>
      <c r="L227" s="30"/>
      <c r="M227" s="30"/>
      <c r="N227" s="30"/>
      <c r="O227" s="30"/>
      <c r="P227" s="30"/>
      <c r="Q227" s="30"/>
      <c r="R227" s="30"/>
    </row>
    <row r="228" spans="2:18" ht="12.75" customHeight="1" x14ac:dyDescent="0.2">
      <c r="B228" s="29" t="s">
        <v>241</v>
      </c>
      <c r="C228" s="30">
        <v>0</v>
      </c>
      <c r="D228" s="30">
        <v>18</v>
      </c>
      <c r="E228" s="30">
        <v>20</v>
      </c>
      <c r="F228" s="30">
        <v>21</v>
      </c>
      <c r="G228" s="30">
        <v>19</v>
      </c>
      <c r="H228" s="30">
        <v>14</v>
      </c>
      <c r="I228" s="30">
        <v>14</v>
      </c>
      <c r="J228" s="30">
        <v>58</v>
      </c>
      <c r="K228" s="30">
        <v>25</v>
      </c>
      <c r="L228" s="30">
        <v>19</v>
      </c>
      <c r="M228" s="30">
        <v>14</v>
      </c>
      <c r="N228" s="30">
        <v>10</v>
      </c>
      <c r="O228" s="30">
        <v>12</v>
      </c>
      <c r="P228" s="30">
        <v>1</v>
      </c>
      <c r="Q228" s="30">
        <v>5</v>
      </c>
      <c r="R228" s="30">
        <v>14</v>
      </c>
    </row>
    <row r="229" spans="2:18" ht="12.75" customHeight="1" x14ac:dyDescent="0.2">
      <c r="B229" s="29" t="s">
        <v>242</v>
      </c>
      <c r="C229" s="30">
        <v>674</v>
      </c>
      <c r="D229" s="30">
        <v>692</v>
      </c>
      <c r="E229" s="30">
        <v>808</v>
      </c>
      <c r="F229" s="30">
        <v>697</v>
      </c>
      <c r="G229" s="30">
        <v>871</v>
      </c>
      <c r="H229" s="30">
        <v>1041</v>
      </c>
      <c r="I229" s="30">
        <v>941</v>
      </c>
      <c r="J229" s="30">
        <v>1368</v>
      </c>
      <c r="K229" s="30">
        <v>1035</v>
      </c>
      <c r="L229" s="30">
        <v>617</v>
      </c>
      <c r="M229" s="30">
        <v>482</v>
      </c>
      <c r="N229" s="30">
        <v>626</v>
      </c>
      <c r="O229" s="30">
        <v>890</v>
      </c>
      <c r="P229" s="30">
        <v>227</v>
      </c>
      <c r="Q229" s="30">
        <v>356</v>
      </c>
      <c r="R229" s="30">
        <v>1276</v>
      </c>
    </row>
    <row r="230" spans="2:18" ht="12.75" customHeight="1" x14ac:dyDescent="0.2">
      <c r="B230" s="29" t="s">
        <v>243</v>
      </c>
      <c r="C230" s="30">
        <v>41890</v>
      </c>
      <c r="D230" s="30">
        <v>42840</v>
      </c>
      <c r="E230" s="30">
        <v>56707</v>
      </c>
      <c r="F230" s="30">
        <v>57855</v>
      </c>
      <c r="G230" s="30">
        <v>63176</v>
      </c>
      <c r="H230" s="30">
        <v>86595</v>
      </c>
      <c r="I230" s="30">
        <v>91683</v>
      </c>
      <c r="J230" s="30">
        <v>100612</v>
      </c>
      <c r="K230" s="30">
        <v>102341</v>
      </c>
      <c r="L230" s="30">
        <v>100185</v>
      </c>
      <c r="M230" s="30">
        <v>111627</v>
      </c>
      <c r="N230" s="30">
        <v>142372</v>
      </c>
      <c r="O230" s="30">
        <v>172587</v>
      </c>
      <c r="P230" s="30">
        <v>57563</v>
      </c>
      <c r="Q230" s="30">
        <v>126970</v>
      </c>
      <c r="R230" s="30">
        <v>206714</v>
      </c>
    </row>
    <row r="231" spans="2:18" ht="12.75" customHeight="1" x14ac:dyDescent="0.2">
      <c r="B231" s="29" t="s">
        <v>244</v>
      </c>
      <c r="C231" s="30">
        <v>9</v>
      </c>
      <c r="D231" s="30">
        <v>13</v>
      </c>
      <c r="E231" s="30">
        <v>7</v>
      </c>
      <c r="F231" s="30">
        <v>13</v>
      </c>
      <c r="G231" s="30">
        <v>29</v>
      </c>
      <c r="H231" s="30">
        <v>1683</v>
      </c>
      <c r="I231" s="30">
        <v>49</v>
      </c>
      <c r="J231" s="30">
        <v>101</v>
      </c>
      <c r="K231" s="30">
        <v>97</v>
      </c>
      <c r="L231" s="30">
        <v>157</v>
      </c>
      <c r="M231" s="30">
        <v>132</v>
      </c>
      <c r="N231" s="30">
        <v>184</v>
      </c>
      <c r="O231" s="30">
        <v>51</v>
      </c>
      <c r="P231" s="30">
        <v>13</v>
      </c>
      <c r="Q231" s="30">
        <v>14</v>
      </c>
      <c r="R231" s="30">
        <v>23</v>
      </c>
    </row>
    <row r="232" spans="2:18" ht="12.75" customHeight="1" x14ac:dyDescent="0.2">
      <c r="B232" s="29" t="s">
        <v>245</v>
      </c>
      <c r="C232" s="30">
        <v>76334</v>
      </c>
      <c r="D232" s="30">
        <v>88915</v>
      </c>
      <c r="E232" s="30">
        <v>112358</v>
      </c>
      <c r="F232" s="30">
        <v>114390</v>
      </c>
      <c r="G232" s="30">
        <v>137476</v>
      </c>
      <c r="H232" s="30">
        <v>135168</v>
      </c>
      <c r="I232" s="30">
        <v>148709</v>
      </c>
      <c r="J232" s="30">
        <v>180395</v>
      </c>
      <c r="K232" s="30">
        <v>174330</v>
      </c>
      <c r="L232" s="30">
        <v>165762</v>
      </c>
      <c r="M232" s="30">
        <v>230881</v>
      </c>
      <c r="N232" s="30">
        <v>252911</v>
      </c>
      <c r="O232" s="30">
        <v>297706</v>
      </c>
      <c r="P232" s="30">
        <v>43236</v>
      </c>
      <c r="Q232" s="30">
        <v>18979</v>
      </c>
      <c r="R232" s="30">
        <v>45249</v>
      </c>
    </row>
    <row r="233" spans="2:18" ht="12.75" customHeight="1" x14ac:dyDescent="0.2">
      <c r="B233" s="29" t="s">
        <v>246</v>
      </c>
      <c r="C233" s="30">
        <v>2251</v>
      </c>
      <c r="D233" s="30">
        <v>385</v>
      </c>
      <c r="E233" s="30">
        <v>599</v>
      </c>
      <c r="F233" s="30">
        <v>785</v>
      </c>
      <c r="G233" s="30">
        <v>1445</v>
      </c>
      <c r="H233" s="30">
        <v>1895</v>
      </c>
      <c r="I233" s="30">
        <v>2914</v>
      </c>
      <c r="J233" s="30">
        <v>3419</v>
      </c>
      <c r="K233" s="30">
        <v>2980</v>
      </c>
      <c r="L233" s="30">
        <v>3044</v>
      </c>
      <c r="M233" s="30">
        <v>3252</v>
      </c>
      <c r="N233" s="30">
        <v>3751</v>
      </c>
      <c r="O233" s="30">
        <v>5664</v>
      </c>
      <c r="P233" s="30">
        <v>1605</v>
      </c>
      <c r="Q233" s="30">
        <v>5891</v>
      </c>
      <c r="R233" s="30">
        <v>7284</v>
      </c>
    </row>
    <row r="234" spans="2:18" ht="12.75" customHeight="1" x14ac:dyDescent="0.2">
      <c r="B234" s="29" t="s">
        <v>247</v>
      </c>
      <c r="C234" s="30">
        <v>593302</v>
      </c>
      <c r="D234" s="30">
        <v>730689</v>
      </c>
      <c r="E234" s="30">
        <v>574700</v>
      </c>
      <c r="F234" s="30">
        <v>568227</v>
      </c>
      <c r="G234" s="30">
        <v>602404</v>
      </c>
      <c r="H234" s="30">
        <v>634663</v>
      </c>
      <c r="I234" s="30">
        <v>756187</v>
      </c>
      <c r="J234" s="30">
        <v>657051</v>
      </c>
      <c r="K234" s="30">
        <v>706551</v>
      </c>
      <c r="L234" s="30">
        <v>1045043</v>
      </c>
      <c r="M234" s="30">
        <v>1284735</v>
      </c>
      <c r="N234" s="30">
        <v>1386934</v>
      </c>
      <c r="O234" s="30">
        <v>1547996</v>
      </c>
      <c r="P234" s="30">
        <v>997652</v>
      </c>
      <c r="Q234" s="30">
        <v>2060008</v>
      </c>
      <c r="R234" s="30">
        <v>675467</v>
      </c>
    </row>
    <row r="235" spans="2:18" ht="12.75" customHeight="1" x14ac:dyDescent="0.2">
      <c r="B235" s="29" t="s">
        <v>248</v>
      </c>
      <c r="C235" s="30">
        <v>399</v>
      </c>
      <c r="D235" s="30">
        <v>5904</v>
      </c>
      <c r="E235" s="30">
        <v>5203</v>
      </c>
      <c r="F235" s="30">
        <v>5408</v>
      </c>
      <c r="G235" s="30">
        <v>5998</v>
      </c>
      <c r="H235" s="30">
        <v>7959</v>
      </c>
      <c r="I235" s="30">
        <v>8956</v>
      </c>
      <c r="J235" s="30">
        <v>14283</v>
      </c>
      <c r="K235" s="30">
        <v>18787</v>
      </c>
      <c r="L235" s="30">
        <v>13891</v>
      </c>
      <c r="M235" s="30">
        <v>25234</v>
      </c>
      <c r="N235" s="30">
        <v>53230</v>
      </c>
      <c r="O235" s="30">
        <v>88378</v>
      </c>
      <c r="P235" s="30">
        <v>14294</v>
      </c>
      <c r="Q235" s="30">
        <v>61058</v>
      </c>
      <c r="R235" s="30">
        <v>130160</v>
      </c>
    </row>
    <row r="236" spans="2:18" ht="12.75" customHeight="1" x14ac:dyDescent="0.2">
      <c r="B236" s="29" t="s">
        <v>249</v>
      </c>
      <c r="C236" s="30">
        <v>2070</v>
      </c>
      <c r="D236" s="30">
        <v>2481</v>
      </c>
      <c r="E236" s="30">
        <v>4246</v>
      </c>
      <c r="F236" s="30">
        <v>2903</v>
      </c>
      <c r="G236" s="30">
        <v>3735</v>
      </c>
      <c r="H236" s="30">
        <v>3592</v>
      </c>
      <c r="I236" s="30">
        <v>4834</v>
      </c>
      <c r="J236" s="30">
        <v>5218</v>
      </c>
      <c r="K236" s="30">
        <v>6334</v>
      </c>
      <c r="L236" s="30">
        <v>2577</v>
      </c>
      <c r="M236" s="30">
        <v>2536</v>
      </c>
      <c r="N236" s="30">
        <v>4625</v>
      </c>
      <c r="O236" s="30">
        <v>7191</v>
      </c>
      <c r="P236" s="30">
        <v>604</v>
      </c>
      <c r="Q236" s="30">
        <v>1380</v>
      </c>
      <c r="R236" s="30">
        <v>6275</v>
      </c>
    </row>
    <row r="237" spans="2:18" ht="12.75" customHeight="1" x14ac:dyDescent="0.2">
      <c r="B237" s="29" t="s">
        <v>250</v>
      </c>
      <c r="C237" s="30">
        <v>61002</v>
      </c>
      <c r="D237" s="30">
        <v>74340</v>
      </c>
      <c r="E237" s="30">
        <v>87694</v>
      </c>
      <c r="F237" s="30">
        <v>96562</v>
      </c>
      <c r="G237" s="30">
        <v>94914</v>
      </c>
      <c r="H237" s="30">
        <v>102154</v>
      </c>
      <c r="I237" s="30">
        <v>102871</v>
      </c>
      <c r="J237" s="30">
        <v>131329</v>
      </c>
      <c r="K237" s="30">
        <v>162866</v>
      </c>
      <c r="L237" s="30">
        <v>203179</v>
      </c>
      <c r="M237" s="30">
        <v>277729</v>
      </c>
      <c r="N237" s="30">
        <v>406469</v>
      </c>
      <c r="O237" s="30">
        <v>474874</v>
      </c>
      <c r="P237" s="30">
        <v>93750</v>
      </c>
      <c r="Q237" s="30">
        <v>326633</v>
      </c>
      <c r="R237" s="30">
        <v>494629</v>
      </c>
    </row>
    <row r="238" spans="2:18" ht="12.75" customHeight="1" x14ac:dyDescent="0.2">
      <c r="B238" s="29" t="s">
        <v>251</v>
      </c>
      <c r="C238" s="30">
        <v>37</v>
      </c>
      <c r="D238" s="30">
        <v>12</v>
      </c>
      <c r="E238" s="30">
        <v>6</v>
      </c>
      <c r="F238" s="30">
        <v>676</v>
      </c>
      <c r="G238" s="30">
        <v>11</v>
      </c>
      <c r="H238" s="30">
        <v>4</v>
      </c>
      <c r="I238" s="30">
        <v>35</v>
      </c>
      <c r="J238" s="30">
        <v>13</v>
      </c>
      <c r="K238" s="30">
        <v>7</v>
      </c>
      <c r="L238" s="30">
        <v>23</v>
      </c>
      <c r="M238" s="30">
        <v>41</v>
      </c>
      <c r="N238" s="30">
        <v>56</v>
      </c>
      <c r="O238" s="30">
        <v>76</v>
      </c>
      <c r="P238" s="30">
        <v>38</v>
      </c>
      <c r="Q238" s="30">
        <v>177</v>
      </c>
      <c r="R238" s="30">
        <v>383</v>
      </c>
    </row>
    <row r="239" spans="2:18" ht="12.75" customHeight="1" x14ac:dyDescent="0.2">
      <c r="B239" s="29" t="s">
        <v>252</v>
      </c>
      <c r="C239" s="30">
        <v>49</v>
      </c>
      <c r="D239" s="30">
        <v>36</v>
      </c>
      <c r="E239" s="30">
        <v>38</v>
      </c>
      <c r="F239" s="30">
        <v>25</v>
      </c>
      <c r="G239" s="30">
        <v>16</v>
      </c>
      <c r="H239" s="30">
        <v>26</v>
      </c>
      <c r="I239" s="30">
        <v>26</v>
      </c>
      <c r="J239" s="30">
        <v>51</v>
      </c>
      <c r="K239" s="30">
        <v>19</v>
      </c>
      <c r="L239" s="30">
        <v>40</v>
      </c>
      <c r="M239" s="30">
        <v>16</v>
      </c>
      <c r="N239" s="30">
        <v>28</v>
      </c>
      <c r="O239" s="30">
        <v>33</v>
      </c>
      <c r="P239" s="30">
        <v>8</v>
      </c>
      <c r="Q239" s="30">
        <v>17</v>
      </c>
      <c r="R239" s="30">
        <v>27</v>
      </c>
    </row>
    <row r="240" spans="2:18" ht="12.75" customHeight="1" x14ac:dyDescent="0.2">
      <c r="B240" s="29" t="s">
        <v>253</v>
      </c>
      <c r="C240" s="30">
        <v>6604</v>
      </c>
      <c r="D240" s="30">
        <v>9604</v>
      </c>
      <c r="E240" s="30">
        <v>9284</v>
      </c>
      <c r="F240" s="30">
        <v>6769</v>
      </c>
      <c r="G240" s="30">
        <v>8557</v>
      </c>
      <c r="H240" s="30">
        <v>9600</v>
      </c>
      <c r="I240" s="30">
        <v>11271</v>
      </c>
      <c r="J240" s="30">
        <v>6975</v>
      </c>
      <c r="K240" s="30">
        <v>6435</v>
      </c>
      <c r="L240" s="30">
        <v>5035</v>
      </c>
      <c r="M240" s="30">
        <v>6956</v>
      </c>
      <c r="N240" s="30">
        <v>9246</v>
      </c>
      <c r="O240" s="30">
        <v>11738</v>
      </c>
      <c r="P240" s="30">
        <v>3473</v>
      </c>
      <c r="Q240" s="30">
        <v>11446</v>
      </c>
      <c r="R240" s="30">
        <v>18395</v>
      </c>
    </row>
    <row r="241" spans="2:18" ht="12.75" customHeight="1" x14ac:dyDescent="0.2">
      <c r="B241" s="29" t="s">
        <v>254</v>
      </c>
      <c r="C241" s="30">
        <v>4504</v>
      </c>
      <c r="D241" s="30">
        <v>4742</v>
      </c>
      <c r="E241" s="30">
        <v>4750</v>
      </c>
      <c r="F241" s="30">
        <v>3428</v>
      </c>
      <c r="G241" s="30">
        <v>5266</v>
      </c>
      <c r="H241" s="30">
        <v>3674</v>
      </c>
      <c r="I241" s="30">
        <v>4618</v>
      </c>
      <c r="J241" s="30">
        <v>5679</v>
      </c>
      <c r="K241" s="30">
        <v>6399</v>
      </c>
      <c r="L241" s="30">
        <v>3293</v>
      </c>
      <c r="M241" s="30">
        <v>4947</v>
      </c>
      <c r="N241" s="30">
        <v>9622</v>
      </c>
      <c r="O241" s="30">
        <v>13194</v>
      </c>
      <c r="P241" s="30">
        <v>1819</v>
      </c>
      <c r="Q241" s="30">
        <v>1811</v>
      </c>
      <c r="R241" s="30">
        <v>6247</v>
      </c>
    </row>
    <row r="242" spans="2:18" ht="12.75" customHeight="1" x14ac:dyDescent="0.2">
      <c r="B242" s="29" t="s">
        <v>255</v>
      </c>
      <c r="C242" s="30"/>
      <c r="D242" s="30"/>
      <c r="E242" s="30"/>
      <c r="F242" s="30"/>
      <c r="G242" s="30"/>
      <c r="H242" s="30"/>
      <c r="I242" s="30"/>
      <c r="J242" s="30"/>
      <c r="K242" s="30"/>
      <c r="L242" s="30">
        <v>38</v>
      </c>
      <c r="M242" s="30">
        <v>38</v>
      </c>
      <c r="N242" s="30"/>
      <c r="O242" s="30"/>
      <c r="P242" s="30"/>
      <c r="Q242" s="30"/>
      <c r="R242" s="30"/>
    </row>
    <row r="243" spans="2:18" ht="12.75" customHeight="1" x14ac:dyDescent="0.2">
      <c r="B243" s="29" t="s">
        <v>256</v>
      </c>
      <c r="C243" s="30"/>
      <c r="D243" s="30"/>
      <c r="E243" s="30"/>
      <c r="F243" s="30"/>
      <c r="G243" s="30"/>
      <c r="H243" s="30"/>
      <c r="I243" s="30"/>
      <c r="J243" s="30"/>
      <c r="K243" s="30"/>
      <c r="L243" s="30"/>
      <c r="M243" s="30">
        <v>3</v>
      </c>
      <c r="N243" s="30"/>
      <c r="O243" s="30"/>
      <c r="P243" s="30"/>
      <c r="Q243" s="30"/>
      <c r="R243" s="30"/>
    </row>
    <row r="244" spans="2:18" ht="12.75" customHeight="1" x14ac:dyDescent="0.2">
      <c r="B244" s="29" t="s">
        <v>257</v>
      </c>
      <c r="C244" s="30">
        <v>4027</v>
      </c>
      <c r="D244" s="30">
        <v>4971</v>
      </c>
      <c r="E244" s="30">
        <v>6181</v>
      </c>
      <c r="F244" s="30">
        <v>6344</v>
      </c>
      <c r="G244" s="30">
        <v>8066</v>
      </c>
      <c r="H244" s="30">
        <v>11826</v>
      </c>
      <c r="I244" s="30">
        <v>17354</v>
      </c>
      <c r="J244" s="30">
        <v>26033</v>
      </c>
      <c r="K244" s="30">
        <v>24237</v>
      </c>
      <c r="L244" s="30">
        <v>25325</v>
      </c>
      <c r="M244" s="30">
        <v>28491</v>
      </c>
      <c r="N244" s="30">
        <v>39545</v>
      </c>
      <c r="O244" s="30">
        <v>41673</v>
      </c>
      <c r="P244" s="30">
        <v>13354</v>
      </c>
      <c r="Q244" s="30">
        <v>21856</v>
      </c>
      <c r="R244" s="30">
        <v>34599</v>
      </c>
    </row>
    <row r="245" spans="2:18" ht="12.75" customHeight="1" x14ac:dyDescent="0.2">
      <c r="B245" s="29" t="s">
        <v>258</v>
      </c>
      <c r="C245" s="30"/>
      <c r="D245" s="30"/>
      <c r="E245" s="30"/>
      <c r="F245" s="30">
        <v>14</v>
      </c>
      <c r="G245" s="30"/>
      <c r="H245" s="30"/>
      <c r="I245" s="30"/>
      <c r="J245" s="30"/>
      <c r="K245" s="30">
        <v>14</v>
      </c>
      <c r="L245" s="30"/>
      <c r="M245" s="30"/>
      <c r="N245" s="30"/>
      <c r="O245" s="30"/>
      <c r="P245" s="30"/>
      <c r="Q245" s="30"/>
      <c r="R245" s="30"/>
    </row>
    <row r="246" spans="2:18" ht="12.75" customHeight="1" x14ac:dyDescent="0.2">
      <c r="B246" s="29" t="s">
        <v>259</v>
      </c>
      <c r="C246" s="30">
        <v>21058</v>
      </c>
      <c r="D246" s="30">
        <v>23466</v>
      </c>
      <c r="E246" s="30">
        <v>23898</v>
      </c>
      <c r="F246" s="30">
        <v>24636</v>
      </c>
      <c r="G246" s="30">
        <v>26709</v>
      </c>
      <c r="H246" s="30">
        <v>28278</v>
      </c>
      <c r="I246" s="30">
        <v>30667</v>
      </c>
      <c r="J246" s="30">
        <v>32933</v>
      </c>
      <c r="K246" s="30">
        <v>36915</v>
      </c>
      <c r="L246" s="30">
        <v>15287</v>
      </c>
      <c r="M246" s="30">
        <v>11362</v>
      </c>
      <c r="N246" s="30">
        <v>16174</v>
      </c>
      <c r="O246" s="30">
        <v>20912</v>
      </c>
      <c r="P246" s="30">
        <v>2879</v>
      </c>
      <c r="Q246" s="30">
        <v>2746</v>
      </c>
      <c r="R246" s="30">
        <v>15448</v>
      </c>
    </row>
    <row r="247" spans="2:18" ht="12.75" customHeight="1" x14ac:dyDescent="0.2">
      <c r="B247" s="29" t="s">
        <v>260</v>
      </c>
      <c r="C247" s="30">
        <v>56</v>
      </c>
      <c r="D247" s="30">
        <v>79</v>
      </c>
      <c r="E247" s="30">
        <v>116</v>
      </c>
      <c r="F247" s="30">
        <v>77</v>
      </c>
      <c r="G247" s="30">
        <v>84</v>
      </c>
      <c r="H247" s="30">
        <v>128</v>
      </c>
      <c r="I247" s="30">
        <v>88</v>
      </c>
      <c r="J247" s="30">
        <v>145</v>
      </c>
      <c r="K247" s="30">
        <v>131</v>
      </c>
      <c r="L247" s="30">
        <v>77</v>
      </c>
      <c r="M247" s="30">
        <v>71</v>
      </c>
      <c r="N247" s="30">
        <v>143</v>
      </c>
      <c r="O247" s="30">
        <v>223</v>
      </c>
      <c r="P247" s="30">
        <v>97</v>
      </c>
      <c r="Q247" s="30">
        <v>233</v>
      </c>
      <c r="R247" s="30">
        <v>398</v>
      </c>
    </row>
    <row r="248" spans="2:18" ht="12.75" customHeight="1" x14ac:dyDescent="0.2">
      <c r="B248" s="29" t="s">
        <v>261</v>
      </c>
      <c r="C248" s="30">
        <v>447950</v>
      </c>
      <c r="D248" s="30">
        <v>572212</v>
      </c>
      <c r="E248" s="30">
        <v>616489</v>
      </c>
      <c r="F248" s="30">
        <v>670297</v>
      </c>
      <c r="G248" s="30">
        <v>702017</v>
      </c>
      <c r="H248" s="30">
        <v>669823</v>
      </c>
      <c r="I248" s="30">
        <v>703168</v>
      </c>
      <c r="J248" s="30">
        <v>830841</v>
      </c>
      <c r="K248" s="30">
        <v>755414</v>
      </c>
      <c r="L248" s="30">
        <v>593150</v>
      </c>
      <c r="M248" s="30">
        <v>623705</v>
      </c>
      <c r="N248" s="30">
        <v>686891</v>
      </c>
      <c r="O248" s="30">
        <v>836882</v>
      </c>
      <c r="P248" s="30">
        <v>136305</v>
      </c>
      <c r="Q248" s="30">
        <v>157723</v>
      </c>
      <c r="R248" s="30">
        <v>569795</v>
      </c>
    </row>
    <row r="249" spans="2:18" ht="12.75" customHeight="1" x14ac:dyDescent="0.2">
      <c r="B249" s="29" t="s">
        <v>262</v>
      </c>
      <c r="C249" s="30">
        <v>218</v>
      </c>
      <c r="D249" s="30">
        <v>280</v>
      </c>
      <c r="E249" s="30">
        <v>7193</v>
      </c>
      <c r="F249" s="30">
        <v>269</v>
      </c>
      <c r="G249" s="30">
        <v>339</v>
      </c>
      <c r="H249" s="30">
        <v>457</v>
      </c>
      <c r="I249" s="30">
        <v>683</v>
      </c>
      <c r="J249" s="30">
        <v>787</v>
      </c>
      <c r="K249" s="30">
        <v>883</v>
      </c>
      <c r="L249" s="30">
        <v>809</v>
      </c>
      <c r="M249" s="30">
        <v>819</v>
      </c>
      <c r="N249" s="30">
        <v>1021</v>
      </c>
      <c r="O249" s="30">
        <v>1444</v>
      </c>
      <c r="P249" s="30">
        <v>443</v>
      </c>
      <c r="Q249" s="30">
        <v>832</v>
      </c>
      <c r="R249" s="30">
        <v>1431</v>
      </c>
    </row>
    <row r="250" spans="2:18" ht="12.75" customHeight="1" x14ac:dyDescent="0.2">
      <c r="B250" s="29" t="s">
        <v>263</v>
      </c>
      <c r="C250" s="30">
        <v>251</v>
      </c>
      <c r="D250" s="30">
        <v>286</v>
      </c>
      <c r="E250" s="30">
        <v>251</v>
      </c>
      <c r="F250" s="30">
        <v>274</v>
      </c>
      <c r="G250" s="30">
        <v>379</v>
      </c>
      <c r="H250" s="30">
        <v>515</v>
      </c>
      <c r="I250" s="30">
        <v>753</v>
      </c>
      <c r="J250" s="30">
        <v>1174</v>
      </c>
      <c r="K250" s="30">
        <v>1678</v>
      </c>
      <c r="L250" s="30">
        <v>1699</v>
      </c>
      <c r="M250" s="30">
        <v>1842</v>
      </c>
      <c r="N250" s="30">
        <v>2349</v>
      </c>
      <c r="O250" s="30">
        <v>2716</v>
      </c>
      <c r="P250" s="30">
        <v>910</v>
      </c>
      <c r="Q250" s="30">
        <v>1509</v>
      </c>
      <c r="R250" s="30">
        <v>3726</v>
      </c>
    </row>
    <row r="251" spans="2:18" x14ac:dyDescent="0.2">
      <c r="B251" s="31" t="s">
        <v>4</v>
      </c>
      <c r="C251" s="32">
        <v>23340911</v>
      </c>
      <c r="D251" s="32">
        <v>26336677</v>
      </c>
      <c r="E251" s="32">
        <v>27077114</v>
      </c>
      <c r="F251" s="32">
        <v>28632204</v>
      </c>
      <c r="G251" s="32">
        <v>31456076</v>
      </c>
      <c r="H251" s="32">
        <v>31782832</v>
      </c>
      <c r="I251" s="32">
        <v>34910098</v>
      </c>
      <c r="J251" s="32">
        <v>36837900</v>
      </c>
      <c r="K251" s="32">
        <v>36244632</v>
      </c>
      <c r="L251" s="32">
        <v>25352213</v>
      </c>
      <c r="M251" s="32">
        <v>32410034</v>
      </c>
      <c r="N251" s="32">
        <v>39488401</v>
      </c>
      <c r="O251" s="32">
        <v>45058286</v>
      </c>
      <c r="P251" s="32">
        <v>12734213</v>
      </c>
      <c r="Q251" s="32">
        <v>24712266</v>
      </c>
      <c r="R251" s="32">
        <v>44564395</v>
      </c>
    </row>
  </sheetData>
  <mergeCells count="1">
    <mergeCell ref="B1:R1"/>
  </mergeCells>
  <printOptions horizontalCentered="1"/>
  <pageMargins left="0.19685039370078741" right="0.19685039370078741" top="0.19685039370078741" bottom="0.15748031496062992" header="0.15748031496062992" footer="0.15748031496062992"/>
  <pageSetup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17"/>
  <sheetViews>
    <sheetView view="pageBreakPreview" zoomScaleNormal="100" zoomScaleSheetLayoutView="100" workbookViewId="0"/>
  </sheetViews>
  <sheetFormatPr defaultColWidth="9.140625" defaultRowHeight="12.75" x14ac:dyDescent="0.2"/>
  <cols>
    <col min="1" max="1" width="9.140625" style="19"/>
    <col min="2" max="2" width="13.5703125" style="6" customWidth="1"/>
    <col min="3" max="7" width="15.140625" customWidth="1"/>
  </cols>
  <sheetData>
    <row r="1" spans="2:7" ht="30" customHeight="1" x14ac:dyDescent="0.2">
      <c r="B1" s="452" t="s">
        <v>596</v>
      </c>
      <c r="C1" s="453"/>
      <c r="D1" s="453"/>
      <c r="E1" s="453"/>
      <c r="F1" s="453"/>
      <c r="G1" s="453"/>
    </row>
    <row r="2" spans="2:7" s="19" customFormat="1" ht="15" customHeight="1" thickBot="1" x14ac:dyDescent="0.25">
      <c r="B2" s="35"/>
      <c r="C2" s="36"/>
      <c r="D2" s="36"/>
      <c r="E2" s="36"/>
      <c r="F2" s="36"/>
      <c r="G2" s="36"/>
    </row>
    <row r="3" spans="2:7" ht="15" customHeight="1" thickBot="1" x14ac:dyDescent="0.25">
      <c r="B3" s="37" t="s">
        <v>264</v>
      </c>
      <c r="C3" s="454" t="s">
        <v>1</v>
      </c>
      <c r="D3" s="454"/>
      <c r="E3" s="454"/>
      <c r="F3" s="454" t="s">
        <v>266</v>
      </c>
      <c r="G3" s="454"/>
    </row>
    <row r="4" spans="2:7" ht="15" customHeight="1" thickBot="1" x14ac:dyDescent="0.25">
      <c r="B4" s="33" t="s">
        <v>265</v>
      </c>
      <c r="C4" s="34">
        <v>2020</v>
      </c>
      <c r="D4" s="34">
        <v>2021</v>
      </c>
      <c r="E4" s="34">
        <v>2022</v>
      </c>
      <c r="F4" s="34" t="s">
        <v>267</v>
      </c>
      <c r="G4" s="34" t="s">
        <v>594</v>
      </c>
    </row>
    <row r="5" spans="2:7" ht="15" customHeight="1" x14ac:dyDescent="0.2">
      <c r="B5" s="5" t="s">
        <v>5</v>
      </c>
      <c r="C5" s="39">
        <v>1787435</v>
      </c>
      <c r="D5" s="39">
        <v>509787</v>
      </c>
      <c r="E5" s="39">
        <v>1281666</v>
      </c>
      <c r="F5" s="63">
        <v>-71.479410440099926</v>
      </c>
      <c r="G5" s="63">
        <v>151.41206033107946</v>
      </c>
    </row>
    <row r="6" spans="2:7" ht="15" customHeight="1" x14ac:dyDescent="0.2">
      <c r="B6" s="5" t="s">
        <v>6</v>
      </c>
      <c r="C6" s="39">
        <v>1733112</v>
      </c>
      <c r="D6" s="39">
        <v>537976</v>
      </c>
      <c r="E6" s="39">
        <v>1541393</v>
      </c>
      <c r="F6" s="63">
        <v>-68.95895937481248</v>
      </c>
      <c r="G6" s="63">
        <v>186.51705652296758</v>
      </c>
    </row>
    <row r="7" spans="2:7" ht="15" customHeight="1" x14ac:dyDescent="0.2">
      <c r="B7" s="5" t="s">
        <v>7</v>
      </c>
      <c r="C7" s="39">
        <v>718097</v>
      </c>
      <c r="D7" s="39">
        <v>905323</v>
      </c>
      <c r="E7" s="39">
        <v>2079565</v>
      </c>
      <c r="F7" s="63">
        <v>26.072522235853931</v>
      </c>
      <c r="G7" s="63">
        <v>129.70420501854034</v>
      </c>
    </row>
    <row r="8" spans="2:7" ht="15" customHeight="1" x14ac:dyDescent="0.2">
      <c r="B8" s="5" t="s">
        <v>8</v>
      </c>
      <c r="C8" s="39">
        <v>24238</v>
      </c>
      <c r="D8" s="39">
        <v>790687</v>
      </c>
      <c r="E8" s="39">
        <v>2574423</v>
      </c>
      <c r="F8" s="63">
        <v>3162.1792227081442</v>
      </c>
      <c r="G8" s="63">
        <v>225.59318668449083</v>
      </c>
    </row>
    <row r="9" spans="2:7" ht="15" customHeight="1" x14ac:dyDescent="0.2">
      <c r="B9" s="5" t="s">
        <v>9</v>
      </c>
      <c r="C9" s="39">
        <v>29829</v>
      </c>
      <c r="D9" s="39">
        <v>936282</v>
      </c>
      <c r="E9" s="39">
        <v>3873212</v>
      </c>
      <c r="F9" s="63">
        <v>3038.831338630192</v>
      </c>
      <c r="G9" s="63">
        <v>313.68006647569854</v>
      </c>
    </row>
    <row r="10" spans="2:7" ht="15" customHeight="1" x14ac:dyDescent="0.2">
      <c r="B10" s="5" t="s">
        <v>10</v>
      </c>
      <c r="C10" s="39">
        <v>214768</v>
      </c>
      <c r="D10" s="39">
        <v>2047596</v>
      </c>
      <c r="E10" s="39">
        <v>5014821</v>
      </c>
      <c r="F10" s="63">
        <v>853.39901661327576</v>
      </c>
      <c r="G10" s="63">
        <v>144.91261948157742</v>
      </c>
    </row>
    <row r="11" spans="2:7" ht="15" customHeight="1" x14ac:dyDescent="0.2">
      <c r="B11" s="5" t="s">
        <v>11</v>
      </c>
      <c r="C11" s="39">
        <v>932927</v>
      </c>
      <c r="D11" s="39">
        <v>4360952</v>
      </c>
      <c r="E11" s="39">
        <v>6664970</v>
      </c>
      <c r="F11" s="63">
        <v>367.44836412709674</v>
      </c>
      <c r="G11" s="63">
        <v>52.83291354731719</v>
      </c>
    </row>
    <row r="12" spans="2:7" ht="15" customHeight="1" x14ac:dyDescent="0.2">
      <c r="B12" s="5" t="s">
        <v>12</v>
      </c>
      <c r="C12" s="39">
        <v>1814701</v>
      </c>
      <c r="D12" s="39">
        <v>3982168</v>
      </c>
      <c r="E12" s="39">
        <v>6304770</v>
      </c>
      <c r="F12" s="63">
        <v>119.43934565528977</v>
      </c>
      <c r="G12" s="63">
        <v>58.325063131439961</v>
      </c>
    </row>
    <row r="13" spans="2:7" ht="15" customHeight="1" x14ac:dyDescent="0.2">
      <c r="B13" s="5" t="s">
        <v>13</v>
      </c>
      <c r="C13" s="39">
        <v>2203482</v>
      </c>
      <c r="D13" s="39">
        <v>3513453</v>
      </c>
      <c r="E13" s="39">
        <v>5475453</v>
      </c>
      <c r="F13" s="63">
        <v>59.450043158963858</v>
      </c>
      <c r="G13" s="63">
        <v>55.842500241215696</v>
      </c>
    </row>
    <row r="14" spans="2:7" ht="15" customHeight="1" x14ac:dyDescent="0.2">
      <c r="B14" s="5" t="s">
        <v>14</v>
      </c>
      <c r="C14" s="39">
        <v>1742303</v>
      </c>
      <c r="D14" s="39">
        <v>3471540</v>
      </c>
      <c r="E14" s="39">
        <v>4803198</v>
      </c>
      <c r="F14" s="63">
        <v>99.250073035516778</v>
      </c>
      <c r="G14" s="63">
        <v>38.359287232755491</v>
      </c>
    </row>
    <row r="15" spans="2:7" ht="15" customHeight="1" x14ac:dyDescent="0.2">
      <c r="B15" s="5" t="s">
        <v>15</v>
      </c>
      <c r="C15" s="39">
        <v>833991</v>
      </c>
      <c r="D15" s="39">
        <v>1763982</v>
      </c>
      <c r="E15" s="39">
        <v>2551483</v>
      </c>
      <c r="F15" s="63">
        <v>111.51091558541998</v>
      </c>
      <c r="G15" s="63">
        <v>44.643369376785024</v>
      </c>
    </row>
    <row r="16" spans="2:7" ht="15" customHeight="1" thickBot="1" x14ac:dyDescent="0.25">
      <c r="B16" s="5" t="s">
        <v>16</v>
      </c>
      <c r="C16" s="39">
        <v>699330</v>
      </c>
      <c r="D16" s="39">
        <v>1892520</v>
      </c>
      <c r="E16" s="39">
        <v>2399441</v>
      </c>
      <c r="F16" s="63">
        <v>170.61902106301747</v>
      </c>
      <c r="G16" s="63">
        <v>26.785502927313846</v>
      </c>
    </row>
    <row r="17" spans="2:7" ht="15" customHeight="1" thickBot="1" x14ac:dyDescent="0.25">
      <c r="B17" s="38" t="s">
        <v>17</v>
      </c>
      <c r="C17" s="40">
        <v>12734213</v>
      </c>
      <c r="D17" s="40">
        <v>24712266</v>
      </c>
      <c r="E17" s="40">
        <v>44564395</v>
      </c>
      <c r="F17" s="142">
        <v>94.061980901371754</v>
      </c>
      <c r="G17" s="142">
        <v>80.333098551140552</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19"/>
  <sheetViews>
    <sheetView view="pageBreakPreview" zoomScaleNormal="100" zoomScaleSheetLayoutView="100" workbookViewId="0"/>
  </sheetViews>
  <sheetFormatPr defaultColWidth="9.140625" defaultRowHeight="12.75" x14ac:dyDescent="0.2"/>
  <cols>
    <col min="1" max="1" width="9.140625" style="19"/>
    <col min="2" max="2" width="29.7109375" style="6" customWidth="1"/>
    <col min="3" max="6" width="11.42578125" customWidth="1"/>
    <col min="7" max="7" width="10.28515625" customWidth="1"/>
    <col min="8" max="8" width="8.5703125" customWidth="1"/>
  </cols>
  <sheetData>
    <row r="1" spans="2:8" ht="21" customHeight="1" x14ac:dyDescent="0.2">
      <c r="B1" s="455" t="s">
        <v>597</v>
      </c>
      <c r="C1" s="456"/>
      <c r="D1" s="456"/>
      <c r="E1" s="456"/>
      <c r="F1" s="456"/>
      <c r="G1" s="456"/>
      <c r="H1" s="456"/>
    </row>
    <row r="2" spans="2:8" s="25" customFormat="1" ht="5.25" customHeight="1" thickBot="1" x14ac:dyDescent="0.25">
      <c r="B2" s="26"/>
    </row>
    <row r="3" spans="2:8" ht="16.5" customHeight="1" x14ac:dyDescent="0.2">
      <c r="B3" s="458" t="s">
        <v>268</v>
      </c>
      <c r="C3" s="457" t="s">
        <v>269</v>
      </c>
      <c r="D3" s="457"/>
      <c r="E3" s="457"/>
      <c r="F3" s="457"/>
      <c r="G3" s="460" t="s">
        <v>17</v>
      </c>
      <c r="H3" s="462" t="s">
        <v>274</v>
      </c>
    </row>
    <row r="4" spans="2:8" ht="16.5" customHeight="1" thickBot="1" x14ac:dyDescent="0.25">
      <c r="B4" s="459"/>
      <c r="C4" s="51" t="s">
        <v>297</v>
      </c>
      <c r="D4" s="51" t="s">
        <v>298</v>
      </c>
      <c r="E4" s="51" t="s">
        <v>299</v>
      </c>
      <c r="F4" s="51" t="s">
        <v>300</v>
      </c>
      <c r="G4" s="461"/>
      <c r="H4" s="463"/>
    </row>
    <row r="5" spans="2:8" ht="12.75" customHeight="1" x14ac:dyDescent="0.2">
      <c r="B5" s="46" t="s">
        <v>63</v>
      </c>
      <c r="C5" s="47">
        <v>352</v>
      </c>
      <c r="D5" s="47">
        <v>209859</v>
      </c>
      <c r="E5" s="47">
        <v>266</v>
      </c>
      <c r="F5" s="47">
        <v>1</v>
      </c>
      <c r="G5" s="60">
        <v>210478</v>
      </c>
      <c r="H5" s="48">
        <v>0.47230081323890966</v>
      </c>
    </row>
    <row r="6" spans="2:8" ht="12.75" customHeight="1" x14ac:dyDescent="0.2">
      <c r="B6" s="46" t="s">
        <v>85</v>
      </c>
      <c r="C6" s="47">
        <v>1267</v>
      </c>
      <c r="D6" s="47">
        <v>249326</v>
      </c>
      <c r="E6" s="47">
        <v>1098</v>
      </c>
      <c r="F6" s="47">
        <v>17</v>
      </c>
      <c r="G6" s="60">
        <v>251708</v>
      </c>
      <c r="H6" s="48">
        <v>0.56481861809186462</v>
      </c>
    </row>
    <row r="7" spans="2:8" ht="12.75" customHeight="1" x14ac:dyDescent="0.2">
      <c r="B7" s="46" t="s">
        <v>105</v>
      </c>
      <c r="C7" s="47">
        <v>3634</v>
      </c>
      <c r="D7" s="47">
        <v>67743</v>
      </c>
      <c r="E7" s="47">
        <v>253</v>
      </c>
      <c r="F7" s="49">
        <v>6</v>
      </c>
      <c r="G7" s="60">
        <v>71636</v>
      </c>
      <c r="H7" s="48">
        <v>0.16074716149518017</v>
      </c>
    </row>
    <row r="8" spans="2:8" ht="12.75" customHeight="1" x14ac:dyDescent="0.2">
      <c r="B8" s="46" t="s">
        <v>155</v>
      </c>
      <c r="C8" s="47">
        <v>5973</v>
      </c>
      <c r="D8" s="47">
        <v>213923</v>
      </c>
      <c r="E8" s="47">
        <v>283</v>
      </c>
      <c r="F8" s="49">
        <v>0</v>
      </c>
      <c r="G8" s="60">
        <v>220179</v>
      </c>
      <c r="H8" s="48">
        <v>0.49406931250833763</v>
      </c>
    </row>
    <row r="9" spans="2:8" ht="12.75" customHeight="1" x14ac:dyDescent="0.2">
      <c r="B9" s="46" t="s">
        <v>173</v>
      </c>
      <c r="C9" s="47">
        <v>5815</v>
      </c>
      <c r="D9" s="47">
        <v>221625</v>
      </c>
      <c r="E9" s="47">
        <v>406</v>
      </c>
      <c r="F9" s="49">
        <v>4</v>
      </c>
      <c r="G9" s="60">
        <v>227850</v>
      </c>
      <c r="H9" s="48">
        <v>0.51128260576632978</v>
      </c>
    </row>
    <row r="10" spans="2:8" ht="12.75" customHeight="1" x14ac:dyDescent="0.2">
      <c r="B10" s="46" t="s">
        <v>227</v>
      </c>
      <c r="C10" s="47">
        <v>33</v>
      </c>
      <c r="D10" s="47">
        <v>43131</v>
      </c>
      <c r="E10" s="47">
        <v>28</v>
      </c>
      <c r="F10" s="49">
        <v>0</v>
      </c>
      <c r="G10" s="60">
        <v>43192</v>
      </c>
      <c r="H10" s="48">
        <v>9.6920422682726867E-2</v>
      </c>
    </row>
    <row r="11" spans="2:8" ht="12.75" customHeight="1" x14ac:dyDescent="0.2">
      <c r="B11" s="46" t="s">
        <v>243</v>
      </c>
      <c r="C11" s="47">
        <v>1516</v>
      </c>
      <c r="D11" s="47">
        <v>204608</v>
      </c>
      <c r="E11" s="47">
        <v>583</v>
      </c>
      <c r="F11" s="49">
        <v>7</v>
      </c>
      <c r="G11" s="60">
        <v>206714</v>
      </c>
      <c r="H11" s="48">
        <v>0.46385460859504546</v>
      </c>
    </row>
    <row r="12" spans="2:8" ht="12.75" customHeight="1" thickBot="1" x14ac:dyDescent="0.25">
      <c r="B12" s="46" t="s">
        <v>275</v>
      </c>
      <c r="C12" s="47">
        <v>2490</v>
      </c>
      <c r="D12" s="47">
        <v>260285</v>
      </c>
      <c r="E12" s="47">
        <v>327</v>
      </c>
      <c r="F12" s="49">
        <v>4</v>
      </c>
      <c r="G12" s="60">
        <v>263106</v>
      </c>
      <c r="H12" s="48">
        <v>0.59039509007134505</v>
      </c>
    </row>
    <row r="13" spans="2:8" ht="12.75" customHeight="1" thickBot="1" x14ac:dyDescent="0.25">
      <c r="B13" s="52" t="s">
        <v>276</v>
      </c>
      <c r="C13" s="53">
        <v>21080</v>
      </c>
      <c r="D13" s="53">
        <v>1470500</v>
      </c>
      <c r="E13" s="53">
        <v>3244</v>
      </c>
      <c r="F13" s="53">
        <v>39</v>
      </c>
      <c r="G13" s="57">
        <v>1494863</v>
      </c>
      <c r="H13" s="54">
        <v>3.3543886324497394</v>
      </c>
    </row>
    <row r="14" spans="2:8" ht="12.75" customHeight="1" x14ac:dyDescent="0.2">
      <c r="B14" s="46" t="s">
        <v>29</v>
      </c>
      <c r="C14" s="47">
        <v>5566</v>
      </c>
      <c r="D14" s="47">
        <v>35695</v>
      </c>
      <c r="E14" s="47">
        <v>414</v>
      </c>
      <c r="F14" s="49">
        <v>33</v>
      </c>
      <c r="G14" s="60">
        <v>41708</v>
      </c>
      <c r="H14" s="48">
        <v>9.3590410012297939E-2</v>
      </c>
    </row>
    <row r="15" spans="2:8" ht="12.75" customHeight="1" x14ac:dyDescent="0.2">
      <c r="B15" s="46" t="s">
        <v>56</v>
      </c>
      <c r="C15" s="47">
        <v>13533</v>
      </c>
      <c r="D15" s="47">
        <v>70143</v>
      </c>
      <c r="E15" s="47">
        <v>860</v>
      </c>
      <c r="F15" s="49">
        <v>46</v>
      </c>
      <c r="G15" s="60">
        <v>84582</v>
      </c>
      <c r="H15" s="48">
        <v>0.18979725855136145</v>
      </c>
    </row>
    <row r="16" spans="2:8" ht="12.75" customHeight="1" x14ac:dyDescent="0.2">
      <c r="B16" s="46" t="s">
        <v>140</v>
      </c>
      <c r="C16" s="47">
        <v>12414</v>
      </c>
      <c r="D16" s="47">
        <v>64901</v>
      </c>
      <c r="E16" s="47">
        <v>509</v>
      </c>
      <c r="F16" s="49">
        <v>39</v>
      </c>
      <c r="G16" s="60">
        <v>77863</v>
      </c>
      <c r="H16" s="48">
        <v>0.17472019983666331</v>
      </c>
    </row>
    <row r="17" spans="2:8" ht="12.75" customHeight="1" x14ac:dyDescent="0.2">
      <c r="B17" s="46" t="s">
        <v>233</v>
      </c>
      <c r="C17" s="47">
        <v>3653</v>
      </c>
      <c r="D17" s="47">
        <v>13382</v>
      </c>
      <c r="E17" s="47">
        <v>280</v>
      </c>
      <c r="F17" s="49">
        <v>18</v>
      </c>
      <c r="G17" s="60">
        <v>17333</v>
      </c>
      <c r="H17" s="48">
        <v>3.8894278717348234E-2</v>
      </c>
    </row>
    <row r="18" spans="2:8" ht="12.75" customHeight="1" x14ac:dyDescent="0.2">
      <c r="B18" s="46" t="s">
        <v>253</v>
      </c>
      <c r="C18" s="47">
        <v>864</v>
      </c>
      <c r="D18" s="47">
        <v>17433</v>
      </c>
      <c r="E18" s="47">
        <v>97</v>
      </c>
      <c r="F18" s="49">
        <v>1</v>
      </c>
      <c r="G18" s="60">
        <v>18395</v>
      </c>
      <c r="H18" s="48">
        <v>4.1277347083922042E-2</v>
      </c>
    </row>
    <row r="19" spans="2:8" ht="12.75" customHeight="1" thickBot="1" x14ac:dyDescent="0.25">
      <c r="B19" s="46" t="s">
        <v>277</v>
      </c>
      <c r="C19" s="47">
        <v>4434</v>
      </c>
      <c r="D19" s="47">
        <v>36140</v>
      </c>
      <c r="E19" s="47">
        <v>470</v>
      </c>
      <c r="F19" s="49">
        <v>18</v>
      </c>
      <c r="G19" s="60">
        <v>41062</v>
      </c>
      <c r="H19" s="48">
        <v>9.2140822286491272E-2</v>
      </c>
    </row>
    <row r="20" spans="2:8" ht="12.75" customHeight="1" thickBot="1" x14ac:dyDescent="0.25">
      <c r="B20" s="52" t="s">
        <v>278</v>
      </c>
      <c r="C20" s="53">
        <v>40464</v>
      </c>
      <c r="D20" s="53">
        <v>237694</v>
      </c>
      <c r="E20" s="53">
        <v>2630</v>
      </c>
      <c r="F20" s="55">
        <v>155</v>
      </c>
      <c r="G20" s="57">
        <v>280943</v>
      </c>
      <c r="H20" s="54">
        <v>0.63042031648808428</v>
      </c>
    </row>
    <row r="21" spans="2:8" ht="12.75" customHeight="1" thickBot="1" x14ac:dyDescent="0.25">
      <c r="B21" s="52" t="s">
        <v>279</v>
      </c>
      <c r="C21" s="53">
        <v>1541</v>
      </c>
      <c r="D21" s="53">
        <v>38239</v>
      </c>
      <c r="E21" s="53">
        <v>1349</v>
      </c>
      <c r="F21" s="55">
        <v>3</v>
      </c>
      <c r="G21" s="57">
        <v>41132</v>
      </c>
      <c r="H21" s="54">
        <v>9.229789835585113E-2</v>
      </c>
    </row>
    <row r="22" spans="2:8" ht="12.75" customHeight="1" thickBot="1" x14ac:dyDescent="0.25">
      <c r="B22" s="52" t="s">
        <v>280</v>
      </c>
      <c r="C22" s="53">
        <v>5033</v>
      </c>
      <c r="D22" s="53">
        <v>22478</v>
      </c>
      <c r="E22" s="53">
        <v>114</v>
      </c>
      <c r="F22" s="55">
        <v>17</v>
      </c>
      <c r="G22" s="57">
        <v>27642</v>
      </c>
      <c r="H22" s="54">
        <v>6.2027095846358959E-2</v>
      </c>
    </row>
    <row r="23" spans="2:8" ht="12.75" customHeight="1" thickBot="1" x14ac:dyDescent="0.25">
      <c r="B23" s="52" t="s">
        <v>281</v>
      </c>
      <c r="C23" s="53">
        <v>47038</v>
      </c>
      <c r="D23" s="53">
        <v>298411</v>
      </c>
      <c r="E23" s="53">
        <v>4093</v>
      </c>
      <c r="F23" s="55">
        <v>175</v>
      </c>
      <c r="G23" s="57">
        <v>349717</v>
      </c>
      <c r="H23" s="54">
        <v>0.7847453106902943</v>
      </c>
    </row>
    <row r="24" spans="2:8" ht="12.75" customHeight="1" x14ac:dyDescent="0.2">
      <c r="B24" s="46" t="s">
        <v>37</v>
      </c>
      <c r="C24" s="47">
        <v>777</v>
      </c>
      <c r="D24" s="47">
        <v>97113</v>
      </c>
      <c r="E24" s="47">
        <v>257</v>
      </c>
      <c r="F24" s="49"/>
      <c r="G24" s="60">
        <v>98147</v>
      </c>
      <c r="H24" s="48">
        <v>0.22023635684945347</v>
      </c>
    </row>
    <row r="25" spans="2:8" ht="12.75" customHeight="1" x14ac:dyDescent="0.2">
      <c r="B25" s="46" t="s">
        <v>49</v>
      </c>
      <c r="C25" s="47">
        <v>359</v>
      </c>
      <c r="D25" s="47">
        <v>145264</v>
      </c>
      <c r="E25" s="47">
        <v>814</v>
      </c>
      <c r="F25" s="49">
        <v>1</v>
      </c>
      <c r="G25" s="60">
        <v>146438</v>
      </c>
      <c r="H25" s="48">
        <v>0.32859864921312182</v>
      </c>
    </row>
    <row r="26" spans="2:8" ht="12.75" customHeight="1" x14ac:dyDescent="0.2">
      <c r="B26" s="46" t="s">
        <v>116</v>
      </c>
      <c r="C26" s="47">
        <v>915</v>
      </c>
      <c r="D26" s="47">
        <v>550955</v>
      </c>
      <c r="E26" s="47">
        <v>656989</v>
      </c>
      <c r="F26" s="49">
        <v>36</v>
      </c>
      <c r="G26" s="60">
        <v>1208895</v>
      </c>
      <c r="H26" s="48">
        <v>2.7126924981254654</v>
      </c>
    </row>
    <row r="27" spans="2:8" ht="12.75" customHeight="1" x14ac:dyDescent="0.2">
      <c r="B27" s="46" t="s">
        <v>122</v>
      </c>
      <c r="C27" s="47">
        <v>38189</v>
      </c>
      <c r="D27" s="47">
        <v>796787</v>
      </c>
      <c r="E27" s="47">
        <v>8022</v>
      </c>
      <c r="F27" s="49">
        <v>30</v>
      </c>
      <c r="G27" s="60">
        <v>843028</v>
      </c>
      <c r="H27" s="48">
        <v>1.8917074942900043</v>
      </c>
    </row>
    <row r="28" spans="2:8" ht="12.75" customHeight="1" x14ac:dyDescent="0.2">
      <c r="B28" s="46" t="s">
        <v>134</v>
      </c>
      <c r="C28" s="47">
        <v>134</v>
      </c>
      <c r="D28" s="47">
        <v>92050</v>
      </c>
      <c r="E28" s="47">
        <v>255</v>
      </c>
      <c r="F28" s="49"/>
      <c r="G28" s="60">
        <v>92439</v>
      </c>
      <c r="H28" s="48">
        <v>0.20742792536508126</v>
      </c>
    </row>
    <row r="29" spans="2:8" ht="12.75" customHeight="1" x14ac:dyDescent="0.2">
      <c r="B29" s="46" t="s">
        <v>145</v>
      </c>
      <c r="C29" s="47">
        <v>1414</v>
      </c>
      <c r="D29" s="47">
        <v>477159</v>
      </c>
      <c r="E29" s="47">
        <v>1550</v>
      </c>
      <c r="F29" s="49">
        <v>0</v>
      </c>
      <c r="G29" s="60">
        <v>480123</v>
      </c>
      <c r="H29" s="48">
        <v>1.0773690521323132</v>
      </c>
    </row>
    <row r="30" spans="2:8" ht="12.75" customHeight="1" x14ac:dyDescent="0.2">
      <c r="B30" s="46" t="s">
        <v>146</v>
      </c>
      <c r="C30" s="47">
        <v>21584</v>
      </c>
      <c r="D30" s="47">
        <v>148869</v>
      </c>
      <c r="E30" s="47">
        <v>1235</v>
      </c>
      <c r="F30" s="49">
        <v>3</v>
      </c>
      <c r="G30" s="60">
        <v>171691</v>
      </c>
      <c r="H30" s="48">
        <v>0.38526496320661369</v>
      </c>
    </row>
    <row r="31" spans="2:8" ht="12.75" customHeight="1" x14ac:dyDescent="0.2">
      <c r="B31" s="46" t="s">
        <v>158</v>
      </c>
      <c r="C31" s="47">
        <v>3383</v>
      </c>
      <c r="D31" s="47">
        <v>267028</v>
      </c>
      <c r="E31" s="47">
        <v>2417</v>
      </c>
      <c r="F31" s="49">
        <v>16</v>
      </c>
      <c r="G31" s="60">
        <v>272844</v>
      </c>
      <c r="H31" s="48">
        <v>0.61224661526314894</v>
      </c>
    </row>
    <row r="32" spans="2:8" ht="12.75" customHeight="1" x14ac:dyDescent="0.2">
      <c r="B32" s="46" t="s">
        <v>230</v>
      </c>
      <c r="C32" s="47">
        <v>647</v>
      </c>
      <c r="D32" s="47">
        <v>484463</v>
      </c>
      <c r="E32" s="47">
        <v>12801</v>
      </c>
      <c r="F32" s="49">
        <v>3</v>
      </c>
      <c r="G32" s="60">
        <v>497914</v>
      </c>
      <c r="H32" s="48">
        <v>1.1172910571320445</v>
      </c>
    </row>
    <row r="33" spans="2:8" ht="12.75" customHeight="1" x14ac:dyDescent="0.2">
      <c r="B33" s="46" t="s">
        <v>250</v>
      </c>
      <c r="C33" s="47">
        <v>610</v>
      </c>
      <c r="D33" s="47">
        <v>484037</v>
      </c>
      <c r="E33" s="47">
        <v>9972</v>
      </c>
      <c r="F33" s="49">
        <v>10</v>
      </c>
      <c r="G33" s="60">
        <v>494629</v>
      </c>
      <c r="H33" s="48">
        <v>1.1099197015913713</v>
      </c>
    </row>
    <row r="34" spans="2:8" ht="12.75" customHeight="1" x14ac:dyDescent="0.2">
      <c r="B34" s="46" t="s">
        <v>257</v>
      </c>
      <c r="C34" s="47">
        <v>22</v>
      </c>
      <c r="D34" s="47">
        <v>34445</v>
      </c>
      <c r="E34" s="47">
        <v>132</v>
      </c>
      <c r="F34" s="49">
        <v>0</v>
      </c>
      <c r="G34" s="60">
        <v>34599</v>
      </c>
      <c r="H34" s="48">
        <v>7.7638213196880607E-2</v>
      </c>
    </row>
    <row r="35" spans="2:8" ht="12.75" customHeight="1" thickBot="1" x14ac:dyDescent="0.25">
      <c r="B35" s="46" t="s">
        <v>282</v>
      </c>
      <c r="C35" s="47">
        <v>10351</v>
      </c>
      <c r="D35" s="47">
        <v>395287</v>
      </c>
      <c r="E35" s="47">
        <v>190982</v>
      </c>
      <c r="F35" s="47">
        <v>1428</v>
      </c>
      <c r="G35" s="60">
        <v>598048</v>
      </c>
      <c r="H35" s="48">
        <v>1.3419861304074698</v>
      </c>
    </row>
    <row r="36" spans="2:8" ht="12.75" customHeight="1" thickBot="1" x14ac:dyDescent="0.25">
      <c r="B36" s="52" t="s">
        <v>283</v>
      </c>
      <c r="C36" s="53">
        <v>78385</v>
      </c>
      <c r="D36" s="53">
        <v>3973457</v>
      </c>
      <c r="E36" s="53">
        <v>885426</v>
      </c>
      <c r="F36" s="53">
        <v>1527</v>
      </c>
      <c r="G36" s="57">
        <v>4938795</v>
      </c>
      <c r="H36" s="54">
        <v>11.082378656772969</v>
      </c>
    </row>
    <row r="37" spans="2:8" ht="12.75" customHeight="1" x14ac:dyDescent="0.2">
      <c r="B37" s="46" t="s">
        <v>38</v>
      </c>
      <c r="C37" s="47">
        <v>580</v>
      </c>
      <c r="D37" s="47">
        <v>23706</v>
      </c>
      <c r="E37" s="47">
        <v>46</v>
      </c>
      <c r="F37" s="49">
        <v>3</v>
      </c>
      <c r="G37" s="60">
        <v>24335</v>
      </c>
      <c r="H37" s="48">
        <v>5.4606373541029783E-2</v>
      </c>
    </row>
    <row r="38" spans="2:8" ht="12.75" customHeight="1" x14ac:dyDescent="0.2">
      <c r="B38" s="46" t="s">
        <v>69</v>
      </c>
      <c r="C38" s="47">
        <v>2147</v>
      </c>
      <c r="D38" s="47">
        <v>86144</v>
      </c>
      <c r="E38" s="47">
        <v>1179</v>
      </c>
      <c r="F38" s="49">
        <v>45</v>
      </c>
      <c r="G38" s="60">
        <v>89515</v>
      </c>
      <c r="H38" s="48">
        <v>0.20086663355353529</v>
      </c>
    </row>
    <row r="39" spans="2:8" ht="12.75" customHeight="1" x14ac:dyDescent="0.2">
      <c r="B39" s="46" t="s">
        <v>78</v>
      </c>
      <c r="C39" s="47">
        <v>7911</v>
      </c>
      <c r="D39" s="47">
        <v>144602</v>
      </c>
      <c r="E39" s="47">
        <v>464</v>
      </c>
      <c r="F39" s="49">
        <v>18</v>
      </c>
      <c r="G39" s="60">
        <v>152995</v>
      </c>
      <c r="H39" s="48">
        <v>0.34331218902444427</v>
      </c>
    </row>
    <row r="40" spans="2:8" ht="12.75" customHeight="1" x14ac:dyDescent="0.2">
      <c r="B40" s="46" t="s">
        <v>88</v>
      </c>
      <c r="C40" s="47">
        <v>41169</v>
      </c>
      <c r="D40" s="47">
        <v>56586</v>
      </c>
      <c r="E40" s="47">
        <v>194</v>
      </c>
      <c r="F40" s="49">
        <v>5</v>
      </c>
      <c r="G40" s="60">
        <v>97954</v>
      </c>
      <c r="H40" s="48">
        <v>0.21980327568678987</v>
      </c>
    </row>
    <row r="41" spans="2:8" ht="12.75" customHeight="1" x14ac:dyDescent="0.2">
      <c r="B41" s="46" t="s">
        <v>112</v>
      </c>
      <c r="C41" s="47">
        <v>21776</v>
      </c>
      <c r="D41" s="47">
        <v>209385</v>
      </c>
      <c r="E41" s="47">
        <v>408</v>
      </c>
      <c r="F41" s="49">
        <v>10</v>
      </c>
      <c r="G41" s="60">
        <v>231579</v>
      </c>
      <c r="H41" s="48">
        <v>0.51965027237551409</v>
      </c>
    </row>
    <row r="42" spans="2:8" ht="12.75" customHeight="1" x14ac:dyDescent="0.2">
      <c r="B42" s="46" t="s">
        <v>119</v>
      </c>
      <c r="C42" s="47">
        <v>2889</v>
      </c>
      <c r="D42" s="47">
        <v>1396393</v>
      </c>
      <c r="E42" s="47">
        <v>931626</v>
      </c>
      <c r="F42" s="47">
        <v>168</v>
      </c>
      <c r="G42" s="60">
        <v>2331076</v>
      </c>
      <c r="H42" s="48">
        <v>5.2308036494156376</v>
      </c>
    </row>
    <row r="43" spans="2:8" ht="12.75" customHeight="1" x14ac:dyDescent="0.2">
      <c r="B43" s="46" t="s">
        <v>165</v>
      </c>
      <c r="C43" s="47">
        <v>1596</v>
      </c>
      <c r="D43" s="47">
        <v>84821</v>
      </c>
      <c r="E43" s="47">
        <v>3265</v>
      </c>
      <c r="F43" s="49">
        <v>84</v>
      </c>
      <c r="G43" s="60">
        <v>89766</v>
      </c>
      <c r="H43" s="48">
        <v>0.20142986345938277</v>
      </c>
    </row>
    <row r="44" spans="2:8" ht="12.75" customHeight="1" x14ac:dyDescent="0.2">
      <c r="B44" s="46" t="s">
        <v>194</v>
      </c>
      <c r="C44" s="47">
        <v>675</v>
      </c>
      <c r="D44" s="47">
        <v>172228</v>
      </c>
      <c r="E44" s="47">
        <v>712</v>
      </c>
      <c r="F44" s="49">
        <v>6</v>
      </c>
      <c r="G44" s="60">
        <v>173621</v>
      </c>
      <c r="H44" s="48">
        <v>0.38959577483324975</v>
      </c>
    </row>
    <row r="45" spans="2:8" ht="12.75" customHeight="1" x14ac:dyDescent="0.2">
      <c r="B45" s="46" t="s">
        <v>220</v>
      </c>
      <c r="C45" s="47">
        <v>676</v>
      </c>
      <c r="D45" s="47">
        <v>29816</v>
      </c>
      <c r="E45" s="47">
        <v>96</v>
      </c>
      <c r="F45" s="49">
        <v>14</v>
      </c>
      <c r="G45" s="60">
        <v>30602</v>
      </c>
      <c r="H45" s="48">
        <v>6.8669169636432853E-2</v>
      </c>
    </row>
    <row r="46" spans="2:8" ht="12.75" customHeight="1" x14ac:dyDescent="0.2">
      <c r="B46" s="46" t="s">
        <v>237</v>
      </c>
      <c r="C46" s="47">
        <v>785</v>
      </c>
      <c r="D46" s="47">
        <v>28683</v>
      </c>
      <c r="E46" s="47">
        <v>343</v>
      </c>
      <c r="F46" s="49">
        <v>3</v>
      </c>
      <c r="G46" s="60">
        <v>29814</v>
      </c>
      <c r="H46" s="48">
        <v>6.6900941884210474E-2</v>
      </c>
    </row>
    <row r="47" spans="2:8" ht="12.75" customHeight="1" thickBot="1" x14ac:dyDescent="0.25">
      <c r="B47" s="46" t="s">
        <v>284</v>
      </c>
      <c r="C47" s="47">
        <v>3038</v>
      </c>
      <c r="D47" s="47">
        <v>136643</v>
      </c>
      <c r="E47" s="47">
        <v>3071</v>
      </c>
      <c r="F47" s="47">
        <v>33</v>
      </c>
      <c r="G47" s="60">
        <v>142785</v>
      </c>
      <c r="H47" s="48">
        <v>0.32040152233638536</v>
      </c>
    </row>
    <row r="48" spans="2:8" ht="12.75" customHeight="1" thickBot="1" x14ac:dyDescent="0.25">
      <c r="B48" s="52" t="s">
        <v>285</v>
      </c>
      <c r="C48" s="53">
        <v>83242</v>
      </c>
      <c r="D48" s="53">
        <v>2369007</v>
      </c>
      <c r="E48" s="53">
        <v>941404</v>
      </c>
      <c r="F48" s="53">
        <v>389</v>
      </c>
      <c r="G48" s="57">
        <v>3394042</v>
      </c>
      <c r="H48" s="54">
        <v>7.6160396657466123</v>
      </c>
    </row>
    <row r="49" spans="2:8" ht="12.75" customHeight="1" thickBot="1" x14ac:dyDescent="0.25">
      <c r="B49" s="52" t="s">
        <v>286</v>
      </c>
      <c r="C49" s="53">
        <v>161627</v>
      </c>
      <c r="D49" s="53">
        <v>6342464</v>
      </c>
      <c r="E49" s="53">
        <v>1826830</v>
      </c>
      <c r="F49" s="53">
        <v>1916</v>
      </c>
      <c r="G49" s="57">
        <v>8332837</v>
      </c>
      <c r="H49" s="54">
        <v>18.698418322519579</v>
      </c>
    </row>
    <row r="50" spans="2:8" ht="12.75" customHeight="1" x14ac:dyDescent="0.2">
      <c r="B50" s="46" t="s">
        <v>22</v>
      </c>
      <c r="C50" s="47">
        <v>181698</v>
      </c>
      <c r="D50" s="47">
        <v>5124613</v>
      </c>
      <c r="E50" s="47">
        <v>370300</v>
      </c>
      <c r="F50" s="47">
        <v>2583</v>
      </c>
      <c r="G50" s="60">
        <v>5679194</v>
      </c>
      <c r="H50" s="48">
        <v>12.743792437886793</v>
      </c>
    </row>
    <row r="51" spans="2:8" ht="12.75" customHeight="1" x14ac:dyDescent="0.2">
      <c r="B51" s="46" t="s">
        <v>34</v>
      </c>
      <c r="C51" s="47">
        <v>10212</v>
      </c>
      <c r="D51" s="47">
        <v>365806</v>
      </c>
      <c r="E51" s="47">
        <v>78160</v>
      </c>
      <c r="F51" s="47">
        <v>460</v>
      </c>
      <c r="G51" s="60">
        <v>454638</v>
      </c>
      <c r="H51" s="48">
        <v>1.0201821431660858</v>
      </c>
    </row>
    <row r="52" spans="2:8" ht="12.75" customHeight="1" x14ac:dyDescent="0.2">
      <c r="B52" s="46" t="s">
        <v>43</v>
      </c>
      <c r="C52" s="47">
        <v>20936</v>
      </c>
      <c r="D52" s="47">
        <v>513028</v>
      </c>
      <c r="E52" s="47">
        <v>62001</v>
      </c>
      <c r="F52" s="47">
        <v>208</v>
      </c>
      <c r="G52" s="60">
        <v>596173</v>
      </c>
      <c r="H52" s="48">
        <v>1.3377787356924737</v>
      </c>
    </row>
    <row r="53" spans="2:8" ht="12.75" customHeight="1" x14ac:dyDescent="0.2">
      <c r="B53" s="46" t="s">
        <v>68</v>
      </c>
      <c r="C53" s="47">
        <v>5731</v>
      </c>
      <c r="D53" s="47">
        <v>284241</v>
      </c>
      <c r="E53" s="47">
        <v>5399</v>
      </c>
      <c r="F53" s="47">
        <v>83</v>
      </c>
      <c r="G53" s="60">
        <v>295454</v>
      </c>
      <c r="H53" s="48">
        <v>0.66298218566638234</v>
      </c>
    </row>
    <row r="54" spans="2:8" ht="12.75" customHeight="1" x14ac:dyDescent="0.2">
      <c r="B54" s="46" t="s">
        <v>70</v>
      </c>
      <c r="C54" s="47">
        <v>8830</v>
      </c>
      <c r="D54" s="47">
        <v>339019</v>
      </c>
      <c r="E54" s="47">
        <v>8097</v>
      </c>
      <c r="F54" s="47">
        <v>181</v>
      </c>
      <c r="G54" s="60">
        <v>356127</v>
      </c>
      <c r="H54" s="48">
        <v>0.79912899075596111</v>
      </c>
    </row>
    <row r="55" spans="2:8" ht="12.75" customHeight="1" x14ac:dyDescent="0.2">
      <c r="B55" s="46" t="s">
        <v>90</v>
      </c>
      <c r="C55" s="47">
        <v>5464</v>
      </c>
      <c r="D55" s="47">
        <v>108876</v>
      </c>
      <c r="E55" s="47">
        <v>2879</v>
      </c>
      <c r="F55" s="49">
        <v>62</v>
      </c>
      <c r="G55" s="60">
        <v>117281</v>
      </c>
      <c r="H55" s="48">
        <v>0.26317197843704598</v>
      </c>
    </row>
    <row r="56" spans="2:8" ht="12.75" customHeight="1" x14ac:dyDescent="0.2">
      <c r="B56" s="46" t="s">
        <v>91</v>
      </c>
      <c r="C56" s="47">
        <v>44854</v>
      </c>
      <c r="D56" s="47">
        <v>830699</v>
      </c>
      <c r="E56" s="47">
        <v>109689</v>
      </c>
      <c r="F56" s="47">
        <v>848</v>
      </c>
      <c r="G56" s="60">
        <v>986090</v>
      </c>
      <c r="H56" s="48">
        <v>2.2127305890722853</v>
      </c>
    </row>
    <row r="57" spans="2:8" ht="12.75" customHeight="1" x14ac:dyDescent="0.2">
      <c r="B57" s="46" t="s">
        <v>113</v>
      </c>
      <c r="C57" s="47">
        <v>49648</v>
      </c>
      <c r="D57" s="47">
        <v>1097075</v>
      </c>
      <c r="E57" s="47">
        <v>97319</v>
      </c>
      <c r="F57" s="47">
        <v>714</v>
      </c>
      <c r="G57" s="60">
        <v>1244756</v>
      </c>
      <c r="H57" s="48">
        <v>2.7931625684585195</v>
      </c>
    </row>
    <row r="58" spans="2:8" ht="12.75" customHeight="1" x14ac:dyDescent="0.2">
      <c r="B58" s="46" t="s">
        <v>118</v>
      </c>
      <c r="C58" s="47">
        <v>190933</v>
      </c>
      <c r="D58" s="47">
        <v>3133893</v>
      </c>
      <c r="E58" s="47">
        <v>44901</v>
      </c>
      <c r="F58" s="47">
        <v>1012</v>
      </c>
      <c r="G58" s="60">
        <v>3370739</v>
      </c>
      <c r="H58" s="48">
        <v>7.563749042256716</v>
      </c>
    </row>
    <row r="59" spans="2:8" ht="12.75" customHeight="1" x14ac:dyDescent="0.2">
      <c r="B59" s="46" t="s">
        <v>120</v>
      </c>
      <c r="C59" s="47">
        <v>12482</v>
      </c>
      <c r="D59" s="47">
        <v>122625</v>
      </c>
      <c r="E59" s="47">
        <v>1347</v>
      </c>
      <c r="F59" s="49">
        <v>154</v>
      </c>
      <c r="G59" s="60">
        <v>136608</v>
      </c>
      <c r="H59" s="48">
        <v>0.3065406811873021</v>
      </c>
    </row>
    <row r="60" spans="2:8" ht="12.75" customHeight="1" x14ac:dyDescent="0.2">
      <c r="B60" s="46" t="s">
        <v>121</v>
      </c>
      <c r="C60" s="47">
        <v>44562</v>
      </c>
      <c r="D60" s="47">
        <v>247247</v>
      </c>
      <c r="E60" s="47">
        <v>5843</v>
      </c>
      <c r="F60" s="49">
        <v>513</v>
      </c>
      <c r="G60" s="60">
        <v>298165</v>
      </c>
      <c r="H60" s="48">
        <v>0.66906551743830478</v>
      </c>
    </row>
    <row r="61" spans="2:8" ht="12.75" customHeight="1" x14ac:dyDescent="0.2">
      <c r="B61" s="46" t="s">
        <v>123</v>
      </c>
      <c r="C61" s="47">
        <v>8572</v>
      </c>
      <c r="D61" s="47">
        <v>385189</v>
      </c>
      <c r="E61" s="47">
        <v>21835</v>
      </c>
      <c r="F61" s="47">
        <v>100</v>
      </c>
      <c r="G61" s="60">
        <v>415696</v>
      </c>
      <c r="H61" s="48">
        <v>0.93279848183735015</v>
      </c>
    </row>
    <row r="62" spans="2:8" ht="12.75" customHeight="1" x14ac:dyDescent="0.2">
      <c r="B62" s="46" t="s">
        <v>124</v>
      </c>
      <c r="C62" s="47">
        <v>12079</v>
      </c>
      <c r="D62" s="47">
        <v>358830</v>
      </c>
      <c r="E62" s="47">
        <v>11614</v>
      </c>
      <c r="F62" s="47">
        <v>312</v>
      </c>
      <c r="G62" s="60">
        <v>382835</v>
      </c>
      <c r="H62" s="48">
        <v>0.85906024304828998</v>
      </c>
    </row>
    <row r="63" spans="2:8" ht="12.75" customHeight="1" x14ac:dyDescent="0.2">
      <c r="B63" s="46" t="s">
        <v>125</v>
      </c>
      <c r="C63" s="47">
        <v>79355</v>
      </c>
      <c r="D63" s="47">
        <v>328475</v>
      </c>
      <c r="E63" s="47">
        <v>12292</v>
      </c>
      <c r="F63" s="47">
        <v>539</v>
      </c>
      <c r="G63" s="60">
        <v>420661</v>
      </c>
      <c r="H63" s="48">
        <v>0.94393966304265997</v>
      </c>
    </row>
    <row r="64" spans="2:8" ht="12.75" customHeight="1" x14ac:dyDescent="0.2">
      <c r="B64" s="46" t="s">
        <v>126</v>
      </c>
      <c r="C64" s="47">
        <v>520</v>
      </c>
      <c r="D64" s="47">
        <v>3506</v>
      </c>
      <c r="E64" s="47">
        <v>36</v>
      </c>
      <c r="F64" s="49">
        <v>8</v>
      </c>
      <c r="G64" s="60">
        <v>4070</v>
      </c>
      <c r="H64" s="48">
        <v>9.1328514613516019E-3</v>
      </c>
    </row>
    <row r="65" spans="2:8" ht="12.75" customHeight="1" x14ac:dyDescent="0.2">
      <c r="B65" s="46" t="s">
        <v>159</v>
      </c>
      <c r="C65" s="47">
        <v>522</v>
      </c>
      <c r="D65" s="47">
        <v>12324</v>
      </c>
      <c r="E65" s="47">
        <v>327</v>
      </c>
      <c r="F65" s="49">
        <v>13</v>
      </c>
      <c r="G65" s="60">
        <v>13186</v>
      </c>
      <c r="H65" s="48">
        <v>2.9588643579700789E-2</v>
      </c>
    </row>
    <row r="66" spans="2:8" ht="12.75" customHeight="1" x14ac:dyDescent="0.2">
      <c r="B66" s="46" t="s">
        <v>160</v>
      </c>
      <c r="C66" s="47">
        <v>4856</v>
      </c>
      <c r="D66" s="47">
        <v>148730</v>
      </c>
      <c r="E66" s="47">
        <v>12177</v>
      </c>
      <c r="F66" s="47">
        <v>79</v>
      </c>
      <c r="G66" s="60">
        <v>165842</v>
      </c>
      <c r="H66" s="48">
        <v>0.3721401356396738</v>
      </c>
    </row>
    <row r="67" spans="2:8" ht="12.75" customHeight="1" x14ac:dyDescent="0.2">
      <c r="B67" s="46" t="s">
        <v>191</v>
      </c>
      <c r="C67" s="47">
        <v>5967</v>
      </c>
      <c r="D67" s="47">
        <v>179742</v>
      </c>
      <c r="E67" s="47">
        <v>6039</v>
      </c>
      <c r="F67" s="47">
        <v>41</v>
      </c>
      <c r="G67" s="60">
        <v>191789</v>
      </c>
      <c r="H67" s="48">
        <v>0.43036374666367622</v>
      </c>
    </row>
    <row r="68" spans="2:8" ht="12.75" customHeight="1" x14ac:dyDescent="0.2">
      <c r="B68" s="46" t="s">
        <v>201</v>
      </c>
      <c r="C68" s="47">
        <v>70713</v>
      </c>
      <c r="D68" s="47">
        <v>1036969</v>
      </c>
      <c r="E68" s="47">
        <v>28057</v>
      </c>
      <c r="F68" s="47">
        <v>164</v>
      </c>
      <c r="G68" s="60">
        <v>1135903</v>
      </c>
      <c r="H68" s="48">
        <v>2.5489025487724</v>
      </c>
    </row>
    <row r="69" spans="2:8" ht="12.75" customHeight="1" x14ac:dyDescent="0.2">
      <c r="B69" s="46" t="s">
        <v>202</v>
      </c>
      <c r="C69" s="47">
        <v>7177</v>
      </c>
      <c r="D69" s="47">
        <v>65489</v>
      </c>
      <c r="E69" s="47">
        <v>1983</v>
      </c>
      <c r="F69" s="47">
        <v>163</v>
      </c>
      <c r="G69" s="60">
        <v>74812</v>
      </c>
      <c r="H69" s="48">
        <v>0.16787392715642163</v>
      </c>
    </row>
    <row r="70" spans="2:8" ht="12.75" customHeight="1" x14ac:dyDescent="0.2">
      <c r="B70" s="46" t="s">
        <v>221</v>
      </c>
      <c r="C70" s="47">
        <v>2123</v>
      </c>
      <c r="D70" s="47">
        <v>190963</v>
      </c>
      <c r="E70" s="47">
        <v>3353</v>
      </c>
      <c r="F70" s="47">
        <v>23</v>
      </c>
      <c r="G70" s="60">
        <v>196462</v>
      </c>
      <c r="H70" s="48">
        <v>0.44084969626537057</v>
      </c>
    </row>
    <row r="71" spans="2:8" ht="12.75" customHeight="1" x14ac:dyDescent="0.2">
      <c r="B71" s="46" t="s">
        <v>261</v>
      </c>
      <c r="C71" s="47">
        <v>76777</v>
      </c>
      <c r="D71" s="47">
        <v>92469</v>
      </c>
      <c r="E71" s="47">
        <v>400531</v>
      </c>
      <c r="F71" s="47">
        <v>18</v>
      </c>
      <c r="G71" s="60">
        <v>569795</v>
      </c>
      <c r="H71" s="48">
        <v>1.2785879848699842</v>
      </c>
    </row>
    <row r="72" spans="2:8" ht="12.75" customHeight="1" thickBot="1" x14ac:dyDescent="0.25">
      <c r="B72" s="46" t="s">
        <v>598</v>
      </c>
      <c r="C72" s="47">
        <v>12</v>
      </c>
      <c r="D72" s="47">
        <v>0</v>
      </c>
      <c r="E72" s="47"/>
      <c r="F72" s="47"/>
      <c r="G72" s="60">
        <v>12</v>
      </c>
      <c r="H72" s="48">
        <v>2.6927326175975238E-5</v>
      </c>
    </row>
    <row r="73" spans="2:8" ht="12.75" customHeight="1" thickBot="1" x14ac:dyDescent="0.25">
      <c r="B73" s="52" t="s">
        <v>287</v>
      </c>
      <c r="C73" s="53">
        <v>844023</v>
      </c>
      <c r="D73" s="53">
        <v>14969808</v>
      </c>
      <c r="E73" s="53">
        <v>1284179</v>
      </c>
      <c r="F73" s="53">
        <v>8278</v>
      </c>
      <c r="G73" s="57">
        <v>17106288</v>
      </c>
      <c r="H73" s="54">
        <v>38.385549719680924</v>
      </c>
    </row>
    <row r="74" spans="2:8" ht="12.75" customHeight="1" x14ac:dyDescent="0.2">
      <c r="B74" s="46" t="s">
        <v>30</v>
      </c>
      <c r="C74" s="47">
        <v>5332</v>
      </c>
      <c r="D74" s="47">
        <v>102430</v>
      </c>
      <c r="E74" s="47">
        <v>37259</v>
      </c>
      <c r="F74" s="49">
        <v>11</v>
      </c>
      <c r="G74" s="60">
        <v>145032</v>
      </c>
      <c r="H74" s="48">
        <v>0.32544366416283671</v>
      </c>
    </row>
    <row r="75" spans="2:8" ht="12.75" customHeight="1" x14ac:dyDescent="0.2">
      <c r="B75" s="46" t="s">
        <v>53</v>
      </c>
      <c r="C75" s="47">
        <v>1418</v>
      </c>
      <c r="D75" s="47">
        <v>135681</v>
      </c>
      <c r="E75" s="47">
        <v>63592</v>
      </c>
      <c r="F75" s="47">
        <v>7</v>
      </c>
      <c r="G75" s="60">
        <v>200698</v>
      </c>
      <c r="H75" s="48">
        <v>0.45035504240548985</v>
      </c>
    </row>
    <row r="76" spans="2:8" ht="12.75" customHeight="1" x14ac:dyDescent="0.2">
      <c r="B76" s="46" t="s">
        <v>58</v>
      </c>
      <c r="C76" s="47">
        <v>15141</v>
      </c>
      <c r="D76" s="47">
        <v>207476</v>
      </c>
      <c r="E76" s="47">
        <v>2654624</v>
      </c>
      <c r="F76" s="47">
        <v>5271</v>
      </c>
      <c r="G76" s="60">
        <v>2882512</v>
      </c>
      <c r="H76" s="48">
        <v>6.4681950691802275</v>
      </c>
    </row>
    <row r="77" spans="2:8" ht="12.75" customHeight="1" x14ac:dyDescent="0.2">
      <c r="B77" s="46" t="s">
        <v>81</v>
      </c>
      <c r="C77" s="47">
        <v>1202</v>
      </c>
      <c r="D77" s="47">
        <v>91129</v>
      </c>
      <c r="E77" s="47">
        <v>873</v>
      </c>
      <c r="F77" s="49">
        <v>5</v>
      </c>
      <c r="G77" s="60">
        <v>93209</v>
      </c>
      <c r="H77" s="48">
        <v>0.20915576212803966</v>
      </c>
    </row>
    <row r="78" spans="2:8" ht="12.75" customHeight="1" x14ac:dyDescent="0.2">
      <c r="B78" s="46" t="s">
        <v>106</v>
      </c>
      <c r="C78" s="47">
        <v>2996</v>
      </c>
      <c r="D78" s="47">
        <v>7302</v>
      </c>
      <c r="E78" s="47">
        <v>950</v>
      </c>
      <c r="F78" s="49">
        <v>6</v>
      </c>
      <c r="G78" s="60">
        <v>11254</v>
      </c>
      <c r="H78" s="48">
        <v>2.5253344065368777E-2</v>
      </c>
    </row>
    <row r="79" spans="2:8" ht="12.75" customHeight="1" x14ac:dyDescent="0.2">
      <c r="B79" s="46" t="s">
        <v>111</v>
      </c>
      <c r="C79" s="47">
        <v>2984</v>
      </c>
      <c r="D79" s="47">
        <v>52459</v>
      </c>
      <c r="E79" s="47">
        <v>5871</v>
      </c>
      <c r="F79" s="47">
        <v>13</v>
      </c>
      <c r="G79" s="60">
        <v>61327</v>
      </c>
      <c r="H79" s="48">
        <v>0.13761434436616946</v>
      </c>
    </row>
    <row r="80" spans="2:8" ht="12.75" customHeight="1" x14ac:dyDescent="0.2">
      <c r="B80" s="46" t="s">
        <v>133</v>
      </c>
      <c r="C80" s="47">
        <v>1355</v>
      </c>
      <c r="D80" s="47">
        <v>17536</v>
      </c>
      <c r="E80" s="47">
        <v>10526</v>
      </c>
      <c r="F80" s="47">
        <v>0</v>
      </c>
      <c r="G80" s="60">
        <v>29417</v>
      </c>
      <c r="H80" s="48">
        <v>6.6010096176555302E-2</v>
      </c>
    </row>
    <row r="81" spans="2:8" ht="12.75" customHeight="1" x14ac:dyDescent="0.2">
      <c r="B81" s="46" t="s">
        <v>143</v>
      </c>
      <c r="C81" s="47">
        <v>350</v>
      </c>
      <c r="D81" s="47">
        <v>173419</v>
      </c>
      <c r="E81" s="47">
        <v>20049</v>
      </c>
      <c r="F81" s="49">
        <v>5</v>
      </c>
      <c r="G81" s="60">
        <v>193823</v>
      </c>
      <c r="H81" s="48">
        <v>0.43492792845050404</v>
      </c>
    </row>
    <row r="82" spans="2:8" ht="12.75" customHeight="1" x14ac:dyDescent="0.2">
      <c r="B82" s="46" t="s">
        <v>148</v>
      </c>
      <c r="C82" s="47">
        <v>1198</v>
      </c>
      <c r="D82" s="47">
        <v>94256</v>
      </c>
      <c r="E82" s="47">
        <v>170712</v>
      </c>
      <c r="F82" s="47">
        <v>18</v>
      </c>
      <c r="G82" s="60">
        <v>266184</v>
      </c>
      <c r="H82" s="48">
        <v>0.59730194923548274</v>
      </c>
    </row>
    <row r="83" spans="2:8" ht="12.75" customHeight="1" x14ac:dyDescent="0.2">
      <c r="B83" s="46" t="s">
        <v>153</v>
      </c>
      <c r="C83" s="47">
        <v>1631</v>
      </c>
      <c r="D83" s="47">
        <v>93391</v>
      </c>
      <c r="E83" s="47">
        <v>2211</v>
      </c>
      <c r="F83" s="49">
        <v>7</v>
      </c>
      <c r="G83" s="60">
        <v>97240</v>
      </c>
      <c r="H83" s="48">
        <v>0.21820109977931934</v>
      </c>
    </row>
    <row r="84" spans="2:8" ht="12.75" customHeight="1" x14ac:dyDescent="0.2">
      <c r="B84" s="46" t="s">
        <v>157</v>
      </c>
      <c r="C84" s="47">
        <v>3150</v>
      </c>
      <c r="D84" s="47">
        <v>246265</v>
      </c>
      <c r="E84" s="47">
        <v>2188</v>
      </c>
      <c r="F84" s="49">
        <v>16</v>
      </c>
      <c r="G84" s="60">
        <v>251619</v>
      </c>
      <c r="H84" s="48">
        <v>0.56461890708939277</v>
      </c>
    </row>
    <row r="85" spans="2:8" ht="12.75" customHeight="1" x14ac:dyDescent="0.2">
      <c r="B85" s="46" t="s">
        <v>167</v>
      </c>
      <c r="C85" s="47">
        <v>2229</v>
      </c>
      <c r="D85" s="47">
        <v>13955</v>
      </c>
      <c r="E85" s="47">
        <v>127</v>
      </c>
      <c r="F85" s="49">
        <v>10</v>
      </c>
      <c r="G85" s="60">
        <v>16321</v>
      </c>
      <c r="H85" s="48">
        <v>3.6623407543174322E-2</v>
      </c>
    </row>
    <row r="86" spans="2:8" ht="12.75" customHeight="1" x14ac:dyDescent="0.2">
      <c r="B86" s="46" t="s">
        <v>205</v>
      </c>
      <c r="C86" s="47">
        <v>15523</v>
      </c>
      <c r="D86" s="47">
        <v>474173</v>
      </c>
      <c r="E86" s="47">
        <v>396466</v>
      </c>
      <c r="F86" s="47">
        <v>393</v>
      </c>
      <c r="G86" s="60">
        <v>886555</v>
      </c>
      <c r="H86" s="48">
        <v>1.9893796381618105</v>
      </c>
    </row>
    <row r="87" spans="2:8" ht="12.75" customHeight="1" x14ac:dyDescent="0.2">
      <c r="B87" s="46" t="s">
        <v>218</v>
      </c>
      <c r="C87" s="47">
        <v>6964</v>
      </c>
      <c r="D87" s="47">
        <v>178152</v>
      </c>
      <c r="E87" s="47">
        <v>172261</v>
      </c>
      <c r="F87" s="47">
        <v>410</v>
      </c>
      <c r="G87" s="60">
        <v>357787</v>
      </c>
      <c r="H87" s="48">
        <v>0.80285393754363765</v>
      </c>
    </row>
    <row r="88" spans="2:8" ht="12.75" customHeight="1" x14ac:dyDescent="0.2">
      <c r="B88" s="46" t="s">
        <v>222</v>
      </c>
      <c r="C88" s="47">
        <v>2254</v>
      </c>
      <c r="D88" s="47">
        <v>44311</v>
      </c>
      <c r="E88" s="47">
        <v>2051</v>
      </c>
      <c r="F88" s="47">
        <v>6</v>
      </c>
      <c r="G88" s="60">
        <v>48622</v>
      </c>
      <c r="H88" s="48">
        <v>0.10910503777735567</v>
      </c>
    </row>
    <row r="89" spans="2:8" ht="12.75" customHeight="1" thickBot="1" x14ac:dyDescent="0.25">
      <c r="B89" s="46" t="s">
        <v>288</v>
      </c>
      <c r="C89" s="47">
        <v>212</v>
      </c>
      <c r="D89" s="47">
        <v>2709</v>
      </c>
      <c r="E89" s="47">
        <v>161</v>
      </c>
      <c r="F89" s="47">
        <v>3</v>
      </c>
      <c r="G89" s="60">
        <v>3085</v>
      </c>
      <c r="H89" s="48">
        <v>6.9225667710736344E-3</v>
      </c>
    </row>
    <row r="90" spans="2:8" ht="12.75" customHeight="1" thickBot="1" x14ac:dyDescent="0.25">
      <c r="B90" s="52" t="s">
        <v>289</v>
      </c>
      <c r="C90" s="53">
        <v>63939</v>
      </c>
      <c r="D90" s="53">
        <v>1934644</v>
      </c>
      <c r="E90" s="53">
        <v>3539921</v>
      </c>
      <c r="F90" s="53">
        <v>6181</v>
      </c>
      <c r="G90" s="57">
        <v>5544685</v>
      </c>
      <c r="H90" s="54">
        <v>12.441961794836438</v>
      </c>
    </row>
    <row r="91" spans="2:8" ht="12.75" customHeight="1" thickBot="1" x14ac:dyDescent="0.25">
      <c r="B91" s="52" t="s">
        <v>290</v>
      </c>
      <c r="C91" s="53">
        <v>907962</v>
      </c>
      <c r="D91" s="53">
        <v>16904452</v>
      </c>
      <c r="E91" s="53">
        <v>4824100</v>
      </c>
      <c r="F91" s="53">
        <v>14459</v>
      </c>
      <c r="G91" s="57">
        <v>22650973</v>
      </c>
      <c r="H91" s="54">
        <v>50.827511514517361</v>
      </c>
    </row>
    <row r="92" spans="2:8" ht="12.75" customHeight="1" x14ac:dyDescent="0.2">
      <c r="B92" s="46" t="s">
        <v>35</v>
      </c>
      <c r="C92" s="47">
        <v>14886</v>
      </c>
      <c r="D92" s="47">
        <v>429923</v>
      </c>
      <c r="E92" s="47">
        <v>238999</v>
      </c>
      <c r="F92" s="47">
        <v>26</v>
      </c>
      <c r="G92" s="60">
        <v>683834</v>
      </c>
      <c r="H92" s="48">
        <v>1.5344850973518209</v>
      </c>
    </row>
    <row r="93" spans="2:8" ht="12.75" customHeight="1" x14ac:dyDescent="0.2">
      <c r="B93" s="46" t="s">
        <v>47</v>
      </c>
      <c r="C93" s="47">
        <v>1857</v>
      </c>
      <c r="D93" s="47">
        <v>208769</v>
      </c>
      <c r="E93" s="47">
        <v>29304</v>
      </c>
      <c r="F93" s="49">
        <v>36</v>
      </c>
      <c r="G93" s="60">
        <v>239966</v>
      </c>
      <c r="H93" s="48">
        <v>0.53847022942867284</v>
      </c>
    </row>
    <row r="94" spans="2:8" ht="12.75" customHeight="1" x14ac:dyDescent="0.2">
      <c r="B94" s="46" t="s">
        <v>80</v>
      </c>
      <c r="C94" s="47">
        <v>172</v>
      </c>
      <c r="D94" s="47">
        <v>15342</v>
      </c>
      <c r="E94" s="47">
        <v>20929</v>
      </c>
      <c r="F94" s="49">
        <v>2</v>
      </c>
      <c r="G94" s="60">
        <v>36445</v>
      </c>
      <c r="H94" s="48">
        <v>8.1780533540284792E-2</v>
      </c>
    </row>
    <row r="95" spans="2:8" ht="12.75" customHeight="1" x14ac:dyDescent="0.2">
      <c r="B95" s="46" t="s">
        <v>109</v>
      </c>
      <c r="C95" s="47">
        <v>8709</v>
      </c>
      <c r="D95" s="47">
        <v>107464</v>
      </c>
      <c r="E95" s="47">
        <v>1398606</v>
      </c>
      <c r="F95" s="47">
        <v>34</v>
      </c>
      <c r="G95" s="60">
        <v>1514813</v>
      </c>
      <c r="H95" s="48">
        <v>3.3991553122172982</v>
      </c>
    </row>
    <row r="96" spans="2:8" ht="12.75" customHeight="1" x14ac:dyDescent="0.2">
      <c r="B96" s="46" t="s">
        <v>136</v>
      </c>
      <c r="C96" s="47">
        <v>3874</v>
      </c>
      <c r="D96" s="47">
        <v>689830</v>
      </c>
      <c r="E96" s="47">
        <v>18362</v>
      </c>
      <c r="F96" s="49">
        <v>70</v>
      </c>
      <c r="G96" s="60">
        <v>712136</v>
      </c>
      <c r="H96" s="48">
        <v>1.5979931961378584</v>
      </c>
    </row>
    <row r="97" spans="2:8" ht="12.75" customHeight="1" x14ac:dyDescent="0.2">
      <c r="B97" s="46" t="s">
        <v>138</v>
      </c>
      <c r="C97" s="47">
        <v>801</v>
      </c>
      <c r="D97" s="47">
        <v>141607</v>
      </c>
      <c r="E97" s="47">
        <v>5075</v>
      </c>
      <c r="F97" s="49">
        <v>4</v>
      </c>
      <c r="G97" s="60">
        <v>147487</v>
      </c>
      <c r="H97" s="48">
        <v>0.33095254630967164</v>
      </c>
    </row>
    <row r="98" spans="2:8" ht="12.75" customHeight="1" x14ac:dyDescent="0.2">
      <c r="B98" s="46" t="s">
        <v>178</v>
      </c>
      <c r="C98" s="47">
        <v>1841</v>
      </c>
      <c r="D98" s="47">
        <v>206503</v>
      </c>
      <c r="E98" s="47">
        <v>65877</v>
      </c>
      <c r="F98" s="47">
        <v>36</v>
      </c>
      <c r="G98" s="60">
        <v>274257</v>
      </c>
      <c r="H98" s="48">
        <v>0.61541730792037008</v>
      </c>
    </row>
    <row r="99" spans="2:8" ht="12.75" customHeight="1" x14ac:dyDescent="0.2">
      <c r="B99" s="46" t="s">
        <v>193</v>
      </c>
      <c r="C99" s="47">
        <v>1307</v>
      </c>
      <c r="D99" s="47">
        <v>397379</v>
      </c>
      <c r="E99" s="47">
        <v>20984</v>
      </c>
      <c r="F99" s="49">
        <v>3</v>
      </c>
      <c r="G99" s="60">
        <v>419673</v>
      </c>
      <c r="H99" s="48">
        <v>0.94172264652083804</v>
      </c>
    </row>
    <row r="100" spans="2:8" ht="12.75" customHeight="1" x14ac:dyDescent="0.2">
      <c r="B100" s="46" t="s">
        <v>207</v>
      </c>
      <c r="C100" s="47">
        <v>80592</v>
      </c>
      <c r="D100" s="47">
        <v>4915284</v>
      </c>
      <c r="E100" s="47">
        <v>236100</v>
      </c>
      <c r="F100" s="47">
        <v>635</v>
      </c>
      <c r="G100" s="60">
        <v>5232611</v>
      </c>
      <c r="H100" s="48">
        <v>11.741685262416331</v>
      </c>
    </row>
    <row r="101" spans="2:8" ht="12.75" customHeight="1" x14ac:dyDescent="0.2">
      <c r="B101" s="46" t="s">
        <v>234</v>
      </c>
      <c r="C101" s="47">
        <v>68</v>
      </c>
      <c r="D101" s="47">
        <v>70648</v>
      </c>
      <c r="E101" s="47">
        <v>3382</v>
      </c>
      <c r="F101" s="49">
        <v>3</v>
      </c>
      <c r="G101" s="60">
        <v>74101</v>
      </c>
      <c r="H101" s="48">
        <v>0.16627848308049509</v>
      </c>
    </row>
    <row r="102" spans="2:8" ht="12.75" customHeight="1" x14ac:dyDescent="0.2">
      <c r="B102" s="46" t="s">
        <v>245</v>
      </c>
      <c r="C102" s="47">
        <v>236</v>
      </c>
      <c r="D102" s="47">
        <v>38860</v>
      </c>
      <c r="E102" s="47">
        <v>6151</v>
      </c>
      <c r="F102" s="49">
        <v>2</v>
      </c>
      <c r="G102" s="60">
        <v>45249</v>
      </c>
      <c r="H102" s="48">
        <v>0.10153621517805862</v>
      </c>
    </row>
    <row r="103" spans="2:8" ht="12.75" customHeight="1" thickBot="1" x14ac:dyDescent="0.25">
      <c r="B103" s="46" t="s">
        <v>247</v>
      </c>
      <c r="C103" s="47">
        <v>28649</v>
      </c>
      <c r="D103" s="47">
        <v>369234</v>
      </c>
      <c r="E103" s="47">
        <v>277117</v>
      </c>
      <c r="F103" s="47">
        <v>467</v>
      </c>
      <c r="G103" s="60">
        <v>675467</v>
      </c>
      <c r="H103" s="48">
        <v>1.5157100191756221</v>
      </c>
    </row>
    <row r="104" spans="2:8" ht="12.75" customHeight="1" thickBot="1" x14ac:dyDescent="0.25">
      <c r="B104" s="52" t="s">
        <v>291</v>
      </c>
      <c r="C104" s="53">
        <v>142992</v>
      </c>
      <c r="D104" s="53">
        <v>7590843</v>
      </c>
      <c r="E104" s="53">
        <v>2320886</v>
      </c>
      <c r="F104" s="53">
        <v>1318</v>
      </c>
      <c r="G104" s="57">
        <v>10056039</v>
      </c>
      <c r="H104" s="54">
        <v>22.565186849277321</v>
      </c>
    </row>
    <row r="105" spans="2:8" ht="12.75" customHeight="1" x14ac:dyDescent="0.2">
      <c r="B105" s="46" t="s">
        <v>23</v>
      </c>
      <c r="C105" s="47">
        <v>284982</v>
      </c>
      <c r="D105" s="47">
        <v>718106</v>
      </c>
      <c r="E105" s="47">
        <v>9941</v>
      </c>
      <c r="F105" s="47">
        <v>449</v>
      </c>
      <c r="G105" s="60">
        <v>1013478</v>
      </c>
      <c r="H105" s="48">
        <v>2.2741877231812526</v>
      </c>
    </row>
    <row r="106" spans="2:8" ht="12.75" customHeight="1" x14ac:dyDescent="0.2">
      <c r="B106" s="46" t="s">
        <v>33</v>
      </c>
      <c r="C106" s="47">
        <v>16295</v>
      </c>
      <c r="D106" s="47">
        <v>100008</v>
      </c>
      <c r="E106" s="47">
        <v>2448</v>
      </c>
      <c r="F106" s="47">
        <v>96</v>
      </c>
      <c r="G106" s="60">
        <v>118847</v>
      </c>
      <c r="H106" s="48">
        <v>0.26668599450301078</v>
      </c>
    </row>
    <row r="107" spans="2:8" ht="12.75" customHeight="1" x14ac:dyDescent="0.2">
      <c r="B107" s="46" t="s">
        <v>107</v>
      </c>
      <c r="C107" s="47">
        <v>1707</v>
      </c>
      <c r="D107" s="47">
        <v>93676</v>
      </c>
      <c r="E107" s="47">
        <v>4385</v>
      </c>
      <c r="F107" s="49">
        <v>101</v>
      </c>
      <c r="G107" s="60">
        <v>99869</v>
      </c>
      <c r="H107" s="48">
        <v>0.22410042815570591</v>
      </c>
    </row>
    <row r="108" spans="2:8" ht="12.75" customHeight="1" x14ac:dyDescent="0.2">
      <c r="B108" s="46" t="s">
        <v>129</v>
      </c>
      <c r="C108" s="47">
        <v>1360</v>
      </c>
      <c r="D108" s="47">
        <v>28611</v>
      </c>
      <c r="E108" s="47">
        <v>596</v>
      </c>
      <c r="F108" s="49">
        <v>43</v>
      </c>
      <c r="G108" s="60">
        <v>30610</v>
      </c>
      <c r="H108" s="48">
        <v>6.8687121187216829E-2</v>
      </c>
    </row>
    <row r="109" spans="2:8" ht="12.75" customHeight="1" x14ac:dyDescent="0.2">
      <c r="B109" s="46" t="s">
        <v>132</v>
      </c>
      <c r="C109" s="47">
        <v>36291</v>
      </c>
      <c r="D109" s="47">
        <v>158358</v>
      </c>
      <c r="E109" s="47">
        <v>2683</v>
      </c>
      <c r="F109" s="49">
        <v>84</v>
      </c>
      <c r="G109" s="60">
        <v>197416</v>
      </c>
      <c r="H109" s="48">
        <v>0.44299041869636063</v>
      </c>
    </row>
    <row r="110" spans="2:8" ht="12.75" customHeight="1" x14ac:dyDescent="0.2">
      <c r="B110" s="46" t="s">
        <v>172</v>
      </c>
      <c r="C110" s="47">
        <v>29565</v>
      </c>
      <c r="D110" s="47">
        <v>84157</v>
      </c>
      <c r="E110" s="47">
        <v>517</v>
      </c>
      <c r="F110" s="49">
        <v>28</v>
      </c>
      <c r="G110" s="60">
        <v>114267</v>
      </c>
      <c r="H110" s="48">
        <v>0.25640873167918021</v>
      </c>
    </row>
    <row r="111" spans="2:8" ht="12.75" customHeight="1" thickBot="1" x14ac:dyDescent="0.25">
      <c r="B111" s="46" t="s">
        <v>259</v>
      </c>
      <c r="C111" s="47">
        <v>2492</v>
      </c>
      <c r="D111" s="47">
        <v>12521</v>
      </c>
      <c r="E111" s="47">
        <v>406</v>
      </c>
      <c r="F111" s="47">
        <v>29</v>
      </c>
      <c r="G111" s="60">
        <v>15448</v>
      </c>
      <c r="H111" s="48">
        <v>3.4664444563872125E-2</v>
      </c>
    </row>
    <row r="112" spans="2:8" ht="12.75" customHeight="1" thickBot="1" x14ac:dyDescent="0.25">
      <c r="B112" s="52" t="s">
        <v>292</v>
      </c>
      <c r="C112" s="53">
        <v>372692</v>
      </c>
      <c r="D112" s="53">
        <v>1195437</v>
      </c>
      <c r="E112" s="53">
        <v>20976</v>
      </c>
      <c r="F112" s="53">
        <v>830</v>
      </c>
      <c r="G112" s="57">
        <v>1589935</v>
      </c>
      <c r="H112" s="54">
        <v>3.5677248619665991</v>
      </c>
    </row>
    <row r="113" spans="2:8" ht="12.75" customHeight="1" thickBot="1" x14ac:dyDescent="0.25">
      <c r="B113" s="52" t="s">
        <v>293</v>
      </c>
      <c r="C113" s="53">
        <v>187</v>
      </c>
      <c r="D113" s="53">
        <v>86893</v>
      </c>
      <c r="E113" s="53">
        <v>2241</v>
      </c>
      <c r="F113" s="53">
        <v>1</v>
      </c>
      <c r="G113" s="57">
        <v>89322</v>
      </c>
      <c r="H113" s="54">
        <v>0.20043355239087168</v>
      </c>
    </row>
    <row r="114" spans="2:8" ht="12.75" customHeight="1" thickBot="1" x14ac:dyDescent="0.25">
      <c r="B114" s="52" t="s">
        <v>294</v>
      </c>
      <c r="C114" s="53">
        <v>25</v>
      </c>
      <c r="D114" s="53">
        <v>650</v>
      </c>
      <c r="E114" s="53">
        <v>34</v>
      </c>
      <c r="F114" s="55"/>
      <c r="G114" s="57">
        <v>709</v>
      </c>
      <c r="H114" s="54">
        <v>1.590956188230537E-3</v>
      </c>
    </row>
    <row r="115" spans="2:8" ht="12.75" customHeight="1" thickBot="1" x14ac:dyDescent="0.25">
      <c r="B115" s="56" t="s">
        <v>295</v>
      </c>
      <c r="C115" s="57">
        <v>1653603</v>
      </c>
      <c r="D115" s="57">
        <v>33889650</v>
      </c>
      <c r="E115" s="57">
        <v>9002404</v>
      </c>
      <c r="F115" s="57">
        <v>18738</v>
      </c>
      <c r="G115" s="59">
        <v>44564395</v>
      </c>
      <c r="H115" s="58">
        <v>100</v>
      </c>
    </row>
    <row r="116" spans="2:8" ht="12.75" customHeight="1" x14ac:dyDescent="0.2"/>
    <row r="117" spans="2:8" ht="12.75" customHeight="1" x14ac:dyDescent="0.2"/>
    <row r="118" spans="2:8" ht="12.75" customHeight="1" x14ac:dyDescent="0.2"/>
    <row r="119" spans="2:8" ht="12.75" customHeight="1" x14ac:dyDescent="0.2"/>
  </sheetData>
  <mergeCells count="5">
    <mergeCell ref="B1:H1"/>
    <mergeCell ref="C3:F3"/>
    <mergeCell ref="B3:B4"/>
    <mergeCell ref="G3:G4"/>
    <mergeCell ref="H3:H4"/>
  </mergeCells>
  <printOptions horizontalCentered="1"/>
  <pageMargins left="0.43307086614173229" right="0.43307086614173229" top="0.39370078740157483" bottom="0.39370078740157483" header="0.19685039370078741" footer="0"/>
  <pageSetup scale="80" orientation="portrait" r:id="rId1"/>
  <headerFooter alignWithMargins="0"/>
  <rowBreaks count="1" manualBreakCount="1">
    <brk id="73" min="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7"/>
  <sheetViews>
    <sheetView view="pageBreakPreview" zoomScaleNormal="100" zoomScaleSheetLayoutView="100" workbookViewId="0"/>
  </sheetViews>
  <sheetFormatPr defaultColWidth="9.140625" defaultRowHeight="12.75" x14ac:dyDescent="0.2"/>
  <cols>
    <col min="1" max="1" width="9.140625" style="45"/>
    <col min="2" max="2" width="12.140625" style="6" customWidth="1"/>
    <col min="3" max="8" width="13" customWidth="1"/>
  </cols>
  <sheetData>
    <row r="1" spans="2:8" ht="30" customHeight="1" thickBot="1" x14ac:dyDescent="0.25">
      <c r="B1" s="464" t="s">
        <v>599</v>
      </c>
      <c r="C1" s="465"/>
      <c r="D1" s="465"/>
      <c r="E1" s="465"/>
      <c r="F1" s="465"/>
      <c r="G1" s="465"/>
      <c r="H1" s="465"/>
    </row>
    <row r="2" spans="2:8" ht="15" customHeight="1" x14ac:dyDescent="0.2">
      <c r="B2" s="37" t="s">
        <v>264</v>
      </c>
      <c r="C2" s="466" t="s">
        <v>269</v>
      </c>
      <c r="D2" s="466"/>
      <c r="E2" s="466"/>
      <c r="F2" s="466"/>
      <c r="G2" s="467" t="s">
        <v>17</v>
      </c>
      <c r="H2" s="467" t="s">
        <v>296</v>
      </c>
    </row>
    <row r="3" spans="2:8" ht="15" customHeight="1" thickBot="1" x14ac:dyDescent="0.25">
      <c r="B3" s="33" t="s">
        <v>265</v>
      </c>
      <c r="C3" s="418" t="s">
        <v>297</v>
      </c>
      <c r="D3" s="418" t="s">
        <v>298</v>
      </c>
      <c r="E3" s="418" t="s">
        <v>299</v>
      </c>
      <c r="F3" s="418" t="s">
        <v>300</v>
      </c>
      <c r="G3" s="468"/>
      <c r="H3" s="468"/>
    </row>
    <row r="4" spans="2:8" ht="15" customHeight="1" x14ac:dyDescent="0.2">
      <c r="B4" s="5" t="s">
        <v>5</v>
      </c>
      <c r="C4" s="61">
        <v>10980</v>
      </c>
      <c r="D4" s="61">
        <v>983111</v>
      </c>
      <c r="E4" s="61">
        <v>287563</v>
      </c>
      <c r="F4" s="61">
        <v>12</v>
      </c>
      <c r="G4" s="62">
        <v>1281666</v>
      </c>
      <c r="H4" s="63">
        <v>2.8759865358881234</v>
      </c>
    </row>
    <row r="5" spans="2:8" ht="15" customHeight="1" x14ac:dyDescent="0.2">
      <c r="B5" s="5" t="s">
        <v>6</v>
      </c>
      <c r="C5" s="61">
        <v>12094</v>
      </c>
      <c r="D5" s="61">
        <v>1165815</v>
      </c>
      <c r="E5" s="61">
        <v>363464</v>
      </c>
      <c r="F5" s="61">
        <v>20</v>
      </c>
      <c r="G5" s="62">
        <v>1541393</v>
      </c>
      <c r="H5" s="63">
        <v>3.4587993396970833</v>
      </c>
    </row>
    <row r="6" spans="2:8" ht="15" customHeight="1" x14ac:dyDescent="0.2">
      <c r="B6" s="5" t="s">
        <v>7</v>
      </c>
      <c r="C6" s="61">
        <v>11701</v>
      </c>
      <c r="D6" s="61">
        <v>1466718</v>
      </c>
      <c r="E6" s="61">
        <v>601118</v>
      </c>
      <c r="F6" s="61">
        <v>28</v>
      </c>
      <c r="G6" s="62">
        <v>2079565</v>
      </c>
      <c r="H6" s="63">
        <v>4.6664270882618286</v>
      </c>
    </row>
    <row r="7" spans="2:8" ht="15" customHeight="1" x14ac:dyDescent="0.2">
      <c r="B7" s="5" t="s">
        <v>8</v>
      </c>
      <c r="C7" s="61">
        <v>55420</v>
      </c>
      <c r="D7" s="61">
        <v>1880917</v>
      </c>
      <c r="E7" s="61">
        <v>637747</v>
      </c>
      <c r="F7" s="61">
        <v>339</v>
      </c>
      <c r="G7" s="62">
        <v>2574423</v>
      </c>
      <c r="H7" s="63">
        <v>5.776860652994392</v>
      </c>
    </row>
    <row r="8" spans="2:8" ht="15" customHeight="1" x14ac:dyDescent="0.2">
      <c r="B8" s="5" t="s">
        <v>9</v>
      </c>
      <c r="C8" s="61">
        <v>147725</v>
      </c>
      <c r="D8" s="61">
        <v>3008126</v>
      </c>
      <c r="E8" s="61">
        <v>715457</v>
      </c>
      <c r="F8" s="61">
        <v>1904</v>
      </c>
      <c r="G8" s="62">
        <v>3873212</v>
      </c>
      <c r="H8" s="63">
        <v>8.691270239391784</v>
      </c>
    </row>
    <row r="9" spans="2:8" ht="15" customHeight="1" x14ac:dyDescent="0.2">
      <c r="B9" s="5" t="s">
        <v>10</v>
      </c>
      <c r="C9" s="61">
        <v>190954</v>
      </c>
      <c r="D9" s="61">
        <v>3984892</v>
      </c>
      <c r="E9" s="61">
        <v>836969</v>
      </c>
      <c r="F9" s="61">
        <v>2006</v>
      </c>
      <c r="G9" s="62">
        <v>5014821</v>
      </c>
      <c r="H9" s="63">
        <v>11.25297673176086</v>
      </c>
    </row>
    <row r="10" spans="2:8" ht="15" customHeight="1" x14ac:dyDescent="0.2">
      <c r="B10" s="5" t="s">
        <v>11</v>
      </c>
      <c r="C10" s="61">
        <v>244190</v>
      </c>
      <c r="D10" s="61">
        <v>5161976</v>
      </c>
      <c r="E10" s="61">
        <v>1255897</v>
      </c>
      <c r="F10" s="61">
        <v>2907</v>
      </c>
      <c r="G10" s="62">
        <v>6664970</v>
      </c>
      <c r="H10" s="63">
        <v>14.955818428590806</v>
      </c>
    </row>
    <row r="11" spans="2:8" ht="15" customHeight="1" x14ac:dyDescent="0.2">
      <c r="B11" s="5" t="s">
        <v>12</v>
      </c>
      <c r="C11" s="61">
        <v>301219</v>
      </c>
      <c r="D11" s="61">
        <v>4901572</v>
      </c>
      <c r="E11" s="61">
        <v>1098498</v>
      </c>
      <c r="F11" s="61">
        <v>3481</v>
      </c>
      <c r="G11" s="62">
        <v>6304770</v>
      </c>
      <c r="H11" s="63">
        <v>14.14754985454195</v>
      </c>
    </row>
    <row r="12" spans="2:8" ht="15" customHeight="1" x14ac:dyDescent="0.2">
      <c r="B12" s="5" t="s">
        <v>13</v>
      </c>
      <c r="C12" s="61">
        <v>271148</v>
      </c>
      <c r="D12" s="61">
        <v>4205046</v>
      </c>
      <c r="E12" s="61">
        <v>996751</v>
      </c>
      <c r="F12" s="61">
        <v>2508</v>
      </c>
      <c r="G12" s="62">
        <v>5475453</v>
      </c>
      <c r="H12" s="63">
        <v>12.286609074351846</v>
      </c>
    </row>
    <row r="13" spans="2:8" ht="15" customHeight="1" x14ac:dyDescent="0.2">
      <c r="B13" s="5" t="s">
        <v>14</v>
      </c>
      <c r="C13" s="61">
        <v>275903</v>
      </c>
      <c r="D13" s="61">
        <v>3686340</v>
      </c>
      <c r="E13" s="61">
        <v>839016</v>
      </c>
      <c r="F13" s="61">
        <v>1939</v>
      </c>
      <c r="G13" s="62">
        <v>4803198</v>
      </c>
      <c r="H13" s="63">
        <v>10.778106602815992</v>
      </c>
    </row>
    <row r="14" spans="2:8" ht="15" customHeight="1" x14ac:dyDescent="0.2">
      <c r="B14" s="5" t="s">
        <v>15</v>
      </c>
      <c r="C14" s="61">
        <v>96199</v>
      </c>
      <c r="D14" s="61">
        <v>1772489</v>
      </c>
      <c r="E14" s="61">
        <v>680941</v>
      </c>
      <c r="F14" s="61">
        <v>1854</v>
      </c>
      <c r="G14" s="62">
        <v>2551483</v>
      </c>
      <c r="H14" s="63">
        <v>5.7253845811213191</v>
      </c>
    </row>
    <row r="15" spans="2:8" ht="15" customHeight="1" thickBot="1" x14ac:dyDescent="0.25">
      <c r="B15" s="5" t="s">
        <v>16</v>
      </c>
      <c r="C15" s="61">
        <v>36070</v>
      </c>
      <c r="D15" s="61">
        <v>1672648</v>
      </c>
      <c r="E15" s="61">
        <v>688983</v>
      </c>
      <c r="F15" s="61">
        <v>1740</v>
      </c>
      <c r="G15" s="62">
        <v>2399441</v>
      </c>
      <c r="H15" s="63">
        <v>5.3842108705840168</v>
      </c>
    </row>
    <row r="16" spans="2:8" ht="15" customHeight="1" thickBot="1" x14ac:dyDescent="0.25">
      <c r="B16" s="64" t="s">
        <v>17</v>
      </c>
      <c r="C16" s="65">
        <v>1653603</v>
      </c>
      <c r="D16" s="65">
        <v>33889650</v>
      </c>
      <c r="E16" s="65">
        <v>9002404</v>
      </c>
      <c r="F16" s="65">
        <v>18738</v>
      </c>
      <c r="G16" s="65">
        <v>44564395</v>
      </c>
      <c r="H16" s="66">
        <v>100</v>
      </c>
    </row>
    <row r="17" spans="2:8" ht="15" customHeight="1" thickBot="1" x14ac:dyDescent="0.25">
      <c r="B17" s="64" t="s">
        <v>296</v>
      </c>
      <c r="C17" s="67">
        <v>3.7105922788809318</v>
      </c>
      <c r="D17" s="67">
        <v>76.046471628303266</v>
      </c>
      <c r="E17" s="67">
        <v>20.200889072992016</v>
      </c>
      <c r="F17" s="67">
        <v>4.2047019823785337E-2</v>
      </c>
      <c r="G17" s="67">
        <v>100</v>
      </c>
      <c r="H17" s="68"/>
    </row>
  </sheetData>
  <mergeCells count="4">
    <mergeCell ref="B1:H1"/>
    <mergeCell ref="C2:F2"/>
    <mergeCell ref="G2:G3"/>
    <mergeCell ref="H2:H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5"/>
  <sheetViews>
    <sheetView view="pageBreakPreview" zoomScaleNormal="100" zoomScaleSheetLayoutView="100" workbookViewId="0"/>
  </sheetViews>
  <sheetFormatPr defaultColWidth="9.140625" defaultRowHeight="12.75" x14ac:dyDescent="0.2"/>
  <cols>
    <col min="1" max="1" width="9.140625" style="45"/>
    <col min="2" max="2" width="16.28515625" style="6" customWidth="1"/>
    <col min="3" max="3" width="11.42578125" customWidth="1"/>
    <col min="4" max="7" width="11.7109375" customWidth="1"/>
    <col min="8" max="8" width="7.5703125" customWidth="1"/>
  </cols>
  <sheetData>
    <row r="1" spans="2:8" ht="30" customHeight="1" thickBot="1" x14ac:dyDescent="0.25">
      <c r="B1" s="469" t="s">
        <v>600</v>
      </c>
      <c r="C1" s="470"/>
      <c r="D1" s="470"/>
      <c r="E1" s="470"/>
      <c r="F1" s="470"/>
      <c r="G1" s="470"/>
      <c r="H1" s="470"/>
    </row>
    <row r="2" spans="2:8" ht="12" customHeight="1" thickBot="1" x14ac:dyDescent="0.25">
      <c r="B2" s="69" t="s">
        <v>264</v>
      </c>
      <c r="C2" s="471" t="s">
        <v>269</v>
      </c>
      <c r="D2" s="471"/>
      <c r="E2" s="471"/>
      <c r="F2" s="471"/>
      <c r="G2" s="472"/>
      <c r="H2" s="472"/>
    </row>
    <row r="3" spans="2:8" ht="12" customHeight="1" thickBot="1" x14ac:dyDescent="0.25">
      <c r="B3" s="70" t="s">
        <v>301</v>
      </c>
      <c r="C3" s="71" t="s">
        <v>297</v>
      </c>
      <c r="D3" s="71" t="s">
        <v>298</v>
      </c>
      <c r="E3" s="71" t="s">
        <v>299</v>
      </c>
      <c r="F3" s="71" t="s">
        <v>300</v>
      </c>
      <c r="G3" s="72" t="s">
        <v>17</v>
      </c>
      <c r="H3" s="72" t="s">
        <v>296</v>
      </c>
    </row>
    <row r="4" spans="2:8" ht="12" customHeight="1" x14ac:dyDescent="0.2">
      <c r="B4" s="50" t="s">
        <v>302</v>
      </c>
      <c r="C4" s="73">
        <v>1687</v>
      </c>
      <c r="D4" s="73">
        <v>144689</v>
      </c>
      <c r="E4" s="74"/>
      <c r="F4" s="74"/>
      <c r="G4" s="75">
        <v>146376</v>
      </c>
      <c r="H4" s="76">
        <v>0.32845952469454592</v>
      </c>
    </row>
    <row r="5" spans="2:8" ht="12" customHeight="1" x14ac:dyDescent="0.2">
      <c r="B5" s="46" t="s">
        <v>303</v>
      </c>
      <c r="C5" s="77"/>
      <c r="D5" s="78">
        <v>4</v>
      </c>
      <c r="E5" s="77"/>
      <c r="F5" s="77"/>
      <c r="G5" s="79">
        <v>4</v>
      </c>
      <c r="H5" s="80">
        <v>8.9757753919917467E-6</v>
      </c>
    </row>
    <row r="6" spans="2:8" ht="12" customHeight="1" x14ac:dyDescent="0.2">
      <c r="B6" s="46" t="s">
        <v>304</v>
      </c>
      <c r="C6" s="77"/>
      <c r="D6" s="77">
        <v>120</v>
      </c>
      <c r="E6" s="78">
        <v>315188</v>
      </c>
      <c r="F6" s="77"/>
      <c r="G6" s="79">
        <v>315308</v>
      </c>
      <c r="H6" s="80">
        <v>0.70753344682453334</v>
      </c>
    </row>
    <row r="7" spans="2:8" ht="12" customHeight="1" x14ac:dyDescent="0.2">
      <c r="B7" s="46" t="s">
        <v>305</v>
      </c>
      <c r="C7" s="77"/>
      <c r="D7" s="78">
        <v>2</v>
      </c>
      <c r="E7" s="77"/>
      <c r="F7" s="77"/>
      <c r="G7" s="79">
        <v>2</v>
      </c>
      <c r="H7" s="80">
        <v>4.4878876959958734E-6</v>
      </c>
    </row>
    <row r="8" spans="2:8" ht="12" customHeight="1" x14ac:dyDescent="0.2">
      <c r="B8" s="46" t="s">
        <v>306</v>
      </c>
      <c r="C8" s="77"/>
      <c r="D8" s="78">
        <v>495724</v>
      </c>
      <c r="E8" s="77"/>
      <c r="F8" s="77"/>
      <c r="G8" s="79">
        <v>495724</v>
      </c>
      <c r="H8" s="80">
        <v>1.1123768201049291</v>
      </c>
    </row>
    <row r="9" spans="2:8" ht="12" customHeight="1" x14ac:dyDescent="0.2">
      <c r="B9" s="46" t="s">
        <v>307</v>
      </c>
      <c r="C9" s="78">
        <v>60730</v>
      </c>
      <c r="D9" s="78">
        <v>12757742</v>
      </c>
      <c r="E9" s="77"/>
      <c r="F9" s="77"/>
      <c r="G9" s="79">
        <v>12818472</v>
      </c>
      <c r="H9" s="80">
        <v>28.763931385133805</v>
      </c>
    </row>
    <row r="10" spans="2:8" ht="12" customHeight="1" x14ac:dyDescent="0.2">
      <c r="B10" s="46" t="s">
        <v>308</v>
      </c>
      <c r="C10" s="77"/>
      <c r="D10" s="77"/>
      <c r="E10" s="78">
        <v>78873</v>
      </c>
      <c r="F10" s="77"/>
      <c r="G10" s="79">
        <v>78873</v>
      </c>
      <c r="H10" s="80">
        <v>0.17698658312314125</v>
      </c>
    </row>
    <row r="11" spans="2:8" ht="12" customHeight="1" x14ac:dyDescent="0.2">
      <c r="B11" s="46" t="s">
        <v>309</v>
      </c>
      <c r="C11" s="78">
        <v>620</v>
      </c>
      <c r="D11" s="78">
        <v>385</v>
      </c>
      <c r="E11" s="78">
        <v>1720455</v>
      </c>
      <c r="F11" s="77"/>
      <c r="G11" s="79">
        <v>1721460</v>
      </c>
      <c r="H11" s="80">
        <v>3.8628595765745275</v>
      </c>
    </row>
    <row r="12" spans="2:8" ht="12" customHeight="1" x14ac:dyDescent="0.2">
      <c r="B12" s="46" t="s">
        <v>310</v>
      </c>
      <c r="C12" s="78">
        <v>511817</v>
      </c>
      <c r="D12" s="77"/>
      <c r="E12" s="77"/>
      <c r="F12" s="77"/>
      <c r="G12" s="79">
        <v>511817</v>
      </c>
      <c r="H12" s="80">
        <v>1.14848860845076</v>
      </c>
    </row>
    <row r="13" spans="2:8" ht="12" customHeight="1" x14ac:dyDescent="0.2">
      <c r="B13" s="46" t="s">
        <v>311</v>
      </c>
      <c r="C13" s="78">
        <v>20082</v>
      </c>
      <c r="D13" s="78">
        <v>4581</v>
      </c>
      <c r="E13" s="77"/>
      <c r="F13" s="77"/>
      <c r="G13" s="79">
        <v>24663</v>
      </c>
      <c r="H13" s="80">
        <v>5.534238712317311E-2</v>
      </c>
    </row>
    <row r="14" spans="2:8" ht="12" customHeight="1" x14ac:dyDescent="0.2">
      <c r="B14" s="46" t="s">
        <v>312</v>
      </c>
      <c r="C14" s="78">
        <v>6726</v>
      </c>
      <c r="D14" s="77"/>
      <c r="E14" s="77"/>
      <c r="F14" s="77"/>
      <c r="G14" s="79">
        <v>6726</v>
      </c>
      <c r="H14" s="80">
        <v>1.5092766321634121E-2</v>
      </c>
    </row>
    <row r="15" spans="2:8" ht="12" customHeight="1" x14ac:dyDescent="0.2">
      <c r="B15" s="46" t="s">
        <v>313</v>
      </c>
      <c r="C15" s="77"/>
      <c r="D15" s="78">
        <v>1</v>
      </c>
      <c r="E15" s="77"/>
      <c r="F15" s="77"/>
      <c r="G15" s="79">
        <v>1</v>
      </c>
      <c r="H15" s="80">
        <v>2.2439438479979367E-6</v>
      </c>
    </row>
    <row r="16" spans="2:8" ht="12" customHeight="1" x14ac:dyDescent="0.2">
      <c r="B16" s="46" t="s">
        <v>601</v>
      </c>
      <c r="C16" s="78"/>
      <c r="D16" s="78">
        <v>5</v>
      </c>
      <c r="E16" s="77"/>
      <c r="F16" s="77"/>
      <c r="G16" s="79">
        <v>5</v>
      </c>
      <c r="H16" s="80">
        <v>1.1219719239989683E-5</v>
      </c>
    </row>
    <row r="17" spans="2:8" ht="12" customHeight="1" x14ac:dyDescent="0.2">
      <c r="B17" s="46" t="s">
        <v>314</v>
      </c>
      <c r="C17" s="78">
        <v>2164</v>
      </c>
      <c r="D17" s="78">
        <v>5521</v>
      </c>
      <c r="E17" s="77"/>
      <c r="F17" s="77"/>
      <c r="G17" s="79">
        <v>7685</v>
      </c>
      <c r="H17" s="80">
        <v>1.7244708471864142E-2</v>
      </c>
    </row>
    <row r="18" spans="2:8" ht="12" customHeight="1" x14ac:dyDescent="0.2">
      <c r="B18" s="46" t="s">
        <v>315</v>
      </c>
      <c r="C18" s="77">
        <v>22531</v>
      </c>
      <c r="D18" s="78">
        <v>115</v>
      </c>
      <c r="E18" s="77"/>
      <c r="F18" s="77"/>
      <c r="G18" s="79">
        <v>22646</v>
      </c>
      <c r="H18" s="80">
        <v>5.0816352381761271E-2</v>
      </c>
    </row>
    <row r="19" spans="2:8" ht="12" customHeight="1" x14ac:dyDescent="0.2">
      <c r="B19" s="46" t="s">
        <v>316</v>
      </c>
      <c r="C19" s="77"/>
      <c r="D19" s="78">
        <v>24319</v>
      </c>
      <c r="E19" s="77"/>
      <c r="F19" s="77"/>
      <c r="G19" s="79">
        <v>24319</v>
      </c>
      <c r="H19" s="80">
        <v>5.4570470439461817E-2</v>
      </c>
    </row>
    <row r="20" spans="2:8" ht="12" customHeight="1" x14ac:dyDescent="0.2">
      <c r="B20" s="46" t="s">
        <v>317</v>
      </c>
      <c r="C20" s="77"/>
      <c r="D20" s="77">
        <v>33267</v>
      </c>
      <c r="E20" s="78"/>
      <c r="F20" s="78"/>
      <c r="G20" s="79">
        <v>33267</v>
      </c>
      <c r="H20" s="80">
        <v>7.464927999134735E-2</v>
      </c>
    </row>
    <row r="21" spans="2:8" ht="12" customHeight="1" x14ac:dyDescent="0.2">
      <c r="B21" s="46" t="s">
        <v>318</v>
      </c>
      <c r="C21" s="77"/>
      <c r="D21" s="78"/>
      <c r="E21" s="77">
        <v>4619252</v>
      </c>
      <c r="F21" s="77">
        <v>17185</v>
      </c>
      <c r="G21" s="79">
        <v>4636437</v>
      </c>
      <c r="H21" s="80">
        <v>10.403904282780008</v>
      </c>
    </row>
    <row r="22" spans="2:8" ht="12" customHeight="1" x14ac:dyDescent="0.2">
      <c r="B22" s="46" t="s">
        <v>319</v>
      </c>
      <c r="C22" s="77"/>
      <c r="D22" s="78">
        <v>19033</v>
      </c>
      <c r="E22" s="77"/>
      <c r="F22" s="77"/>
      <c r="G22" s="79">
        <v>19033</v>
      </c>
      <c r="H22" s="80">
        <v>4.2708983258944726E-2</v>
      </c>
    </row>
    <row r="23" spans="2:8" ht="12" customHeight="1" x14ac:dyDescent="0.2">
      <c r="B23" s="46" t="s">
        <v>320</v>
      </c>
      <c r="C23" s="77"/>
      <c r="D23" s="78">
        <v>0</v>
      </c>
      <c r="E23" s="77"/>
      <c r="F23" s="77"/>
      <c r="G23" s="79">
        <v>0</v>
      </c>
      <c r="H23" s="80">
        <v>0</v>
      </c>
    </row>
    <row r="24" spans="2:8" ht="12" customHeight="1" x14ac:dyDescent="0.2">
      <c r="B24" s="46" t="s">
        <v>321</v>
      </c>
      <c r="C24" s="77"/>
      <c r="D24" s="78">
        <v>1195</v>
      </c>
      <c r="E24" s="77"/>
      <c r="F24" s="77"/>
      <c r="G24" s="79">
        <v>1195</v>
      </c>
      <c r="H24" s="80">
        <v>2.6815128983575342E-3</v>
      </c>
    </row>
    <row r="25" spans="2:8" ht="12" customHeight="1" x14ac:dyDescent="0.2">
      <c r="B25" s="46" t="s">
        <v>322</v>
      </c>
      <c r="C25" s="77"/>
      <c r="D25" s="78">
        <v>44703</v>
      </c>
      <c r="E25" s="78"/>
      <c r="F25" s="77"/>
      <c r="G25" s="79">
        <v>44703</v>
      </c>
      <c r="H25" s="80">
        <v>0.10031102183705175</v>
      </c>
    </row>
    <row r="26" spans="2:8" ht="12" customHeight="1" x14ac:dyDescent="0.2">
      <c r="B26" s="46" t="s">
        <v>323</v>
      </c>
      <c r="C26" s="78"/>
      <c r="D26" s="77">
        <v>66975</v>
      </c>
      <c r="E26" s="77">
        <v>30294</v>
      </c>
      <c r="F26" s="77"/>
      <c r="G26" s="79">
        <v>97269</v>
      </c>
      <c r="H26" s="80">
        <v>0.21826617415091129</v>
      </c>
    </row>
    <row r="27" spans="2:8" ht="12" customHeight="1" x14ac:dyDescent="0.2">
      <c r="B27" s="46" t="s">
        <v>324</v>
      </c>
      <c r="C27" s="77">
        <v>680</v>
      </c>
      <c r="D27" s="77"/>
      <c r="E27" s="78"/>
      <c r="F27" s="77"/>
      <c r="G27" s="79">
        <v>680</v>
      </c>
      <c r="H27" s="80">
        <v>1.5258818166385968E-3</v>
      </c>
    </row>
    <row r="28" spans="2:8" ht="12" customHeight="1" x14ac:dyDescent="0.2">
      <c r="B28" s="46" t="s">
        <v>325</v>
      </c>
      <c r="C28" s="78"/>
      <c r="D28" s="78"/>
      <c r="E28" s="78">
        <v>150505</v>
      </c>
      <c r="F28" s="77"/>
      <c r="G28" s="79">
        <v>150505</v>
      </c>
      <c r="H28" s="80">
        <v>0.3377247688429294</v>
      </c>
    </row>
    <row r="29" spans="2:8" ht="12" customHeight="1" x14ac:dyDescent="0.2">
      <c r="B29" s="46" t="s">
        <v>326</v>
      </c>
      <c r="C29" s="77">
        <v>10533</v>
      </c>
      <c r="D29" s="78">
        <v>16090</v>
      </c>
      <c r="E29" s="78">
        <v>88165</v>
      </c>
      <c r="F29" s="77"/>
      <c r="G29" s="79">
        <v>114788</v>
      </c>
      <c r="H29" s="80">
        <v>0.25757782642398713</v>
      </c>
    </row>
    <row r="30" spans="2:8" ht="12" customHeight="1" x14ac:dyDescent="0.2">
      <c r="B30" s="46" t="s">
        <v>327</v>
      </c>
      <c r="C30" s="77"/>
      <c r="D30" s="78">
        <v>287</v>
      </c>
      <c r="E30" s="77">
        <v>214070</v>
      </c>
      <c r="F30" s="77"/>
      <c r="G30" s="79">
        <v>214357</v>
      </c>
      <c r="H30" s="80">
        <v>0.4810050714252937</v>
      </c>
    </row>
    <row r="31" spans="2:8" ht="12" customHeight="1" x14ac:dyDescent="0.2">
      <c r="B31" s="46" t="s">
        <v>328</v>
      </c>
      <c r="C31" s="78"/>
      <c r="D31" s="78">
        <v>13014</v>
      </c>
      <c r="E31" s="77"/>
      <c r="F31" s="77"/>
      <c r="G31" s="79">
        <v>13014</v>
      </c>
      <c r="H31" s="80">
        <v>2.9202685237845145E-2</v>
      </c>
    </row>
    <row r="32" spans="2:8" ht="12" customHeight="1" x14ac:dyDescent="0.2">
      <c r="B32" s="46" t="s">
        <v>329</v>
      </c>
      <c r="C32" s="78">
        <v>233546</v>
      </c>
      <c r="D32" s="78">
        <v>15785180</v>
      </c>
      <c r="E32" s="77"/>
      <c r="F32" s="77"/>
      <c r="G32" s="79">
        <v>16018726</v>
      </c>
      <c r="H32" s="80">
        <v>35.945121660464594</v>
      </c>
    </row>
    <row r="33" spans="2:8" ht="12" customHeight="1" x14ac:dyDescent="0.2">
      <c r="B33" s="46" t="s">
        <v>330</v>
      </c>
      <c r="C33" s="77">
        <v>125188</v>
      </c>
      <c r="D33" s="78">
        <v>1337270</v>
      </c>
      <c r="E33" s="77"/>
      <c r="F33" s="77"/>
      <c r="G33" s="79">
        <v>1462458</v>
      </c>
      <c r="H33" s="80">
        <v>3.2816736320553663</v>
      </c>
    </row>
    <row r="34" spans="2:8" ht="12" customHeight="1" x14ac:dyDescent="0.2">
      <c r="B34" s="46" t="s">
        <v>331</v>
      </c>
      <c r="C34" s="77"/>
      <c r="D34" s="78">
        <v>20</v>
      </c>
      <c r="E34" s="77"/>
      <c r="F34" s="77"/>
      <c r="G34" s="79">
        <v>20</v>
      </c>
      <c r="H34" s="80">
        <v>4.4878876959958732E-5</v>
      </c>
    </row>
    <row r="35" spans="2:8" ht="12" customHeight="1" x14ac:dyDescent="0.2">
      <c r="B35" s="46" t="s">
        <v>332</v>
      </c>
      <c r="C35" s="78"/>
      <c r="D35" s="78">
        <v>6</v>
      </c>
      <c r="E35" s="77"/>
      <c r="F35" s="77"/>
      <c r="G35" s="79">
        <v>6</v>
      </c>
      <c r="H35" s="80">
        <v>1.3463663087987619E-5</v>
      </c>
    </row>
    <row r="36" spans="2:8" ht="12" customHeight="1" x14ac:dyDescent="0.2">
      <c r="B36" s="46" t="s">
        <v>333</v>
      </c>
      <c r="C36" s="77">
        <v>419</v>
      </c>
      <c r="D36" s="78">
        <v>43</v>
      </c>
      <c r="E36" s="77"/>
      <c r="F36" s="77"/>
      <c r="G36" s="79">
        <v>462</v>
      </c>
      <c r="H36" s="80">
        <v>1.0367020577750467E-3</v>
      </c>
    </row>
    <row r="37" spans="2:8" ht="12" customHeight="1" x14ac:dyDescent="0.2">
      <c r="B37" s="46" t="s">
        <v>334</v>
      </c>
      <c r="C37" s="77"/>
      <c r="D37" s="77">
        <v>164777</v>
      </c>
      <c r="E37" s="78"/>
      <c r="F37" s="77"/>
      <c r="G37" s="79">
        <v>164777</v>
      </c>
      <c r="H37" s="80">
        <v>0.369750335441556</v>
      </c>
    </row>
    <row r="38" spans="2:8" ht="12" customHeight="1" x14ac:dyDescent="0.2">
      <c r="B38" s="46" t="s">
        <v>335</v>
      </c>
      <c r="C38" s="77"/>
      <c r="D38" s="77"/>
      <c r="E38" s="78">
        <v>632477</v>
      </c>
      <c r="F38" s="78"/>
      <c r="G38" s="79">
        <v>632477</v>
      </c>
      <c r="H38" s="80">
        <v>1.4192428731501909</v>
      </c>
    </row>
    <row r="39" spans="2:8" ht="12" customHeight="1" x14ac:dyDescent="0.2">
      <c r="B39" s="46" t="s">
        <v>336</v>
      </c>
      <c r="C39" s="78"/>
      <c r="D39" s="78"/>
      <c r="E39" s="77">
        <v>63305</v>
      </c>
      <c r="F39" s="77">
        <v>1420</v>
      </c>
      <c r="G39" s="79">
        <v>64725</v>
      </c>
      <c r="H39" s="80">
        <v>0.14523926556166644</v>
      </c>
    </row>
    <row r="40" spans="2:8" ht="12" customHeight="1" x14ac:dyDescent="0.2">
      <c r="B40" s="46" t="s">
        <v>337</v>
      </c>
      <c r="C40" s="77">
        <v>15728</v>
      </c>
      <c r="D40" s="78">
        <v>202</v>
      </c>
      <c r="E40" s="77"/>
      <c r="F40" s="77"/>
      <c r="G40" s="79">
        <v>15930</v>
      </c>
      <c r="H40" s="80">
        <v>3.5746025498607129E-2</v>
      </c>
    </row>
    <row r="41" spans="2:8" ht="12" customHeight="1" x14ac:dyDescent="0.2">
      <c r="B41" s="46" t="s">
        <v>338</v>
      </c>
      <c r="C41" s="77"/>
      <c r="D41" s="78">
        <v>51360</v>
      </c>
      <c r="E41" s="77"/>
      <c r="F41" s="77"/>
      <c r="G41" s="79">
        <v>51360</v>
      </c>
      <c r="H41" s="80">
        <v>0.11524895603317402</v>
      </c>
    </row>
    <row r="42" spans="2:8" ht="12" customHeight="1" x14ac:dyDescent="0.2">
      <c r="B42" s="46" t="s">
        <v>339</v>
      </c>
      <c r="C42" s="77"/>
      <c r="D42" s="78">
        <v>7831</v>
      </c>
      <c r="E42" s="77"/>
      <c r="F42" s="77"/>
      <c r="G42" s="79">
        <v>7831</v>
      </c>
      <c r="H42" s="80">
        <v>1.7572324273671839E-2</v>
      </c>
    </row>
    <row r="43" spans="2:8" ht="12" customHeight="1" x14ac:dyDescent="0.2">
      <c r="B43" s="46" t="s">
        <v>340</v>
      </c>
      <c r="C43" s="77"/>
      <c r="D43" s="78">
        <v>3453</v>
      </c>
      <c r="E43" s="77"/>
      <c r="F43" s="77"/>
      <c r="G43" s="79">
        <v>3453</v>
      </c>
      <c r="H43" s="80">
        <v>7.7483381071368745E-3</v>
      </c>
    </row>
    <row r="44" spans="2:8" ht="12" customHeight="1" x14ac:dyDescent="0.2">
      <c r="B44" s="46" t="s">
        <v>341</v>
      </c>
      <c r="C44" s="78"/>
      <c r="D44" s="77">
        <v>6</v>
      </c>
      <c r="E44" s="77"/>
      <c r="F44" s="77"/>
      <c r="G44" s="79">
        <v>6</v>
      </c>
      <c r="H44" s="80">
        <v>1.3463663087987619E-5</v>
      </c>
    </row>
    <row r="45" spans="2:8" ht="12" customHeight="1" x14ac:dyDescent="0.2">
      <c r="B45" s="46" t="s">
        <v>342</v>
      </c>
      <c r="C45" s="78">
        <v>42896</v>
      </c>
      <c r="D45" s="78"/>
      <c r="E45" s="77"/>
      <c r="F45" s="77"/>
      <c r="G45" s="79">
        <v>42896</v>
      </c>
      <c r="H45" s="80">
        <v>9.6256215303719486E-2</v>
      </c>
    </row>
    <row r="46" spans="2:8" ht="12" customHeight="1" x14ac:dyDescent="0.2">
      <c r="B46" s="46" t="s">
        <v>343</v>
      </c>
      <c r="C46" s="77">
        <v>529375</v>
      </c>
      <c r="D46" s="78">
        <v>2460356</v>
      </c>
      <c r="E46" s="77"/>
      <c r="F46" s="77"/>
      <c r="G46" s="79">
        <v>2989731</v>
      </c>
      <c r="H46" s="80">
        <v>6.7087884846187187</v>
      </c>
    </row>
    <row r="47" spans="2:8" ht="12" customHeight="1" x14ac:dyDescent="0.2">
      <c r="B47" s="46" t="s">
        <v>602</v>
      </c>
      <c r="C47" s="78"/>
      <c r="D47" s="78">
        <v>2</v>
      </c>
      <c r="E47" s="77"/>
      <c r="F47" s="77"/>
      <c r="G47" s="79">
        <v>2</v>
      </c>
      <c r="H47" s="80">
        <v>4.4878876959958734E-6</v>
      </c>
    </row>
    <row r="48" spans="2:8" ht="12" customHeight="1" x14ac:dyDescent="0.2">
      <c r="B48" s="46" t="s">
        <v>344</v>
      </c>
      <c r="C48" s="78"/>
      <c r="D48" s="77">
        <v>7264</v>
      </c>
      <c r="E48" s="77"/>
      <c r="F48" s="77"/>
      <c r="G48" s="79">
        <v>7264</v>
      </c>
      <c r="H48" s="80">
        <v>1.6300008111857011E-2</v>
      </c>
    </row>
    <row r="49" spans="2:8" ht="12" customHeight="1" x14ac:dyDescent="0.2">
      <c r="B49" s="46" t="s">
        <v>345</v>
      </c>
      <c r="C49" s="78">
        <v>1210</v>
      </c>
      <c r="D49" s="77">
        <v>5616</v>
      </c>
      <c r="E49" s="77"/>
      <c r="F49" s="77"/>
      <c r="G49" s="79">
        <v>6826</v>
      </c>
      <c r="H49" s="80">
        <v>1.5317160706433915E-2</v>
      </c>
    </row>
    <row r="50" spans="2:8" ht="12" customHeight="1" x14ac:dyDescent="0.2">
      <c r="B50" s="46" t="s">
        <v>346</v>
      </c>
      <c r="C50" s="78">
        <v>320</v>
      </c>
      <c r="D50" s="78">
        <v>2</v>
      </c>
      <c r="E50" s="77"/>
      <c r="F50" s="77"/>
      <c r="G50" s="79">
        <v>322</v>
      </c>
      <c r="H50" s="80">
        <v>7.2254991905533559E-4</v>
      </c>
    </row>
    <row r="51" spans="2:8" ht="12" customHeight="1" x14ac:dyDescent="0.2">
      <c r="B51" s="46" t="s">
        <v>347</v>
      </c>
      <c r="C51" s="78">
        <v>4861</v>
      </c>
      <c r="D51" s="78"/>
      <c r="E51" s="77"/>
      <c r="F51" s="77"/>
      <c r="G51" s="79">
        <v>4861</v>
      </c>
      <c r="H51" s="80">
        <v>1.090781104511797E-2</v>
      </c>
    </row>
    <row r="52" spans="2:8" ht="12" customHeight="1" x14ac:dyDescent="0.2">
      <c r="B52" s="46" t="s">
        <v>348</v>
      </c>
      <c r="C52" s="77">
        <v>18008</v>
      </c>
      <c r="D52" s="78">
        <v>55901</v>
      </c>
      <c r="E52" s="77"/>
      <c r="F52" s="77"/>
      <c r="G52" s="79">
        <v>73909</v>
      </c>
      <c r="H52" s="80">
        <v>0.16584764586167949</v>
      </c>
    </row>
    <row r="53" spans="2:8" ht="12" customHeight="1" x14ac:dyDescent="0.2">
      <c r="B53" s="46" t="s">
        <v>349</v>
      </c>
      <c r="C53" s="77">
        <v>11878</v>
      </c>
      <c r="D53" s="78">
        <v>5</v>
      </c>
      <c r="E53" s="78"/>
      <c r="F53" s="77"/>
      <c r="G53" s="79">
        <v>11883</v>
      </c>
      <c r="H53" s="80">
        <v>2.6664784745759479E-2</v>
      </c>
    </row>
    <row r="54" spans="2:8" ht="12" customHeight="1" x14ac:dyDescent="0.2">
      <c r="B54" s="46" t="s">
        <v>350</v>
      </c>
      <c r="C54" s="77"/>
      <c r="D54" s="77">
        <v>393</v>
      </c>
      <c r="E54" s="78"/>
      <c r="F54" s="77"/>
      <c r="G54" s="79">
        <v>393</v>
      </c>
      <c r="H54" s="80">
        <v>8.8186993226318903E-4</v>
      </c>
    </row>
    <row r="55" spans="2:8" ht="12" customHeight="1" x14ac:dyDescent="0.2">
      <c r="B55" s="46" t="s">
        <v>351</v>
      </c>
      <c r="C55" s="78"/>
      <c r="D55" s="78">
        <v>5</v>
      </c>
      <c r="E55" s="77">
        <v>332</v>
      </c>
      <c r="F55" s="77"/>
      <c r="G55" s="79">
        <v>337</v>
      </c>
      <c r="H55" s="80">
        <v>7.5620907677530463E-4</v>
      </c>
    </row>
    <row r="56" spans="2:8" ht="12" customHeight="1" x14ac:dyDescent="0.2">
      <c r="B56" s="46" t="s">
        <v>352</v>
      </c>
      <c r="C56" s="78"/>
      <c r="D56" s="78"/>
      <c r="E56" s="77">
        <v>653439</v>
      </c>
      <c r="F56" s="77"/>
      <c r="G56" s="79">
        <v>653439</v>
      </c>
      <c r="H56" s="80">
        <v>1.4662804240919236</v>
      </c>
    </row>
    <row r="57" spans="2:8" ht="12" customHeight="1" x14ac:dyDescent="0.2">
      <c r="B57" s="46" t="s">
        <v>353</v>
      </c>
      <c r="C57" s="77">
        <v>5947</v>
      </c>
      <c r="D57" s="78">
        <v>9738</v>
      </c>
      <c r="E57" s="77"/>
      <c r="F57" s="77"/>
      <c r="G57" s="79">
        <v>15685</v>
      </c>
      <c r="H57" s="80">
        <v>3.5196259255847635E-2</v>
      </c>
    </row>
    <row r="58" spans="2:8" ht="12" customHeight="1" x14ac:dyDescent="0.2">
      <c r="B58" s="46" t="s">
        <v>603</v>
      </c>
      <c r="C58" s="77"/>
      <c r="D58" s="78">
        <v>0</v>
      </c>
      <c r="E58" s="78"/>
      <c r="F58" s="78"/>
      <c r="G58" s="79">
        <v>0</v>
      </c>
      <c r="H58" s="80">
        <v>0</v>
      </c>
    </row>
    <row r="59" spans="2:8" ht="12" customHeight="1" x14ac:dyDescent="0.2">
      <c r="B59" s="46" t="s">
        <v>354</v>
      </c>
      <c r="C59" s="78">
        <v>7068</v>
      </c>
      <c r="D59" s="77">
        <v>351212</v>
      </c>
      <c r="E59" s="77"/>
      <c r="F59" s="77"/>
      <c r="G59" s="79">
        <v>358280</v>
      </c>
      <c r="H59" s="80">
        <v>0.80396020186070072</v>
      </c>
    </row>
    <row r="60" spans="2:8" ht="12" customHeight="1" x14ac:dyDescent="0.2">
      <c r="B60" s="46" t="s">
        <v>355</v>
      </c>
      <c r="C60" s="78"/>
      <c r="D60" s="77">
        <v>41</v>
      </c>
      <c r="E60" s="77"/>
      <c r="F60" s="77"/>
      <c r="G60" s="79">
        <v>41</v>
      </c>
      <c r="H60" s="80">
        <v>9.200169776791539E-5</v>
      </c>
    </row>
    <row r="61" spans="2:8" ht="12" customHeight="1" x14ac:dyDescent="0.2">
      <c r="B61" s="46" t="s">
        <v>356</v>
      </c>
      <c r="C61" s="78"/>
      <c r="D61" s="77">
        <v>205</v>
      </c>
      <c r="E61" s="77">
        <v>436049</v>
      </c>
      <c r="F61" s="77">
        <v>133</v>
      </c>
      <c r="G61" s="79">
        <v>436387</v>
      </c>
      <c r="H61" s="80">
        <v>0.97922792399627545</v>
      </c>
    </row>
    <row r="62" spans="2:8" ht="12" customHeight="1" x14ac:dyDescent="0.2">
      <c r="B62" s="46" t="s">
        <v>357</v>
      </c>
      <c r="C62" s="78">
        <v>6770</v>
      </c>
      <c r="D62" s="77"/>
      <c r="E62" s="77"/>
      <c r="F62" s="77"/>
      <c r="G62" s="79">
        <v>6770</v>
      </c>
      <c r="H62" s="80">
        <v>1.519149985094603E-2</v>
      </c>
    </row>
    <row r="63" spans="2:8" ht="13.5" thickBot="1" x14ac:dyDescent="0.25">
      <c r="B63" s="46" t="s">
        <v>358</v>
      </c>
      <c r="C63" s="78">
        <v>12819</v>
      </c>
      <c r="D63" s="78">
        <v>20990</v>
      </c>
      <c r="E63" s="77"/>
      <c r="F63" s="77"/>
      <c r="G63" s="79">
        <v>33809</v>
      </c>
      <c r="H63" s="80">
        <v>7.586549755696223E-2</v>
      </c>
    </row>
    <row r="64" spans="2:8" ht="13.5" thickBot="1" x14ac:dyDescent="0.25">
      <c r="B64" s="52" t="s">
        <v>17</v>
      </c>
      <c r="C64" s="81">
        <v>1653603</v>
      </c>
      <c r="D64" s="81">
        <v>33889650</v>
      </c>
      <c r="E64" s="81">
        <v>9002404</v>
      </c>
      <c r="F64" s="81">
        <v>18738</v>
      </c>
      <c r="G64" s="81">
        <v>44564395</v>
      </c>
      <c r="H64" s="80">
        <v>100</v>
      </c>
    </row>
    <row r="65" spans="2:8" ht="13.5" thickBot="1" x14ac:dyDescent="0.25">
      <c r="B65" s="52" t="s">
        <v>296</v>
      </c>
      <c r="C65" s="82">
        <v>3.7105922788809318</v>
      </c>
      <c r="D65" s="82">
        <v>76.046471628303266</v>
      </c>
      <c r="E65" s="82">
        <v>20.200889072992016</v>
      </c>
      <c r="F65" s="82">
        <v>4.2047019823785337E-2</v>
      </c>
      <c r="G65" s="82">
        <v>100</v>
      </c>
      <c r="H65" s="83"/>
    </row>
  </sheetData>
  <mergeCells count="3">
    <mergeCell ref="B1:H1"/>
    <mergeCell ref="C2:F2"/>
    <mergeCell ref="G2:H2"/>
  </mergeCells>
  <printOptions horizontalCentered="1"/>
  <pageMargins left="0.51181102362204722" right="0.43307086614173229" top="0.17" bottom="0.17" header="0.17" footer="0"/>
  <pageSetup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Q196"/>
  <sheetViews>
    <sheetView view="pageBreakPreview" zoomScale="75" zoomScaleNormal="100" zoomScaleSheetLayoutView="75" workbookViewId="0">
      <selection activeCell="C161" sqref="C161"/>
    </sheetView>
  </sheetViews>
  <sheetFormatPr defaultColWidth="9.140625" defaultRowHeight="12.75" x14ac:dyDescent="0.2"/>
  <cols>
    <col min="1" max="1" width="9.140625" style="45"/>
    <col min="2" max="2" width="16" style="6" customWidth="1"/>
    <col min="3" max="3" width="24.28515625" style="6" customWidth="1"/>
    <col min="4" max="4" width="7.85546875" customWidth="1"/>
    <col min="5" max="10" width="9.5703125" customWidth="1"/>
    <col min="11" max="11" width="9.140625" customWidth="1"/>
    <col min="12" max="12" width="10.140625" customWidth="1"/>
    <col min="13" max="16" width="9.140625" customWidth="1"/>
    <col min="17" max="17" width="10.140625" customWidth="1"/>
  </cols>
  <sheetData>
    <row r="1" spans="2:17" ht="30" customHeight="1" thickBot="1" x14ac:dyDescent="0.25">
      <c r="B1" s="479" t="s">
        <v>604</v>
      </c>
      <c r="C1" s="479"/>
      <c r="D1" s="479"/>
      <c r="E1" s="479"/>
      <c r="F1" s="479"/>
      <c r="G1" s="479"/>
      <c r="H1" s="479"/>
      <c r="I1" s="479"/>
      <c r="J1" s="479"/>
      <c r="K1" s="479"/>
      <c r="L1" s="479"/>
      <c r="M1" s="479"/>
      <c r="N1" s="479"/>
      <c r="O1" s="479"/>
      <c r="P1" s="479"/>
      <c r="Q1" s="479"/>
    </row>
    <row r="2" spans="2:17" ht="12.75" customHeight="1" thickBot="1" x14ac:dyDescent="0.25">
      <c r="B2" s="37" t="s">
        <v>0</v>
      </c>
      <c r="C2" s="37" t="s">
        <v>0</v>
      </c>
      <c r="D2" s="146" t="s">
        <v>0</v>
      </c>
      <c r="E2" s="480" t="s">
        <v>265</v>
      </c>
      <c r="F2" s="480"/>
      <c r="G2" s="480"/>
      <c r="H2" s="480"/>
      <c r="I2" s="480"/>
      <c r="J2" s="480"/>
      <c r="K2" s="480"/>
      <c r="L2" s="480"/>
      <c r="M2" s="480"/>
      <c r="N2" s="480"/>
      <c r="O2" s="480"/>
      <c r="P2" s="480"/>
      <c r="Q2" s="481" t="s">
        <v>17</v>
      </c>
    </row>
    <row r="3" spans="2:17" ht="25.5" customHeight="1" thickBot="1" x14ac:dyDescent="0.25">
      <c r="B3" s="483" t="s">
        <v>558</v>
      </c>
      <c r="C3" s="483"/>
      <c r="D3" s="483"/>
      <c r="E3" s="299" t="s">
        <v>5</v>
      </c>
      <c r="F3" s="299" t="s">
        <v>6</v>
      </c>
      <c r="G3" s="299" t="s">
        <v>7</v>
      </c>
      <c r="H3" s="299" t="s">
        <v>8</v>
      </c>
      <c r="I3" s="299" t="s">
        <v>9</v>
      </c>
      <c r="J3" s="299" t="s">
        <v>10</v>
      </c>
      <c r="K3" s="299" t="s">
        <v>11</v>
      </c>
      <c r="L3" s="299" t="s">
        <v>12</v>
      </c>
      <c r="M3" s="299" t="s">
        <v>13</v>
      </c>
      <c r="N3" s="299" t="s">
        <v>14</v>
      </c>
      <c r="O3" s="299" t="s">
        <v>15</v>
      </c>
      <c r="P3" s="299" t="s">
        <v>16</v>
      </c>
      <c r="Q3" s="482"/>
    </row>
    <row r="4" spans="2:17" ht="12.75" customHeight="1" x14ac:dyDescent="0.2">
      <c r="B4" s="473" t="s">
        <v>302</v>
      </c>
      <c r="C4" s="84" t="s">
        <v>359</v>
      </c>
      <c r="D4" s="295" t="s">
        <v>270</v>
      </c>
      <c r="E4" s="85">
        <v>28</v>
      </c>
      <c r="F4" s="85">
        <v>51</v>
      </c>
      <c r="G4" s="85">
        <v>39</v>
      </c>
      <c r="H4" s="85">
        <v>37</v>
      </c>
      <c r="I4" s="85">
        <v>44</v>
      </c>
      <c r="J4" s="85">
        <v>19</v>
      </c>
      <c r="K4" s="85">
        <v>97</v>
      </c>
      <c r="L4" s="85">
        <v>42</v>
      </c>
      <c r="M4" s="85">
        <v>22</v>
      </c>
      <c r="N4" s="85">
        <v>38</v>
      </c>
      <c r="O4" s="85">
        <v>37</v>
      </c>
      <c r="P4" s="85">
        <v>33</v>
      </c>
      <c r="Q4" s="85">
        <v>487</v>
      </c>
    </row>
    <row r="5" spans="2:17" ht="12.75" customHeight="1" x14ac:dyDescent="0.2">
      <c r="B5" s="474"/>
      <c r="C5" s="84" t="s">
        <v>360</v>
      </c>
      <c r="D5" s="295" t="s">
        <v>271</v>
      </c>
      <c r="E5" s="85">
        <v>5100</v>
      </c>
      <c r="F5" s="85">
        <v>6079</v>
      </c>
      <c r="G5" s="85">
        <v>8364</v>
      </c>
      <c r="H5" s="85">
        <v>10695</v>
      </c>
      <c r="I5" s="85">
        <v>11068</v>
      </c>
      <c r="J5" s="85">
        <v>16513</v>
      </c>
      <c r="K5" s="85">
        <v>25587</v>
      </c>
      <c r="L5" s="85">
        <v>20578</v>
      </c>
      <c r="M5" s="85">
        <v>13725</v>
      </c>
      <c r="N5" s="85">
        <v>11218</v>
      </c>
      <c r="O5" s="85">
        <v>7146</v>
      </c>
      <c r="P5" s="85">
        <v>8616</v>
      </c>
      <c r="Q5" s="85">
        <v>144689</v>
      </c>
    </row>
    <row r="6" spans="2:17" ht="12.75" customHeight="1" x14ac:dyDescent="0.2">
      <c r="B6" s="474"/>
      <c r="C6" s="84" t="s">
        <v>361</v>
      </c>
      <c r="D6" s="476" t="s">
        <v>270</v>
      </c>
      <c r="E6" s="85">
        <v>75</v>
      </c>
      <c r="F6" s="85">
        <v>50</v>
      </c>
      <c r="G6" s="85">
        <v>95</v>
      </c>
      <c r="H6" s="85">
        <v>75</v>
      </c>
      <c r="I6" s="85">
        <v>80</v>
      </c>
      <c r="J6" s="85">
        <v>50</v>
      </c>
      <c r="K6" s="85">
        <v>90</v>
      </c>
      <c r="L6" s="85">
        <v>62</v>
      </c>
      <c r="M6" s="85">
        <v>70</v>
      </c>
      <c r="N6" s="85">
        <v>69</v>
      </c>
      <c r="O6" s="85">
        <v>78</v>
      </c>
      <c r="P6" s="85">
        <v>74</v>
      </c>
      <c r="Q6" s="85">
        <v>868</v>
      </c>
    </row>
    <row r="7" spans="2:17" ht="12.75" customHeight="1" x14ac:dyDescent="0.2">
      <c r="B7" s="474"/>
      <c r="C7" s="84" t="s">
        <v>362</v>
      </c>
      <c r="D7" s="476"/>
      <c r="E7" s="85">
        <v>12</v>
      </c>
      <c r="F7" s="85">
        <v>18</v>
      </c>
      <c r="G7" s="85">
        <v>27</v>
      </c>
      <c r="H7" s="85">
        <v>11</v>
      </c>
      <c r="I7" s="85">
        <v>22</v>
      </c>
      <c r="J7" s="85">
        <v>38</v>
      </c>
      <c r="K7" s="85">
        <v>31</v>
      </c>
      <c r="L7" s="85">
        <v>30</v>
      </c>
      <c r="M7" s="85">
        <v>35</v>
      </c>
      <c r="N7" s="85">
        <v>40</v>
      </c>
      <c r="O7" s="85">
        <v>58</v>
      </c>
      <c r="P7" s="85">
        <v>10</v>
      </c>
      <c r="Q7" s="85">
        <v>332</v>
      </c>
    </row>
    <row r="8" spans="2:17" ht="12.75" customHeight="1" thickBot="1" x14ac:dyDescent="0.25">
      <c r="B8" s="475"/>
      <c r="C8" s="90" t="s">
        <v>17</v>
      </c>
      <c r="D8" s="87" t="s">
        <v>264</v>
      </c>
      <c r="E8" s="88">
        <v>5215</v>
      </c>
      <c r="F8" s="88">
        <v>6198</v>
      </c>
      <c r="G8" s="88">
        <v>8525</v>
      </c>
      <c r="H8" s="88">
        <v>10818</v>
      </c>
      <c r="I8" s="88">
        <v>11214</v>
      </c>
      <c r="J8" s="88">
        <v>16620</v>
      </c>
      <c r="K8" s="88">
        <v>25805</v>
      </c>
      <c r="L8" s="88">
        <v>20712</v>
      </c>
      <c r="M8" s="88">
        <v>13852</v>
      </c>
      <c r="N8" s="88">
        <v>11365</v>
      </c>
      <c r="O8" s="88">
        <v>7319</v>
      </c>
      <c r="P8" s="88">
        <v>8733</v>
      </c>
      <c r="Q8" s="88">
        <v>146376</v>
      </c>
    </row>
    <row r="9" spans="2:17" ht="12.75" customHeight="1" thickBot="1" x14ac:dyDescent="0.25">
      <c r="B9" s="195" t="s">
        <v>303</v>
      </c>
      <c r="C9" s="103" t="s">
        <v>363</v>
      </c>
      <c r="D9" s="92" t="s">
        <v>271</v>
      </c>
      <c r="E9" s="93"/>
      <c r="F9" s="93"/>
      <c r="G9" s="93"/>
      <c r="H9" s="93"/>
      <c r="I9" s="93"/>
      <c r="J9" s="93"/>
      <c r="K9" s="93"/>
      <c r="L9" s="93"/>
      <c r="M9" s="93"/>
      <c r="N9" s="93"/>
      <c r="O9" s="93"/>
      <c r="P9" s="94">
        <v>4</v>
      </c>
      <c r="Q9" s="94">
        <v>4</v>
      </c>
    </row>
    <row r="10" spans="2:17" ht="12.75" customHeight="1" x14ac:dyDescent="0.2">
      <c r="B10" s="473" t="s">
        <v>304</v>
      </c>
      <c r="C10" s="96" t="s">
        <v>364</v>
      </c>
      <c r="D10" s="297" t="s">
        <v>272</v>
      </c>
      <c r="E10" s="97">
        <v>13225</v>
      </c>
      <c r="F10" s="97">
        <v>17107</v>
      </c>
      <c r="G10" s="97">
        <v>48708</v>
      </c>
      <c r="H10" s="97">
        <v>14629</v>
      </c>
      <c r="I10" s="97">
        <v>20928</v>
      </c>
      <c r="J10" s="97">
        <v>26553</v>
      </c>
      <c r="K10" s="97">
        <v>31873</v>
      </c>
      <c r="L10" s="97">
        <v>38414</v>
      </c>
      <c r="M10" s="97">
        <v>43567</v>
      </c>
      <c r="N10" s="97">
        <v>20448</v>
      </c>
      <c r="O10" s="97">
        <v>19931</v>
      </c>
      <c r="P10" s="97">
        <v>19805</v>
      </c>
      <c r="Q10" s="97">
        <v>315188</v>
      </c>
    </row>
    <row r="11" spans="2:17" ht="12.75" customHeight="1" x14ac:dyDescent="0.2">
      <c r="B11" s="474"/>
      <c r="C11" s="98" t="s">
        <v>605</v>
      </c>
      <c r="D11" s="294" t="s">
        <v>271</v>
      </c>
      <c r="E11" s="100"/>
      <c r="F11" s="99">
        <v>12</v>
      </c>
      <c r="G11" s="99">
        <v>48</v>
      </c>
      <c r="H11" s="99">
        <v>12</v>
      </c>
      <c r="I11" s="100"/>
      <c r="J11" s="99">
        <v>48</v>
      </c>
      <c r="K11" s="100"/>
      <c r="L11" s="100"/>
      <c r="M11" s="100"/>
      <c r="N11" s="100"/>
      <c r="O11" s="100"/>
      <c r="P11" s="100"/>
      <c r="Q11" s="99">
        <v>120</v>
      </c>
    </row>
    <row r="12" spans="2:17" ht="12.75" customHeight="1" thickBot="1" x14ac:dyDescent="0.25">
      <c r="B12" s="475"/>
      <c r="C12" s="298" t="s">
        <v>17</v>
      </c>
      <c r="D12" s="292" t="s">
        <v>264</v>
      </c>
      <c r="E12" s="101">
        <v>13225</v>
      </c>
      <c r="F12" s="101">
        <v>17119</v>
      </c>
      <c r="G12" s="101">
        <v>48756</v>
      </c>
      <c r="H12" s="101">
        <v>14641</v>
      </c>
      <c r="I12" s="101">
        <v>20928</v>
      </c>
      <c r="J12" s="101">
        <v>26601</v>
      </c>
      <c r="K12" s="101">
        <v>31873</v>
      </c>
      <c r="L12" s="101">
        <v>38414</v>
      </c>
      <c r="M12" s="101">
        <v>43567</v>
      </c>
      <c r="N12" s="101">
        <v>20448</v>
      </c>
      <c r="O12" s="101">
        <v>19931</v>
      </c>
      <c r="P12" s="101">
        <v>19805</v>
      </c>
      <c r="Q12" s="101">
        <v>315308</v>
      </c>
    </row>
    <row r="13" spans="2:17" ht="12.75" customHeight="1" thickBot="1" x14ac:dyDescent="0.25">
      <c r="B13" s="195" t="s">
        <v>305</v>
      </c>
      <c r="C13" s="103" t="s">
        <v>365</v>
      </c>
      <c r="D13" s="92" t="s">
        <v>271</v>
      </c>
      <c r="E13" s="93"/>
      <c r="F13" s="93"/>
      <c r="G13" s="93"/>
      <c r="H13" s="93"/>
      <c r="I13" s="93"/>
      <c r="J13" s="93"/>
      <c r="K13" s="93"/>
      <c r="L13" s="93"/>
      <c r="M13" s="93"/>
      <c r="N13" s="93"/>
      <c r="O13" s="94">
        <v>2</v>
      </c>
      <c r="P13" s="93"/>
      <c r="Q13" s="94">
        <v>2</v>
      </c>
    </row>
    <row r="14" spans="2:17" ht="12.75" customHeight="1" thickBot="1" x14ac:dyDescent="0.25">
      <c r="B14" s="195" t="s">
        <v>306</v>
      </c>
      <c r="C14" s="103" t="s">
        <v>366</v>
      </c>
      <c r="D14" s="92" t="s">
        <v>271</v>
      </c>
      <c r="E14" s="94">
        <v>27023</v>
      </c>
      <c r="F14" s="94">
        <v>28576</v>
      </c>
      <c r="G14" s="94">
        <v>29027</v>
      </c>
      <c r="H14" s="94">
        <v>28276</v>
      </c>
      <c r="I14" s="94">
        <v>37332</v>
      </c>
      <c r="J14" s="94">
        <v>56359</v>
      </c>
      <c r="K14" s="94">
        <v>82728</v>
      </c>
      <c r="L14" s="94">
        <v>60556</v>
      </c>
      <c r="M14" s="94">
        <v>45176</v>
      </c>
      <c r="N14" s="94">
        <v>40290</v>
      </c>
      <c r="O14" s="94">
        <v>27050</v>
      </c>
      <c r="P14" s="94">
        <v>33331</v>
      </c>
      <c r="Q14" s="94">
        <v>495724</v>
      </c>
    </row>
    <row r="15" spans="2:17" ht="12.75" customHeight="1" x14ac:dyDescent="0.2">
      <c r="B15" s="473" t="s">
        <v>307</v>
      </c>
      <c r="C15" s="84" t="s">
        <v>606</v>
      </c>
      <c r="D15" s="477" t="s">
        <v>270</v>
      </c>
      <c r="E15" s="85">
        <v>1</v>
      </c>
      <c r="F15" s="85">
        <v>13</v>
      </c>
      <c r="G15" s="85">
        <v>79</v>
      </c>
      <c r="H15" s="85">
        <v>687</v>
      </c>
      <c r="I15" s="85">
        <v>1613</v>
      </c>
      <c r="J15" s="85">
        <v>2387</v>
      </c>
      <c r="K15" s="85">
        <v>4793</v>
      </c>
      <c r="L15" s="85">
        <v>5226</v>
      </c>
      <c r="M15" s="85">
        <v>4103</v>
      </c>
      <c r="N15" s="85">
        <v>3233</v>
      </c>
      <c r="O15" s="85">
        <v>4</v>
      </c>
      <c r="P15" s="86"/>
      <c r="Q15" s="85">
        <v>22139</v>
      </c>
    </row>
    <row r="16" spans="2:17" ht="12.75" customHeight="1" x14ac:dyDescent="0.2">
      <c r="B16" s="474"/>
      <c r="C16" s="84" t="s">
        <v>370</v>
      </c>
      <c r="D16" s="478"/>
      <c r="E16" s="85">
        <v>40</v>
      </c>
      <c r="F16" s="85">
        <v>56</v>
      </c>
      <c r="G16" s="85">
        <v>190</v>
      </c>
      <c r="H16" s="85">
        <v>111</v>
      </c>
      <c r="I16" s="85">
        <v>2871</v>
      </c>
      <c r="J16" s="85">
        <v>1949</v>
      </c>
      <c r="K16" s="85">
        <v>2642</v>
      </c>
      <c r="L16" s="85">
        <v>1819</v>
      </c>
      <c r="M16" s="85">
        <v>4141</v>
      </c>
      <c r="N16" s="85">
        <v>14056</v>
      </c>
      <c r="O16" s="85">
        <v>7334</v>
      </c>
      <c r="P16" s="85">
        <v>420</v>
      </c>
      <c r="Q16" s="85">
        <v>35629</v>
      </c>
    </row>
    <row r="17" spans="2:17" ht="12.75" customHeight="1" x14ac:dyDescent="0.2">
      <c r="B17" s="474"/>
      <c r="C17" s="84" t="s">
        <v>371</v>
      </c>
      <c r="D17" s="476" t="s">
        <v>271</v>
      </c>
      <c r="E17" s="85">
        <v>3736</v>
      </c>
      <c r="F17" s="85">
        <v>3657</v>
      </c>
      <c r="G17" s="85">
        <v>4420</v>
      </c>
      <c r="H17" s="85">
        <v>9419</v>
      </c>
      <c r="I17" s="85">
        <v>14966</v>
      </c>
      <c r="J17" s="85">
        <v>16148</v>
      </c>
      <c r="K17" s="85">
        <v>26895</v>
      </c>
      <c r="L17" s="85">
        <v>17369</v>
      </c>
      <c r="M17" s="85">
        <v>14362</v>
      </c>
      <c r="N17" s="85">
        <v>14568</v>
      </c>
      <c r="O17" s="85">
        <v>2366</v>
      </c>
      <c r="P17" s="85">
        <v>2506</v>
      </c>
      <c r="Q17" s="85">
        <v>130412</v>
      </c>
    </row>
    <row r="18" spans="2:17" ht="12.75" customHeight="1" x14ac:dyDescent="0.2">
      <c r="B18" s="474"/>
      <c r="C18" s="84" t="s">
        <v>372</v>
      </c>
      <c r="D18" s="476"/>
      <c r="E18" s="85">
        <v>114024</v>
      </c>
      <c r="F18" s="85">
        <v>128213</v>
      </c>
      <c r="G18" s="85">
        <v>196020</v>
      </c>
      <c r="H18" s="85">
        <v>651362</v>
      </c>
      <c r="I18" s="85">
        <v>1122983</v>
      </c>
      <c r="J18" s="85">
        <v>1774077</v>
      </c>
      <c r="K18" s="85">
        <v>2275540</v>
      </c>
      <c r="L18" s="85">
        <v>2240973</v>
      </c>
      <c r="M18" s="85">
        <v>1895745</v>
      </c>
      <c r="N18" s="85">
        <v>1629011</v>
      </c>
      <c r="O18" s="85">
        <v>351019</v>
      </c>
      <c r="P18" s="85">
        <v>248363</v>
      </c>
      <c r="Q18" s="85">
        <v>12627330</v>
      </c>
    </row>
    <row r="19" spans="2:17" ht="12.75" customHeight="1" x14ac:dyDescent="0.2">
      <c r="B19" s="474"/>
      <c r="C19" s="84" t="s">
        <v>367</v>
      </c>
      <c r="D19" s="476" t="s">
        <v>270</v>
      </c>
      <c r="E19" s="86"/>
      <c r="F19" s="85">
        <v>9</v>
      </c>
      <c r="G19" s="85">
        <v>6</v>
      </c>
      <c r="H19" s="85">
        <v>7</v>
      </c>
      <c r="I19" s="85">
        <v>8</v>
      </c>
      <c r="J19" s="85">
        <v>126</v>
      </c>
      <c r="K19" s="85">
        <v>14</v>
      </c>
      <c r="L19" s="85">
        <v>19</v>
      </c>
      <c r="M19" s="85">
        <v>14</v>
      </c>
      <c r="N19" s="85">
        <v>21</v>
      </c>
      <c r="O19" s="85">
        <v>541</v>
      </c>
      <c r="P19" s="85">
        <v>4</v>
      </c>
      <c r="Q19" s="85">
        <v>769</v>
      </c>
    </row>
    <row r="20" spans="2:17" ht="12.75" customHeight="1" x14ac:dyDescent="0.2">
      <c r="B20" s="474"/>
      <c r="C20" s="84" t="s">
        <v>369</v>
      </c>
      <c r="D20" s="476"/>
      <c r="E20" s="86"/>
      <c r="F20" s="85">
        <v>12</v>
      </c>
      <c r="G20" s="85">
        <v>9</v>
      </c>
      <c r="H20" s="85">
        <v>23</v>
      </c>
      <c r="I20" s="85">
        <v>80</v>
      </c>
      <c r="J20" s="85">
        <v>88</v>
      </c>
      <c r="K20" s="85">
        <v>84</v>
      </c>
      <c r="L20" s="85">
        <v>60</v>
      </c>
      <c r="M20" s="85">
        <v>46</v>
      </c>
      <c r="N20" s="85">
        <v>114</v>
      </c>
      <c r="O20" s="85">
        <v>16</v>
      </c>
      <c r="P20" s="85">
        <v>10</v>
      </c>
      <c r="Q20" s="85">
        <v>542</v>
      </c>
    </row>
    <row r="21" spans="2:17" ht="12.75" customHeight="1" x14ac:dyDescent="0.2">
      <c r="B21" s="474"/>
      <c r="C21" s="84" t="s">
        <v>373</v>
      </c>
      <c r="D21" s="476"/>
      <c r="E21" s="86"/>
      <c r="F21" s="86"/>
      <c r="G21" s="86"/>
      <c r="H21" s="86"/>
      <c r="I21" s="85">
        <v>1</v>
      </c>
      <c r="J21" s="85">
        <v>9</v>
      </c>
      <c r="K21" s="85">
        <v>5</v>
      </c>
      <c r="L21" s="86"/>
      <c r="M21" s="85">
        <v>22</v>
      </c>
      <c r="N21" s="86"/>
      <c r="O21" s="86"/>
      <c r="P21" s="86"/>
      <c r="Q21" s="85">
        <v>37</v>
      </c>
    </row>
    <row r="22" spans="2:17" ht="12.75" customHeight="1" x14ac:dyDescent="0.2">
      <c r="B22" s="474"/>
      <c r="C22" s="84" t="s">
        <v>368</v>
      </c>
      <c r="D22" s="476"/>
      <c r="E22" s="86"/>
      <c r="F22" s="86"/>
      <c r="G22" s="86"/>
      <c r="H22" s="86"/>
      <c r="I22" s="86"/>
      <c r="J22" s="86"/>
      <c r="K22" s="86"/>
      <c r="L22" s="86"/>
      <c r="M22" s="86"/>
      <c r="N22" s="86"/>
      <c r="O22" s="85">
        <v>1318</v>
      </c>
      <c r="P22" s="85">
        <v>296</v>
      </c>
      <c r="Q22" s="85">
        <v>1614</v>
      </c>
    </row>
    <row r="23" spans="2:17" ht="12.75" customHeight="1" thickBot="1" x14ac:dyDescent="0.25">
      <c r="B23" s="475"/>
      <c r="C23" s="296" t="s">
        <v>17</v>
      </c>
      <c r="D23" s="295" t="s">
        <v>264</v>
      </c>
      <c r="E23" s="88">
        <v>117801</v>
      </c>
      <c r="F23" s="88">
        <v>131960</v>
      </c>
      <c r="G23" s="88">
        <v>200724</v>
      </c>
      <c r="H23" s="88">
        <v>661609</v>
      </c>
      <c r="I23" s="88">
        <v>1142522</v>
      </c>
      <c r="J23" s="88">
        <v>1794784</v>
      </c>
      <c r="K23" s="88">
        <v>2309973</v>
      </c>
      <c r="L23" s="88">
        <v>2265466</v>
      </c>
      <c r="M23" s="88">
        <v>1918433</v>
      </c>
      <c r="N23" s="88">
        <v>1661003</v>
      </c>
      <c r="O23" s="88">
        <v>362598</v>
      </c>
      <c r="P23" s="88">
        <v>251599</v>
      </c>
      <c r="Q23" s="88">
        <v>12818472</v>
      </c>
    </row>
    <row r="24" spans="2:17" ht="12.75" customHeight="1" x14ac:dyDescent="0.2">
      <c r="B24" s="473" t="s">
        <v>309</v>
      </c>
      <c r="C24" s="96" t="s">
        <v>376</v>
      </c>
      <c r="D24" s="297" t="s">
        <v>271</v>
      </c>
      <c r="E24" s="97">
        <v>33</v>
      </c>
      <c r="F24" s="97">
        <v>49</v>
      </c>
      <c r="G24" s="97">
        <v>76</v>
      </c>
      <c r="H24" s="97">
        <v>164</v>
      </c>
      <c r="I24" s="97">
        <v>63</v>
      </c>
      <c r="J24" s="102"/>
      <c r="K24" s="102"/>
      <c r="L24" s="102"/>
      <c r="M24" s="102"/>
      <c r="N24" s="102"/>
      <c r="O24" s="102"/>
      <c r="P24" s="102"/>
      <c r="Q24" s="97">
        <v>385</v>
      </c>
    </row>
    <row r="25" spans="2:17" ht="12.75" customHeight="1" x14ac:dyDescent="0.2">
      <c r="B25" s="474"/>
      <c r="C25" s="98" t="s">
        <v>375</v>
      </c>
      <c r="D25" s="294" t="s">
        <v>272</v>
      </c>
      <c r="E25" s="99">
        <v>38191</v>
      </c>
      <c r="F25" s="99">
        <v>47969</v>
      </c>
      <c r="G25" s="99">
        <v>77220</v>
      </c>
      <c r="H25" s="99">
        <v>108927</v>
      </c>
      <c r="I25" s="99">
        <v>140941</v>
      </c>
      <c r="J25" s="99">
        <v>162166</v>
      </c>
      <c r="K25" s="99">
        <v>205321</v>
      </c>
      <c r="L25" s="99">
        <v>222673</v>
      </c>
      <c r="M25" s="99">
        <v>221128</v>
      </c>
      <c r="N25" s="99">
        <v>179733</v>
      </c>
      <c r="O25" s="99">
        <v>162744</v>
      </c>
      <c r="P25" s="99">
        <v>153442</v>
      </c>
      <c r="Q25" s="99">
        <v>1720455</v>
      </c>
    </row>
    <row r="26" spans="2:17" ht="12.75" customHeight="1" x14ac:dyDescent="0.2">
      <c r="B26" s="474"/>
      <c r="C26" s="98" t="s">
        <v>374</v>
      </c>
      <c r="D26" s="294" t="s">
        <v>270</v>
      </c>
      <c r="E26" s="100"/>
      <c r="F26" s="100"/>
      <c r="G26" s="99">
        <v>10</v>
      </c>
      <c r="H26" s="99">
        <v>25</v>
      </c>
      <c r="I26" s="99">
        <v>24</v>
      </c>
      <c r="J26" s="99">
        <v>62</v>
      </c>
      <c r="K26" s="99">
        <v>19</v>
      </c>
      <c r="L26" s="99">
        <v>89</v>
      </c>
      <c r="M26" s="99">
        <v>126</v>
      </c>
      <c r="N26" s="99">
        <v>102</v>
      </c>
      <c r="O26" s="99">
        <v>96</v>
      </c>
      <c r="P26" s="99">
        <v>67</v>
      </c>
      <c r="Q26" s="99">
        <v>620</v>
      </c>
    </row>
    <row r="27" spans="2:17" ht="12.75" customHeight="1" thickBot="1" x14ac:dyDescent="0.25">
      <c r="B27" s="475"/>
      <c r="C27" s="157" t="s">
        <v>17</v>
      </c>
      <c r="D27" s="104" t="s">
        <v>264</v>
      </c>
      <c r="E27" s="101">
        <v>38224</v>
      </c>
      <c r="F27" s="101">
        <v>48018</v>
      </c>
      <c r="G27" s="101">
        <v>77306</v>
      </c>
      <c r="H27" s="101">
        <v>109116</v>
      </c>
      <c r="I27" s="101">
        <v>141028</v>
      </c>
      <c r="J27" s="101">
        <v>162228</v>
      </c>
      <c r="K27" s="101">
        <v>205340</v>
      </c>
      <c r="L27" s="101">
        <v>222762</v>
      </c>
      <c r="M27" s="101">
        <v>221254</v>
      </c>
      <c r="N27" s="101">
        <v>179835</v>
      </c>
      <c r="O27" s="101">
        <v>162840</v>
      </c>
      <c r="P27" s="101">
        <v>153509</v>
      </c>
      <c r="Q27" s="101">
        <v>1721460</v>
      </c>
    </row>
    <row r="28" spans="2:17" ht="12.75" customHeight="1" x14ac:dyDescent="0.2">
      <c r="B28" s="473" t="s">
        <v>310</v>
      </c>
      <c r="C28" s="84" t="s">
        <v>378</v>
      </c>
      <c r="D28" s="477" t="s">
        <v>270</v>
      </c>
      <c r="E28" s="85">
        <v>832</v>
      </c>
      <c r="F28" s="85">
        <v>312</v>
      </c>
      <c r="G28" s="85">
        <v>348</v>
      </c>
      <c r="H28" s="85">
        <v>19999</v>
      </c>
      <c r="I28" s="85">
        <v>55969</v>
      </c>
      <c r="J28" s="85">
        <v>71270</v>
      </c>
      <c r="K28" s="85">
        <v>68306</v>
      </c>
      <c r="L28" s="85">
        <v>88153</v>
      </c>
      <c r="M28" s="85">
        <v>71341</v>
      </c>
      <c r="N28" s="85">
        <v>97067</v>
      </c>
      <c r="O28" s="85">
        <v>31147</v>
      </c>
      <c r="P28" s="85">
        <v>6227</v>
      </c>
      <c r="Q28" s="85">
        <v>510971</v>
      </c>
    </row>
    <row r="29" spans="2:17" ht="12.75" customHeight="1" x14ac:dyDescent="0.2">
      <c r="B29" s="474"/>
      <c r="C29" s="84" t="s">
        <v>377</v>
      </c>
      <c r="D29" s="478"/>
      <c r="E29" s="86"/>
      <c r="F29" s="85">
        <v>6</v>
      </c>
      <c r="G29" s="85">
        <v>5</v>
      </c>
      <c r="H29" s="85">
        <v>42</v>
      </c>
      <c r="I29" s="85">
        <v>91</v>
      </c>
      <c r="J29" s="85">
        <v>74</v>
      </c>
      <c r="K29" s="85">
        <v>304</v>
      </c>
      <c r="L29" s="85">
        <v>156</v>
      </c>
      <c r="M29" s="85">
        <v>74</v>
      </c>
      <c r="N29" s="85">
        <v>63</v>
      </c>
      <c r="O29" s="85">
        <v>25</v>
      </c>
      <c r="P29" s="85">
        <v>6</v>
      </c>
      <c r="Q29" s="85">
        <v>846</v>
      </c>
    </row>
    <row r="30" spans="2:17" ht="12.75" customHeight="1" thickBot="1" x14ac:dyDescent="0.25">
      <c r="B30" s="475"/>
      <c r="C30" s="90" t="s">
        <v>17</v>
      </c>
      <c r="D30" s="87" t="s">
        <v>264</v>
      </c>
      <c r="E30" s="88">
        <v>832</v>
      </c>
      <c r="F30" s="88">
        <v>318</v>
      </c>
      <c r="G30" s="88">
        <v>353</v>
      </c>
      <c r="H30" s="88">
        <v>20041</v>
      </c>
      <c r="I30" s="88">
        <v>56060</v>
      </c>
      <c r="J30" s="88">
        <v>71344</v>
      </c>
      <c r="K30" s="88">
        <v>68610</v>
      </c>
      <c r="L30" s="88">
        <v>88309</v>
      </c>
      <c r="M30" s="88">
        <v>71415</v>
      </c>
      <c r="N30" s="88">
        <v>97130</v>
      </c>
      <c r="O30" s="88">
        <v>31172</v>
      </c>
      <c r="P30" s="88">
        <v>6233</v>
      </c>
      <c r="Q30" s="88">
        <v>511817</v>
      </c>
    </row>
    <row r="31" spans="2:17" ht="12.75" customHeight="1" x14ac:dyDescent="0.2">
      <c r="B31" s="473" t="s">
        <v>311</v>
      </c>
      <c r="C31" s="96" t="s">
        <v>379</v>
      </c>
      <c r="D31" s="477" t="s">
        <v>270</v>
      </c>
      <c r="E31" s="97">
        <v>6</v>
      </c>
      <c r="F31" s="102"/>
      <c r="G31" s="102"/>
      <c r="H31" s="97">
        <v>5</v>
      </c>
      <c r="I31" s="97">
        <v>3</v>
      </c>
      <c r="J31" s="97">
        <v>2</v>
      </c>
      <c r="K31" s="97">
        <v>1</v>
      </c>
      <c r="L31" s="97">
        <v>6</v>
      </c>
      <c r="M31" s="97">
        <v>2</v>
      </c>
      <c r="N31" s="97">
        <v>2</v>
      </c>
      <c r="O31" s="97">
        <v>5</v>
      </c>
      <c r="P31" s="97">
        <v>1</v>
      </c>
      <c r="Q31" s="97">
        <v>33</v>
      </c>
    </row>
    <row r="32" spans="2:17" ht="12.75" customHeight="1" x14ac:dyDescent="0.2">
      <c r="B32" s="474"/>
      <c r="C32" s="98" t="s">
        <v>380</v>
      </c>
      <c r="D32" s="478"/>
      <c r="E32" s="99">
        <v>19</v>
      </c>
      <c r="F32" s="99">
        <v>25</v>
      </c>
      <c r="G32" s="99">
        <v>16</v>
      </c>
      <c r="H32" s="99">
        <v>68</v>
      </c>
      <c r="I32" s="99">
        <v>33</v>
      </c>
      <c r="J32" s="99">
        <v>97</v>
      </c>
      <c r="K32" s="99">
        <v>59</v>
      </c>
      <c r="L32" s="99">
        <v>95</v>
      </c>
      <c r="M32" s="99">
        <v>122</v>
      </c>
      <c r="N32" s="99">
        <v>94</v>
      </c>
      <c r="O32" s="99">
        <v>115</v>
      </c>
      <c r="P32" s="99">
        <v>232</v>
      </c>
      <c r="Q32" s="99">
        <v>975</v>
      </c>
    </row>
    <row r="33" spans="2:17" ht="12.75" customHeight="1" x14ac:dyDescent="0.2">
      <c r="B33" s="474"/>
      <c r="C33" s="98" t="s">
        <v>381</v>
      </c>
      <c r="D33" s="478"/>
      <c r="E33" s="100"/>
      <c r="F33" s="99">
        <v>2</v>
      </c>
      <c r="G33" s="100"/>
      <c r="H33" s="99">
        <v>786</v>
      </c>
      <c r="I33" s="99">
        <v>1496</v>
      </c>
      <c r="J33" s="99">
        <v>1826</v>
      </c>
      <c r="K33" s="99">
        <v>3292</v>
      </c>
      <c r="L33" s="99">
        <v>5285</v>
      </c>
      <c r="M33" s="99">
        <v>3325</v>
      </c>
      <c r="N33" s="99">
        <v>1520</v>
      </c>
      <c r="O33" s="99">
        <v>907</v>
      </c>
      <c r="P33" s="99">
        <v>635</v>
      </c>
      <c r="Q33" s="99">
        <v>19074</v>
      </c>
    </row>
    <row r="34" spans="2:17" ht="12.75" customHeight="1" x14ac:dyDescent="0.2">
      <c r="B34" s="474"/>
      <c r="C34" s="98" t="s">
        <v>382</v>
      </c>
      <c r="D34" s="294" t="s">
        <v>271</v>
      </c>
      <c r="E34" s="100"/>
      <c r="F34" s="100"/>
      <c r="G34" s="100"/>
      <c r="H34" s="100"/>
      <c r="I34" s="100"/>
      <c r="J34" s="99">
        <v>553</v>
      </c>
      <c r="K34" s="99">
        <v>1896</v>
      </c>
      <c r="L34" s="99">
        <v>1444</v>
      </c>
      <c r="M34" s="99">
        <v>596</v>
      </c>
      <c r="N34" s="100"/>
      <c r="O34" s="100"/>
      <c r="P34" s="99">
        <v>92</v>
      </c>
      <c r="Q34" s="99">
        <v>4581</v>
      </c>
    </row>
    <row r="35" spans="2:17" ht="12.75" customHeight="1" thickBot="1" x14ac:dyDescent="0.25">
      <c r="B35" s="475"/>
      <c r="C35" s="157" t="s">
        <v>17</v>
      </c>
      <c r="D35" s="104" t="s">
        <v>264</v>
      </c>
      <c r="E35" s="101">
        <v>25</v>
      </c>
      <c r="F35" s="101">
        <v>27</v>
      </c>
      <c r="G35" s="101">
        <v>16</v>
      </c>
      <c r="H35" s="101">
        <v>859</v>
      </c>
      <c r="I35" s="101">
        <v>1532</v>
      </c>
      <c r="J35" s="101">
        <v>2478</v>
      </c>
      <c r="K35" s="101">
        <v>5248</v>
      </c>
      <c r="L35" s="101">
        <v>6830</v>
      </c>
      <c r="M35" s="101">
        <v>4045</v>
      </c>
      <c r="N35" s="101">
        <v>1616</v>
      </c>
      <c r="O35" s="101">
        <v>1027</v>
      </c>
      <c r="P35" s="101">
        <v>960</v>
      </c>
      <c r="Q35" s="101">
        <v>24663</v>
      </c>
    </row>
    <row r="36" spans="2:17" ht="12.75" customHeight="1" thickBot="1" x14ac:dyDescent="0.25">
      <c r="B36" s="182" t="s">
        <v>601</v>
      </c>
      <c r="C36" s="90" t="s">
        <v>607</v>
      </c>
      <c r="D36" s="87" t="s">
        <v>271</v>
      </c>
      <c r="E36" s="89"/>
      <c r="F36" s="89"/>
      <c r="G36" s="89"/>
      <c r="H36" s="89"/>
      <c r="I36" s="89"/>
      <c r="J36" s="88">
        <v>5</v>
      </c>
      <c r="K36" s="89"/>
      <c r="L36" s="89"/>
      <c r="M36" s="89"/>
      <c r="N36" s="89"/>
      <c r="O36" s="89"/>
      <c r="P36" s="89"/>
      <c r="Q36" s="88">
        <v>5</v>
      </c>
    </row>
    <row r="37" spans="2:17" ht="12.75" customHeight="1" x14ac:dyDescent="0.2">
      <c r="B37" s="473" t="s">
        <v>314</v>
      </c>
      <c r="C37" s="96" t="s">
        <v>383</v>
      </c>
      <c r="D37" s="297" t="s">
        <v>271</v>
      </c>
      <c r="E37" s="97">
        <v>12</v>
      </c>
      <c r="F37" s="97">
        <v>16</v>
      </c>
      <c r="G37" s="97">
        <v>48</v>
      </c>
      <c r="H37" s="97">
        <v>18</v>
      </c>
      <c r="I37" s="97">
        <v>28</v>
      </c>
      <c r="J37" s="97">
        <v>1170</v>
      </c>
      <c r="K37" s="97">
        <v>2774</v>
      </c>
      <c r="L37" s="97">
        <v>1155</v>
      </c>
      <c r="M37" s="97">
        <v>209</v>
      </c>
      <c r="N37" s="97">
        <v>19</v>
      </c>
      <c r="O37" s="97">
        <v>13</v>
      </c>
      <c r="P37" s="97">
        <v>59</v>
      </c>
      <c r="Q37" s="97">
        <v>5521</v>
      </c>
    </row>
    <row r="38" spans="2:17" ht="12.75" customHeight="1" x14ac:dyDescent="0.2">
      <c r="B38" s="474"/>
      <c r="C38" s="98" t="s">
        <v>384</v>
      </c>
      <c r="D38" s="294" t="s">
        <v>270</v>
      </c>
      <c r="E38" s="99">
        <v>70</v>
      </c>
      <c r="F38" s="99">
        <v>152</v>
      </c>
      <c r="G38" s="99">
        <v>89</v>
      </c>
      <c r="H38" s="99">
        <v>76</v>
      </c>
      <c r="I38" s="99">
        <v>121</v>
      </c>
      <c r="J38" s="99">
        <v>245</v>
      </c>
      <c r="K38" s="99">
        <v>149</v>
      </c>
      <c r="L38" s="99">
        <v>210</v>
      </c>
      <c r="M38" s="99">
        <v>140</v>
      </c>
      <c r="N38" s="99">
        <v>280</v>
      </c>
      <c r="O38" s="99">
        <v>357</v>
      </c>
      <c r="P38" s="99">
        <v>275</v>
      </c>
      <c r="Q38" s="99">
        <v>2164</v>
      </c>
    </row>
    <row r="39" spans="2:17" ht="12.75" customHeight="1" thickBot="1" x14ac:dyDescent="0.25">
      <c r="B39" s="475"/>
      <c r="C39" s="157" t="s">
        <v>17</v>
      </c>
      <c r="D39" s="104" t="s">
        <v>264</v>
      </c>
      <c r="E39" s="101">
        <v>82</v>
      </c>
      <c r="F39" s="101">
        <v>168</v>
      </c>
      <c r="G39" s="101">
        <v>137</v>
      </c>
      <c r="H39" s="101">
        <v>94</v>
      </c>
      <c r="I39" s="101">
        <v>149</v>
      </c>
      <c r="J39" s="101">
        <v>1415</v>
      </c>
      <c r="K39" s="101">
        <v>2923</v>
      </c>
      <c r="L39" s="101">
        <v>1365</v>
      </c>
      <c r="M39" s="101">
        <v>349</v>
      </c>
      <c r="N39" s="101">
        <v>299</v>
      </c>
      <c r="O39" s="101">
        <v>370</v>
      </c>
      <c r="P39" s="101">
        <v>334</v>
      </c>
      <c r="Q39" s="101">
        <v>7685</v>
      </c>
    </row>
    <row r="40" spans="2:17" ht="12.75" customHeight="1" x14ac:dyDescent="0.2">
      <c r="B40" s="473" t="s">
        <v>315</v>
      </c>
      <c r="C40" s="84" t="s">
        <v>385</v>
      </c>
      <c r="D40" s="477" t="s">
        <v>270</v>
      </c>
      <c r="E40" s="85">
        <v>6</v>
      </c>
      <c r="F40" s="86"/>
      <c r="G40" s="85">
        <v>26</v>
      </c>
      <c r="H40" s="85">
        <v>26</v>
      </c>
      <c r="I40" s="85">
        <v>4</v>
      </c>
      <c r="J40" s="85">
        <v>5</v>
      </c>
      <c r="K40" s="86"/>
      <c r="L40" s="85">
        <v>6</v>
      </c>
      <c r="M40" s="85">
        <v>3</v>
      </c>
      <c r="N40" s="85">
        <v>14</v>
      </c>
      <c r="O40" s="85">
        <v>8</v>
      </c>
      <c r="P40" s="85">
        <v>1</v>
      </c>
      <c r="Q40" s="85">
        <v>99</v>
      </c>
    </row>
    <row r="41" spans="2:17" ht="12.75" customHeight="1" x14ac:dyDescent="0.2">
      <c r="B41" s="474"/>
      <c r="C41" s="84" t="s">
        <v>386</v>
      </c>
      <c r="D41" s="478"/>
      <c r="E41" s="85">
        <v>8</v>
      </c>
      <c r="F41" s="86"/>
      <c r="G41" s="85">
        <v>6</v>
      </c>
      <c r="H41" s="85">
        <v>11</v>
      </c>
      <c r="I41" s="85">
        <v>9</v>
      </c>
      <c r="J41" s="85">
        <v>10</v>
      </c>
      <c r="K41" s="85">
        <v>12</v>
      </c>
      <c r="L41" s="85">
        <v>1</v>
      </c>
      <c r="M41" s="86"/>
      <c r="N41" s="85">
        <v>11</v>
      </c>
      <c r="O41" s="85">
        <v>5</v>
      </c>
      <c r="P41" s="85">
        <v>16</v>
      </c>
      <c r="Q41" s="85">
        <v>89</v>
      </c>
    </row>
    <row r="42" spans="2:17" ht="12.75" customHeight="1" x14ac:dyDescent="0.2">
      <c r="B42" s="474"/>
      <c r="C42" s="84" t="s">
        <v>387</v>
      </c>
      <c r="D42" s="478"/>
      <c r="E42" s="85">
        <v>99</v>
      </c>
      <c r="F42" s="85">
        <v>139</v>
      </c>
      <c r="G42" s="85">
        <v>80</v>
      </c>
      <c r="H42" s="85">
        <v>60</v>
      </c>
      <c r="I42" s="85">
        <v>2361</v>
      </c>
      <c r="J42" s="85">
        <v>1931</v>
      </c>
      <c r="K42" s="85">
        <v>1958</v>
      </c>
      <c r="L42" s="85">
        <v>2456</v>
      </c>
      <c r="M42" s="85">
        <v>460</v>
      </c>
      <c r="N42" s="85">
        <v>2550</v>
      </c>
      <c r="O42" s="85">
        <v>2502</v>
      </c>
      <c r="P42" s="85">
        <v>153</v>
      </c>
      <c r="Q42" s="85">
        <v>14749</v>
      </c>
    </row>
    <row r="43" spans="2:17" ht="12.75" customHeight="1" x14ac:dyDescent="0.2">
      <c r="B43" s="474"/>
      <c r="C43" s="84" t="s">
        <v>388</v>
      </c>
      <c r="D43" s="478"/>
      <c r="E43" s="85">
        <v>1</v>
      </c>
      <c r="F43" s="85">
        <v>4</v>
      </c>
      <c r="G43" s="85">
        <v>2</v>
      </c>
      <c r="H43" s="85">
        <v>12</v>
      </c>
      <c r="I43" s="85">
        <v>14</v>
      </c>
      <c r="J43" s="85">
        <v>19</v>
      </c>
      <c r="K43" s="85">
        <v>5</v>
      </c>
      <c r="L43" s="85">
        <v>21</v>
      </c>
      <c r="M43" s="85">
        <v>8</v>
      </c>
      <c r="N43" s="85">
        <v>21</v>
      </c>
      <c r="O43" s="86"/>
      <c r="P43" s="85">
        <v>8</v>
      </c>
      <c r="Q43" s="85">
        <v>115</v>
      </c>
    </row>
    <row r="44" spans="2:17" ht="12.75" customHeight="1" x14ac:dyDescent="0.2">
      <c r="B44" s="474"/>
      <c r="C44" s="84" t="s">
        <v>390</v>
      </c>
      <c r="D44" s="478"/>
      <c r="E44" s="85">
        <v>32</v>
      </c>
      <c r="F44" s="85">
        <v>26</v>
      </c>
      <c r="G44" s="85">
        <v>29</v>
      </c>
      <c r="H44" s="85">
        <v>33</v>
      </c>
      <c r="I44" s="85">
        <v>46</v>
      </c>
      <c r="J44" s="85">
        <v>37</v>
      </c>
      <c r="K44" s="85">
        <v>39</v>
      </c>
      <c r="L44" s="85">
        <v>41</v>
      </c>
      <c r="M44" s="85">
        <v>39</v>
      </c>
      <c r="N44" s="85">
        <v>51</v>
      </c>
      <c r="O44" s="85">
        <v>20</v>
      </c>
      <c r="P44" s="85">
        <v>81</v>
      </c>
      <c r="Q44" s="85">
        <v>474</v>
      </c>
    </row>
    <row r="45" spans="2:17" ht="12.75" customHeight="1" x14ac:dyDescent="0.2">
      <c r="B45" s="474"/>
      <c r="C45" s="84" t="s">
        <v>392</v>
      </c>
      <c r="D45" s="295" t="s">
        <v>271</v>
      </c>
      <c r="E45" s="86"/>
      <c r="F45" s="85">
        <v>7</v>
      </c>
      <c r="G45" s="86"/>
      <c r="H45" s="86"/>
      <c r="I45" s="86"/>
      <c r="J45" s="85">
        <v>25</v>
      </c>
      <c r="K45" s="85">
        <v>25</v>
      </c>
      <c r="L45" s="86"/>
      <c r="M45" s="85">
        <v>44</v>
      </c>
      <c r="N45" s="85">
        <v>3</v>
      </c>
      <c r="O45" s="86"/>
      <c r="P45" s="85">
        <v>11</v>
      </c>
      <c r="Q45" s="85">
        <v>115</v>
      </c>
    </row>
    <row r="46" spans="2:17" ht="12.75" customHeight="1" x14ac:dyDescent="0.2">
      <c r="B46" s="474"/>
      <c r="C46" s="84" t="s">
        <v>389</v>
      </c>
      <c r="D46" s="476" t="s">
        <v>270</v>
      </c>
      <c r="E46" s="86"/>
      <c r="F46" s="86"/>
      <c r="G46" s="85">
        <v>1</v>
      </c>
      <c r="H46" s="86"/>
      <c r="I46" s="85">
        <v>3</v>
      </c>
      <c r="J46" s="86"/>
      <c r="K46" s="86"/>
      <c r="L46" s="85">
        <v>9</v>
      </c>
      <c r="M46" s="85">
        <v>5</v>
      </c>
      <c r="N46" s="86"/>
      <c r="O46" s="86"/>
      <c r="P46" s="85">
        <v>1</v>
      </c>
      <c r="Q46" s="85">
        <v>19</v>
      </c>
    </row>
    <row r="47" spans="2:17" ht="12.75" customHeight="1" x14ac:dyDescent="0.2">
      <c r="B47" s="474"/>
      <c r="C47" s="84" t="s">
        <v>391</v>
      </c>
      <c r="D47" s="476"/>
      <c r="E47" s="86"/>
      <c r="F47" s="86"/>
      <c r="G47" s="86"/>
      <c r="H47" s="85">
        <v>690</v>
      </c>
      <c r="I47" s="85">
        <v>1155</v>
      </c>
      <c r="J47" s="85">
        <v>405</v>
      </c>
      <c r="K47" s="85">
        <v>1291</v>
      </c>
      <c r="L47" s="85">
        <v>823</v>
      </c>
      <c r="M47" s="85">
        <v>913</v>
      </c>
      <c r="N47" s="85">
        <v>748</v>
      </c>
      <c r="O47" s="85">
        <v>580</v>
      </c>
      <c r="P47" s="86"/>
      <c r="Q47" s="85">
        <v>6605</v>
      </c>
    </row>
    <row r="48" spans="2:17" ht="12.75" customHeight="1" x14ac:dyDescent="0.2">
      <c r="B48" s="474"/>
      <c r="C48" s="84" t="s">
        <v>608</v>
      </c>
      <c r="D48" s="476"/>
      <c r="E48" s="86"/>
      <c r="F48" s="86"/>
      <c r="G48" s="86"/>
      <c r="H48" s="86"/>
      <c r="I48" s="86"/>
      <c r="J48" s="86"/>
      <c r="K48" s="86"/>
      <c r="L48" s="86"/>
      <c r="M48" s="85">
        <v>381</v>
      </c>
      <c r="N48" s="86"/>
      <c r="O48" s="86"/>
      <c r="P48" s="86"/>
      <c r="Q48" s="85">
        <v>381</v>
      </c>
    </row>
    <row r="49" spans="2:17" ht="12.75" customHeight="1" thickBot="1" x14ac:dyDescent="0.25">
      <c r="B49" s="475"/>
      <c r="C49" s="90" t="s">
        <v>17</v>
      </c>
      <c r="D49" s="87" t="s">
        <v>264</v>
      </c>
      <c r="E49" s="88">
        <v>146</v>
      </c>
      <c r="F49" s="88">
        <v>176</v>
      </c>
      <c r="G49" s="88">
        <v>144</v>
      </c>
      <c r="H49" s="88">
        <v>832</v>
      </c>
      <c r="I49" s="88">
        <v>3592</v>
      </c>
      <c r="J49" s="88">
        <v>2432</v>
      </c>
      <c r="K49" s="88">
        <v>3330</v>
      </c>
      <c r="L49" s="88">
        <v>3357</v>
      </c>
      <c r="M49" s="88">
        <v>1853</v>
      </c>
      <c r="N49" s="88">
        <v>3398</v>
      </c>
      <c r="O49" s="88">
        <v>3115</v>
      </c>
      <c r="P49" s="88">
        <v>271</v>
      </c>
      <c r="Q49" s="88">
        <v>22646</v>
      </c>
    </row>
    <row r="50" spans="2:17" ht="12.75" customHeight="1" thickBot="1" x14ac:dyDescent="0.25">
      <c r="B50" s="195" t="s">
        <v>316</v>
      </c>
      <c r="C50" s="103" t="s">
        <v>393</v>
      </c>
      <c r="D50" s="92" t="s">
        <v>271</v>
      </c>
      <c r="E50" s="94">
        <v>662</v>
      </c>
      <c r="F50" s="94">
        <v>915</v>
      </c>
      <c r="G50" s="94">
        <v>4605</v>
      </c>
      <c r="H50" s="94">
        <v>2218</v>
      </c>
      <c r="I50" s="94">
        <v>1878</v>
      </c>
      <c r="J50" s="94">
        <v>2632</v>
      </c>
      <c r="K50" s="94">
        <v>2610</v>
      </c>
      <c r="L50" s="94">
        <v>3162</v>
      </c>
      <c r="M50" s="94">
        <v>4129</v>
      </c>
      <c r="N50" s="94">
        <v>1232</v>
      </c>
      <c r="O50" s="94">
        <v>2</v>
      </c>
      <c r="P50" s="94">
        <v>274</v>
      </c>
      <c r="Q50" s="94">
        <v>24319</v>
      </c>
    </row>
    <row r="51" spans="2:17" ht="12.75" customHeight="1" thickBot="1" x14ac:dyDescent="0.25">
      <c r="B51" s="195" t="s">
        <v>317</v>
      </c>
      <c r="C51" s="103" t="s">
        <v>394</v>
      </c>
      <c r="D51" s="92" t="s">
        <v>271</v>
      </c>
      <c r="E51" s="94">
        <v>368</v>
      </c>
      <c r="F51" s="94">
        <v>301</v>
      </c>
      <c r="G51" s="94">
        <v>1733</v>
      </c>
      <c r="H51" s="94">
        <v>2126</v>
      </c>
      <c r="I51" s="94">
        <v>2166</v>
      </c>
      <c r="J51" s="94">
        <v>4090</v>
      </c>
      <c r="K51" s="94">
        <v>6198</v>
      </c>
      <c r="L51" s="94">
        <v>6305</v>
      </c>
      <c r="M51" s="94">
        <v>3907</v>
      </c>
      <c r="N51" s="94">
        <v>3687</v>
      </c>
      <c r="O51" s="94">
        <v>1093</v>
      </c>
      <c r="P51" s="94">
        <v>1293</v>
      </c>
      <c r="Q51" s="94">
        <v>33267</v>
      </c>
    </row>
    <row r="52" spans="2:17" ht="12.75" customHeight="1" x14ac:dyDescent="0.2">
      <c r="B52" s="473" t="s">
        <v>318</v>
      </c>
      <c r="C52" s="84" t="s">
        <v>395</v>
      </c>
      <c r="D52" s="477" t="s">
        <v>272</v>
      </c>
      <c r="E52" s="85">
        <v>30368</v>
      </c>
      <c r="F52" s="85">
        <v>34705</v>
      </c>
      <c r="G52" s="85">
        <v>52980</v>
      </c>
      <c r="H52" s="85">
        <v>70662</v>
      </c>
      <c r="I52" s="85">
        <v>66919</v>
      </c>
      <c r="J52" s="85">
        <v>75485</v>
      </c>
      <c r="K52" s="85">
        <v>96190</v>
      </c>
      <c r="L52" s="85">
        <v>106199</v>
      </c>
      <c r="M52" s="85">
        <v>95596</v>
      </c>
      <c r="N52" s="85">
        <v>90795</v>
      </c>
      <c r="O52" s="85">
        <v>65361</v>
      </c>
      <c r="P52" s="85">
        <v>65736</v>
      </c>
      <c r="Q52" s="85">
        <v>850996</v>
      </c>
    </row>
    <row r="53" spans="2:17" ht="12.75" customHeight="1" x14ac:dyDescent="0.2">
      <c r="B53" s="474"/>
      <c r="C53" s="84" t="s">
        <v>396</v>
      </c>
      <c r="D53" s="478"/>
      <c r="E53" s="85">
        <v>12223</v>
      </c>
      <c r="F53" s="85">
        <v>18770</v>
      </c>
      <c r="G53" s="85">
        <v>32563</v>
      </c>
      <c r="H53" s="85">
        <v>39414</v>
      </c>
      <c r="I53" s="85">
        <v>49310</v>
      </c>
      <c r="J53" s="85">
        <v>58281</v>
      </c>
      <c r="K53" s="85">
        <v>104717</v>
      </c>
      <c r="L53" s="85">
        <v>90606</v>
      </c>
      <c r="M53" s="85">
        <v>59861</v>
      </c>
      <c r="N53" s="85">
        <v>63092</v>
      </c>
      <c r="O53" s="85">
        <v>46726</v>
      </c>
      <c r="P53" s="85">
        <v>50472</v>
      </c>
      <c r="Q53" s="85">
        <v>626035</v>
      </c>
    </row>
    <row r="54" spans="2:17" ht="12.75" customHeight="1" x14ac:dyDescent="0.2">
      <c r="B54" s="474"/>
      <c r="C54" s="84" t="s">
        <v>397</v>
      </c>
      <c r="D54" s="478"/>
      <c r="E54" s="85">
        <v>103137</v>
      </c>
      <c r="F54" s="85">
        <v>123358</v>
      </c>
      <c r="G54" s="85">
        <v>182254</v>
      </c>
      <c r="H54" s="85">
        <v>235947</v>
      </c>
      <c r="I54" s="85">
        <v>227605</v>
      </c>
      <c r="J54" s="85">
        <v>274952</v>
      </c>
      <c r="K54" s="85">
        <v>551638</v>
      </c>
      <c r="L54" s="85">
        <v>329751</v>
      </c>
      <c r="M54" s="85">
        <v>272763</v>
      </c>
      <c r="N54" s="85">
        <v>264150</v>
      </c>
      <c r="O54" s="85">
        <v>197082</v>
      </c>
      <c r="P54" s="85">
        <v>222743</v>
      </c>
      <c r="Q54" s="85">
        <v>2985380</v>
      </c>
    </row>
    <row r="55" spans="2:17" ht="12.75" customHeight="1" x14ac:dyDescent="0.2">
      <c r="B55" s="474"/>
      <c r="C55" s="84" t="s">
        <v>399</v>
      </c>
      <c r="D55" s="478"/>
      <c r="E55" s="85">
        <v>2288</v>
      </c>
      <c r="F55" s="85">
        <v>4832</v>
      </c>
      <c r="G55" s="85">
        <v>8583</v>
      </c>
      <c r="H55" s="85">
        <v>13002</v>
      </c>
      <c r="I55" s="85">
        <v>13990</v>
      </c>
      <c r="J55" s="85">
        <v>14392</v>
      </c>
      <c r="K55" s="85">
        <v>17603</v>
      </c>
      <c r="L55" s="85">
        <v>17500</v>
      </c>
      <c r="M55" s="85">
        <v>16867</v>
      </c>
      <c r="N55" s="85">
        <v>17134</v>
      </c>
      <c r="O55" s="85">
        <v>14492</v>
      </c>
      <c r="P55" s="85">
        <v>16158</v>
      </c>
      <c r="Q55" s="85">
        <v>156841</v>
      </c>
    </row>
    <row r="56" spans="2:17" ht="12.75" customHeight="1" x14ac:dyDescent="0.2">
      <c r="B56" s="474"/>
      <c r="C56" s="84" t="s">
        <v>398</v>
      </c>
      <c r="D56" s="295" t="s">
        <v>273</v>
      </c>
      <c r="E56" s="86"/>
      <c r="F56" s="86"/>
      <c r="G56" s="86"/>
      <c r="H56" s="85">
        <v>278</v>
      </c>
      <c r="I56" s="85">
        <v>1659</v>
      </c>
      <c r="J56" s="85">
        <v>1894</v>
      </c>
      <c r="K56" s="85">
        <v>2830</v>
      </c>
      <c r="L56" s="85">
        <v>3418</v>
      </c>
      <c r="M56" s="85">
        <v>2456</v>
      </c>
      <c r="N56" s="85">
        <v>1801</v>
      </c>
      <c r="O56" s="85">
        <v>1513</v>
      </c>
      <c r="P56" s="85">
        <v>1336</v>
      </c>
      <c r="Q56" s="85">
        <v>17185</v>
      </c>
    </row>
    <row r="57" spans="2:17" ht="12.75" customHeight="1" thickBot="1" x14ac:dyDescent="0.25">
      <c r="B57" s="475"/>
      <c r="C57" s="90" t="s">
        <v>17</v>
      </c>
      <c r="D57" s="87" t="s">
        <v>264</v>
      </c>
      <c r="E57" s="88">
        <v>148016</v>
      </c>
      <c r="F57" s="88">
        <v>181665</v>
      </c>
      <c r="G57" s="88">
        <v>276380</v>
      </c>
      <c r="H57" s="88">
        <v>359303</v>
      </c>
      <c r="I57" s="88">
        <v>359483</v>
      </c>
      <c r="J57" s="88">
        <v>425004</v>
      </c>
      <c r="K57" s="88">
        <v>772978</v>
      </c>
      <c r="L57" s="88">
        <v>547474</v>
      </c>
      <c r="M57" s="88">
        <v>447543</v>
      </c>
      <c r="N57" s="88">
        <v>436972</v>
      </c>
      <c r="O57" s="88">
        <v>325174</v>
      </c>
      <c r="P57" s="88">
        <v>356445</v>
      </c>
      <c r="Q57" s="88">
        <v>4636437</v>
      </c>
    </row>
    <row r="58" spans="2:17" ht="12.75" customHeight="1" thickBot="1" x14ac:dyDescent="0.25">
      <c r="B58" s="195" t="s">
        <v>319</v>
      </c>
      <c r="C58" s="103" t="s">
        <v>400</v>
      </c>
      <c r="D58" s="92" t="s">
        <v>271</v>
      </c>
      <c r="E58" s="94">
        <v>87</v>
      </c>
      <c r="F58" s="94">
        <v>6</v>
      </c>
      <c r="G58" s="94">
        <v>51</v>
      </c>
      <c r="H58" s="94">
        <v>743</v>
      </c>
      <c r="I58" s="94">
        <v>2203</v>
      </c>
      <c r="J58" s="94">
        <v>2868</v>
      </c>
      <c r="K58" s="94">
        <v>5683</v>
      </c>
      <c r="L58" s="94">
        <v>4062</v>
      </c>
      <c r="M58" s="94">
        <v>1584</v>
      </c>
      <c r="N58" s="94">
        <v>995</v>
      </c>
      <c r="O58" s="94">
        <v>243</v>
      </c>
      <c r="P58" s="94">
        <v>508</v>
      </c>
      <c r="Q58" s="94">
        <v>19033</v>
      </c>
    </row>
    <row r="59" spans="2:17" ht="12.75" customHeight="1" thickBot="1" x14ac:dyDescent="0.25">
      <c r="B59" s="195" t="s">
        <v>321</v>
      </c>
      <c r="C59" s="103" t="s">
        <v>402</v>
      </c>
      <c r="D59" s="92" t="s">
        <v>271</v>
      </c>
      <c r="E59" s="94">
        <v>514</v>
      </c>
      <c r="F59" s="94">
        <v>3</v>
      </c>
      <c r="G59" s="94">
        <v>43</v>
      </c>
      <c r="H59" s="94">
        <v>190</v>
      </c>
      <c r="I59" s="94">
        <v>6</v>
      </c>
      <c r="J59" s="94">
        <v>38</v>
      </c>
      <c r="K59" s="94">
        <v>6</v>
      </c>
      <c r="L59" s="94">
        <v>8</v>
      </c>
      <c r="M59" s="94">
        <v>3</v>
      </c>
      <c r="N59" s="94">
        <v>35</v>
      </c>
      <c r="O59" s="94">
        <v>10</v>
      </c>
      <c r="P59" s="94">
        <v>339</v>
      </c>
      <c r="Q59" s="94">
        <v>1195</v>
      </c>
    </row>
    <row r="60" spans="2:17" s="91" customFormat="1" ht="12.75" customHeight="1" thickBot="1" x14ac:dyDescent="0.25">
      <c r="B60" s="195" t="s">
        <v>322</v>
      </c>
      <c r="C60" s="103" t="s">
        <v>403</v>
      </c>
      <c r="D60" s="92" t="s">
        <v>271</v>
      </c>
      <c r="E60" s="94">
        <v>1720</v>
      </c>
      <c r="F60" s="94">
        <v>1727</v>
      </c>
      <c r="G60" s="94">
        <v>1915</v>
      </c>
      <c r="H60" s="94">
        <v>1292</v>
      </c>
      <c r="I60" s="94">
        <v>2953</v>
      </c>
      <c r="J60" s="94">
        <v>6053</v>
      </c>
      <c r="K60" s="94">
        <v>14191</v>
      </c>
      <c r="L60" s="94">
        <v>6517</v>
      </c>
      <c r="M60" s="94">
        <v>2445</v>
      </c>
      <c r="N60" s="94">
        <v>2848</v>
      </c>
      <c r="O60" s="94">
        <v>1271</v>
      </c>
      <c r="P60" s="94">
        <v>1771</v>
      </c>
      <c r="Q60" s="94">
        <v>44703</v>
      </c>
    </row>
    <row r="61" spans="2:17" ht="12.75" customHeight="1" x14ac:dyDescent="0.2">
      <c r="B61" s="473" t="s">
        <v>323</v>
      </c>
      <c r="C61" s="96" t="s">
        <v>404</v>
      </c>
      <c r="D61" s="297" t="s">
        <v>272</v>
      </c>
      <c r="E61" s="97">
        <v>2053</v>
      </c>
      <c r="F61" s="97">
        <v>2193</v>
      </c>
      <c r="G61" s="97">
        <v>2605</v>
      </c>
      <c r="H61" s="97">
        <v>929</v>
      </c>
      <c r="I61" s="97">
        <v>2860</v>
      </c>
      <c r="J61" s="97">
        <v>2027</v>
      </c>
      <c r="K61" s="97">
        <v>807</v>
      </c>
      <c r="L61" s="97">
        <v>2361</v>
      </c>
      <c r="M61" s="97">
        <v>3072</v>
      </c>
      <c r="N61" s="97">
        <v>3962</v>
      </c>
      <c r="O61" s="97">
        <v>3966</v>
      </c>
      <c r="P61" s="97">
        <v>3459</v>
      </c>
      <c r="Q61" s="97">
        <v>30294</v>
      </c>
    </row>
    <row r="62" spans="2:17" ht="12.75" customHeight="1" x14ac:dyDescent="0.2">
      <c r="B62" s="474"/>
      <c r="C62" s="98" t="s">
        <v>405</v>
      </c>
      <c r="D62" s="294" t="s">
        <v>271</v>
      </c>
      <c r="E62" s="99">
        <v>1670</v>
      </c>
      <c r="F62" s="99">
        <v>2268</v>
      </c>
      <c r="G62" s="99">
        <v>3200</v>
      </c>
      <c r="H62" s="99">
        <v>4312</v>
      </c>
      <c r="I62" s="99">
        <v>3877</v>
      </c>
      <c r="J62" s="99">
        <v>7607</v>
      </c>
      <c r="K62" s="99">
        <v>17427</v>
      </c>
      <c r="L62" s="99">
        <v>10999</v>
      </c>
      <c r="M62" s="99">
        <v>5139</v>
      </c>
      <c r="N62" s="99">
        <v>3977</v>
      </c>
      <c r="O62" s="99">
        <v>2460</v>
      </c>
      <c r="P62" s="99">
        <v>4039</v>
      </c>
      <c r="Q62" s="99">
        <v>66975</v>
      </c>
    </row>
    <row r="63" spans="2:17" ht="12.75" customHeight="1" thickBot="1" x14ac:dyDescent="0.25">
      <c r="B63" s="475"/>
      <c r="C63" s="157" t="s">
        <v>17</v>
      </c>
      <c r="D63" s="104" t="s">
        <v>264</v>
      </c>
      <c r="E63" s="101">
        <v>3723</v>
      </c>
      <c r="F63" s="101">
        <v>4461</v>
      </c>
      <c r="G63" s="101">
        <v>5805</v>
      </c>
      <c r="H63" s="101">
        <v>5241</v>
      </c>
      <c r="I63" s="101">
        <v>6737</v>
      </c>
      <c r="J63" s="101">
        <v>9634</v>
      </c>
      <c r="K63" s="101">
        <v>18234</v>
      </c>
      <c r="L63" s="101">
        <v>13360</v>
      </c>
      <c r="M63" s="101">
        <v>8211</v>
      </c>
      <c r="N63" s="101">
        <v>7939</v>
      </c>
      <c r="O63" s="101">
        <v>6426</v>
      </c>
      <c r="P63" s="101">
        <v>7498</v>
      </c>
      <c r="Q63" s="101">
        <v>97269</v>
      </c>
    </row>
    <row r="64" spans="2:17" ht="12.75" customHeight="1" thickBot="1" x14ac:dyDescent="0.25">
      <c r="B64" s="182" t="s">
        <v>324</v>
      </c>
      <c r="C64" s="90" t="s">
        <v>406</v>
      </c>
      <c r="D64" s="87" t="s">
        <v>270</v>
      </c>
      <c r="E64" s="88">
        <v>99</v>
      </c>
      <c r="F64" s="88">
        <v>70</v>
      </c>
      <c r="G64" s="88">
        <v>52</v>
      </c>
      <c r="H64" s="88">
        <v>37</v>
      </c>
      <c r="I64" s="88">
        <v>41</v>
      </c>
      <c r="J64" s="88">
        <v>23</v>
      </c>
      <c r="K64" s="88">
        <v>45</v>
      </c>
      <c r="L64" s="88">
        <v>69</v>
      </c>
      <c r="M64" s="88">
        <v>55</v>
      </c>
      <c r="N64" s="88">
        <v>40</v>
      </c>
      <c r="O64" s="88">
        <v>25</v>
      </c>
      <c r="P64" s="88">
        <v>124</v>
      </c>
      <c r="Q64" s="88">
        <v>680</v>
      </c>
    </row>
    <row r="65" spans="2:17" ht="12.75" customHeight="1" x14ac:dyDescent="0.2">
      <c r="B65" s="473" t="s">
        <v>325</v>
      </c>
      <c r="C65" s="96" t="s">
        <v>407</v>
      </c>
      <c r="D65" s="477" t="s">
        <v>272</v>
      </c>
      <c r="E65" s="97">
        <v>2386</v>
      </c>
      <c r="F65" s="97">
        <v>3300</v>
      </c>
      <c r="G65" s="97">
        <v>13192</v>
      </c>
      <c r="H65" s="97">
        <v>5390</v>
      </c>
      <c r="I65" s="97">
        <v>7449</v>
      </c>
      <c r="J65" s="97">
        <v>8662</v>
      </c>
      <c r="K65" s="97">
        <v>9141</v>
      </c>
      <c r="L65" s="97">
        <v>12035</v>
      </c>
      <c r="M65" s="97">
        <v>16250</v>
      </c>
      <c r="N65" s="97">
        <v>8490</v>
      </c>
      <c r="O65" s="97">
        <v>7598</v>
      </c>
      <c r="P65" s="97">
        <v>7107</v>
      </c>
      <c r="Q65" s="97">
        <v>101000</v>
      </c>
    </row>
    <row r="66" spans="2:17" ht="12.75" customHeight="1" x14ac:dyDescent="0.2">
      <c r="B66" s="474"/>
      <c r="C66" s="98" t="s">
        <v>408</v>
      </c>
      <c r="D66" s="478"/>
      <c r="E66" s="99">
        <v>1240</v>
      </c>
      <c r="F66" s="99">
        <v>1596</v>
      </c>
      <c r="G66" s="99">
        <v>1902</v>
      </c>
      <c r="H66" s="99">
        <v>1762</v>
      </c>
      <c r="I66" s="99">
        <v>3978</v>
      </c>
      <c r="J66" s="99">
        <v>5605</v>
      </c>
      <c r="K66" s="99">
        <v>8078</v>
      </c>
      <c r="L66" s="99">
        <v>7517</v>
      </c>
      <c r="M66" s="99">
        <v>5843</v>
      </c>
      <c r="N66" s="99">
        <v>4734</v>
      </c>
      <c r="O66" s="99">
        <v>3493</v>
      </c>
      <c r="P66" s="99">
        <v>3757</v>
      </c>
      <c r="Q66" s="99">
        <v>49505</v>
      </c>
    </row>
    <row r="67" spans="2:17" ht="12.75" customHeight="1" thickBot="1" x14ac:dyDescent="0.25">
      <c r="B67" s="475"/>
      <c r="C67" s="157" t="s">
        <v>17</v>
      </c>
      <c r="D67" s="104" t="s">
        <v>264</v>
      </c>
      <c r="E67" s="101">
        <v>3626</v>
      </c>
      <c r="F67" s="101">
        <v>4896</v>
      </c>
      <c r="G67" s="101">
        <v>15094</v>
      </c>
      <c r="H67" s="101">
        <v>7152</v>
      </c>
      <c r="I67" s="101">
        <v>11427</v>
      </c>
      <c r="J67" s="101">
        <v>14267</v>
      </c>
      <c r="K67" s="101">
        <v>17219</v>
      </c>
      <c r="L67" s="101">
        <v>19552</v>
      </c>
      <c r="M67" s="101">
        <v>22093</v>
      </c>
      <c r="N67" s="101">
        <v>13224</v>
      </c>
      <c r="O67" s="101">
        <v>11091</v>
      </c>
      <c r="P67" s="101">
        <v>10864</v>
      </c>
      <c r="Q67" s="101">
        <v>150505</v>
      </c>
    </row>
    <row r="68" spans="2:17" ht="12.75" customHeight="1" x14ac:dyDescent="0.2">
      <c r="B68" s="473" t="s">
        <v>326</v>
      </c>
      <c r="C68" s="84" t="s">
        <v>409</v>
      </c>
      <c r="D68" s="295" t="s">
        <v>272</v>
      </c>
      <c r="E68" s="85">
        <v>1317</v>
      </c>
      <c r="F68" s="85">
        <v>1333</v>
      </c>
      <c r="G68" s="85">
        <v>1471</v>
      </c>
      <c r="H68" s="85">
        <v>1256</v>
      </c>
      <c r="I68" s="85">
        <v>1536</v>
      </c>
      <c r="J68" s="85">
        <v>1501</v>
      </c>
      <c r="K68" s="85">
        <v>1356</v>
      </c>
      <c r="L68" s="85">
        <v>1705</v>
      </c>
      <c r="M68" s="85">
        <v>1824</v>
      </c>
      <c r="N68" s="85">
        <v>1604</v>
      </c>
      <c r="O68" s="85">
        <v>1668</v>
      </c>
      <c r="P68" s="85">
        <v>1782</v>
      </c>
      <c r="Q68" s="85">
        <v>18353</v>
      </c>
    </row>
    <row r="69" spans="2:17" ht="12.75" customHeight="1" x14ac:dyDescent="0.2">
      <c r="B69" s="474"/>
      <c r="C69" s="84" t="s">
        <v>410</v>
      </c>
      <c r="D69" s="476" t="s">
        <v>270</v>
      </c>
      <c r="E69" s="85">
        <v>19</v>
      </c>
      <c r="F69" s="85">
        <v>24</v>
      </c>
      <c r="G69" s="85">
        <v>16</v>
      </c>
      <c r="H69" s="85">
        <v>44</v>
      </c>
      <c r="I69" s="85">
        <v>16</v>
      </c>
      <c r="J69" s="85">
        <v>27</v>
      </c>
      <c r="K69" s="85">
        <v>32</v>
      </c>
      <c r="L69" s="85">
        <v>43</v>
      </c>
      <c r="M69" s="85">
        <v>31</v>
      </c>
      <c r="N69" s="85">
        <v>63</v>
      </c>
      <c r="O69" s="85">
        <v>69</v>
      </c>
      <c r="P69" s="85">
        <v>38</v>
      </c>
      <c r="Q69" s="85">
        <v>422</v>
      </c>
    </row>
    <row r="70" spans="2:17" ht="12.75" customHeight="1" x14ac:dyDescent="0.2">
      <c r="B70" s="474"/>
      <c r="C70" s="84" t="s">
        <v>411</v>
      </c>
      <c r="D70" s="476"/>
      <c r="E70" s="85">
        <v>6</v>
      </c>
      <c r="F70" s="85">
        <v>1</v>
      </c>
      <c r="G70" s="85">
        <v>7</v>
      </c>
      <c r="H70" s="85">
        <v>9</v>
      </c>
      <c r="I70" s="85">
        <v>11</v>
      </c>
      <c r="J70" s="85">
        <v>6</v>
      </c>
      <c r="K70" s="85">
        <v>16</v>
      </c>
      <c r="L70" s="85">
        <v>9</v>
      </c>
      <c r="M70" s="85">
        <v>4</v>
      </c>
      <c r="N70" s="85">
        <v>6</v>
      </c>
      <c r="O70" s="85">
        <v>14</v>
      </c>
      <c r="P70" s="85">
        <v>7</v>
      </c>
      <c r="Q70" s="85">
        <v>96</v>
      </c>
    </row>
    <row r="71" spans="2:17" ht="12.75" customHeight="1" x14ac:dyDescent="0.2">
      <c r="B71" s="474"/>
      <c r="C71" s="84" t="s">
        <v>412</v>
      </c>
      <c r="D71" s="476"/>
      <c r="E71" s="85">
        <v>16</v>
      </c>
      <c r="F71" s="85">
        <v>31</v>
      </c>
      <c r="G71" s="85">
        <v>28</v>
      </c>
      <c r="H71" s="85">
        <v>14</v>
      </c>
      <c r="I71" s="85">
        <v>2</v>
      </c>
      <c r="J71" s="85">
        <v>18</v>
      </c>
      <c r="K71" s="85">
        <v>11</v>
      </c>
      <c r="L71" s="85">
        <v>10</v>
      </c>
      <c r="M71" s="85">
        <v>17</v>
      </c>
      <c r="N71" s="85">
        <v>11</v>
      </c>
      <c r="O71" s="85">
        <v>28</v>
      </c>
      <c r="P71" s="85">
        <v>21</v>
      </c>
      <c r="Q71" s="85">
        <v>207</v>
      </c>
    </row>
    <row r="72" spans="2:17" ht="12.75" customHeight="1" x14ac:dyDescent="0.2">
      <c r="B72" s="474"/>
      <c r="C72" s="84" t="s">
        <v>413</v>
      </c>
      <c r="D72" s="295" t="s">
        <v>272</v>
      </c>
      <c r="E72" s="85">
        <v>4798</v>
      </c>
      <c r="F72" s="85">
        <v>5543</v>
      </c>
      <c r="G72" s="85">
        <v>6317</v>
      </c>
      <c r="H72" s="85">
        <v>5435</v>
      </c>
      <c r="I72" s="85">
        <v>5249</v>
      </c>
      <c r="J72" s="85">
        <v>7115</v>
      </c>
      <c r="K72" s="85">
        <v>4557</v>
      </c>
      <c r="L72" s="85">
        <v>6676</v>
      </c>
      <c r="M72" s="85">
        <v>6064</v>
      </c>
      <c r="N72" s="85">
        <v>5971</v>
      </c>
      <c r="O72" s="85">
        <v>6094</v>
      </c>
      <c r="P72" s="85">
        <v>5470</v>
      </c>
      <c r="Q72" s="85">
        <v>69289</v>
      </c>
    </row>
    <row r="73" spans="2:17" ht="12.75" customHeight="1" x14ac:dyDescent="0.2">
      <c r="B73" s="474"/>
      <c r="C73" s="84" t="s">
        <v>414</v>
      </c>
      <c r="D73" s="476" t="s">
        <v>270</v>
      </c>
      <c r="E73" s="85">
        <v>33</v>
      </c>
      <c r="F73" s="85">
        <v>35</v>
      </c>
      <c r="G73" s="85">
        <v>51</v>
      </c>
      <c r="H73" s="85">
        <v>47</v>
      </c>
      <c r="I73" s="85">
        <v>79</v>
      </c>
      <c r="J73" s="85">
        <v>21</v>
      </c>
      <c r="K73" s="85">
        <v>96</v>
      </c>
      <c r="L73" s="85">
        <v>39</v>
      </c>
      <c r="M73" s="85">
        <v>45</v>
      </c>
      <c r="N73" s="85">
        <v>54</v>
      </c>
      <c r="O73" s="85">
        <v>26</v>
      </c>
      <c r="P73" s="85">
        <v>53</v>
      </c>
      <c r="Q73" s="85">
        <v>579</v>
      </c>
    </row>
    <row r="74" spans="2:17" ht="12.75" customHeight="1" x14ac:dyDescent="0.2">
      <c r="B74" s="474"/>
      <c r="C74" s="84" t="s">
        <v>415</v>
      </c>
      <c r="D74" s="476"/>
      <c r="E74" s="85">
        <v>45</v>
      </c>
      <c r="F74" s="85">
        <v>27</v>
      </c>
      <c r="G74" s="85">
        <v>40</v>
      </c>
      <c r="H74" s="85">
        <v>48</v>
      </c>
      <c r="I74" s="85">
        <v>44</v>
      </c>
      <c r="J74" s="85">
        <v>80</v>
      </c>
      <c r="K74" s="85">
        <v>41</v>
      </c>
      <c r="L74" s="85">
        <v>57</v>
      </c>
      <c r="M74" s="85">
        <v>71</v>
      </c>
      <c r="N74" s="85">
        <v>53</v>
      </c>
      <c r="O74" s="85">
        <v>75</v>
      </c>
      <c r="P74" s="85">
        <v>76</v>
      </c>
      <c r="Q74" s="85">
        <v>657</v>
      </c>
    </row>
    <row r="75" spans="2:17" ht="12.75" customHeight="1" x14ac:dyDescent="0.2">
      <c r="B75" s="474"/>
      <c r="C75" s="84" t="s">
        <v>416</v>
      </c>
      <c r="D75" s="476"/>
      <c r="E75" s="85">
        <v>18</v>
      </c>
      <c r="F75" s="85">
        <v>68</v>
      </c>
      <c r="G75" s="85">
        <v>91</v>
      </c>
      <c r="H75" s="85">
        <v>74</v>
      </c>
      <c r="I75" s="85">
        <v>126</v>
      </c>
      <c r="J75" s="85">
        <v>183</v>
      </c>
      <c r="K75" s="85">
        <v>100</v>
      </c>
      <c r="L75" s="85">
        <v>106</v>
      </c>
      <c r="M75" s="85">
        <v>94</v>
      </c>
      <c r="N75" s="85">
        <v>171</v>
      </c>
      <c r="O75" s="85">
        <v>126</v>
      </c>
      <c r="P75" s="85">
        <v>72</v>
      </c>
      <c r="Q75" s="85">
        <v>1229</v>
      </c>
    </row>
    <row r="76" spans="2:17" ht="12.75" customHeight="1" x14ac:dyDescent="0.2">
      <c r="B76" s="474"/>
      <c r="C76" s="84" t="s">
        <v>417</v>
      </c>
      <c r="D76" s="295" t="s">
        <v>272</v>
      </c>
      <c r="E76" s="85">
        <v>17</v>
      </c>
      <c r="F76" s="85">
        <v>29</v>
      </c>
      <c r="G76" s="85">
        <v>33</v>
      </c>
      <c r="H76" s="85">
        <v>13</v>
      </c>
      <c r="I76" s="85">
        <v>30</v>
      </c>
      <c r="J76" s="85">
        <v>47</v>
      </c>
      <c r="K76" s="85">
        <v>81</v>
      </c>
      <c r="L76" s="85">
        <v>85</v>
      </c>
      <c r="M76" s="85">
        <v>82</v>
      </c>
      <c r="N76" s="85">
        <v>30</v>
      </c>
      <c r="O76" s="85">
        <v>40</v>
      </c>
      <c r="P76" s="85">
        <v>36</v>
      </c>
      <c r="Q76" s="85">
        <v>523</v>
      </c>
    </row>
    <row r="77" spans="2:17" ht="12.75" customHeight="1" x14ac:dyDescent="0.2">
      <c r="B77" s="474"/>
      <c r="C77" s="84" t="s">
        <v>418</v>
      </c>
      <c r="D77" s="295" t="s">
        <v>270</v>
      </c>
      <c r="E77" s="85">
        <v>63</v>
      </c>
      <c r="F77" s="85">
        <v>33</v>
      </c>
      <c r="G77" s="85">
        <v>37</v>
      </c>
      <c r="H77" s="85">
        <v>28</v>
      </c>
      <c r="I77" s="85">
        <v>79</v>
      </c>
      <c r="J77" s="85">
        <v>56</v>
      </c>
      <c r="K77" s="85">
        <v>82</v>
      </c>
      <c r="L77" s="85">
        <v>91</v>
      </c>
      <c r="M77" s="85">
        <v>107</v>
      </c>
      <c r="N77" s="85">
        <v>182</v>
      </c>
      <c r="O77" s="85">
        <v>137</v>
      </c>
      <c r="P77" s="85">
        <v>94</v>
      </c>
      <c r="Q77" s="85">
        <v>989</v>
      </c>
    </row>
    <row r="78" spans="2:17" ht="12.75" customHeight="1" x14ac:dyDescent="0.2">
      <c r="B78" s="474"/>
      <c r="C78" s="84" t="s">
        <v>419</v>
      </c>
      <c r="D78" s="295" t="s">
        <v>271</v>
      </c>
      <c r="E78" s="85">
        <v>367</v>
      </c>
      <c r="F78" s="85">
        <v>463</v>
      </c>
      <c r="G78" s="85">
        <v>496</v>
      </c>
      <c r="H78" s="85">
        <v>482</v>
      </c>
      <c r="I78" s="85">
        <v>698</v>
      </c>
      <c r="J78" s="85">
        <v>1571</v>
      </c>
      <c r="K78" s="85">
        <v>5018</v>
      </c>
      <c r="L78" s="85">
        <v>2509</v>
      </c>
      <c r="M78" s="85">
        <v>1477</v>
      </c>
      <c r="N78" s="85">
        <v>1351</v>
      </c>
      <c r="O78" s="85">
        <v>1033</v>
      </c>
      <c r="P78" s="85">
        <v>625</v>
      </c>
      <c r="Q78" s="85">
        <v>16090</v>
      </c>
    </row>
    <row r="79" spans="2:17" ht="12.75" customHeight="1" x14ac:dyDescent="0.2">
      <c r="B79" s="474"/>
      <c r="C79" s="84" t="s">
        <v>420</v>
      </c>
      <c r="D79" s="476" t="s">
        <v>270</v>
      </c>
      <c r="E79" s="85">
        <v>1</v>
      </c>
      <c r="F79" s="85">
        <v>13</v>
      </c>
      <c r="G79" s="85">
        <v>45</v>
      </c>
      <c r="H79" s="85">
        <v>26</v>
      </c>
      <c r="I79" s="85">
        <v>32</v>
      </c>
      <c r="J79" s="85">
        <v>81</v>
      </c>
      <c r="K79" s="85">
        <v>55</v>
      </c>
      <c r="L79" s="85">
        <v>88</v>
      </c>
      <c r="M79" s="85">
        <v>45</v>
      </c>
      <c r="N79" s="85">
        <v>40</v>
      </c>
      <c r="O79" s="85">
        <v>67</v>
      </c>
      <c r="P79" s="85">
        <v>59</v>
      </c>
      <c r="Q79" s="85">
        <v>552</v>
      </c>
    </row>
    <row r="80" spans="2:17" ht="12.75" customHeight="1" x14ac:dyDescent="0.2">
      <c r="B80" s="474"/>
      <c r="C80" s="84" t="s">
        <v>421</v>
      </c>
      <c r="D80" s="476"/>
      <c r="E80" s="85">
        <v>17</v>
      </c>
      <c r="F80" s="85">
        <v>29</v>
      </c>
      <c r="G80" s="85">
        <v>35</v>
      </c>
      <c r="H80" s="85">
        <v>15</v>
      </c>
      <c r="I80" s="85">
        <v>34</v>
      </c>
      <c r="J80" s="85">
        <v>28</v>
      </c>
      <c r="K80" s="85">
        <v>36</v>
      </c>
      <c r="L80" s="85">
        <v>60</v>
      </c>
      <c r="M80" s="85">
        <v>90</v>
      </c>
      <c r="N80" s="85">
        <v>77</v>
      </c>
      <c r="O80" s="85">
        <v>139</v>
      </c>
      <c r="P80" s="85">
        <v>13</v>
      </c>
      <c r="Q80" s="85">
        <v>573</v>
      </c>
    </row>
    <row r="81" spans="2:17" ht="12.75" customHeight="1" x14ac:dyDescent="0.2">
      <c r="B81" s="474"/>
      <c r="C81" s="84" t="s">
        <v>422</v>
      </c>
      <c r="D81" s="476"/>
      <c r="E81" s="85">
        <v>31</v>
      </c>
      <c r="F81" s="85">
        <v>41</v>
      </c>
      <c r="G81" s="85">
        <v>125</v>
      </c>
      <c r="H81" s="85">
        <v>156</v>
      </c>
      <c r="I81" s="85">
        <v>97</v>
      </c>
      <c r="J81" s="85">
        <v>163</v>
      </c>
      <c r="K81" s="85">
        <v>194</v>
      </c>
      <c r="L81" s="85">
        <v>125</v>
      </c>
      <c r="M81" s="85">
        <v>159</v>
      </c>
      <c r="N81" s="85">
        <v>111</v>
      </c>
      <c r="O81" s="85">
        <v>61</v>
      </c>
      <c r="P81" s="85">
        <v>153</v>
      </c>
      <c r="Q81" s="85">
        <v>1416</v>
      </c>
    </row>
    <row r="82" spans="2:17" ht="12.75" customHeight="1" x14ac:dyDescent="0.2">
      <c r="B82" s="474"/>
      <c r="C82" s="84" t="s">
        <v>423</v>
      </c>
      <c r="D82" s="476"/>
      <c r="E82" s="85">
        <v>139</v>
      </c>
      <c r="F82" s="85">
        <v>129</v>
      </c>
      <c r="G82" s="85">
        <v>225</v>
      </c>
      <c r="H82" s="85">
        <v>197</v>
      </c>
      <c r="I82" s="85">
        <v>193</v>
      </c>
      <c r="J82" s="85">
        <v>251</v>
      </c>
      <c r="K82" s="85">
        <v>228</v>
      </c>
      <c r="L82" s="85">
        <v>200</v>
      </c>
      <c r="M82" s="85">
        <v>342</v>
      </c>
      <c r="N82" s="85">
        <v>162</v>
      </c>
      <c r="O82" s="85">
        <v>210</v>
      </c>
      <c r="P82" s="85">
        <v>168</v>
      </c>
      <c r="Q82" s="85">
        <v>2444</v>
      </c>
    </row>
    <row r="83" spans="2:17" ht="12.75" customHeight="1" x14ac:dyDescent="0.2">
      <c r="B83" s="474"/>
      <c r="C83" s="84" t="s">
        <v>609</v>
      </c>
      <c r="D83" s="476"/>
      <c r="E83" s="86"/>
      <c r="F83" s="86"/>
      <c r="G83" s="86"/>
      <c r="H83" s="86"/>
      <c r="I83" s="86"/>
      <c r="J83" s="85">
        <v>191</v>
      </c>
      <c r="K83" s="85">
        <v>532</v>
      </c>
      <c r="L83" s="85">
        <v>528</v>
      </c>
      <c r="M83" s="85">
        <v>95</v>
      </c>
      <c r="N83" s="85">
        <v>23</v>
      </c>
      <c r="O83" s="86"/>
      <c r="P83" s="86"/>
      <c r="Q83" s="85">
        <v>1369</v>
      </c>
    </row>
    <row r="84" spans="2:17" ht="12.75" customHeight="1" thickBot="1" x14ac:dyDescent="0.25">
      <c r="B84" s="475"/>
      <c r="C84" s="90" t="s">
        <v>17</v>
      </c>
      <c r="D84" s="87" t="s">
        <v>264</v>
      </c>
      <c r="E84" s="88">
        <v>6887</v>
      </c>
      <c r="F84" s="88">
        <v>7799</v>
      </c>
      <c r="G84" s="88">
        <v>9017</v>
      </c>
      <c r="H84" s="88">
        <v>7844</v>
      </c>
      <c r="I84" s="88">
        <v>8226</v>
      </c>
      <c r="J84" s="88">
        <v>11339</v>
      </c>
      <c r="K84" s="88">
        <v>12435</v>
      </c>
      <c r="L84" s="88">
        <v>12331</v>
      </c>
      <c r="M84" s="88">
        <v>10547</v>
      </c>
      <c r="N84" s="88">
        <v>9909</v>
      </c>
      <c r="O84" s="88">
        <v>9787</v>
      </c>
      <c r="P84" s="88">
        <v>8667</v>
      </c>
      <c r="Q84" s="88">
        <v>114788</v>
      </c>
    </row>
    <row r="85" spans="2:17" ht="12.75" customHeight="1" thickBot="1" x14ac:dyDescent="0.25">
      <c r="B85" s="195" t="s">
        <v>328</v>
      </c>
      <c r="C85" s="103" t="s">
        <v>424</v>
      </c>
      <c r="D85" s="92" t="s">
        <v>271</v>
      </c>
      <c r="E85" s="93"/>
      <c r="F85" s="93"/>
      <c r="G85" s="94">
        <v>1147</v>
      </c>
      <c r="H85" s="94">
        <v>345</v>
      </c>
      <c r="I85" s="94">
        <v>1154</v>
      </c>
      <c r="J85" s="94">
        <v>1931</v>
      </c>
      <c r="K85" s="94">
        <v>1940</v>
      </c>
      <c r="L85" s="94">
        <v>1624</v>
      </c>
      <c r="M85" s="94">
        <v>2049</v>
      </c>
      <c r="N85" s="94">
        <v>1098</v>
      </c>
      <c r="O85" s="94">
        <v>1109</v>
      </c>
      <c r="P85" s="94">
        <v>617</v>
      </c>
      <c r="Q85" s="94">
        <v>13014</v>
      </c>
    </row>
    <row r="86" spans="2:17" ht="12.75" customHeight="1" x14ac:dyDescent="0.2">
      <c r="B86" s="473" t="s">
        <v>342</v>
      </c>
      <c r="C86" s="84" t="s">
        <v>425</v>
      </c>
      <c r="D86" s="477" t="s">
        <v>270</v>
      </c>
      <c r="E86" s="85">
        <v>722</v>
      </c>
      <c r="F86" s="85">
        <v>899</v>
      </c>
      <c r="G86" s="85">
        <v>813</v>
      </c>
      <c r="H86" s="85">
        <v>1312</v>
      </c>
      <c r="I86" s="85">
        <v>1684</v>
      </c>
      <c r="J86" s="85">
        <v>2651</v>
      </c>
      <c r="K86" s="85">
        <v>6172</v>
      </c>
      <c r="L86" s="85">
        <v>5816</v>
      </c>
      <c r="M86" s="85">
        <v>2257</v>
      </c>
      <c r="N86" s="85">
        <v>1538</v>
      </c>
      <c r="O86" s="85">
        <v>2048</v>
      </c>
      <c r="P86" s="85">
        <v>1487</v>
      </c>
      <c r="Q86" s="85">
        <v>27399</v>
      </c>
    </row>
    <row r="87" spans="2:17" ht="12.75" customHeight="1" x14ac:dyDescent="0.2">
      <c r="B87" s="474"/>
      <c r="C87" s="84" t="s">
        <v>426</v>
      </c>
      <c r="D87" s="478"/>
      <c r="E87" s="85">
        <v>346</v>
      </c>
      <c r="F87" s="85">
        <v>649</v>
      </c>
      <c r="G87" s="85">
        <v>579</v>
      </c>
      <c r="H87" s="85">
        <v>587</v>
      </c>
      <c r="I87" s="85">
        <v>1064</v>
      </c>
      <c r="J87" s="85">
        <v>1794</v>
      </c>
      <c r="K87" s="85">
        <v>1463</v>
      </c>
      <c r="L87" s="85">
        <v>1687</v>
      </c>
      <c r="M87" s="85">
        <v>1704</v>
      </c>
      <c r="N87" s="85">
        <v>1572</v>
      </c>
      <c r="O87" s="85">
        <v>1712</v>
      </c>
      <c r="P87" s="85">
        <v>1737</v>
      </c>
      <c r="Q87" s="85">
        <v>14894</v>
      </c>
    </row>
    <row r="88" spans="2:17" ht="12.75" customHeight="1" x14ac:dyDescent="0.2">
      <c r="B88" s="474"/>
      <c r="C88" s="84" t="s">
        <v>427</v>
      </c>
      <c r="D88" s="478"/>
      <c r="E88" s="85">
        <v>15</v>
      </c>
      <c r="F88" s="85">
        <v>25</v>
      </c>
      <c r="G88" s="85">
        <v>20</v>
      </c>
      <c r="H88" s="85">
        <v>6</v>
      </c>
      <c r="I88" s="85">
        <v>15</v>
      </c>
      <c r="J88" s="85">
        <v>14</v>
      </c>
      <c r="K88" s="85">
        <v>6</v>
      </c>
      <c r="L88" s="85">
        <v>102</v>
      </c>
      <c r="M88" s="85">
        <v>65</v>
      </c>
      <c r="N88" s="85">
        <v>74</v>
      </c>
      <c r="O88" s="85">
        <v>22</v>
      </c>
      <c r="P88" s="85">
        <v>145</v>
      </c>
      <c r="Q88" s="85">
        <v>509</v>
      </c>
    </row>
    <row r="89" spans="2:17" ht="12.75" customHeight="1" x14ac:dyDescent="0.2">
      <c r="B89" s="474"/>
      <c r="C89" s="84" t="s">
        <v>428</v>
      </c>
      <c r="D89" s="478"/>
      <c r="E89" s="86"/>
      <c r="F89" s="86"/>
      <c r="G89" s="86"/>
      <c r="H89" s="85">
        <v>1</v>
      </c>
      <c r="I89" s="85">
        <v>8</v>
      </c>
      <c r="J89" s="85">
        <v>1</v>
      </c>
      <c r="K89" s="85">
        <v>6</v>
      </c>
      <c r="L89" s="85">
        <v>1</v>
      </c>
      <c r="M89" s="85">
        <v>6</v>
      </c>
      <c r="N89" s="85">
        <v>1</v>
      </c>
      <c r="O89" s="85">
        <v>10</v>
      </c>
      <c r="P89" s="85">
        <v>7</v>
      </c>
      <c r="Q89" s="85">
        <v>41</v>
      </c>
    </row>
    <row r="90" spans="2:17" ht="12.75" customHeight="1" x14ac:dyDescent="0.2">
      <c r="B90" s="474"/>
      <c r="C90" s="84" t="s">
        <v>610</v>
      </c>
      <c r="D90" s="478"/>
      <c r="E90" s="86"/>
      <c r="F90" s="86"/>
      <c r="G90" s="86"/>
      <c r="H90" s="86"/>
      <c r="I90" s="86"/>
      <c r="J90" s="86"/>
      <c r="K90" s="85">
        <v>53</v>
      </c>
      <c r="L90" s="86"/>
      <c r="M90" s="86"/>
      <c r="N90" s="86"/>
      <c r="O90" s="86"/>
      <c r="P90" s="86"/>
      <c r="Q90" s="85">
        <v>53</v>
      </c>
    </row>
    <row r="91" spans="2:17" ht="12.75" customHeight="1" thickBot="1" x14ac:dyDescent="0.25">
      <c r="B91" s="475"/>
      <c r="C91" s="90" t="s">
        <v>17</v>
      </c>
      <c r="D91" s="87" t="s">
        <v>264</v>
      </c>
      <c r="E91" s="88">
        <v>1083</v>
      </c>
      <c r="F91" s="88">
        <v>1573</v>
      </c>
      <c r="G91" s="88">
        <v>1412</v>
      </c>
      <c r="H91" s="88">
        <v>1906</v>
      </c>
      <c r="I91" s="88">
        <v>2771</v>
      </c>
      <c r="J91" s="88">
        <v>4460</v>
      </c>
      <c r="K91" s="88">
        <v>7700</v>
      </c>
      <c r="L91" s="88">
        <v>7606</v>
      </c>
      <c r="M91" s="88">
        <v>4032</v>
      </c>
      <c r="N91" s="88">
        <v>3185</v>
      </c>
      <c r="O91" s="88">
        <v>3792</v>
      </c>
      <c r="P91" s="88">
        <v>3376</v>
      </c>
      <c r="Q91" s="88">
        <v>42896</v>
      </c>
    </row>
    <row r="92" spans="2:17" ht="12.75" customHeight="1" x14ac:dyDescent="0.2">
      <c r="B92" s="473" t="s">
        <v>329</v>
      </c>
      <c r="C92" s="96" t="s">
        <v>430</v>
      </c>
      <c r="D92" s="477" t="s">
        <v>270</v>
      </c>
      <c r="E92" s="97">
        <v>923</v>
      </c>
      <c r="F92" s="97">
        <v>1210</v>
      </c>
      <c r="G92" s="97">
        <v>1188</v>
      </c>
      <c r="H92" s="97">
        <v>977</v>
      </c>
      <c r="I92" s="97">
        <v>997</v>
      </c>
      <c r="J92" s="97">
        <v>955</v>
      </c>
      <c r="K92" s="97">
        <v>895</v>
      </c>
      <c r="L92" s="97">
        <v>961</v>
      </c>
      <c r="M92" s="97">
        <v>1162</v>
      </c>
      <c r="N92" s="97">
        <v>1047</v>
      </c>
      <c r="O92" s="97">
        <v>1074</v>
      </c>
      <c r="P92" s="97">
        <v>1094</v>
      </c>
      <c r="Q92" s="97">
        <v>12483</v>
      </c>
    </row>
    <row r="93" spans="2:17" ht="12.75" customHeight="1" x14ac:dyDescent="0.2">
      <c r="B93" s="474"/>
      <c r="C93" s="98" t="s">
        <v>438</v>
      </c>
      <c r="D93" s="478"/>
      <c r="E93" s="99">
        <v>3</v>
      </c>
      <c r="F93" s="99">
        <v>3</v>
      </c>
      <c r="G93" s="99">
        <v>23</v>
      </c>
      <c r="H93" s="99">
        <v>6</v>
      </c>
      <c r="I93" s="99">
        <v>39</v>
      </c>
      <c r="J93" s="99">
        <v>11</v>
      </c>
      <c r="K93" s="99">
        <v>23</v>
      </c>
      <c r="L93" s="99">
        <v>18</v>
      </c>
      <c r="M93" s="99">
        <v>57</v>
      </c>
      <c r="N93" s="99">
        <v>33</v>
      </c>
      <c r="O93" s="99">
        <v>16</v>
      </c>
      <c r="P93" s="99">
        <v>19</v>
      </c>
      <c r="Q93" s="99">
        <v>251</v>
      </c>
    </row>
    <row r="94" spans="2:17" ht="12.75" customHeight="1" x14ac:dyDescent="0.2">
      <c r="B94" s="474"/>
      <c r="C94" s="98" t="s">
        <v>431</v>
      </c>
      <c r="D94" s="294" t="s">
        <v>271</v>
      </c>
      <c r="E94" s="99">
        <v>1001</v>
      </c>
      <c r="F94" s="99">
        <v>954</v>
      </c>
      <c r="G94" s="99">
        <v>1281</v>
      </c>
      <c r="H94" s="99">
        <v>1191</v>
      </c>
      <c r="I94" s="99">
        <v>1444</v>
      </c>
      <c r="J94" s="99">
        <v>1641</v>
      </c>
      <c r="K94" s="99">
        <v>1759</v>
      </c>
      <c r="L94" s="99">
        <v>1669</v>
      </c>
      <c r="M94" s="99">
        <v>1928</v>
      </c>
      <c r="N94" s="99">
        <v>1919</v>
      </c>
      <c r="O94" s="99">
        <v>1410</v>
      </c>
      <c r="P94" s="99">
        <v>1152</v>
      </c>
      <c r="Q94" s="99">
        <v>17349</v>
      </c>
    </row>
    <row r="95" spans="2:17" ht="12.75" customHeight="1" x14ac:dyDescent="0.2">
      <c r="B95" s="474"/>
      <c r="C95" s="98" t="s">
        <v>432</v>
      </c>
      <c r="D95" s="294" t="s">
        <v>270</v>
      </c>
      <c r="E95" s="99">
        <v>47</v>
      </c>
      <c r="F95" s="99">
        <v>57</v>
      </c>
      <c r="G95" s="99">
        <v>50</v>
      </c>
      <c r="H95" s="99">
        <v>24</v>
      </c>
      <c r="I95" s="99">
        <v>21</v>
      </c>
      <c r="J95" s="99">
        <v>52</v>
      </c>
      <c r="K95" s="99">
        <v>73</v>
      </c>
      <c r="L95" s="99">
        <v>38</v>
      </c>
      <c r="M95" s="99">
        <v>71</v>
      </c>
      <c r="N95" s="99">
        <v>41</v>
      </c>
      <c r="O95" s="99">
        <v>83</v>
      </c>
      <c r="P95" s="99">
        <v>61</v>
      </c>
      <c r="Q95" s="99">
        <v>618</v>
      </c>
    </row>
    <row r="96" spans="2:17" ht="12.75" customHeight="1" x14ac:dyDescent="0.2">
      <c r="B96" s="474"/>
      <c r="C96" s="98" t="s">
        <v>433</v>
      </c>
      <c r="D96" s="478" t="s">
        <v>271</v>
      </c>
      <c r="E96" s="99">
        <v>266577</v>
      </c>
      <c r="F96" s="99">
        <v>328501</v>
      </c>
      <c r="G96" s="99">
        <v>340054</v>
      </c>
      <c r="H96" s="99">
        <v>290524</v>
      </c>
      <c r="I96" s="99">
        <v>373527</v>
      </c>
      <c r="J96" s="99">
        <v>382551</v>
      </c>
      <c r="K96" s="99">
        <v>458087</v>
      </c>
      <c r="L96" s="99">
        <v>429797</v>
      </c>
      <c r="M96" s="99">
        <v>420989</v>
      </c>
      <c r="N96" s="99">
        <v>445996</v>
      </c>
      <c r="O96" s="99">
        <v>363427</v>
      </c>
      <c r="P96" s="99">
        <v>370860</v>
      </c>
      <c r="Q96" s="99">
        <v>4470890</v>
      </c>
    </row>
    <row r="97" spans="2:17" ht="12.75" customHeight="1" x14ac:dyDescent="0.2">
      <c r="B97" s="474"/>
      <c r="C97" s="98" t="s">
        <v>434</v>
      </c>
      <c r="D97" s="478"/>
      <c r="E97" s="99">
        <v>521148</v>
      </c>
      <c r="F97" s="99">
        <v>623749</v>
      </c>
      <c r="G97" s="99">
        <v>811803</v>
      </c>
      <c r="H97" s="99">
        <v>673305</v>
      </c>
      <c r="I97" s="99">
        <v>1006368</v>
      </c>
      <c r="J97" s="99">
        <v>1063081</v>
      </c>
      <c r="K97" s="99">
        <v>1270833</v>
      </c>
      <c r="L97" s="99">
        <v>1204215</v>
      </c>
      <c r="M97" s="99">
        <v>1147949</v>
      </c>
      <c r="N97" s="99">
        <v>1090537</v>
      </c>
      <c r="O97" s="99">
        <v>958434</v>
      </c>
      <c r="P97" s="99">
        <v>925519</v>
      </c>
      <c r="Q97" s="99">
        <v>11296941</v>
      </c>
    </row>
    <row r="98" spans="2:17" ht="12.75" customHeight="1" x14ac:dyDescent="0.2">
      <c r="B98" s="474"/>
      <c r="C98" s="98" t="s">
        <v>435</v>
      </c>
      <c r="D98" s="478" t="s">
        <v>270</v>
      </c>
      <c r="E98" s="99">
        <v>113</v>
      </c>
      <c r="F98" s="99">
        <v>151</v>
      </c>
      <c r="G98" s="99">
        <v>208</v>
      </c>
      <c r="H98" s="99">
        <v>167</v>
      </c>
      <c r="I98" s="99">
        <v>216</v>
      </c>
      <c r="J98" s="99">
        <v>177</v>
      </c>
      <c r="K98" s="99">
        <v>197</v>
      </c>
      <c r="L98" s="99">
        <v>210</v>
      </c>
      <c r="M98" s="99">
        <v>188</v>
      </c>
      <c r="N98" s="99">
        <v>179</v>
      </c>
      <c r="O98" s="99">
        <v>187</v>
      </c>
      <c r="P98" s="99">
        <v>248</v>
      </c>
      <c r="Q98" s="99">
        <v>2241</v>
      </c>
    </row>
    <row r="99" spans="2:17" ht="12.75" customHeight="1" x14ac:dyDescent="0.2">
      <c r="B99" s="474"/>
      <c r="C99" s="98" t="s">
        <v>440</v>
      </c>
      <c r="D99" s="478"/>
      <c r="E99" s="99">
        <v>350</v>
      </c>
      <c r="F99" s="100"/>
      <c r="G99" s="99">
        <v>160</v>
      </c>
      <c r="H99" s="99">
        <v>9554</v>
      </c>
      <c r="I99" s="99">
        <v>15986</v>
      </c>
      <c r="J99" s="99">
        <v>18649</v>
      </c>
      <c r="K99" s="99">
        <v>23463</v>
      </c>
      <c r="L99" s="99">
        <v>23071</v>
      </c>
      <c r="M99" s="99">
        <v>26559</v>
      </c>
      <c r="N99" s="99">
        <v>37727</v>
      </c>
      <c r="O99" s="99">
        <v>13239</v>
      </c>
      <c r="P99" s="99">
        <v>2489</v>
      </c>
      <c r="Q99" s="99">
        <v>171247</v>
      </c>
    </row>
    <row r="100" spans="2:17" ht="12.75" customHeight="1" x14ac:dyDescent="0.2">
      <c r="B100" s="474"/>
      <c r="C100" s="98" t="s">
        <v>436</v>
      </c>
      <c r="D100" s="478"/>
      <c r="E100" s="99">
        <v>1332</v>
      </c>
      <c r="F100" s="99">
        <v>1553</v>
      </c>
      <c r="G100" s="99">
        <v>1588</v>
      </c>
      <c r="H100" s="99">
        <v>1755</v>
      </c>
      <c r="I100" s="99">
        <v>2087</v>
      </c>
      <c r="J100" s="99">
        <v>2216</v>
      </c>
      <c r="K100" s="99">
        <v>1848</v>
      </c>
      <c r="L100" s="99">
        <v>2167</v>
      </c>
      <c r="M100" s="99">
        <v>1753</v>
      </c>
      <c r="N100" s="99">
        <v>1803</v>
      </c>
      <c r="O100" s="99">
        <v>1832</v>
      </c>
      <c r="P100" s="99">
        <v>1807</v>
      </c>
      <c r="Q100" s="99">
        <v>21741</v>
      </c>
    </row>
    <row r="101" spans="2:17" ht="12.75" customHeight="1" x14ac:dyDescent="0.2">
      <c r="B101" s="474"/>
      <c r="C101" s="98" t="s">
        <v>437</v>
      </c>
      <c r="D101" s="478"/>
      <c r="E101" s="99">
        <v>84</v>
      </c>
      <c r="F101" s="99">
        <v>304</v>
      </c>
      <c r="G101" s="99">
        <v>45</v>
      </c>
      <c r="H101" s="99">
        <v>187</v>
      </c>
      <c r="I101" s="99">
        <v>600</v>
      </c>
      <c r="J101" s="99">
        <v>1003</v>
      </c>
      <c r="K101" s="99">
        <v>1006</v>
      </c>
      <c r="L101" s="99">
        <v>1531</v>
      </c>
      <c r="M101" s="99">
        <v>2134</v>
      </c>
      <c r="N101" s="99">
        <v>1060</v>
      </c>
      <c r="O101" s="99">
        <v>682</v>
      </c>
      <c r="P101" s="99">
        <v>546</v>
      </c>
      <c r="Q101" s="99">
        <v>9182</v>
      </c>
    </row>
    <row r="102" spans="2:17" ht="12.75" customHeight="1" x14ac:dyDescent="0.2">
      <c r="B102" s="474"/>
      <c r="C102" s="98" t="s">
        <v>439</v>
      </c>
      <c r="D102" s="478"/>
      <c r="E102" s="100"/>
      <c r="F102" s="100"/>
      <c r="G102" s="100"/>
      <c r="H102" s="99">
        <v>198</v>
      </c>
      <c r="I102" s="99">
        <v>1081</v>
      </c>
      <c r="J102" s="99">
        <v>250</v>
      </c>
      <c r="K102" s="99">
        <v>1322</v>
      </c>
      <c r="L102" s="99">
        <v>2306</v>
      </c>
      <c r="M102" s="99">
        <v>4255</v>
      </c>
      <c r="N102" s="99">
        <v>4350</v>
      </c>
      <c r="O102" s="99">
        <v>1564</v>
      </c>
      <c r="P102" s="99">
        <v>457</v>
      </c>
      <c r="Q102" s="99">
        <v>15783</v>
      </c>
    </row>
    <row r="103" spans="2:17" ht="12.75" customHeight="1" thickBot="1" x14ac:dyDescent="0.25">
      <c r="B103" s="475"/>
      <c r="C103" s="157" t="s">
        <v>17</v>
      </c>
      <c r="D103" s="104" t="s">
        <v>264</v>
      </c>
      <c r="E103" s="101">
        <v>791578</v>
      </c>
      <c r="F103" s="101">
        <v>956482</v>
      </c>
      <c r="G103" s="101">
        <v>1156400</v>
      </c>
      <c r="H103" s="101">
        <v>977888</v>
      </c>
      <c r="I103" s="101">
        <v>1402366</v>
      </c>
      <c r="J103" s="101">
        <v>1470586</v>
      </c>
      <c r="K103" s="101">
        <v>1759506</v>
      </c>
      <c r="L103" s="101">
        <v>1665983</v>
      </c>
      <c r="M103" s="101">
        <v>1607045</v>
      </c>
      <c r="N103" s="101">
        <v>1584692</v>
      </c>
      <c r="O103" s="101">
        <v>1341948</v>
      </c>
      <c r="P103" s="101">
        <v>1304252</v>
      </c>
      <c r="Q103" s="101">
        <v>16018726</v>
      </c>
    </row>
    <row r="104" spans="2:17" ht="12.75" customHeight="1" x14ac:dyDescent="0.2">
      <c r="B104" s="473" t="s">
        <v>330</v>
      </c>
      <c r="C104" s="84" t="s">
        <v>441</v>
      </c>
      <c r="D104" s="477" t="s">
        <v>270</v>
      </c>
      <c r="E104" s="85">
        <v>65</v>
      </c>
      <c r="F104" s="85">
        <v>113</v>
      </c>
      <c r="G104" s="85">
        <v>1083</v>
      </c>
      <c r="H104" s="85">
        <v>4800</v>
      </c>
      <c r="I104" s="85">
        <v>5146</v>
      </c>
      <c r="J104" s="85">
        <v>6478</v>
      </c>
      <c r="K104" s="85">
        <v>9242</v>
      </c>
      <c r="L104" s="85">
        <v>15175</v>
      </c>
      <c r="M104" s="85">
        <v>11883</v>
      </c>
      <c r="N104" s="85">
        <v>9163</v>
      </c>
      <c r="O104" s="85">
        <v>5929</v>
      </c>
      <c r="P104" s="85">
        <v>3733</v>
      </c>
      <c r="Q104" s="85">
        <v>72810</v>
      </c>
    </row>
    <row r="105" spans="2:17" ht="12.75" customHeight="1" x14ac:dyDescent="0.2">
      <c r="B105" s="474"/>
      <c r="C105" s="84" t="s">
        <v>442</v>
      </c>
      <c r="D105" s="478"/>
      <c r="E105" s="85">
        <v>447</v>
      </c>
      <c r="F105" s="85">
        <v>353</v>
      </c>
      <c r="G105" s="85">
        <v>51</v>
      </c>
      <c r="H105" s="85">
        <v>69</v>
      </c>
      <c r="I105" s="85">
        <v>4132</v>
      </c>
      <c r="J105" s="85">
        <v>3808</v>
      </c>
      <c r="K105" s="85">
        <v>3947</v>
      </c>
      <c r="L105" s="85">
        <v>6097</v>
      </c>
      <c r="M105" s="85">
        <v>11055</v>
      </c>
      <c r="N105" s="85">
        <v>2352</v>
      </c>
      <c r="O105" s="85">
        <v>4019</v>
      </c>
      <c r="P105" s="85">
        <v>735</v>
      </c>
      <c r="Q105" s="85">
        <v>37065</v>
      </c>
    </row>
    <row r="106" spans="2:17" ht="12.75" customHeight="1" x14ac:dyDescent="0.2">
      <c r="B106" s="474"/>
      <c r="C106" s="84" t="s">
        <v>443</v>
      </c>
      <c r="D106" s="478"/>
      <c r="E106" s="85">
        <v>370</v>
      </c>
      <c r="F106" s="85">
        <v>476</v>
      </c>
      <c r="G106" s="85">
        <v>304</v>
      </c>
      <c r="H106" s="85">
        <v>607</v>
      </c>
      <c r="I106" s="85">
        <v>914</v>
      </c>
      <c r="J106" s="85">
        <v>936</v>
      </c>
      <c r="K106" s="85">
        <v>988</v>
      </c>
      <c r="L106" s="85">
        <v>925</v>
      </c>
      <c r="M106" s="85">
        <v>837</v>
      </c>
      <c r="N106" s="85">
        <v>762</v>
      </c>
      <c r="O106" s="85">
        <v>862</v>
      </c>
      <c r="P106" s="85">
        <v>985</v>
      </c>
      <c r="Q106" s="85">
        <v>8966</v>
      </c>
    </row>
    <row r="107" spans="2:17" ht="12.75" customHeight="1" x14ac:dyDescent="0.2">
      <c r="B107" s="474"/>
      <c r="C107" s="84" t="s">
        <v>444</v>
      </c>
      <c r="D107" s="295" t="s">
        <v>271</v>
      </c>
      <c r="E107" s="85">
        <v>22583</v>
      </c>
      <c r="F107" s="85">
        <v>25088</v>
      </c>
      <c r="G107" s="85">
        <v>39129</v>
      </c>
      <c r="H107" s="85">
        <v>81754</v>
      </c>
      <c r="I107" s="85">
        <v>116970</v>
      </c>
      <c r="J107" s="85">
        <v>179834</v>
      </c>
      <c r="K107" s="85">
        <v>266871</v>
      </c>
      <c r="L107" s="85">
        <v>226660</v>
      </c>
      <c r="M107" s="85">
        <v>165393</v>
      </c>
      <c r="N107" s="85">
        <v>139241</v>
      </c>
      <c r="O107" s="85">
        <v>30579</v>
      </c>
      <c r="P107" s="85">
        <v>43168</v>
      </c>
      <c r="Q107" s="85">
        <v>1337270</v>
      </c>
    </row>
    <row r="108" spans="2:17" ht="12.75" customHeight="1" x14ac:dyDescent="0.2">
      <c r="B108" s="474"/>
      <c r="C108" s="84" t="s">
        <v>445</v>
      </c>
      <c r="D108" s="476" t="s">
        <v>270</v>
      </c>
      <c r="E108" s="85">
        <v>10</v>
      </c>
      <c r="F108" s="85">
        <v>10</v>
      </c>
      <c r="G108" s="85">
        <v>5</v>
      </c>
      <c r="H108" s="85">
        <v>399</v>
      </c>
      <c r="I108" s="85">
        <v>100</v>
      </c>
      <c r="J108" s="85">
        <v>1242</v>
      </c>
      <c r="K108" s="85">
        <v>199</v>
      </c>
      <c r="L108" s="85">
        <v>1154</v>
      </c>
      <c r="M108" s="85">
        <v>892</v>
      </c>
      <c r="N108" s="85">
        <v>438</v>
      </c>
      <c r="O108" s="85">
        <v>781</v>
      </c>
      <c r="P108" s="85">
        <v>84</v>
      </c>
      <c r="Q108" s="85">
        <v>5314</v>
      </c>
    </row>
    <row r="109" spans="2:17" ht="12.75" customHeight="1" x14ac:dyDescent="0.2">
      <c r="B109" s="474"/>
      <c r="C109" s="84" t="s">
        <v>447</v>
      </c>
      <c r="D109" s="476"/>
      <c r="E109" s="86"/>
      <c r="F109" s="86"/>
      <c r="G109" s="86"/>
      <c r="H109" s="85">
        <v>17</v>
      </c>
      <c r="I109" s="85">
        <v>114</v>
      </c>
      <c r="J109" s="85">
        <v>156</v>
      </c>
      <c r="K109" s="85">
        <v>359</v>
      </c>
      <c r="L109" s="85">
        <v>370</v>
      </c>
      <c r="M109" s="85">
        <v>8</v>
      </c>
      <c r="N109" s="86"/>
      <c r="O109" s="86"/>
      <c r="P109" s="86"/>
      <c r="Q109" s="85">
        <v>1024</v>
      </c>
    </row>
    <row r="110" spans="2:17" ht="12.75" customHeight="1" x14ac:dyDescent="0.2">
      <c r="B110" s="474"/>
      <c r="C110" s="84" t="s">
        <v>446</v>
      </c>
      <c r="D110" s="476"/>
      <c r="E110" s="86"/>
      <c r="F110" s="86"/>
      <c r="G110" s="86"/>
      <c r="H110" s="85">
        <v>6</v>
      </c>
      <c r="I110" s="86"/>
      <c r="J110" s="86"/>
      <c r="K110" s="86"/>
      <c r="L110" s="86"/>
      <c r="M110" s="85">
        <v>3</v>
      </c>
      <c r="N110" s="86"/>
      <c r="O110" s="86"/>
      <c r="P110" s="86"/>
      <c r="Q110" s="85">
        <v>9</v>
      </c>
    </row>
    <row r="111" spans="2:17" ht="12.75" customHeight="1" thickBot="1" x14ac:dyDescent="0.25">
      <c r="B111" s="475"/>
      <c r="C111" s="90" t="s">
        <v>17</v>
      </c>
      <c r="D111" s="87" t="s">
        <v>264</v>
      </c>
      <c r="E111" s="88">
        <v>23475</v>
      </c>
      <c r="F111" s="88">
        <v>26040</v>
      </c>
      <c r="G111" s="88">
        <v>40572</v>
      </c>
      <c r="H111" s="88">
        <v>87652</v>
      </c>
      <c r="I111" s="88">
        <v>127376</v>
      </c>
      <c r="J111" s="88">
        <v>192454</v>
      </c>
      <c r="K111" s="88">
        <v>281606</v>
      </c>
      <c r="L111" s="88">
        <v>250381</v>
      </c>
      <c r="M111" s="88">
        <v>190071</v>
      </c>
      <c r="N111" s="88">
        <v>151956</v>
      </c>
      <c r="O111" s="88">
        <v>42170</v>
      </c>
      <c r="P111" s="88">
        <v>48705</v>
      </c>
      <c r="Q111" s="88">
        <v>1462458</v>
      </c>
    </row>
    <row r="112" spans="2:17" ht="12.75" customHeight="1" thickBot="1" x14ac:dyDescent="0.25">
      <c r="B112" s="195" t="s">
        <v>332</v>
      </c>
      <c r="C112" s="103" t="s">
        <v>448</v>
      </c>
      <c r="D112" s="92" t="s">
        <v>271</v>
      </c>
      <c r="E112" s="93"/>
      <c r="F112" s="93"/>
      <c r="G112" s="93"/>
      <c r="H112" s="93"/>
      <c r="I112" s="93"/>
      <c r="J112" s="93"/>
      <c r="K112" s="94">
        <v>6</v>
      </c>
      <c r="L112" s="93"/>
      <c r="M112" s="93"/>
      <c r="N112" s="93"/>
      <c r="O112" s="93"/>
      <c r="P112" s="93"/>
      <c r="Q112" s="94">
        <v>6</v>
      </c>
    </row>
    <row r="113" spans="2:17" ht="12.75" customHeight="1" x14ac:dyDescent="0.2">
      <c r="B113" s="473" t="s">
        <v>333</v>
      </c>
      <c r="C113" s="84" t="s">
        <v>449</v>
      </c>
      <c r="D113" s="295" t="s">
        <v>270</v>
      </c>
      <c r="E113" s="85">
        <v>24</v>
      </c>
      <c r="F113" s="85">
        <v>30</v>
      </c>
      <c r="G113" s="85">
        <v>29</v>
      </c>
      <c r="H113" s="85">
        <v>34</v>
      </c>
      <c r="I113" s="85">
        <v>43</v>
      </c>
      <c r="J113" s="85">
        <v>45</v>
      </c>
      <c r="K113" s="85">
        <v>17</v>
      </c>
      <c r="L113" s="85">
        <v>55</v>
      </c>
      <c r="M113" s="85">
        <v>29</v>
      </c>
      <c r="N113" s="85">
        <v>5</v>
      </c>
      <c r="O113" s="85">
        <v>47</v>
      </c>
      <c r="P113" s="85">
        <v>61</v>
      </c>
      <c r="Q113" s="85">
        <v>419</v>
      </c>
    </row>
    <row r="114" spans="2:17" ht="12.75" customHeight="1" x14ac:dyDescent="0.2">
      <c r="B114" s="474"/>
      <c r="C114" s="84" t="s">
        <v>450</v>
      </c>
      <c r="D114" s="295" t="s">
        <v>271</v>
      </c>
      <c r="E114" s="86"/>
      <c r="F114" s="86"/>
      <c r="G114" s="86"/>
      <c r="H114" s="85">
        <v>2</v>
      </c>
      <c r="I114" s="86"/>
      <c r="J114" s="86"/>
      <c r="K114" s="85">
        <v>4</v>
      </c>
      <c r="L114" s="86"/>
      <c r="M114" s="85">
        <v>37</v>
      </c>
      <c r="N114" s="86"/>
      <c r="O114" s="86"/>
      <c r="P114" s="86"/>
      <c r="Q114" s="85">
        <v>43</v>
      </c>
    </row>
    <row r="115" spans="2:17" ht="12.75" customHeight="1" thickBot="1" x14ac:dyDescent="0.25">
      <c r="B115" s="475"/>
      <c r="C115" s="90" t="s">
        <v>17</v>
      </c>
      <c r="D115" s="87" t="s">
        <v>264</v>
      </c>
      <c r="E115" s="88">
        <v>24</v>
      </c>
      <c r="F115" s="88">
        <v>30</v>
      </c>
      <c r="G115" s="88">
        <v>29</v>
      </c>
      <c r="H115" s="88">
        <v>36</v>
      </c>
      <c r="I115" s="88">
        <v>43</v>
      </c>
      <c r="J115" s="88">
        <v>45</v>
      </c>
      <c r="K115" s="88">
        <v>21</v>
      </c>
      <c r="L115" s="88">
        <v>55</v>
      </c>
      <c r="M115" s="88">
        <v>66</v>
      </c>
      <c r="N115" s="88">
        <v>5</v>
      </c>
      <c r="O115" s="88">
        <v>47</v>
      </c>
      <c r="P115" s="88">
        <v>61</v>
      </c>
      <c r="Q115" s="88">
        <v>462</v>
      </c>
    </row>
    <row r="116" spans="2:17" ht="12.75" customHeight="1" thickBot="1" x14ac:dyDescent="0.25">
      <c r="B116" s="195" t="s">
        <v>334</v>
      </c>
      <c r="C116" s="103" t="s">
        <v>451</v>
      </c>
      <c r="D116" s="92" t="s">
        <v>271</v>
      </c>
      <c r="E116" s="94">
        <v>6935</v>
      </c>
      <c r="F116" s="94">
        <v>7553</v>
      </c>
      <c r="G116" s="94">
        <v>6383</v>
      </c>
      <c r="H116" s="94">
        <v>8967</v>
      </c>
      <c r="I116" s="94">
        <v>11952</v>
      </c>
      <c r="J116" s="94">
        <v>20427</v>
      </c>
      <c r="K116" s="94">
        <v>40277</v>
      </c>
      <c r="L116" s="94">
        <v>26669</v>
      </c>
      <c r="M116" s="94">
        <v>11476</v>
      </c>
      <c r="N116" s="94">
        <v>10369</v>
      </c>
      <c r="O116" s="94">
        <v>5191</v>
      </c>
      <c r="P116" s="94">
        <v>8578</v>
      </c>
      <c r="Q116" s="94">
        <v>164777</v>
      </c>
    </row>
    <row r="117" spans="2:17" ht="12.75" customHeight="1" thickBot="1" x14ac:dyDescent="0.25">
      <c r="B117" s="195" t="s">
        <v>335</v>
      </c>
      <c r="C117" s="103" t="s">
        <v>452</v>
      </c>
      <c r="D117" s="92" t="s">
        <v>272</v>
      </c>
      <c r="E117" s="94">
        <v>16114</v>
      </c>
      <c r="F117" s="94">
        <v>21268</v>
      </c>
      <c r="G117" s="94">
        <v>39098</v>
      </c>
      <c r="H117" s="94">
        <v>57701</v>
      </c>
      <c r="I117" s="94">
        <v>52148</v>
      </c>
      <c r="J117" s="94">
        <v>53221</v>
      </c>
      <c r="K117" s="94">
        <v>69661</v>
      </c>
      <c r="L117" s="94">
        <v>85591</v>
      </c>
      <c r="M117" s="94">
        <v>75638</v>
      </c>
      <c r="N117" s="94">
        <v>69091</v>
      </c>
      <c r="O117" s="94">
        <v>46735</v>
      </c>
      <c r="P117" s="94">
        <v>46211</v>
      </c>
      <c r="Q117" s="94">
        <v>632477</v>
      </c>
    </row>
    <row r="118" spans="2:17" ht="12.75" customHeight="1" x14ac:dyDescent="0.2">
      <c r="B118" s="473" t="s">
        <v>337</v>
      </c>
      <c r="C118" s="84" t="s">
        <v>453</v>
      </c>
      <c r="D118" s="295" t="s">
        <v>270</v>
      </c>
      <c r="E118" s="85">
        <v>514</v>
      </c>
      <c r="F118" s="85">
        <v>702</v>
      </c>
      <c r="G118" s="85">
        <v>569</v>
      </c>
      <c r="H118" s="85">
        <v>938</v>
      </c>
      <c r="I118" s="85">
        <v>1376</v>
      </c>
      <c r="J118" s="85">
        <v>1649</v>
      </c>
      <c r="K118" s="85">
        <v>1560</v>
      </c>
      <c r="L118" s="85">
        <v>1333</v>
      </c>
      <c r="M118" s="85">
        <v>1527</v>
      </c>
      <c r="N118" s="85">
        <v>1689</v>
      </c>
      <c r="O118" s="85">
        <v>1820</v>
      </c>
      <c r="P118" s="85">
        <v>2051</v>
      </c>
      <c r="Q118" s="85">
        <v>15728</v>
      </c>
    </row>
    <row r="119" spans="2:17" ht="12.75" customHeight="1" x14ac:dyDescent="0.2">
      <c r="B119" s="474"/>
      <c r="C119" s="84" t="s">
        <v>454</v>
      </c>
      <c r="D119" s="295" t="s">
        <v>271</v>
      </c>
      <c r="E119" s="86"/>
      <c r="F119" s="85">
        <v>6</v>
      </c>
      <c r="G119" s="86"/>
      <c r="H119" s="86"/>
      <c r="I119" s="86"/>
      <c r="J119" s="85">
        <v>54</v>
      </c>
      <c r="K119" s="85">
        <v>85</v>
      </c>
      <c r="L119" s="85">
        <v>11</v>
      </c>
      <c r="M119" s="85">
        <v>42</v>
      </c>
      <c r="N119" s="85">
        <v>2</v>
      </c>
      <c r="O119" s="85">
        <v>1</v>
      </c>
      <c r="P119" s="85">
        <v>1</v>
      </c>
      <c r="Q119" s="85">
        <v>202</v>
      </c>
    </row>
    <row r="120" spans="2:17" ht="12.75" customHeight="1" thickBot="1" x14ac:dyDescent="0.25">
      <c r="B120" s="475"/>
      <c r="C120" s="90" t="s">
        <v>17</v>
      </c>
      <c r="D120" s="87" t="s">
        <v>264</v>
      </c>
      <c r="E120" s="88">
        <v>514</v>
      </c>
      <c r="F120" s="88">
        <v>708</v>
      </c>
      <c r="G120" s="88">
        <v>569</v>
      </c>
      <c r="H120" s="88">
        <v>938</v>
      </c>
      <c r="I120" s="88">
        <v>1376</v>
      </c>
      <c r="J120" s="88">
        <v>1703</v>
      </c>
      <c r="K120" s="88">
        <v>1645</v>
      </c>
      <c r="L120" s="88">
        <v>1344</v>
      </c>
      <c r="M120" s="88">
        <v>1569</v>
      </c>
      <c r="N120" s="88">
        <v>1691</v>
      </c>
      <c r="O120" s="88">
        <v>1821</v>
      </c>
      <c r="P120" s="88">
        <v>2052</v>
      </c>
      <c r="Q120" s="88">
        <v>15930</v>
      </c>
    </row>
    <row r="121" spans="2:17" ht="12.75" customHeight="1" thickBot="1" x14ac:dyDescent="0.25">
      <c r="B121" s="105" t="s">
        <v>338</v>
      </c>
      <c r="C121" s="103" t="s">
        <v>455</v>
      </c>
      <c r="D121" s="92" t="s">
        <v>271</v>
      </c>
      <c r="E121" s="94">
        <v>1700</v>
      </c>
      <c r="F121" s="94">
        <v>1729</v>
      </c>
      <c r="G121" s="94">
        <v>1925</v>
      </c>
      <c r="H121" s="94">
        <v>2043</v>
      </c>
      <c r="I121" s="94">
        <v>2827</v>
      </c>
      <c r="J121" s="94">
        <v>9363</v>
      </c>
      <c r="K121" s="94">
        <v>15886</v>
      </c>
      <c r="L121" s="94">
        <v>6575</v>
      </c>
      <c r="M121" s="94">
        <v>3232</v>
      </c>
      <c r="N121" s="94">
        <v>2998</v>
      </c>
      <c r="O121" s="94">
        <v>988</v>
      </c>
      <c r="P121" s="94">
        <v>2094</v>
      </c>
      <c r="Q121" s="94">
        <v>51360</v>
      </c>
    </row>
    <row r="122" spans="2:17" ht="12.75" customHeight="1" thickBot="1" x14ac:dyDescent="0.25">
      <c r="B122" s="195" t="s">
        <v>339</v>
      </c>
      <c r="C122" s="103" t="s">
        <v>456</v>
      </c>
      <c r="D122" s="92" t="s">
        <v>271</v>
      </c>
      <c r="E122" s="93"/>
      <c r="F122" s="93"/>
      <c r="G122" s="94">
        <v>150</v>
      </c>
      <c r="H122" s="94">
        <v>989</v>
      </c>
      <c r="I122" s="94">
        <v>411</v>
      </c>
      <c r="J122" s="94">
        <v>1229</v>
      </c>
      <c r="K122" s="94">
        <v>3141</v>
      </c>
      <c r="L122" s="94">
        <v>1402</v>
      </c>
      <c r="M122" s="94">
        <v>329</v>
      </c>
      <c r="N122" s="94">
        <v>180</v>
      </c>
      <c r="O122" s="93"/>
      <c r="P122" s="93"/>
      <c r="Q122" s="94">
        <v>7831</v>
      </c>
    </row>
    <row r="123" spans="2:17" ht="12.75" customHeight="1" thickBot="1" x14ac:dyDescent="0.25">
      <c r="B123" s="195" t="s">
        <v>340</v>
      </c>
      <c r="C123" s="103" t="s">
        <v>457</v>
      </c>
      <c r="D123" s="92" t="s">
        <v>271</v>
      </c>
      <c r="E123" s="94">
        <v>2</v>
      </c>
      <c r="F123" s="94">
        <v>36</v>
      </c>
      <c r="G123" s="94">
        <v>15</v>
      </c>
      <c r="H123" s="94">
        <v>2</v>
      </c>
      <c r="I123" s="94">
        <v>1</v>
      </c>
      <c r="J123" s="94">
        <v>738</v>
      </c>
      <c r="K123" s="94">
        <v>1082</v>
      </c>
      <c r="L123" s="94">
        <v>828</v>
      </c>
      <c r="M123" s="94">
        <v>474</v>
      </c>
      <c r="N123" s="94">
        <v>267</v>
      </c>
      <c r="O123" s="93"/>
      <c r="P123" s="94">
        <v>8</v>
      </c>
      <c r="Q123" s="94">
        <v>3453</v>
      </c>
    </row>
    <row r="124" spans="2:17" ht="12.75" customHeight="1" thickBot="1" x14ac:dyDescent="0.25">
      <c r="B124" s="195" t="s">
        <v>331</v>
      </c>
      <c r="C124" s="103" t="s">
        <v>458</v>
      </c>
      <c r="D124" s="92" t="s">
        <v>271</v>
      </c>
      <c r="E124" s="93"/>
      <c r="F124" s="94">
        <v>7</v>
      </c>
      <c r="G124" s="94">
        <v>11</v>
      </c>
      <c r="H124" s="93"/>
      <c r="I124" s="93"/>
      <c r="J124" s="94">
        <v>2</v>
      </c>
      <c r="K124" s="93"/>
      <c r="L124" s="93"/>
      <c r="M124" s="93"/>
      <c r="N124" s="93"/>
      <c r="O124" s="93"/>
      <c r="P124" s="93"/>
      <c r="Q124" s="94">
        <v>20</v>
      </c>
    </row>
    <row r="125" spans="2:17" ht="12.75" customHeight="1" thickBot="1" x14ac:dyDescent="0.25">
      <c r="B125" s="195" t="s">
        <v>341</v>
      </c>
      <c r="C125" s="103" t="s">
        <v>459</v>
      </c>
      <c r="D125" s="92" t="s">
        <v>271</v>
      </c>
      <c r="E125" s="93"/>
      <c r="F125" s="94">
        <v>6</v>
      </c>
      <c r="G125" s="93"/>
      <c r="H125" s="93"/>
      <c r="I125" s="93"/>
      <c r="J125" s="93"/>
      <c r="K125" s="93"/>
      <c r="L125" s="93"/>
      <c r="M125" s="93"/>
      <c r="N125" s="93"/>
      <c r="O125" s="93"/>
      <c r="P125" s="93"/>
      <c r="Q125" s="94">
        <v>6</v>
      </c>
    </row>
    <row r="126" spans="2:17" ht="12.75" customHeight="1" x14ac:dyDescent="0.2">
      <c r="B126" s="473" t="s">
        <v>343</v>
      </c>
      <c r="C126" s="84" t="s">
        <v>460</v>
      </c>
      <c r="D126" s="477" t="s">
        <v>270</v>
      </c>
      <c r="E126" s="85">
        <v>15</v>
      </c>
      <c r="F126" s="85">
        <v>12</v>
      </c>
      <c r="G126" s="85">
        <v>36</v>
      </c>
      <c r="H126" s="85">
        <v>1375</v>
      </c>
      <c r="I126" s="85">
        <v>21722</v>
      </c>
      <c r="J126" s="85">
        <v>30127</v>
      </c>
      <c r="K126" s="85">
        <v>44978</v>
      </c>
      <c r="L126" s="85">
        <v>49962</v>
      </c>
      <c r="M126" s="85">
        <v>41568</v>
      </c>
      <c r="N126" s="85">
        <v>32343</v>
      </c>
      <c r="O126" s="85">
        <v>1742</v>
      </c>
      <c r="P126" s="85">
        <v>1254</v>
      </c>
      <c r="Q126" s="85">
        <v>225134</v>
      </c>
    </row>
    <row r="127" spans="2:17" ht="12.75" customHeight="1" x14ac:dyDescent="0.2">
      <c r="B127" s="474"/>
      <c r="C127" s="84" t="s">
        <v>461</v>
      </c>
      <c r="D127" s="478"/>
      <c r="E127" s="85">
        <v>13</v>
      </c>
      <c r="F127" s="85">
        <v>5</v>
      </c>
      <c r="G127" s="85">
        <v>18</v>
      </c>
      <c r="H127" s="85">
        <v>33</v>
      </c>
      <c r="I127" s="85">
        <v>310</v>
      </c>
      <c r="J127" s="85">
        <v>2203</v>
      </c>
      <c r="K127" s="85">
        <v>2999</v>
      </c>
      <c r="L127" s="85">
        <v>4319</v>
      </c>
      <c r="M127" s="85">
        <v>2677</v>
      </c>
      <c r="N127" s="85">
        <v>445</v>
      </c>
      <c r="O127" s="85">
        <v>250</v>
      </c>
      <c r="P127" s="85">
        <v>89</v>
      </c>
      <c r="Q127" s="85">
        <v>13361</v>
      </c>
    </row>
    <row r="128" spans="2:17" ht="12.75" customHeight="1" x14ac:dyDescent="0.2">
      <c r="B128" s="474"/>
      <c r="C128" s="84" t="s">
        <v>462</v>
      </c>
      <c r="D128" s="478"/>
      <c r="E128" s="85">
        <v>28</v>
      </c>
      <c r="F128" s="85">
        <v>10</v>
      </c>
      <c r="G128" s="85">
        <v>58</v>
      </c>
      <c r="H128" s="85">
        <v>4222</v>
      </c>
      <c r="I128" s="85">
        <v>8284</v>
      </c>
      <c r="J128" s="85">
        <v>11840</v>
      </c>
      <c r="K128" s="85">
        <v>28524</v>
      </c>
      <c r="L128" s="85">
        <v>38208</v>
      </c>
      <c r="M128" s="85">
        <v>34485</v>
      </c>
      <c r="N128" s="85">
        <v>17497</v>
      </c>
      <c r="O128" s="85">
        <v>2340</v>
      </c>
      <c r="P128" s="85">
        <v>150</v>
      </c>
      <c r="Q128" s="85">
        <v>145646</v>
      </c>
    </row>
    <row r="129" spans="2:17" ht="12.75" customHeight="1" x14ac:dyDescent="0.2">
      <c r="B129" s="474"/>
      <c r="C129" s="84" t="s">
        <v>468</v>
      </c>
      <c r="D129" s="478"/>
      <c r="E129" s="85">
        <v>15</v>
      </c>
      <c r="F129" s="85">
        <v>19</v>
      </c>
      <c r="G129" s="85">
        <v>36</v>
      </c>
      <c r="H129" s="85">
        <v>6</v>
      </c>
      <c r="I129" s="85">
        <v>15</v>
      </c>
      <c r="J129" s="85">
        <v>9</v>
      </c>
      <c r="K129" s="85">
        <v>9</v>
      </c>
      <c r="L129" s="85">
        <v>7</v>
      </c>
      <c r="M129" s="85">
        <v>7</v>
      </c>
      <c r="N129" s="85">
        <v>12</v>
      </c>
      <c r="O129" s="85">
        <v>1</v>
      </c>
      <c r="P129" s="85">
        <v>7</v>
      </c>
      <c r="Q129" s="85">
        <v>143</v>
      </c>
    </row>
    <row r="130" spans="2:17" ht="12.75" customHeight="1" x14ac:dyDescent="0.2">
      <c r="B130" s="474"/>
      <c r="C130" s="84" t="s">
        <v>463</v>
      </c>
      <c r="D130" s="476" t="s">
        <v>271</v>
      </c>
      <c r="E130" s="85">
        <v>311</v>
      </c>
      <c r="F130" s="85">
        <v>51</v>
      </c>
      <c r="G130" s="85">
        <v>6955</v>
      </c>
      <c r="H130" s="85">
        <v>74454</v>
      </c>
      <c r="I130" s="85">
        <v>172888</v>
      </c>
      <c r="J130" s="85">
        <v>232212</v>
      </c>
      <c r="K130" s="85">
        <v>296549</v>
      </c>
      <c r="L130" s="85">
        <v>297639</v>
      </c>
      <c r="M130" s="85">
        <v>254082</v>
      </c>
      <c r="N130" s="85">
        <v>174535</v>
      </c>
      <c r="O130" s="85">
        <v>6064</v>
      </c>
      <c r="P130" s="85">
        <v>5277</v>
      </c>
      <c r="Q130" s="85">
        <v>1521017</v>
      </c>
    </row>
    <row r="131" spans="2:17" ht="12.75" customHeight="1" x14ac:dyDescent="0.2">
      <c r="B131" s="474"/>
      <c r="C131" s="84" t="s">
        <v>465</v>
      </c>
      <c r="D131" s="476"/>
      <c r="E131" s="85">
        <v>833</v>
      </c>
      <c r="F131" s="85">
        <v>27</v>
      </c>
      <c r="G131" s="85">
        <v>1526</v>
      </c>
      <c r="H131" s="85">
        <v>25618</v>
      </c>
      <c r="I131" s="85">
        <v>97123</v>
      </c>
      <c r="J131" s="85">
        <v>149642</v>
      </c>
      <c r="K131" s="85">
        <v>209381</v>
      </c>
      <c r="L131" s="85">
        <v>202518</v>
      </c>
      <c r="M131" s="85">
        <v>161160</v>
      </c>
      <c r="N131" s="85">
        <v>87956</v>
      </c>
      <c r="O131" s="85">
        <v>2294</v>
      </c>
      <c r="P131" s="85">
        <v>1261</v>
      </c>
      <c r="Q131" s="85">
        <v>939339</v>
      </c>
    </row>
    <row r="132" spans="2:17" ht="12.75" customHeight="1" x14ac:dyDescent="0.2">
      <c r="B132" s="474"/>
      <c r="C132" s="84" t="s">
        <v>469</v>
      </c>
      <c r="D132" s="476" t="s">
        <v>270</v>
      </c>
      <c r="E132" s="85">
        <v>36</v>
      </c>
      <c r="F132" s="85">
        <v>20</v>
      </c>
      <c r="G132" s="85">
        <v>9</v>
      </c>
      <c r="H132" s="85">
        <v>69</v>
      </c>
      <c r="I132" s="85">
        <v>169</v>
      </c>
      <c r="J132" s="85">
        <v>342</v>
      </c>
      <c r="K132" s="85">
        <v>398</v>
      </c>
      <c r="L132" s="85">
        <v>626</v>
      </c>
      <c r="M132" s="85">
        <v>426</v>
      </c>
      <c r="N132" s="85">
        <v>212</v>
      </c>
      <c r="O132" s="85">
        <v>438</v>
      </c>
      <c r="P132" s="85">
        <v>38</v>
      </c>
      <c r="Q132" s="85">
        <v>2783</v>
      </c>
    </row>
    <row r="133" spans="2:17" ht="12.75" customHeight="1" x14ac:dyDescent="0.2">
      <c r="B133" s="474"/>
      <c r="C133" s="84" t="s">
        <v>466</v>
      </c>
      <c r="D133" s="476"/>
      <c r="E133" s="85">
        <v>47</v>
      </c>
      <c r="F133" s="85">
        <v>76</v>
      </c>
      <c r="G133" s="85">
        <v>178</v>
      </c>
      <c r="H133" s="85">
        <v>1265</v>
      </c>
      <c r="I133" s="85">
        <v>9242</v>
      </c>
      <c r="J133" s="85">
        <v>13124</v>
      </c>
      <c r="K133" s="85">
        <v>16250</v>
      </c>
      <c r="L133" s="85">
        <v>21459</v>
      </c>
      <c r="M133" s="85">
        <v>21040</v>
      </c>
      <c r="N133" s="85">
        <v>21516</v>
      </c>
      <c r="O133" s="85">
        <v>2284</v>
      </c>
      <c r="P133" s="85">
        <v>1143</v>
      </c>
      <c r="Q133" s="85">
        <v>107624</v>
      </c>
    </row>
    <row r="134" spans="2:17" ht="12.75" customHeight="1" x14ac:dyDescent="0.2">
      <c r="B134" s="474"/>
      <c r="C134" s="84" t="s">
        <v>467</v>
      </c>
      <c r="D134" s="476"/>
      <c r="E134" s="85">
        <v>86</v>
      </c>
      <c r="F134" s="85">
        <v>102</v>
      </c>
      <c r="G134" s="85">
        <v>371</v>
      </c>
      <c r="H134" s="85">
        <v>561</v>
      </c>
      <c r="I134" s="85">
        <v>1981</v>
      </c>
      <c r="J134" s="85">
        <v>3301</v>
      </c>
      <c r="K134" s="85">
        <v>6868</v>
      </c>
      <c r="L134" s="85">
        <v>6267</v>
      </c>
      <c r="M134" s="85">
        <v>4224</v>
      </c>
      <c r="N134" s="85">
        <v>2991</v>
      </c>
      <c r="O134" s="85">
        <v>1399</v>
      </c>
      <c r="P134" s="85">
        <v>285</v>
      </c>
      <c r="Q134" s="85">
        <v>28436</v>
      </c>
    </row>
    <row r="135" spans="2:17" ht="12.75" customHeight="1" x14ac:dyDescent="0.2">
      <c r="B135" s="474"/>
      <c r="C135" s="84" t="s">
        <v>471</v>
      </c>
      <c r="D135" s="476"/>
      <c r="E135" s="85">
        <v>1</v>
      </c>
      <c r="F135" s="85">
        <v>2</v>
      </c>
      <c r="G135" s="85">
        <v>15</v>
      </c>
      <c r="H135" s="85">
        <v>5</v>
      </c>
      <c r="I135" s="85">
        <v>84</v>
      </c>
      <c r="J135" s="85">
        <v>271</v>
      </c>
      <c r="K135" s="85">
        <v>606</v>
      </c>
      <c r="L135" s="85">
        <v>1017</v>
      </c>
      <c r="M135" s="85">
        <v>323</v>
      </c>
      <c r="N135" s="85">
        <v>35</v>
      </c>
      <c r="O135" s="85">
        <v>3</v>
      </c>
      <c r="P135" s="85">
        <v>10</v>
      </c>
      <c r="Q135" s="85">
        <v>2372</v>
      </c>
    </row>
    <row r="136" spans="2:17" ht="12.75" customHeight="1" x14ac:dyDescent="0.2">
      <c r="B136" s="474"/>
      <c r="C136" s="84" t="s">
        <v>464</v>
      </c>
      <c r="D136" s="476"/>
      <c r="E136" s="86"/>
      <c r="F136" s="85">
        <v>5</v>
      </c>
      <c r="G136" s="85">
        <v>71</v>
      </c>
      <c r="H136" s="85">
        <v>146</v>
      </c>
      <c r="I136" s="85">
        <v>168</v>
      </c>
      <c r="J136" s="85">
        <v>272</v>
      </c>
      <c r="K136" s="85">
        <v>362</v>
      </c>
      <c r="L136" s="85">
        <v>285</v>
      </c>
      <c r="M136" s="85">
        <v>253</v>
      </c>
      <c r="N136" s="85">
        <v>123</v>
      </c>
      <c r="O136" s="85">
        <v>16</v>
      </c>
      <c r="P136" s="85">
        <v>19</v>
      </c>
      <c r="Q136" s="85">
        <v>1720</v>
      </c>
    </row>
    <row r="137" spans="2:17" ht="12.75" customHeight="1" x14ac:dyDescent="0.2">
      <c r="B137" s="474"/>
      <c r="C137" s="84" t="s">
        <v>470</v>
      </c>
      <c r="D137" s="476"/>
      <c r="E137" s="86"/>
      <c r="F137" s="86"/>
      <c r="G137" s="86"/>
      <c r="H137" s="85">
        <v>2</v>
      </c>
      <c r="I137" s="85">
        <v>3</v>
      </c>
      <c r="J137" s="85">
        <v>5</v>
      </c>
      <c r="K137" s="85">
        <v>2</v>
      </c>
      <c r="L137" s="85">
        <v>5</v>
      </c>
      <c r="M137" s="85">
        <v>20</v>
      </c>
      <c r="N137" s="85">
        <v>4</v>
      </c>
      <c r="O137" s="86"/>
      <c r="P137" s="86"/>
      <c r="Q137" s="85">
        <v>41</v>
      </c>
    </row>
    <row r="138" spans="2:17" ht="12.75" customHeight="1" x14ac:dyDescent="0.2">
      <c r="B138" s="474"/>
      <c r="C138" s="84" t="s">
        <v>611</v>
      </c>
      <c r="D138" s="476"/>
      <c r="E138" s="86"/>
      <c r="F138" s="86"/>
      <c r="G138" s="86"/>
      <c r="H138" s="86"/>
      <c r="I138" s="85">
        <v>97</v>
      </c>
      <c r="J138" s="85">
        <v>284</v>
      </c>
      <c r="K138" s="85">
        <v>604</v>
      </c>
      <c r="L138" s="85">
        <v>618</v>
      </c>
      <c r="M138" s="85">
        <v>366</v>
      </c>
      <c r="N138" s="85">
        <v>136</v>
      </c>
      <c r="O138" s="85">
        <v>10</v>
      </c>
      <c r="P138" s="86"/>
      <c r="Q138" s="85">
        <v>2115</v>
      </c>
    </row>
    <row r="139" spans="2:17" ht="12.75" customHeight="1" thickBot="1" x14ac:dyDescent="0.25">
      <c r="B139" s="475"/>
      <c r="C139" s="90" t="s">
        <v>17</v>
      </c>
      <c r="D139" s="87" t="s">
        <v>264</v>
      </c>
      <c r="E139" s="88">
        <v>1385</v>
      </c>
      <c r="F139" s="88">
        <v>329</v>
      </c>
      <c r="G139" s="88">
        <v>9273</v>
      </c>
      <c r="H139" s="88">
        <v>107756</v>
      </c>
      <c r="I139" s="88">
        <v>312086</v>
      </c>
      <c r="J139" s="88">
        <v>443632</v>
      </c>
      <c r="K139" s="88">
        <v>607530</v>
      </c>
      <c r="L139" s="88">
        <v>622930</v>
      </c>
      <c r="M139" s="88">
        <v>520631</v>
      </c>
      <c r="N139" s="88">
        <v>337805</v>
      </c>
      <c r="O139" s="88">
        <v>16841</v>
      </c>
      <c r="P139" s="88">
        <v>9533</v>
      </c>
      <c r="Q139" s="88">
        <v>2989731</v>
      </c>
    </row>
    <row r="140" spans="2:17" ht="12.75" customHeight="1" thickBot="1" x14ac:dyDescent="0.25">
      <c r="B140" s="195" t="s">
        <v>602</v>
      </c>
      <c r="C140" s="103" t="s">
        <v>612</v>
      </c>
      <c r="D140" s="92" t="s">
        <v>271</v>
      </c>
      <c r="E140" s="93"/>
      <c r="F140" s="93"/>
      <c r="G140" s="93"/>
      <c r="H140" s="93"/>
      <c r="I140" s="93"/>
      <c r="J140" s="93"/>
      <c r="K140" s="93"/>
      <c r="L140" s="93"/>
      <c r="M140" s="93"/>
      <c r="N140" s="93"/>
      <c r="O140" s="93"/>
      <c r="P140" s="94">
        <v>2</v>
      </c>
      <c r="Q140" s="94">
        <v>2</v>
      </c>
    </row>
    <row r="141" spans="2:17" ht="12.75" customHeight="1" thickBot="1" x14ac:dyDescent="0.25">
      <c r="B141" s="195" t="s">
        <v>344</v>
      </c>
      <c r="C141" s="103" t="s">
        <v>472</v>
      </c>
      <c r="D141" s="92" t="s">
        <v>271</v>
      </c>
      <c r="E141" s="94">
        <v>7</v>
      </c>
      <c r="F141" s="93"/>
      <c r="G141" s="94">
        <v>139</v>
      </c>
      <c r="H141" s="94">
        <v>2459</v>
      </c>
      <c r="I141" s="94">
        <v>1247</v>
      </c>
      <c r="J141" s="94">
        <v>21</v>
      </c>
      <c r="K141" s="94">
        <v>23</v>
      </c>
      <c r="L141" s="94">
        <v>127</v>
      </c>
      <c r="M141" s="94">
        <v>1297</v>
      </c>
      <c r="N141" s="94">
        <v>1692</v>
      </c>
      <c r="O141" s="94">
        <v>167</v>
      </c>
      <c r="P141" s="94">
        <v>85</v>
      </c>
      <c r="Q141" s="94">
        <v>7264</v>
      </c>
    </row>
    <row r="142" spans="2:17" ht="12.75" customHeight="1" x14ac:dyDescent="0.2">
      <c r="B142" s="473" t="s">
        <v>345</v>
      </c>
      <c r="C142" s="84" t="s">
        <v>473</v>
      </c>
      <c r="D142" s="295" t="s">
        <v>270</v>
      </c>
      <c r="E142" s="85">
        <v>4</v>
      </c>
      <c r="F142" s="85">
        <v>15</v>
      </c>
      <c r="G142" s="85">
        <v>19</v>
      </c>
      <c r="H142" s="85">
        <v>12</v>
      </c>
      <c r="I142" s="85">
        <v>23</v>
      </c>
      <c r="J142" s="85">
        <v>47</v>
      </c>
      <c r="K142" s="85">
        <v>14</v>
      </c>
      <c r="L142" s="85">
        <v>14</v>
      </c>
      <c r="M142" s="85">
        <v>8</v>
      </c>
      <c r="N142" s="85">
        <v>6</v>
      </c>
      <c r="O142" s="86"/>
      <c r="P142" s="85">
        <v>20</v>
      </c>
      <c r="Q142" s="85">
        <v>182</v>
      </c>
    </row>
    <row r="143" spans="2:17" ht="12.75" customHeight="1" x14ac:dyDescent="0.2">
      <c r="B143" s="474"/>
      <c r="C143" s="84" t="s">
        <v>475</v>
      </c>
      <c r="D143" s="295" t="s">
        <v>271</v>
      </c>
      <c r="E143" s="85">
        <v>1</v>
      </c>
      <c r="F143" s="86"/>
      <c r="G143" s="86"/>
      <c r="H143" s="85">
        <v>92</v>
      </c>
      <c r="I143" s="86"/>
      <c r="J143" s="85">
        <v>527</v>
      </c>
      <c r="K143" s="85">
        <v>2213</v>
      </c>
      <c r="L143" s="85">
        <v>1976</v>
      </c>
      <c r="M143" s="85">
        <v>628</v>
      </c>
      <c r="N143" s="86"/>
      <c r="O143" s="85">
        <v>4</v>
      </c>
      <c r="P143" s="85">
        <v>175</v>
      </c>
      <c r="Q143" s="85">
        <v>5616</v>
      </c>
    </row>
    <row r="144" spans="2:17" ht="12.75" customHeight="1" x14ac:dyDescent="0.2">
      <c r="B144" s="474"/>
      <c r="C144" s="84" t="s">
        <v>474</v>
      </c>
      <c r="D144" s="295" t="s">
        <v>270</v>
      </c>
      <c r="E144" s="85">
        <v>72</v>
      </c>
      <c r="F144" s="85">
        <v>65</v>
      </c>
      <c r="G144" s="85">
        <v>48</v>
      </c>
      <c r="H144" s="85">
        <v>45</v>
      </c>
      <c r="I144" s="85">
        <v>62</v>
      </c>
      <c r="J144" s="85">
        <v>64</v>
      </c>
      <c r="K144" s="85">
        <v>132</v>
      </c>
      <c r="L144" s="85">
        <v>111</v>
      </c>
      <c r="M144" s="85">
        <v>79</v>
      </c>
      <c r="N144" s="85">
        <v>63</v>
      </c>
      <c r="O144" s="85">
        <v>59</v>
      </c>
      <c r="P144" s="85">
        <v>228</v>
      </c>
      <c r="Q144" s="85">
        <v>1028</v>
      </c>
    </row>
    <row r="145" spans="2:17" ht="12.75" customHeight="1" thickBot="1" x14ac:dyDescent="0.25">
      <c r="B145" s="475"/>
      <c r="C145" s="90" t="s">
        <v>17</v>
      </c>
      <c r="D145" s="87" t="s">
        <v>264</v>
      </c>
      <c r="E145" s="88">
        <v>77</v>
      </c>
      <c r="F145" s="88">
        <v>80</v>
      </c>
      <c r="G145" s="88">
        <v>67</v>
      </c>
      <c r="H145" s="88">
        <v>149</v>
      </c>
      <c r="I145" s="88">
        <v>85</v>
      </c>
      <c r="J145" s="88">
        <v>638</v>
      </c>
      <c r="K145" s="88">
        <v>2359</v>
      </c>
      <c r="L145" s="88">
        <v>2101</v>
      </c>
      <c r="M145" s="88">
        <v>715</v>
      </c>
      <c r="N145" s="88">
        <v>69</v>
      </c>
      <c r="O145" s="88">
        <v>63</v>
      </c>
      <c r="P145" s="88">
        <v>423</v>
      </c>
      <c r="Q145" s="88">
        <v>6826</v>
      </c>
    </row>
    <row r="146" spans="2:17" ht="12.75" customHeight="1" x14ac:dyDescent="0.2">
      <c r="B146" s="473" t="s">
        <v>346</v>
      </c>
      <c r="C146" s="96" t="s">
        <v>476</v>
      </c>
      <c r="D146" s="297" t="s">
        <v>270</v>
      </c>
      <c r="E146" s="97">
        <v>16</v>
      </c>
      <c r="F146" s="97">
        <v>20</v>
      </c>
      <c r="G146" s="97">
        <v>15</v>
      </c>
      <c r="H146" s="97">
        <v>36</v>
      </c>
      <c r="I146" s="97">
        <v>56</v>
      </c>
      <c r="J146" s="97">
        <v>53</v>
      </c>
      <c r="K146" s="102"/>
      <c r="L146" s="97">
        <v>55</v>
      </c>
      <c r="M146" s="97">
        <v>31</v>
      </c>
      <c r="N146" s="97">
        <v>15</v>
      </c>
      <c r="O146" s="97">
        <v>20</v>
      </c>
      <c r="P146" s="97">
        <v>3</v>
      </c>
      <c r="Q146" s="97">
        <v>320</v>
      </c>
    </row>
    <row r="147" spans="2:17" ht="12.75" customHeight="1" x14ac:dyDescent="0.2">
      <c r="B147" s="474"/>
      <c r="C147" s="98" t="s">
        <v>613</v>
      </c>
      <c r="D147" s="294" t="s">
        <v>271</v>
      </c>
      <c r="E147" s="100"/>
      <c r="F147" s="100"/>
      <c r="G147" s="100"/>
      <c r="H147" s="100"/>
      <c r="I147" s="100"/>
      <c r="J147" s="100"/>
      <c r="K147" s="99">
        <v>2</v>
      </c>
      <c r="L147" s="100"/>
      <c r="M147" s="100"/>
      <c r="N147" s="100"/>
      <c r="O147" s="100"/>
      <c r="P147" s="100"/>
      <c r="Q147" s="99">
        <v>2</v>
      </c>
    </row>
    <row r="148" spans="2:17" ht="12.75" customHeight="1" thickBot="1" x14ac:dyDescent="0.25">
      <c r="B148" s="475"/>
      <c r="C148" s="157" t="s">
        <v>17</v>
      </c>
      <c r="D148" s="104" t="s">
        <v>264</v>
      </c>
      <c r="E148" s="101">
        <v>16</v>
      </c>
      <c r="F148" s="101">
        <v>20</v>
      </c>
      <c r="G148" s="101">
        <v>15</v>
      </c>
      <c r="H148" s="101">
        <v>36</v>
      </c>
      <c r="I148" s="101">
        <v>56</v>
      </c>
      <c r="J148" s="101">
        <v>53</v>
      </c>
      <c r="K148" s="101">
        <v>2</v>
      </c>
      <c r="L148" s="101">
        <v>55</v>
      </c>
      <c r="M148" s="101">
        <v>31</v>
      </c>
      <c r="N148" s="101">
        <v>15</v>
      </c>
      <c r="O148" s="101">
        <v>20</v>
      </c>
      <c r="P148" s="101">
        <v>3</v>
      </c>
      <c r="Q148" s="101">
        <v>322</v>
      </c>
    </row>
    <row r="149" spans="2:17" ht="12.75" customHeight="1" thickBot="1" x14ac:dyDescent="0.25">
      <c r="B149" s="182" t="s">
        <v>347</v>
      </c>
      <c r="C149" s="90" t="s">
        <v>477</v>
      </c>
      <c r="D149" s="87" t="s">
        <v>270</v>
      </c>
      <c r="E149" s="88">
        <v>429</v>
      </c>
      <c r="F149" s="88">
        <v>570</v>
      </c>
      <c r="G149" s="88">
        <v>15</v>
      </c>
      <c r="H149" s="88">
        <v>65</v>
      </c>
      <c r="I149" s="88">
        <v>468</v>
      </c>
      <c r="J149" s="88">
        <v>527</v>
      </c>
      <c r="K149" s="88">
        <v>524</v>
      </c>
      <c r="L149" s="88">
        <v>433</v>
      </c>
      <c r="M149" s="88">
        <v>456</v>
      </c>
      <c r="N149" s="88">
        <v>583</v>
      </c>
      <c r="O149" s="88">
        <v>495</v>
      </c>
      <c r="P149" s="88">
        <v>296</v>
      </c>
      <c r="Q149" s="88">
        <v>4861</v>
      </c>
    </row>
    <row r="150" spans="2:17" ht="12.75" customHeight="1" x14ac:dyDescent="0.2">
      <c r="B150" s="473" t="s">
        <v>348</v>
      </c>
      <c r="C150" s="96" t="s">
        <v>478</v>
      </c>
      <c r="D150" s="477" t="s">
        <v>270</v>
      </c>
      <c r="E150" s="97">
        <v>455</v>
      </c>
      <c r="F150" s="97">
        <v>649</v>
      </c>
      <c r="G150" s="97">
        <v>131</v>
      </c>
      <c r="H150" s="97">
        <v>305</v>
      </c>
      <c r="I150" s="97">
        <v>281</v>
      </c>
      <c r="J150" s="97">
        <v>545</v>
      </c>
      <c r="K150" s="97">
        <v>551</v>
      </c>
      <c r="L150" s="97">
        <v>610</v>
      </c>
      <c r="M150" s="97">
        <v>562</v>
      </c>
      <c r="N150" s="97">
        <v>394</v>
      </c>
      <c r="O150" s="97">
        <v>518</v>
      </c>
      <c r="P150" s="97">
        <v>451</v>
      </c>
      <c r="Q150" s="97">
        <v>5452</v>
      </c>
    </row>
    <row r="151" spans="2:17" ht="12.75" customHeight="1" x14ac:dyDescent="0.2">
      <c r="B151" s="474"/>
      <c r="C151" s="98" t="s">
        <v>479</v>
      </c>
      <c r="D151" s="478"/>
      <c r="E151" s="99">
        <v>1356</v>
      </c>
      <c r="F151" s="99">
        <v>897</v>
      </c>
      <c r="G151" s="99">
        <v>352</v>
      </c>
      <c r="H151" s="99">
        <v>519</v>
      </c>
      <c r="I151" s="99">
        <v>481</v>
      </c>
      <c r="J151" s="99">
        <v>1049</v>
      </c>
      <c r="K151" s="99">
        <v>1151</v>
      </c>
      <c r="L151" s="99">
        <v>1370</v>
      </c>
      <c r="M151" s="99">
        <v>1404</v>
      </c>
      <c r="N151" s="99">
        <v>1266</v>
      </c>
      <c r="O151" s="99">
        <v>1058</v>
      </c>
      <c r="P151" s="99">
        <v>842</v>
      </c>
      <c r="Q151" s="99">
        <v>11745</v>
      </c>
    </row>
    <row r="152" spans="2:17" ht="12.75" customHeight="1" x14ac:dyDescent="0.2">
      <c r="B152" s="474"/>
      <c r="C152" s="98" t="s">
        <v>359</v>
      </c>
      <c r="D152" s="478"/>
      <c r="E152" s="99">
        <v>122</v>
      </c>
      <c r="F152" s="99">
        <v>164</v>
      </c>
      <c r="G152" s="99">
        <v>2</v>
      </c>
      <c r="H152" s="99">
        <v>20</v>
      </c>
      <c r="I152" s="99">
        <v>35</v>
      </c>
      <c r="J152" s="99">
        <v>103</v>
      </c>
      <c r="K152" s="99">
        <v>79</v>
      </c>
      <c r="L152" s="99">
        <v>55</v>
      </c>
      <c r="M152" s="99">
        <v>92</v>
      </c>
      <c r="N152" s="99">
        <v>46</v>
      </c>
      <c r="O152" s="99">
        <v>69</v>
      </c>
      <c r="P152" s="99">
        <v>24</v>
      </c>
      <c r="Q152" s="99">
        <v>811</v>
      </c>
    </row>
    <row r="153" spans="2:17" ht="12.75" customHeight="1" x14ac:dyDescent="0.2">
      <c r="B153" s="474"/>
      <c r="C153" s="98" t="s">
        <v>480</v>
      </c>
      <c r="D153" s="294" t="s">
        <v>271</v>
      </c>
      <c r="E153" s="99">
        <v>1951</v>
      </c>
      <c r="F153" s="99">
        <v>2617</v>
      </c>
      <c r="G153" s="99">
        <v>2491</v>
      </c>
      <c r="H153" s="99">
        <v>3554</v>
      </c>
      <c r="I153" s="99">
        <v>3653</v>
      </c>
      <c r="J153" s="99">
        <v>7578</v>
      </c>
      <c r="K153" s="99">
        <v>13946</v>
      </c>
      <c r="L153" s="99">
        <v>9080</v>
      </c>
      <c r="M153" s="99">
        <v>4275</v>
      </c>
      <c r="N153" s="99">
        <v>2787</v>
      </c>
      <c r="O153" s="99">
        <v>1568</v>
      </c>
      <c r="P153" s="99">
        <v>2401</v>
      </c>
      <c r="Q153" s="99">
        <v>55901</v>
      </c>
    </row>
    <row r="154" spans="2:17" ht="12.75" customHeight="1" thickBot="1" x14ac:dyDescent="0.25">
      <c r="B154" s="475"/>
      <c r="C154" s="298" t="s">
        <v>17</v>
      </c>
      <c r="D154" s="104" t="s">
        <v>264</v>
      </c>
      <c r="E154" s="101">
        <v>3884</v>
      </c>
      <c r="F154" s="101">
        <v>4327</v>
      </c>
      <c r="G154" s="101">
        <v>2976</v>
      </c>
      <c r="H154" s="101">
        <v>4398</v>
      </c>
      <c r="I154" s="101">
        <v>4450</v>
      </c>
      <c r="J154" s="101">
        <v>9275</v>
      </c>
      <c r="K154" s="101">
        <v>15727</v>
      </c>
      <c r="L154" s="101">
        <v>11115</v>
      </c>
      <c r="M154" s="101">
        <v>6333</v>
      </c>
      <c r="N154" s="101">
        <v>4493</v>
      </c>
      <c r="O154" s="101">
        <v>3213</v>
      </c>
      <c r="P154" s="101">
        <v>3718</v>
      </c>
      <c r="Q154" s="101">
        <v>73909</v>
      </c>
    </row>
    <row r="155" spans="2:17" ht="12.75" customHeight="1" x14ac:dyDescent="0.2">
      <c r="B155" s="473" t="s">
        <v>349</v>
      </c>
      <c r="C155" s="84" t="s">
        <v>481</v>
      </c>
      <c r="D155" s="295" t="s">
        <v>270</v>
      </c>
      <c r="E155" s="86"/>
      <c r="F155" s="86"/>
      <c r="G155" s="85">
        <v>39</v>
      </c>
      <c r="H155" s="85">
        <v>9</v>
      </c>
      <c r="I155" s="85">
        <v>5</v>
      </c>
      <c r="J155" s="85">
        <v>10</v>
      </c>
      <c r="K155" s="85">
        <v>22</v>
      </c>
      <c r="L155" s="85">
        <v>3542</v>
      </c>
      <c r="M155" s="85">
        <v>4078</v>
      </c>
      <c r="N155" s="85">
        <v>4131</v>
      </c>
      <c r="O155" s="86"/>
      <c r="P155" s="85">
        <v>42</v>
      </c>
      <c r="Q155" s="85">
        <v>11878</v>
      </c>
    </row>
    <row r="156" spans="2:17" ht="12.75" customHeight="1" x14ac:dyDescent="0.2">
      <c r="B156" s="474"/>
      <c r="C156" s="84" t="s">
        <v>482</v>
      </c>
      <c r="D156" s="295" t="s">
        <v>271</v>
      </c>
      <c r="E156" s="86"/>
      <c r="F156" s="86"/>
      <c r="G156" s="86"/>
      <c r="H156" s="86"/>
      <c r="I156" s="86"/>
      <c r="J156" s="86"/>
      <c r="K156" s="85">
        <v>2</v>
      </c>
      <c r="L156" s="86"/>
      <c r="M156" s="86"/>
      <c r="N156" s="86"/>
      <c r="O156" s="85">
        <v>3</v>
      </c>
      <c r="P156" s="86"/>
      <c r="Q156" s="85">
        <v>5</v>
      </c>
    </row>
    <row r="157" spans="2:17" ht="12.75" customHeight="1" thickBot="1" x14ac:dyDescent="0.25">
      <c r="B157" s="475"/>
      <c r="C157" s="296" t="s">
        <v>17</v>
      </c>
      <c r="D157" s="87" t="s">
        <v>264</v>
      </c>
      <c r="E157" s="89"/>
      <c r="F157" s="89"/>
      <c r="G157" s="88">
        <v>39</v>
      </c>
      <c r="H157" s="88">
        <v>9</v>
      </c>
      <c r="I157" s="88">
        <v>5</v>
      </c>
      <c r="J157" s="88">
        <v>10</v>
      </c>
      <c r="K157" s="88">
        <v>24</v>
      </c>
      <c r="L157" s="88">
        <v>3542</v>
      </c>
      <c r="M157" s="88">
        <v>4078</v>
      </c>
      <c r="N157" s="88">
        <v>4131</v>
      </c>
      <c r="O157" s="88">
        <v>3</v>
      </c>
      <c r="P157" s="88">
        <v>42</v>
      </c>
      <c r="Q157" s="88">
        <v>11883</v>
      </c>
    </row>
    <row r="158" spans="2:17" ht="12.75" customHeight="1" thickBot="1" x14ac:dyDescent="0.25">
      <c r="B158" s="195" t="s">
        <v>350</v>
      </c>
      <c r="C158" s="103" t="s">
        <v>483</v>
      </c>
      <c r="D158" s="92" t="s">
        <v>271</v>
      </c>
      <c r="E158" s="94">
        <v>11</v>
      </c>
      <c r="F158" s="93"/>
      <c r="G158" s="94">
        <v>5</v>
      </c>
      <c r="H158" s="94">
        <v>1</v>
      </c>
      <c r="I158" s="93"/>
      <c r="J158" s="94">
        <v>2</v>
      </c>
      <c r="K158" s="93"/>
      <c r="L158" s="94">
        <v>80</v>
      </c>
      <c r="M158" s="94">
        <v>78</v>
      </c>
      <c r="N158" s="94">
        <v>201</v>
      </c>
      <c r="O158" s="94">
        <v>15</v>
      </c>
      <c r="P158" s="93"/>
      <c r="Q158" s="94">
        <v>393</v>
      </c>
    </row>
    <row r="159" spans="2:17" ht="12.75" customHeight="1" x14ac:dyDescent="0.2">
      <c r="B159" s="473" t="s">
        <v>353</v>
      </c>
      <c r="C159" s="84" t="s">
        <v>484</v>
      </c>
      <c r="D159" s="295" t="s">
        <v>271</v>
      </c>
      <c r="E159" s="85">
        <v>532</v>
      </c>
      <c r="F159" s="85">
        <v>76</v>
      </c>
      <c r="G159" s="85">
        <v>96</v>
      </c>
      <c r="H159" s="85">
        <v>205</v>
      </c>
      <c r="I159" s="85">
        <v>200</v>
      </c>
      <c r="J159" s="85">
        <v>97</v>
      </c>
      <c r="K159" s="85">
        <v>2300</v>
      </c>
      <c r="L159" s="85">
        <v>3360</v>
      </c>
      <c r="M159" s="85">
        <v>2212</v>
      </c>
      <c r="N159" s="85">
        <v>494</v>
      </c>
      <c r="O159" s="85">
        <v>101</v>
      </c>
      <c r="P159" s="85">
        <v>65</v>
      </c>
      <c r="Q159" s="85">
        <v>9738</v>
      </c>
    </row>
    <row r="160" spans="2:17" ht="12.75" customHeight="1" x14ac:dyDescent="0.2">
      <c r="B160" s="474"/>
      <c r="C160" s="84" t="s">
        <v>485</v>
      </c>
      <c r="D160" s="476" t="s">
        <v>270</v>
      </c>
      <c r="E160" s="85">
        <v>52</v>
      </c>
      <c r="F160" s="85">
        <v>47</v>
      </c>
      <c r="G160" s="85">
        <v>67</v>
      </c>
      <c r="H160" s="85">
        <v>35</v>
      </c>
      <c r="I160" s="85">
        <v>56</v>
      </c>
      <c r="J160" s="85">
        <v>120</v>
      </c>
      <c r="K160" s="85">
        <v>172</v>
      </c>
      <c r="L160" s="85">
        <v>153</v>
      </c>
      <c r="M160" s="85">
        <v>137</v>
      </c>
      <c r="N160" s="85">
        <v>128</v>
      </c>
      <c r="O160" s="85">
        <v>123</v>
      </c>
      <c r="P160" s="85">
        <v>138</v>
      </c>
      <c r="Q160" s="85">
        <v>1228</v>
      </c>
    </row>
    <row r="161" spans="2:17" ht="12.75" customHeight="1" x14ac:dyDescent="0.2">
      <c r="B161" s="474"/>
      <c r="C161" s="84" t="s">
        <v>486</v>
      </c>
      <c r="D161" s="476"/>
      <c r="E161" s="85">
        <v>55</v>
      </c>
      <c r="F161" s="85">
        <v>93</v>
      </c>
      <c r="G161" s="85">
        <v>37</v>
      </c>
      <c r="H161" s="85">
        <v>50</v>
      </c>
      <c r="I161" s="85">
        <v>35</v>
      </c>
      <c r="J161" s="85">
        <v>71</v>
      </c>
      <c r="K161" s="85">
        <v>36</v>
      </c>
      <c r="L161" s="85">
        <v>59</v>
      </c>
      <c r="M161" s="85">
        <v>33</v>
      </c>
      <c r="N161" s="85">
        <v>79</v>
      </c>
      <c r="O161" s="85">
        <v>24</v>
      </c>
      <c r="P161" s="85">
        <v>28</v>
      </c>
      <c r="Q161" s="85">
        <v>600</v>
      </c>
    </row>
    <row r="162" spans="2:17" ht="12.75" customHeight="1" x14ac:dyDescent="0.2">
      <c r="B162" s="474"/>
      <c r="C162" s="84" t="s">
        <v>487</v>
      </c>
      <c r="D162" s="476"/>
      <c r="E162" s="85">
        <v>73</v>
      </c>
      <c r="F162" s="85">
        <v>151</v>
      </c>
      <c r="G162" s="85">
        <v>150</v>
      </c>
      <c r="H162" s="85">
        <v>113</v>
      </c>
      <c r="I162" s="85">
        <v>153</v>
      </c>
      <c r="J162" s="85">
        <v>449</v>
      </c>
      <c r="K162" s="85">
        <v>428</v>
      </c>
      <c r="L162" s="85">
        <v>405</v>
      </c>
      <c r="M162" s="85">
        <v>452</v>
      </c>
      <c r="N162" s="85">
        <v>553</v>
      </c>
      <c r="O162" s="85">
        <v>587</v>
      </c>
      <c r="P162" s="85">
        <v>605</v>
      </c>
      <c r="Q162" s="85">
        <v>4119</v>
      </c>
    </row>
    <row r="163" spans="2:17" ht="12.75" customHeight="1" thickBot="1" x14ac:dyDescent="0.25">
      <c r="B163" s="475"/>
      <c r="C163" s="90" t="s">
        <v>17</v>
      </c>
      <c r="D163" s="87" t="s">
        <v>264</v>
      </c>
      <c r="E163" s="88">
        <v>712</v>
      </c>
      <c r="F163" s="88">
        <v>367</v>
      </c>
      <c r="G163" s="88">
        <v>350</v>
      </c>
      <c r="H163" s="88">
        <v>403</v>
      </c>
      <c r="I163" s="88">
        <v>444</v>
      </c>
      <c r="J163" s="88">
        <v>737</v>
      </c>
      <c r="K163" s="88">
        <v>2936</v>
      </c>
      <c r="L163" s="88">
        <v>3977</v>
      </c>
      <c r="M163" s="88">
        <v>2834</v>
      </c>
      <c r="N163" s="88">
        <v>1254</v>
      </c>
      <c r="O163" s="88">
        <v>835</v>
      </c>
      <c r="P163" s="88">
        <v>836</v>
      </c>
      <c r="Q163" s="88">
        <v>15685</v>
      </c>
    </row>
    <row r="164" spans="2:17" ht="12.75" customHeight="1" x14ac:dyDescent="0.2">
      <c r="B164" s="473" t="s">
        <v>354</v>
      </c>
      <c r="C164" s="96" t="s">
        <v>488</v>
      </c>
      <c r="D164" s="297" t="s">
        <v>270</v>
      </c>
      <c r="E164" s="97">
        <v>119</v>
      </c>
      <c r="F164" s="97">
        <v>102</v>
      </c>
      <c r="G164" s="97">
        <v>223</v>
      </c>
      <c r="H164" s="97">
        <v>190</v>
      </c>
      <c r="I164" s="97">
        <v>117</v>
      </c>
      <c r="J164" s="97">
        <v>185</v>
      </c>
      <c r="K164" s="97">
        <v>126</v>
      </c>
      <c r="L164" s="97">
        <v>178</v>
      </c>
      <c r="M164" s="97">
        <v>1871</v>
      </c>
      <c r="N164" s="97">
        <v>3103</v>
      </c>
      <c r="O164" s="97">
        <v>410</v>
      </c>
      <c r="P164" s="97">
        <v>444</v>
      </c>
      <c r="Q164" s="97">
        <v>7068</v>
      </c>
    </row>
    <row r="165" spans="2:17" ht="12.75" customHeight="1" x14ac:dyDescent="0.2">
      <c r="B165" s="474"/>
      <c r="C165" s="98" t="s">
        <v>489</v>
      </c>
      <c r="D165" s="294" t="s">
        <v>271</v>
      </c>
      <c r="E165" s="99">
        <v>3817</v>
      </c>
      <c r="F165" s="99">
        <v>2623</v>
      </c>
      <c r="G165" s="99">
        <v>2946</v>
      </c>
      <c r="H165" s="99">
        <v>2965</v>
      </c>
      <c r="I165" s="99">
        <v>16927</v>
      </c>
      <c r="J165" s="99">
        <v>41347</v>
      </c>
      <c r="K165" s="99">
        <v>105146</v>
      </c>
      <c r="L165" s="99">
        <v>108129</v>
      </c>
      <c r="M165" s="99">
        <v>36796</v>
      </c>
      <c r="N165" s="99">
        <v>15239</v>
      </c>
      <c r="O165" s="99">
        <v>6731</v>
      </c>
      <c r="P165" s="99">
        <v>8546</v>
      </c>
      <c r="Q165" s="99">
        <v>351212</v>
      </c>
    </row>
    <row r="166" spans="2:17" ht="12.75" customHeight="1" thickBot="1" x14ac:dyDescent="0.25">
      <c r="B166" s="475"/>
      <c r="C166" s="157" t="s">
        <v>17</v>
      </c>
      <c r="D166" s="104" t="s">
        <v>264</v>
      </c>
      <c r="E166" s="101">
        <v>3936</v>
      </c>
      <c r="F166" s="101">
        <v>2725</v>
      </c>
      <c r="G166" s="101">
        <v>3169</v>
      </c>
      <c r="H166" s="101">
        <v>3155</v>
      </c>
      <c r="I166" s="101">
        <v>17044</v>
      </c>
      <c r="J166" s="101">
        <v>41532</v>
      </c>
      <c r="K166" s="101">
        <v>105272</v>
      </c>
      <c r="L166" s="101">
        <v>108307</v>
      </c>
      <c r="M166" s="101">
        <v>38667</v>
      </c>
      <c r="N166" s="101">
        <v>18342</v>
      </c>
      <c r="O166" s="101">
        <v>7141</v>
      </c>
      <c r="P166" s="101">
        <v>8990</v>
      </c>
      <c r="Q166" s="101">
        <v>358280</v>
      </c>
    </row>
    <row r="167" spans="2:17" ht="12.75" customHeight="1" x14ac:dyDescent="0.2">
      <c r="B167" s="473" t="s">
        <v>351</v>
      </c>
      <c r="C167" s="84" t="s">
        <v>490</v>
      </c>
      <c r="D167" s="295" t="s">
        <v>272</v>
      </c>
      <c r="E167" s="85">
        <v>1</v>
      </c>
      <c r="F167" s="85">
        <v>8</v>
      </c>
      <c r="G167" s="85">
        <v>2</v>
      </c>
      <c r="H167" s="85">
        <v>5</v>
      </c>
      <c r="I167" s="85">
        <v>121</v>
      </c>
      <c r="J167" s="85">
        <v>14</v>
      </c>
      <c r="K167" s="85">
        <v>6</v>
      </c>
      <c r="L167" s="85">
        <v>5</v>
      </c>
      <c r="M167" s="85">
        <v>163</v>
      </c>
      <c r="N167" s="85">
        <v>2</v>
      </c>
      <c r="O167" s="85">
        <v>1</v>
      </c>
      <c r="P167" s="85">
        <v>4</v>
      </c>
      <c r="Q167" s="85">
        <v>332</v>
      </c>
    </row>
    <row r="168" spans="2:17" ht="12.75" customHeight="1" x14ac:dyDescent="0.2">
      <c r="B168" s="474"/>
      <c r="C168" s="84" t="s">
        <v>491</v>
      </c>
      <c r="D168" s="295" t="s">
        <v>271</v>
      </c>
      <c r="E168" s="86"/>
      <c r="F168" s="86"/>
      <c r="G168" s="86"/>
      <c r="H168" s="86"/>
      <c r="I168" s="86"/>
      <c r="J168" s="86"/>
      <c r="K168" s="86"/>
      <c r="L168" s="86"/>
      <c r="M168" s="86"/>
      <c r="N168" s="86"/>
      <c r="O168" s="85">
        <v>1</v>
      </c>
      <c r="P168" s="85">
        <v>4</v>
      </c>
      <c r="Q168" s="85">
        <v>5</v>
      </c>
    </row>
    <row r="169" spans="2:17" ht="12.75" customHeight="1" thickBot="1" x14ac:dyDescent="0.25">
      <c r="B169" s="475"/>
      <c r="C169" s="90" t="s">
        <v>17</v>
      </c>
      <c r="D169" s="87" t="s">
        <v>264</v>
      </c>
      <c r="E169" s="88">
        <v>1</v>
      </c>
      <c r="F169" s="88">
        <v>8</v>
      </c>
      <c r="G169" s="88">
        <v>2</v>
      </c>
      <c r="H169" s="88">
        <v>5</v>
      </c>
      <c r="I169" s="88">
        <v>121</v>
      </c>
      <c r="J169" s="88">
        <v>14</v>
      </c>
      <c r="K169" s="88">
        <v>6</v>
      </c>
      <c r="L169" s="88">
        <v>5</v>
      </c>
      <c r="M169" s="88">
        <v>163</v>
      </c>
      <c r="N169" s="88">
        <v>2</v>
      </c>
      <c r="O169" s="88">
        <v>2</v>
      </c>
      <c r="P169" s="88">
        <v>8</v>
      </c>
      <c r="Q169" s="88">
        <v>337</v>
      </c>
    </row>
    <row r="170" spans="2:17" ht="12.75" customHeight="1" thickBot="1" x14ac:dyDescent="0.25">
      <c r="B170" s="195" t="s">
        <v>355</v>
      </c>
      <c r="C170" s="103" t="s">
        <v>492</v>
      </c>
      <c r="D170" s="92" t="s">
        <v>271</v>
      </c>
      <c r="E170" s="93"/>
      <c r="F170" s="93"/>
      <c r="G170" s="94">
        <v>5</v>
      </c>
      <c r="H170" s="94">
        <v>7</v>
      </c>
      <c r="I170" s="93"/>
      <c r="J170" s="94">
        <v>6</v>
      </c>
      <c r="K170" s="94">
        <v>5</v>
      </c>
      <c r="L170" s="93"/>
      <c r="M170" s="94">
        <v>2</v>
      </c>
      <c r="N170" s="94">
        <v>16</v>
      </c>
      <c r="O170" s="93"/>
      <c r="P170" s="93"/>
      <c r="Q170" s="94">
        <v>41</v>
      </c>
    </row>
    <row r="171" spans="2:17" ht="12.75" customHeight="1" x14ac:dyDescent="0.2">
      <c r="B171" s="473" t="s">
        <v>356</v>
      </c>
      <c r="C171" s="296" t="s">
        <v>493</v>
      </c>
      <c r="D171" s="293" t="s">
        <v>273</v>
      </c>
      <c r="E171" s="85">
        <v>8</v>
      </c>
      <c r="F171" s="85">
        <v>8</v>
      </c>
      <c r="G171" s="85">
        <v>8</v>
      </c>
      <c r="H171" s="85">
        <v>8</v>
      </c>
      <c r="I171" s="85">
        <v>10</v>
      </c>
      <c r="J171" s="85">
        <v>15</v>
      </c>
      <c r="K171" s="85">
        <v>8</v>
      </c>
      <c r="L171" s="85">
        <v>7</v>
      </c>
      <c r="M171" s="85">
        <v>9</v>
      </c>
      <c r="N171" s="85">
        <v>36</v>
      </c>
      <c r="O171" s="85">
        <v>8</v>
      </c>
      <c r="P171" s="85">
        <v>8</v>
      </c>
      <c r="Q171" s="85">
        <v>133</v>
      </c>
    </row>
    <row r="172" spans="2:17" ht="12.75" customHeight="1" x14ac:dyDescent="0.2">
      <c r="B172" s="474"/>
      <c r="C172" s="296" t="s">
        <v>494</v>
      </c>
      <c r="D172" s="293" t="s">
        <v>272</v>
      </c>
      <c r="E172" s="85">
        <v>10097</v>
      </c>
      <c r="F172" s="85">
        <v>17534</v>
      </c>
      <c r="G172" s="85">
        <v>48152</v>
      </c>
      <c r="H172" s="85">
        <v>18420</v>
      </c>
      <c r="I172" s="85">
        <v>26681</v>
      </c>
      <c r="J172" s="85">
        <v>35779</v>
      </c>
      <c r="K172" s="85">
        <v>47718</v>
      </c>
      <c r="L172" s="85">
        <v>60723</v>
      </c>
      <c r="M172" s="85">
        <v>81715</v>
      </c>
      <c r="N172" s="85">
        <v>36133</v>
      </c>
      <c r="O172" s="85">
        <v>29126</v>
      </c>
      <c r="P172" s="85">
        <v>23971</v>
      </c>
      <c r="Q172" s="85">
        <v>436049</v>
      </c>
    </row>
    <row r="173" spans="2:17" ht="12.75" customHeight="1" x14ac:dyDescent="0.2">
      <c r="B173" s="474"/>
      <c r="C173" s="296" t="s">
        <v>495</v>
      </c>
      <c r="D173" s="293" t="s">
        <v>271</v>
      </c>
      <c r="E173" s="85">
        <v>14</v>
      </c>
      <c r="F173" s="85">
        <v>132</v>
      </c>
      <c r="G173" s="85">
        <v>12</v>
      </c>
      <c r="H173" s="85">
        <v>17</v>
      </c>
      <c r="I173" s="86"/>
      <c r="J173" s="85">
        <v>19</v>
      </c>
      <c r="K173" s="85">
        <v>4</v>
      </c>
      <c r="L173" s="85">
        <v>7</v>
      </c>
      <c r="M173" s="86"/>
      <c r="N173" s="86"/>
      <c r="O173" s="86"/>
      <c r="P173" s="86"/>
      <c r="Q173" s="85">
        <v>205</v>
      </c>
    </row>
    <row r="174" spans="2:17" ht="12.75" customHeight="1" thickBot="1" x14ac:dyDescent="0.25">
      <c r="B174" s="475"/>
      <c r="C174" s="90" t="s">
        <v>17</v>
      </c>
      <c r="D174" s="87" t="s">
        <v>264</v>
      </c>
      <c r="E174" s="88">
        <v>10119</v>
      </c>
      <c r="F174" s="88">
        <v>17674</v>
      </c>
      <c r="G174" s="88">
        <v>48172</v>
      </c>
      <c r="H174" s="88">
        <v>18445</v>
      </c>
      <c r="I174" s="88">
        <v>26691</v>
      </c>
      <c r="J174" s="88">
        <v>35813</v>
      </c>
      <c r="K174" s="88">
        <v>47730</v>
      </c>
      <c r="L174" s="88">
        <v>60737</v>
      </c>
      <c r="M174" s="88">
        <v>81724</v>
      </c>
      <c r="N174" s="88">
        <v>36169</v>
      </c>
      <c r="O174" s="88">
        <v>29134</v>
      </c>
      <c r="P174" s="88">
        <v>23979</v>
      </c>
      <c r="Q174" s="88">
        <v>436387</v>
      </c>
    </row>
    <row r="175" spans="2:17" ht="12.75" customHeight="1" x14ac:dyDescent="0.2">
      <c r="B175" s="473" t="s">
        <v>358</v>
      </c>
      <c r="C175" s="96" t="s">
        <v>499</v>
      </c>
      <c r="D175" s="297" t="s">
        <v>271</v>
      </c>
      <c r="E175" s="97">
        <v>372</v>
      </c>
      <c r="F175" s="97">
        <v>367</v>
      </c>
      <c r="G175" s="97">
        <v>599</v>
      </c>
      <c r="H175" s="97">
        <v>1060</v>
      </c>
      <c r="I175" s="97">
        <v>1213</v>
      </c>
      <c r="J175" s="97">
        <v>2746</v>
      </c>
      <c r="K175" s="97">
        <v>5849</v>
      </c>
      <c r="L175" s="97">
        <v>3499</v>
      </c>
      <c r="M175" s="97">
        <v>2049</v>
      </c>
      <c r="N175" s="97">
        <v>1553</v>
      </c>
      <c r="O175" s="97">
        <v>679</v>
      </c>
      <c r="P175" s="97">
        <v>1004</v>
      </c>
      <c r="Q175" s="97">
        <v>20990</v>
      </c>
    </row>
    <row r="176" spans="2:17" ht="12.75" customHeight="1" x14ac:dyDescent="0.2">
      <c r="B176" s="474"/>
      <c r="C176" s="98" t="s">
        <v>496</v>
      </c>
      <c r="D176" s="478" t="s">
        <v>270</v>
      </c>
      <c r="E176" s="99">
        <v>131</v>
      </c>
      <c r="F176" s="99">
        <v>145</v>
      </c>
      <c r="G176" s="99">
        <v>117</v>
      </c>
      <c r="H176" s="99">
        <v>164</v>
      </c>
      <c r="I176" s="99">
        <v>220</v>
      </c>
      <c r="J176" s="99">
        <v>465</v>
      </c>
      <c r="K176" s="99">
        <v>446</v>
      </c>
      <c r="L176" s="99">
        <v>631</v>
      </c>
      <c r="M176" s="99">
        <v>567</v>
      </c>
      <c r="N176" s="99">
        <v>475</v>
      </c>
      <c r="O176" s="99">
        <v>216</v>
      </c>
      <c r="P176" s="99">
        <v>509</v>
      </c>
      <c r="Q176" s="99">
        <v>4086</v>
      </c>
    </row>
    <row r="177" spans="2:17" ht="12.75" customHeight="1" x14ac:dyDescent="0.2">
      <c r="B177" s="474"/>
      <c r="C177" s="98" t="s">
        <v>497</v>
      </c>
      <c r="D177" s="478"/>
      <c r="E177" s="99">
        <v>124</v>
      </c>
      <c r="F177" s="99">
        <v>195</v>
      </c>
      <c r="G177" s="99">
        <v>227</v>
      </c>
      <c r="H177" s="99">
        <v>152</v>
      </c>
      <c r="I177" s="99">
        <v>217</v>
      </c>
      <c r="J177" s="99">
        <v>358</v>
      </c>
      <c r="K177" s="99">
        <v>478</v>
      </c>
      <c r="L177" s="99">
        <v>289</v>
      </c>
      <c r="M177" s="99">
        <v>234</v>
      </c>
      <c r="N177" s="99">
        <v>617</v>
      </c>
      <c r="O177" s="99">
        <v>867</v>
      </c>
      <c r="P177" s="99">
        <v>579</v>
      </c>
      <c r="Q177" s="99">
        <v>4337</v>
      </c>
    </row>
    <row r="178" spans="2:17" ht="12.75" customHeight="1" x14ac:dyDescent="0.2">
      <c r="B178" s="474"/>
      <c r="C178" s="98" t="s">
        <v>498</v>
      </c>
      <c r="D178" s="478"/>
      <c r="E178" s="99">
        <v>74</v>
      </c>
      <c r="F178" s="99">
        <v>144</v>
      </c>
      <c r="G178" s="99">
        <v>195</v>
      </c>
      <c r="H178" s="99">
        <v>289</v>
      </c>
      <c r="I178" s="99">
        <v>359</v>
      </c>
      <c r="J178" s="99">
        <v>494</v>
      </c>
      <c r="K178" s="99">
        <v>293</v>
      </c>
      <c r="L178" s="99">
        <v>334</v>
      </c>
      <c r="M178" s="99">
        <v>456</v>
      </c>
      <c r="N178" s="99">
        <v>744</v>
      </c>
      <c r="O178" s="99">
        <v>537</v>
      </c>
      <c r="P178" s="99">
        <v>477</v>
      </c>
      <c r="Q178" s="99">
        <v>4396</v>
      </c>
    </row>
    <row r="179" spans="2:17" ht="12.75" customHeight="1" thickBot="1" x14ac:dyDescent="0.25">
      <c r="B179" s="475"/>
      <c r="C179" s="298" t="s">
        <v>17</v>
      </c>
      <c r="D179" s="104" t="s">
        <v>264</v>
      </c>
      <c r="E179" s="101">
        <v>701</v>
      </c>
      <c r="F179" s="101">
        <v>851</v>
      </c>
      <c r="G179" s="101">
        <v>1138</v>
      </c>
      <c r="H179" s="101">
        <v>1665</v>
      </c>
      <c r="I179" s="101">
        <v>2009</v>
      </c>
      <c r="J179" s="101">
        <v>4063</v>
      </c>
      <c r="K179" s="101">
        <v>7066</v>
      </c>
      <c r="L179" s="101">
        <v>4753</v>
      </c>
      <c r="M179" s="101">
        <v>3306</v>
      </c>
      <c r="N179" s="101">
        <v>3389</v>
      </c>
      <c r="O179" s="101">
        <v>2299</v>
      </c>
      <c r="P179" s="101">
        <v>2569</v>
      </c>
      <c r="Q179" s="101">
        <v>33809</v>
      </c>
    </row>
    <row r="180" spans="2:17" ht="12.75" customHeight="1" thickBot="1" x14ac:dyDescent="0.25">
      <c r="B180" s="195" t="s">
        <v>313</v>
      </c>
      <c r="C180" s="103" t="s">
        <v>509</v>
      </c>
      <c r="D180" s="92" t="s">
        <v>271</v>
      </c>
      <c r="E180" s="93"/>
      <c r="F180" s="94">
        <v>1</v>
      </c>
      <c r="G180" s="93"/>
      <c r="H180" s="93"/>
      <c r="I180" s="93"/>
      <c r="J180" s="93"/>
      <c r="K180" s="93"/>
      <c r="L180" s="93"/>
      <c r="M180" s="93"/>
      <c r="N180" s="93"/>
      <c r="O180" s="93"/>
      <c r="P180" s="93"/>
      <c r="Q180" s="94">
        <v>1</v>
      </c>
    </row>
    <row r="181" spans="2:17" ht="12.75" customHeight="1" thickBot="1" x14ac:dyDescent="0.25">
      <c r="B181" s="195" t="s">
        <v>352</v>
      </c>
      <c r="C181" s="103" t="s">
        <v>500</v>
      </c>
      <c r="D181" s="92" t="s">
        <v>272</v>
      </c>
      <c r="E181" s="94">
        <v>30951</v>
      </c>
      <c r="F181" s="94">
        <v>39522</v>
      </c>
      <c r="G181" s="94">
        <v>48833</v>
      </c>
      <c r="H181" s="94">
        <v>30957</v>
      </c>
      <c r="I181" s="94">
        <v>48219</v>
      </c>
      <c r="J181" s="94">
        <v>59222</v>
      </c>
      <c r="K181" s="94">
        <v>86117</v>
      </c>
      <c r="L181" s="94">
        <v>96615</v>
      </c>
      <c r="M181" s="94">
        <v>74054</v>
      </c>
      <c r="N181" s="94">
        <v>49978</v>
      </c>
      <c r="O181" s="94">
        <v>43675</v>
      </c>
      <c r="P181" s="94">
        <v>45296</v>
      </c>
      <c r="Q181" s="94">
        <v>653439</v>
      </c>
    </row>
    <row r="182" spans="2:17" ht="12.75" customHeight="1" x14ac:dyDescent="0.2">
      <c r="B182" s="473" t="s">
        <v>312</v>
      </c>
      <c r="C182" s="96" t="s">
        <v>501</v>
      </c>
      <c r="D182" s="477" t="s">
        <v>270</v>
      </c>
      <c r="E182" s="97">
        <v>116</v>
      </c>
      <c r="F182" s="97">
        <v>159</v>
      </c>
      <c r="G182" s="97">
        <v>198</v>
      </c>
      <c r="H182" s="97">
        <v>105</v>
      </c>
      <c r="I182" s="97">
        <v>150</v>
      </c>
      <c r="J182" s="97">
        <v>142</v>
      </c>
      <c r="K182" s="97">
        <v>112</v>
      </c>
      <c r="L182" s="97">
        <v>154</v>
      </c>
      <c r="M182" s="97">
        <v>87</v>
      </c>
      <c r="N182" s="97">
        <v>103</v>
      </c>
      <c r="O182" s="97">
        <v>67</v>
      </c>
      <c r="P182" s="97">
        <v>94</v>
      </c>
      <c r="Q182" s="97">
        <v>1487</v>
      </c>
    </row>
    <row r="183" spans="2:17" ht="12.75" customHeight="1" x14ac:dyDescent="0.2">
      <c r="B183" s="474"/>
      <c r="C183" s="98" t="s">
        <v>614</v>
      </c>
      <c r="D183" s="478"/>
      <c r="E183" s="100"/>
      <c r="F183" s="100"/>
      <c r="G183" s="100"/>
      <c r="H183" s="100"/>
      <c r="I183" s="100"/>
      <c r="J183" s="100"/>
      <c r="K183" s="100"/>
      <c r="L183" s="99">
        <v>328</v>
      </c>
      <c r="M183" s="99">
        <v>1661</v>
      </c>
      <c r="N183" s="99">
        <v>2803</v>
      </c>
      <c r="O183" s="100"/>
      <c r="P183" s="99">
        <v>447</v>
      </c>
      <c r="Q183" s="99">
        <v>5239</v>
      </c>
    </row>
    <row r="184" spans="2:17" ht="12.75" customHeight="1" thickBot="1" x14ac:dyDescent="0.25">
      <c r="B184" s="475"/>
      <c r="C184" s="157" t="s">
        <v>17</v>
      </c>
      <c r="D184" s="104" t="s">
        <v>264</v>
      </c>
      <c r="E184" s="101">
        <v>116</v>
      </c>
      <c r="F184" s="101">
        <v>159</v>
      </c>
      <c r="G184" s="101">
        <v>198</v>
      </c>
      <c r="H184" s="101">
        <v>105</v>
      </c>
      <c r="I184" s="101">
        <v>150</v>
      </c>
      <c r="J184" s="101">
        <v>142</v>
      </c>
      <c r="K184" s="101">
        <v>112</v>
      </c>
      <c r="L184" s="101">
        <v>482</v>
      </c>
      <c r="M184" s="101">
        <v>1748</v>
      </c>
      <c r="N184" s="101">
        <v>2906</v>
      </c>
      <c r="O184" s="101">
        <v>67</v>
      </c>
      <c r="P184" s="101">
        <v>541</v>
      </c>
      <c r="Q184" s="101">
        <v>6726</v>
      </c>
    </row>
    <row r="185" spans="2:17" ht="12.75" customHeight="1" x14ac:dyDescent="0.2">
      <c r="B185" s="473" t="s">
        <v>308</v>
      </c>
      <c r="C185" s="84" t="s">
        <v>502</v>
      </c>
      <c r="D185" s="477" t="s">
        <v>272</v>
      </c>
      <c r="E185" s="85">
        <v>91</v>
      </c>
      <c r="F185" s="85">
        <v>158</v>
      </c>
      <c r="G185" s="85">
        <v>231</v>
      </c>
      <c r="H185" s="85">
        <v>346</v>
      </c>
      <c r="I185" s="86"/>
      <c r="J185" s="85">
        <v>231</v>
      </c>
      <c r="K185" s="85">
        <v>2893</v>
      </c>
      <c r="L185" s="85">
        <v>3749</v>
      </c>
      <c r="M185" s="85">
        <v>4710</v>
      </c>
      <c r="N185" s="85">
        <v>3720</v>
      </c>
      <c r="O185" s="85">
        <v>3151</v>
      </c>
      <c r="P185" s="85">
        <v>3450</v>
      </c>
      <c r="Q185" s="85">
        <v>22730</v>
      </c>
    </row>
    <row r="186" spans="2:17" x14ac:dyDescent="0.2">
      <c r="B186" s="474"/>
      <c r="C186" s="84" t="s">
        <v>503</v>
      </c>
      <c r="D186" s="478"/>
      <c r="E186" s="85">
        <v>606</v>
      </c>
      <c r="F186" s="85">
        <v>1059</v>
      </c>
      <c r="G186" s="85">
        <v>1355</v>
      </c>
      <c r="H186" s="85">
        <v>3262</v>
      </c>
      <c r="I186" s="85">
        <v>5288</v>
      </c>
      <c r="J186" s="85">
        <v>7330</v>
      </c>
      <c r="K186" s="85">
        <v>6712</v>
      </c>
      <c r="L186" s="85">
        <v>7003</v>
      </c>
      <c r="M186" s="85">
        <v>7003</v>
      </c>
      <c r="N186" s="85">
        <v>5874</v>
      </c>
      <c r="O186" s="85">
        <v>5390</v>
      </c>
      <c r="P186" s="85">
        <v>5261</v>
      </c>
      <c r="Q186" s="85">
        <v>56143</v>
      </c>
    </row>
    <row r="187" spans="2:17" ht="13.5" thickBot="1" x14ac:dyDescent="0.25">
      <c r="B187" s="475"/>
      <c r="C187" s="90" t="s">
        <v>17</v>
      </c>
      <c r="D187" s="87" t="s">
        <v>264</v>
      </c>
      <c r="E187" s="88">
        <v>697</v>
      </c>
      <c r="F187" s="88">
        <v>1217</v>
      </c>
      <c r="G187" s="88">
        <v>1586</v>
      </c>
      <c r="H187" s="88">
        <v>3608</v>
      </c>
      <c r="I187" s="88">
        <v>5288</v>
      </c>
      <c r="J187" s="88">
        <v>7561</v>
      </c>
      <c r="K187" s="88">
        <v>9605</v>
      </c>
      <c r="L187" s="88">
        <v>10752</v>
      </c>
      <c r="M187" s="88">
        <v>11713</v>
      </c>
      <c r="N187" s="88">
        <v>9594</v>
      </c>
      <c r="O187" s="88">
        <v>8541</v>
      </c>
      <c r="P187" s="88">
        <v>8711</v>
      </c>
      <c r="Q187" s="88">
        <v>78873</v>
      </c>
    </row>
    <row r="188" spans="2:17" x14ac:dyDescent="0.2">
      <c r="B188" s="473" t="s">
        <v>327</v>
      </c>
      <c r="C188" s="96" t="s">
        <v>504</v>
      </c>
      <c r="D188" s="297" t="s">
        <v>272</v>
      </c>
      <c r="E188" s="97">
        <v>13600</v>
      </c>
      <c r="F188" s="97">
        <v>18131</v>
      </c>
      <c r="G188" s="97">
        <v>30142</v>
      </c>
      <c r="H188" s="97">
        <v>25811</v>
      </c>
      <c r="I188" s="97">
        <v>35730</v>
      </c>
      <c r="J188" s="97">
        <v>37218</v>
      </c>
      <c r="K188" s="97">
        <v>6140</v>
      </c>
      <c r="L188" s="97">
        <v>3692</v>
      </c>
      <c r="M188" s="97">
        <v>5476</v>
      </c>
      <c r="N188" s="97">
        <v>9108</v>
      </c>
      <c r="O188" s="97">
        <v>19162</v>
      </c>
      <c r="P188" s="97">
        <v>9860</v>
      </c>
      <c r="Q188" s="97">
        <v>214070</v>
      </c>
    </row>
    <row r="189" spans="2:17" x14ac:dyDescent="0.2">
      <c r="B189" s="474"/>
      <c r="C189" s="98" t="s">
        <v>510</v>
      </c>
      <c r="D189" s="294" t="s">
        <v>271</v>
      </c>
      <c r="E189" s="100"/>
      <c r="F189" s="100"/>
      <c r="G189" s="100"/>
      <c r="H189" s="99">
        <v>54</v>
      </c>
      <c r="I189" s="100"/>
      <c r="J189" s="99">
        <v>87</v>
      </c>
      <c r="K189" s="99">
        <v>7</v>
      </c>
      <c r="L189" s="99">
        <v>70</v>
      </c>
      <c r="M189" s="99">
        <v>28</v>
      </c>
      <c r="N189" s="99">
        <v>26</v>
      </c>
      <c r="O189" s="99">
        <v>15</v>
      </c>
      <c r="P189" s="100"/>
      <c r="Q189" s="99">
        <v>287</v>
      </c>
    </row>
    <row r="190" spans="2:17" ht="13.5" thickBot="1" x14ac:dyDescent="0.25">
      <c r="B190" s="475"/>
      <c r="C190" s="157" t="s">
        <v>17</v>
      </c>
      <c r="D190" s="104" t="s">
        <v>264</v>
      </c>
      <c r="E190" s="101">
        <v>13600</v>
      </c>
      <c r="F190" s="101">
        <v>18131</v>
      </c>
      <c r="G190" s="101">
        <v>30142</v>
      </c>
      <c r="H190" s="101">
        <v>25865</v>
      </c>
      <c r="I190" s="101">
        <v>35730</v>
      </c>
      <c r="J190" s="101">
        <v>37305</v>
      </c>
      <c r="K190" s="101">
        <v>6147</v>
      </c>
      <c r="L190" s="101">
        <v>3762</v>
      </c>
      <c r="M190" s="101">
        <v>5504</v>
      </c>
      <c r="N190" s="101">
        <v>9134</v>
      </c>
      <c r="O190" s="101">
        <v>19177</v>
      </c>
      <c r="P190" s="101">
        <v>9860</v>
      </c>
      <c r="Q190" s="101">
        <v>214357</v>
      </c>
    </row>
    <row r="191" spans="2:17" ht="13.5" thickBot="1" x14ac:dyDescent="0.25">
      <c r="B191" s="182" t="s">
        <v>357</v>
      </c>
      <c r="C191" s="90" t="s">
        <v>505</v>
      </c>
      <c r="D191" s="87" t="s">
        <v>270</v>
      </c>
      <c r="E191" s="88">
        <v>460</v>
      </c>
      <c r="F191" s="88">
        <v>516</v>
      </c>
      <c r="G191" s="88">
        <v>550</v>
      </c>
      <c r="H191" s="88">
        <v>504</v>
      </c>
      <c r="I191" s="88">
        <v>507</v>
      </c>
      <c r="J191" s="88">
        <v>630</v>
      </c>
      <c r="K191" s="88">
        <v>528</v>
      </c>
      <c r="L191" s="88">
        <v>674</v>
      </c>
      <c r="M191" s="88">
        <v>559</v>
      </c>
      <c r="N191" s="88">
        <v>559</v>
      </c>
      <c r="O191" s="88">
        <v>609</v>
      </c>
      <c r="P191" s="88">
        <v>674</v>
      </c>
      <c r="Q191" s="88">
        <v>6770</v>
      </c>
    </row>
    <row r="192" spans="2:17" x14ac:dyDescent="0.2">
      <c r="B192" s="473" t="s">
        <v>336</v>
      </c>
      <c r="C192" s="96" t="s">
        <v>506</v>
      </c>
      <c r="D192" s="297" t="s">
        <v>272</v>
      </c>
      <c r="E192" s="97">
        <v>4860</v>
      </c>
      <c r="F192" s="97">
        <v>5049</v>
      </c>
      <c r="G192" s="97">
        <v>5477</v>
      </c>
      <c r="H192" s="97">
        <v>3879</v>
      </c>
      <c r="I192" s="97">
        <v>6475</v>
      </c>
      <c r="J192" s="97">
        <v>7168</v>
      </c>
      <c r="K192" s="97">
        <v>5288</v>
      </c>
      <c r="L192" s="97">
        <v>5598</v>
      </c>
      <c r="M192" s="97">
        <v>5075</v>
      </c>
      <c r="N192" s="97">
        <v>4967</v>
      </c>
      <c r="O192" s="97">
        <v>4506</v>
      </c>
      <c r="P192" s="97">
        <v>4963</v>
      </c>
      <c r="Q192" s="97">
        <v>63305</v>
      </c>
    </row>
    <row r="193" spans="2:17" x14ac:dyDescent="0.2">
      <c r="B193" s="474"/>
      <c r="C193" s="98" t="s">
        <v>507</v>
      </c>
      <c r="D193" s="294" t="s">
        <v>273</v>
      </c>
      <c r="E193" s="99">
        <v>4</v>
      </c>
      <c r="F193" s="99">
        <v>12</v>
      </c>
      <c r="G193" s="99">
        <v>20</v>
      </c>
      <c r="H193" s="99">
        <v>53</v>
      </c>
      <c r="I193" s="99">
        <v>235</v>
      </c>
      <c r="J193" s="99">
        <v>97</v>
      </c>
      <c r="K193" s="99">
        <v>69</v>
      </c>
      <c r="L193" s="99">
        <v>56</v>
      </c>
      <c r="M193" s="99">
        <v>43</v>
      </c>
      <c r="N193" s="99">
        <v>102</v>
      </c>
      <c r="O193" s="99">
        <v>333</v>
      </c>
      <c r="P193" s="99">
        <v>396</v>
      </c>
      <c r="Q193" s="99">
        <v>1420</v>
      </c>
    </row>
    <row r="194" spans="2:17" ht="13.5" thickBot="1" x14ac:dyDescent="0.25">
      <c r="B194" s="475"/>
      <c r="C194" s="157" t="s">
        <v>17</v>
      </c>
      <c r="D194" s="236" t="s">
        <v>264</v>
      </c>
      <c r="E194" s="101">
        <v>4864</v>
      </c>
      <c r="F194" s="101">
        <v>5061</v>
      </c>
      <c r="G194" s="101">
        <v>5497</v>
      </c>
      <c r="H194" s="101">
        <v>3932</v>
      </c>
      <c r="I194" s="101">
        <v>6710</v>
      </c>
      <c r="J194" s="101">
        <v>7265</v>
      </c>
      <c r="K194" s="101">
        <v>5357</v>
      </c>
      <c r="L194" s="101">
        <v>5654</v>
      </c>
      <c r="M194" s="101">
        <v>5118</v>
      </c>
      <c r="N194" s="101">
        <v>5069</v>
      </c>
      <c r="O194" s="101">
        <v>4839</v>
      </c>
      <c r="P194" s="101">
        <v>5359</v>
      </c>
      <c r="Q194" s="101">
        <v>64725</v>
      </c>
    </row>
    <row r="195" spans="2:17" ht="13.5" thickBot="1" x14ac:dyDescent="0.25">
      <c r="B195" s="296" t="s">
        <v>17</v>
      </c>
      <c r="C195" s="90" t="s">
        <v>264</v>
      </c>
      <c r="D195" s="182"/>
      <c r="E195" s="88">
        <v>1281666</v>
      </c>
      <c r="F195" s="88">
        <v>1541393</v>
      </c>
      <c r="G195" s="88">
        <v>2079565</v>
      </c>
      <c r="H195" s="88">
        <v>2574423</v>
      </c>
      <c r="I195" s="88">
        <v>3873212</v>
      </c>
      <c r="J195" s="88">
        <v>5014821</v>
      </c>
      <c r="K195" s="88">
        <v>6664970</v>
      </c>
      <c r="L195" s="88">
        <v>6304770</v>
      </c>
      <c r="M195" s="88">
        <v>5475453</v>
      </c>
      <c r="N195" s="88">
        <v>4803198</v>
      </c>
      <c r="O195" s="88">
        <v>2551483</v>
      </c>
      <c r="P195" s="88">
        <v>2399441</v>
      </c>
      <c r="Q195" s="88">
        <v>44564395</v>
      </c>
    </row>
    <row r="196" spans="2:17" ht="13.5" thickBot="1" x14ac:dyDescent="0.25">
      <c r="B196" s="64" t="s">
        <v>296</v>
      </c>
      <c r="C196" s="103" t="s">
        <v>0</v>
      </c>
      <c r="D196" s="92" t="s">
        <v>0</v>
      </c>
      <c r="E196" s="106">
        <v>2.8759865358881234</v>
      </c>
      <c r="F196" s="106">
        <v>3.4587993396970833</v>
      </c>
      <c r="G196" s="106">
        <v>4.6664270882618286</v>
      </c>
      <c r="H196" s="106">
        <v>5.776860652994392</v>
      </c>
      <c r="I196" s="106">
        <v>8.691270239391784</v>
      </c>
      <c r="J196" s="106">
        <v>11.25297673176086</v>
      </c>
      <c r="K196" s="106">
        <v>14.955818428590806</v>
      </c>
      <c r="L196" s="106">
        <v>14.14754985454195</v>
      </c>
      <c r="M196" s="106">
        <v>12.286609074351846</v>
      </c>
      <c r="N196" s="106">
        <v>10.778106602815992</v>
      </c>
      <c r="O196" s="106">
        <v>5.7253845811213191</v>
      </c>
      <c r="P196" s="106">
        <v>5.3842108705840168</v>
      </c>
      <c r="Q196" s="106">
        <v>100</v>
      </c>
    </row>
  </sheetData>
  <mergeCells count="62">
    <mergeCell ref="B10:B12"/>
    <mergeCell ref="B15:B23"/>
    <mergeCell ref="D15:D16"/>
    <mergeCell ref="D19:D22"/>
    <mergeCell ref="D6:D7"/>
    <mergeCell ref="D17:D18"/>
    <mergeCell ref="B1:Q1"/>
    <mergeCell ref="E2:P2"/>
    <mergeCell ref="B4:B8"/>
    <mergeCell ref="Q2:Q3"/>
    <mergeCell ref="B3:D3"/>
    <mergeCell ref="B24:B27"/>
    <mergeCell ref="D52:D55"/>
    <mergeCell ref="B65:B67"/>
    <mergeCell ref="D65:D66"/>
    <mergeCell ref="B68:B84"/>
    <mergeCell ref="D73:D75"/>
    <mergeCell ref="D69:D71"/>
    <mergeCell ref="D79:D83"/>
    <mergeCell ref="D28:D29"/>
    <mergeCell ref="B31:B35"/>
    <mergeCell ref="D31:D33"/>
    <mergeCell ref="B37:B39"/>
    <mergeCell ref="B40:B49"/>
    <mergeCell ref="D40:D44"/>
    <mergeCell ref="D46:D48"/>
    <mergeCell ref="B61:B63"/>
    <mergeCell ref="D126:D129"/>
    <mergeCell ref="D130:D131"/>
    <mergeCell ref="D132:D138"/>
    <mergeCell ref="D150:D152"/>
    <mergeCell ref="B86:B91"/>
    <mergeCell ref="D92:D93"/>
    <mergeCell ref="D86:D90"/>
    <mergeCell ref="B92:B103"/>
    <mergeCell ref="D96:D97"/>
    <mergeCell ref="D98:D102"/>
    <mergeCell ref="B104:B111"/>
    <mergeCell ref="D104:D106"/>
    <mergeCell ref="D108:D110"/>
    <mergeCell ref="B146:B148"/>
    <mergeCell ref="B150:B154"/>
    <mergeCell ref="B142:B145"/>
    <mergeCell ref="D160:D162"/>
    <mergeCell ref="B192:B194"/>
    <mergeCell ref="B182:B184"/>
    <mergeCell ref="D182:D183"/>
    <mergeCell ref="B185:B187"/>
    <mergeCell ref="D185:D186"/>
    <mergeCell ref="B188:B190"/>
    <mergeCell ref="D176:D178"/>
    <mergeCell ref="B175:B179"/>
    <mergeCell ref="B155:B157"/>
    <mergeCell ref="B159:B163"/>
    <mergeCell ref="B164:B166"/>
    <mergeCell ref="B167:B169"/>
    <mergeCell ref="B171:B174"/>
    <mergeCell ref="B28:B30"/>
    <mergeCell ref="B52:B57"/>
    <mergeCell ref="B113:B115"/>
    <mergeCell ref="B118:B120"/>
    <mergeCell ref="B126:B139"/>
  </mergeCells>
  <printOptions horizontalCentered="1"/>
  <pageMargins left="0.59055118110236227" right="0.59055118110236227" top="0.51181102362204722" bottom="0.51181102362204722" header="0.51181102362204722" footer="0.51181102362204722"/>
  <pageSetup scale="73" orientation="landscape" r:id="rId1"/>
  <headerFooter alignWithMargins="0"/>
  <rowBreaks count="3" manualBreakCount="3">
    <brk id="51" min="1" max="16" man="1"/>
    <brk id="103" min="1" max="16" man="1"/>
    <brk id="157" min="1"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J119"/>
  <sheetViews>
    <sheetView view="pageBreakPreview" zoomScaleNormal="100" zoomScaleSheetLayoutView="100" workbookViewId="0"/>
  </sheetViews>
  <sheetFormatPr defaultColWidth="9.140625" defaultRowHeight="12" x14ac:dyDescent="0.2"/>
  <cols>
    <col min="1" max="1" width="9.140625" style="107"/>
    <col min="2" max="2" width="34.7109375" style="109" bestFit="1" customWidth="1"/>
    <col min="3" max="5" width="10.140625" style="107" customWidth="1"/>
    <col min="6" max="8" width="6.5703125" style="107" customWidth="1"/>
    <col min="9" max="10" width="10" style="107" customWidth="1"/>
    <col min="11" max="16384" width="9.140625" style="107"/>
  </cols>
  <sheetData>
    <row r="1" spans="2:10" ht="30" customHeight="1" thickBot="1" x14ac:dyDescent="0.25">
      <c r="B1" s="455" t="s">
        <v>615</v>
      </c>
      <c r="C1" s="456"/>
      <c r="D1" s="456"/>
      <c r="E1" s="456"/>
      <c r="F1" s="456"/>
      <c r="G1" s="456"/>
      <c r="H1" s="456"/>
      <c r="I1" s="456"/>
      <c r="J1" s="456"/>
    </row>
    <row r="2" spans="2:10" ht="12.75" customHeight="1" x14ac:dyDescent="0.2">
      <c r="B2" s="69" t="s">
        <v>264</v>
      </c>
      <c r="C2" s="457" t="s">
        <v>1</v>
      </c>
      <c r="D2" s="457"/>
      <c r="E2" s="457"/>
      <c r="F2" s="457" t="s">
        <v>508</v>
      </c>
      <c r="G2" s="457"/>
      <c r="H2" s="457"/>
      <c r="I2" s="457" t="s">
        <v>266</v>
      </c>
      <c r="J2" s="457"/>
    </row>
    <row r="3" spans="2:10" ht="15.75" customHeight="1" thickBot="1" x14ac:dyDescent="0.25">
      <c r="B3" s="108" t="s">
        <v>268</v>
      </c>
      <c r="C3" s="300">
        <v>2020</v>
      </c>
      <c r="D3" s="300">
        <v>2021</v>
      </c>
      <c r="E3" s="300">
        <v>2022</v>
      </c>
      <c r="F3" s="300">
        <v>2020</v>
      </c>
      <c r="G3" s="300">
        <v>2021</v>
      </c>
      <c r="H3" s="300">
        <v>2022</v>
      </c>
      <c r="I3" s="116" t="s">
        <v>267</v>
      </c>
      <c r="J3" s="116" t="s">
        <v>594</v>
      </c>
    </row>
    <row r="4" spans="2:10" ht="15.75" customHeight="1" x14ac:dyDescent="0.2">
      <c r="B4" s="46" t="s">
        <v>63</v>
      </c>
      <c r="C4" s="47">
        <v>50121</v>
      </c>
      <c r="D4" s="47">
        <v>48827</v>
      </c>
      <c r="E4" s="47">
        <v>210478</v>
      </c>
      <c r="F4" s="48">
        <v>0.39359322794427892</v>
      </c>
      <c r="G4" s="48">
        <v>0.19758204286082062</v>
      </c>
      <c r="H4" s="48">
        <v>0.47230081323890966</v>
      </c>
      <c r="I4" s="48">
        <v>-2.5817521597733486</v>
      </c>
      <c r="J4" s="48">
        <v>331.06887582689905</v>
      </c>
    </row>
    <row r="5" spans="2:10" ht="15.75" customHeight="1" x14ac:dyDescent="0.2">
      <c r="B5" s="46" t="s">
        <v>85</v>
      </c>
      <c r="C5" s="47">
        <v>67775</v>
      </c>
      <c r="D5" s="47">
        <v>121333</v>
      </c>
      <c r="E5" s="47">
        <v>251708</v>
      </c>
      <c r="F5" s="48">
        <v>0.5322276296148023</v>
      </c>
      <c r="G5" s="48">
        <v>0.49098289893771779</v>
      </c>
      <c r="H5" s="48">
        <v>0.56481861809186462</v>
      </c>
      <c r="I5" s="48">
        <v>79.023238657322025</v>
      </c>
      <c r="J5" s="48">
        <v>107.45221827532494</v>
      </c>
    </row>
    <row r="6" spans="2:10" ht="15.75" customHeight="1" x14ac:dyDescent="0.2">
      <c r="B6" s="46" t="s">
        <v>105</v>
      </c>
      <c r="C6" s="47">
        <v>12251</v>
      </c>
      <c r="D6" s="47">
        <v>6088</v>
      </c>
      <c r="E6" s="47">
        <v>71636</v>
      </c>
      <c r="F6" s="48">
        <v>9.6205395653425937E-2</v>
      </c>
      <c r="G6" s="48">
        <v>2.4635539290488374E-2</v>
      </c>
      <c r="H6" s="48">
        <v>0.16074716149518017</v>
      </c>
      <c r="I6" s="48">
        <v>-50.306097461431719</v>
      </c>
      <c r="J6" s="48">
        <v>1076.6754270696451</v>
      </c>
    </row>
    <row r="7" spans="2:10" ht="15.75" customHeight="1" x14ac:dyDescent="0.2">
      <c r="B7" s="46" t="s">
        <v>155</v>
      </c>
      <c r="C7" s="47">
        <v>107251</v>
      </c>
      <c r="D7" s="47">
        <v>197983</v>
      </c>
      <c r="E7" s="47">
        <v>220179</v>
      </c>
      <c r="F7" s="48">
        <v>0.84222715608730592</v>
      </c>
      <c r="G7" s="48">
        <v>0.80115275547778586</v>
      </c>
      <c r="H7" s="48">
        <v>0.49406931250833763</v>
      </c>
      <c r="I7" s="48">
        <v>84.597812607807853</v>
      </c>
      <c r="J7" s="48">
        <v>11.21106357616563</v>
      </c>
    </row>
    <row r="8" spans="2:10" ht="15.75" customHeight="1" x14ac:dyDescent="0.2">
      <c r="B8" s="46" t="s">
        <v>173</v>
      </c>
      <c r="C8" s="47">
        <v>68936</v>
      </c>
      <c r="D8" s="47">
        <v>124483</v>
      </c>
      <c r="E8" s="47">
        <v>227850</v>
      </c>
      <c r="F8" s="48">
        <v>0.54134480081336789</v>
      </c>
      <c r="G8" s="48">
        <v>0.5037296053708713</v>
      </c>
      <c r="H8" s="48">
        <v>0.51128260576632978</v>
      </c>
      <c r="I8" s="48">
        <v>80.577637228733892</v>
      </c>
      <c r="J8" s="48">
        <v>83.037041202413178</v>
      </c>
    </row>
    <row r="9" spans="2:10" ht="15.75" customHeight="1" x14ac:dyDescent="0.2">
      <c r="B9" s="46" t="s">
        <v>227</v>
      </c>
      <c r="C9" s="47">
        <v>10555</v>
      </c>
      <c r="D9" s="47">
        <v>25965</v>
      </c>
      <c r="E9" s="47">
        <v>43192</v>
      </c>
      <c r="F9" s="48">
        <v>8.2886944014522138E-2</v>
      </c>
      <c r="G9" s="48">
        <v>0.10506928017042225</v>
      </c>
      <c r="H9" s="48">
        <v>9.6920422682726867E-2</v>
      </c>
      <c r="I9" s="48">
        <v>145.99715774514448</v>
      </c>
      <c r="J9" s="48">
        <v>66.347005584440595</v>
      </c>
    </row>
    <row r="10" spans="2:10" ht="15.75" customHeight="1" x14ac:dyDescent="0.2">
      <c r="B10" s="46" t="s">
        <v>243</v>
      </c>
      <c r="C10" s="47">
        <v>57563</v>
      </c>
      <c r="D10" s="47">
        <v>126970</v>
      </c>
      <c r="E10" s="47">
        <v>206714</v>
      </c>
      <c r="F10" s="48">
        <v>0.45203421679847822</v>
      </c>
      <c r="G10" s="48">
        <v>0.51379343359285623</v>
      </c>
      <c r="H10" s="48">
        <v>0.46385460859504546</v>
      </c>
      <c r="I10" s="48">
        <v>120.57571704046002</v>
      </c>
      <c r="J10" s="48">
        <v>62.8053870993148</v>
      </c>
    </row>
    <row r="11" spans="2:10" ht="15.75" customHeight="1" thickBot="1" x14ac:dyDescent="0.25">
      <c r="B11" s="46" t="s">
        <v>275</v>
      </c>
      <c r="C11" s="47">
        <v>99695</v>
      </c>
      <c r="D11" s="47">
        <v>227155</v>
      </c>
      <c r="E11" s="47">
        <v>263106</v>
      </c>
      <c r="F11" s="48">
        <v>0.78289094112058588</v>
      </c>
      <c r="G11" s="48">
        <v>0.91919939676919959</v>
      </c>
      <c r="H11" s="48">
        <v>0.59039509007134505</v>
      </c>
      <c r="I11" s="48">
        <v>127.84994232408847</v>
      </c>
      <c r="J11" s="48">
        <v>15.826638198586869</v>
      </c>
    </row>
    <row r="12" spans="2:10" ht="15.75" customHeight="1" thickBot="1" x14ac:dyDescent="0.25">
      <c r="B12" s="52" t="s">
        <v>276</v>
      </c>
      <c r="C12" s="113">
        <v>474147</v>
      </c>
      <c r="D12" s="113">
        <v>878804</v>
      </c>
      <c r="E12" s="113">
        <v>1494863</v>
      </c>
      <c r="F12" s="114">
        <v>3.7234103120467674</v>
      </c>
      <c r="G12" s="114">
        <v>3.556144952470162</v>
      </c>
      <c r="H12" s="114">
        <v>3.3543886324497394</v>
      </c>
      <c r="I12" s="114">
        <v>85.34420759806558</v>
      </c>
      <c r="J12" s="114">
        <v>70.10197950851385</v>
      </c>
    </row>
    <row r="13" spans="2:10" ht="15.75" customHeight="1" x14ac:dyDescent="0.2">
      <c r="B13" s="46" t="s">
        <v>29</v>
      </c>
      <c r="C13" s="47">
        <v>7228</v>
      </c>
      <c r="D13" s="47">
        <v>6992</v>
      </c>
      <c r="E13" s="47">
        <v>41708</v>
      </c>
      <c r="F13" s="48">
        <v>5.6760476678064047E-2</v>
      </c>
      <c r="G13" s="48">
        <v>2.8293641708129882E-2</v>
      </c>
      <c r="H13" s="48">
        <v>9.3590410012297939E-2</v>
      </c>
      <c r="I13" s="48">
        <v>-3.2650802434975095</v>
      </c>
      <c r="J13" s="48">
        <v>496.51029748283753</v>
      </c>
    </row>
    <row r="14" spans="2:10" ht="15.75" customHeight="1" x14ac:dyDescent="0.2">
      <c r="B14" s="46" t="s">
        <v>56</v>
      </c>
      <c r="C14" s="47">
        <v>22722</v>
      </c>
      <c r="D14" s="47">
        <v>17788</v>
      </c>
      <c r="E14" s="47">
        <v>84582</v>
      </c>
      <c r="F14" s="48">
        <v>0.17843269937451181</v>
      </c>
      <c r="G14" s="48">
        <v>7.1980448899344157E-2</v>
      </c>
      <c r="H14" s="48">
        <v>0.18979725855136145</v>
      </c>
      <c r="I14" s="48">
        <v>-21.714637795968663</v>
      </c>
      <c r="J14" s="48">
        <v>375.500337306049</v>
      </c>
    </row>
    <row r="15" spans="2:10" ht="15.75" customHeight="1" x14ac:dyDescent="0.2">
      <c r="B15" s="46" t="s">
        <v>140</v>
      </c>
      <c r="C15" s="47">
        <v>10601</v>
      </c>
      <c r="D15" s="47">
        <v>30094</v>
      </c>
      <c r="E15" s="47">
        <v>77863</v>
      </c>
      <c r="F15" s="48">
        <v>8.3248175603784863E-2</v>
      </c>
      <c r="G15" s="48">
        <v>0.12177758203153041</v>
      </c>
      <c r="H15" s="48">
        <v>0.17472019983666331</v>
      </c>
      <c r="I15" s="48">
        <v>183.87887935100463</v>
      </c>
      <c r="J15" s="48">
        <v>158.73263773509669</v>
      </c>
    </row>
    <row r="16" spans="2:10" ht="15.75" customHeight="1" x14ac:dyDescent="0.2">
      <c r="B16" s="46" t="s">
        <v>233</v>
      </c>
      <c r="C16" s="47">
        <v>3320</v>
      </c>
      <c r="D16" s="47">
        <v>3815</v>
      </c>
      <c r="E16" s="47">
        <v>17333</v>
      </c>
      <c r="F16" s="48">
        <v>2.607149731200507E-2</v>
      </c>
      <c r="G16" s="48">
        <v>1.5437677791263659E-2</v>
      </c>
      <c r="H16" s="48">
        <v>3.8894278717348234E-2</v>
      </c>
      <c r="I16" s="48">
        <v>14.909638554216867</v>
      </c>
      <c r="J16" s="48">
        <v>354.33813892529491</v>
      </c>
    </row>
    <row r="17" spans="2:10" ht="15.75" customHeight="1" x14ac:dyDescent="0.2">
      <c r="B17" s="46" t="s">
        <v>253</v>
      </c>
      <c r="C17" s="47">
        <v>3473</v>
      </c>
      <c r="D17" s="47">
        <v>11446</v>
      </c>
      <c r="E17" s="47">
        <v>18395</v>
      </c>
      <c r="F17" s="48">
        <v>2.7272984989335423E-2</v>
      </c>
      <c r="G17" s="48">
        <v>4.6317079947261815E-2</v>
      </c>
      <c r="H17" s="48">
        <v>4.1277347083922042E-2</v>
      </c>
      <c r="I17" s="48">
        <v>229.5709761013533</v>
      </c>
      <c r="J17" s="48">
        <v>60.711165472654201</v>
      </c>
    </row>
    <row r="18" spans="2:10" ht="15.75" customHeight="1" thickBot="1" x14ac:dyDescent="0.25">
      <c r="B18" s="46" t="s">
        <v>277</v>
      </c>
      <c r="C18" s="47">
        <v>4967</v>
      </c>
      <c r="D18" s="47">
        <v>11639</v>
      </c>
      <c r="E18" s="47">
        <v>41062</v>
      </c>
      <c r="F18" s="48">
        <v>3.9005158779737703E-2</v>
      </c>
      <c r="G18" s="48">
        <v>4.7098068627134393E-2</v>
      </c>
      <c r="H18" s="48">
        <v>9.2140822286491272E-2</v>
      </c>
      <c r="I18" s="48">
        <v>134.32655526474733</v>
      </c>
      <c r="J18" s="48">
        <v>252.79663201305954</v>
      </c>
    </row>
    <row r="19" spans="2:10" ht="15.75" customHeight="1" thickBot="1" x14ac:dyDescent="0.25">
      <c r="B19" s="52" t="s">
        <v>278</v>
      </c>
      <c r="C19" s="113">
        <v>52311</v>
      </c>
      <c r="D19" s="113">
        <v>81774</v>
      </c>
      <c r="E19" s="113">
        <v>280943</v>
      </c>
      <c r="F19" s="114">
        <v>0.41079099273743891</v>
      </c>
      <c r="G19" s="114">
        <v>0.33090449900466434</v>
      </c>
      <c r="H19" s="114">
        <v>0.63042031648808428</v>
      </c>
      <c r="I19" s="114">
        <v>56.322761942994781</v>
      </c>
      <c r="J19" s="114">
        <v>243.56030033996134</v>
      </c>
    </row>
    <row r="20" spans="2:10" ht="15.75" customHeight="1" thickBot="1" x14ac:dyDescent="0.25">
      <c r="B20" s="52" t="s">
        <v>279</v>
      </c>
      <c r="C20" s="113">
        <v>8828</v>
      </c>
      <c r="D20" s="113">
        <v>26125</v>
      </c>
      <c r="E20" s="113">
        <v>41132</v>
      </c>
      <c r="F20" s="114">
        <v>6.9325053695897809E-2</v>
      </c>
      <c r="G20" s="114">
        <v>0.10571673192575703</v>
      </c>
      <c r="H20" s="114">
        <v>9.229789835585113E-2</v>
      </c>
      <c r="I20" s="114">
        <v>195.93339374716811</v>
      </c>
      <c r="J20" s="114">
        <v>57.443062200956938</v>
      </c>
    </row>
    <row r="21" spans="2:10" ht="15.75" customHeight="1" thickBot="1" x14ac:dyDescent="0.25">
      <c r="B21" s="52" t="s">
        <v>280</v>
      </c>
      <c r="C21" s="113">
        <v>3330</v>
      </c>
      <c r="D21" s="113">
        <v>8099</v>
      </c>
      <c r="E21" s="113">
        <v>27642</v>
      </c>
      <c r="F21" s="114">
        <v>2.6150025918366529E-2</v>
      </c>
      <c r="G21" s="114">
        <v>3.2773198540352391E-2</v>
      </c>
      <c r="H21" s="114">
        <v>6.2027095846358959E-2</v>
      </c>
      <c r="I21" s="114">
        <v>143.21321321321321</v>
      </c>
      <c r="J21" s="114">
        <v>241.30139523397949</v>
      </c>
    </row>
    <row r="22" spans="2:10" ht="15.75" customHeight="1" thickBot="1" x14ac:dyDescent="0.25">
      <c r="B22" s="52" t="s">
        <v>281</v>
      </c>
      <c r="C22" s="113">
        <v>64469</v>
      </c>
      <c r="D22" s="113">
        <v>115998</v>
      </c>
      <c r="E22" s="113">
        <v>349717</v>
      </c>
      <c r="F22" s="114">
        <v>0.50626607235170329</v>
      </c>
      <c r="G22" s="114">
        <v>0.46939442947077376</v>
      </c>
      <c r="H22" s="114">
        <v>0.7847453106902943</v>
      </c>
      <c r="I22" s="114">
        <v>79.928337650653802</v>
      </c>
      <c r="J22" s="114">
        <v>201.48537043742132</v>
      </c>
    </row>
    <row r="23" spans="2:10" ht="15.75" customHeight="1" x14ac:dyDescent="0.2">
      <c r="B23" s="46" t="s">
        <v>37</v>
      </c>
      <c r="C23" s="47">
        <v>17852</v>
      </c>
      <c r="D23" s="47">
        <v>62730</v>
      </c>
      <c r="E23" s="47">
        <v>98147</v>
      </c>
      <c r="F23" s="48">
        <v>0.14018926807648027</v>
      </c>
      <c r="G23" s="48">
        <v>0.25384155382594215</v>
      </c>
      <c r="H23" s="48">
        <v>0.22023635684945347</v>
      </c>
      <c r="I23" s="48">
        <v>251.3892000896258</v>
      </c>
      <c r="J23" s="48">
        <v>56.459429300175351</v>
      </c>
    </row>
    <row r="24" spans="2:10" ht="15.75" customHeight="1" x14ac:dyDescent="0.2">
      <c r="B24" s="46" t="s">
        <v>49</v>
      </c>
      <c r="C24" s="47">
        <v>3772</v>
      </c>
      <c r="D24" s="47">
        <v>52587</v>
      </c>
      <c r="E24" s="47">
        <v>146438</v>
      </c>
      <c r="F24" s="48">
        <v>2.9620990319543107E-2</v>
      </c>
      <c r="G24" s="48">
        <v>0.21279715911118793</v>
      </c>
      <c r="H24" s="48">
        <v>0.32859864921312182</v>
      </c>
      <c r="I24" s="48">
        <v>1294.1410392364794</v>
      </c>
      <c r="J24" s="48">
        <v>178.46806244889422</v>
      </c>
    </row>
    <row r="25" spans="2:10" ht="15.75" customHeight="1" x14ac:dyDescent="0.2">
      <c r="B25" s="46" t="s">
        <v>116</v>
      </c>
      <c r="C25" s="47">
        <v>387587</v>
      </c>
      <c r="D25" s="47">
        <v>836624</v>
      </c>
      <c r="E25" s="47">
        <v>1208895</v>
      </c>
      <c r="F25" s="48">
        <v>3.0436666953819604</v>
      </c>
      <c r="G25" s="48">
        <v>3.3854604834700308</v>
      </c>
      <c r="H25" s="48">
        <v>2.7126924981254654</v>
      </c>
      <c r="I25" s="48">
        <v>115.85450492405576</v>
      </c>
      <c r="J25" s="48">
        <v>44.496810992751819</v>
      </c>
    </row>
    <row r="26" spans="2:10" ht="15.75" customHeight="1" x14ac:dyDescent="0.2">
      <c r="B26" s="46" t="s">
        <v>122</v>
      </c>
      <c r="C26" s="47">
        <v>129677</v>
      </c>
      <c r="D26" s="47">
        <v>225238</v>
      </c>
      <c r="E26" s="47">
        <v>843028</v>
      </c>
      <c r="F26" s="48">
        <v>1.0183354087135184</v>
      </c>
      <c r="G26" s="48">
        <v>0.91144211542559472</v>
      </c>
      <c r="H26" s="48">
        <v>1.8917074942900043</v>
      </c>
      <c r="I26" s="48">
        <v>73.691556713989371</v>
      </c>
      <c r="J26" s="48">
        <v>274.28320265674529</v>
      </c>
    </row>
    <row r="27" spans="2:10" ht="15.75" customHeight="1" x14ac:dyDescent="0.2">
      <c r="B27" s="46" t="s">
        <v>134</v>
      </c>
      <c r="C27" s="47">
        <v>31956</v>
      </c>
      <c r="D27" s="47">
        <v>83831</v>
      </c>
      <c r="E27" s="47">
        <v>92439</v>
      </c>
      <c r="F27" s="48">
        <v>0.25094601448868492</v>
      </c>
      <c r="G27" s="48">
        <v>0.33922830063418707</v>
      </c>
      <c r="H27" s="48">
        <v>0.20742792536508126</v>
      </c>
      <c r="I27" s="48">
        <v>162.3325823006634</v>
      </c>
      <c r="J27" s="48">
        <v>10.268277844711383</v>
      </c>
    </row>
    <row r="28" spans="2:10" ht="15.75" customHeight="1" x14ac:dyDescent="0.2">
      <c r="B28" s="46" t="s">
        <v>145</v>
      </c>
      <c r="C28" s="47">
        <v>120221</v>
      </c>
      <c r="D28" s="47">
        <v>246249</v>
      </c>
      <c r="E28" s="47">
        <v>480123</v>
      </c>
      <c r="F28" s="48">
        <v>0.94407875853812084</v>
      </c>
      <c r="G28" s="48">
        <v>0.99646467062146382</v>
      </c>
      <c r="H28" s="48">
        <v>1.0773690521323132</v>
      </c>
      <c r="I28" s="48">
        <v>104.83027091772652</v>
      </c>
      <c r="J28" s="48">
        <v>94.974598881619826</v>
      </c>
    </row>
    <row r="29" spans="2:10" ht="15.75" customHeight="1" x14ac:dyDescent="0.2">
      <c r="B29" s="46" t="s">
        <v>146</v>
      </c>
      <c r="C29" s="47">
        <v>57601</v>
      </c>
      <c r="D29" s="47">
        <v>65882</v>
      </c>
      <c r="E29" s="47">
        <v>171691</v>
      </c>
      <c r="F29" s="48">
        <v>0.4523326255026518</v>
      </c>
      <c r="G29" s="48">
        <v>0.26659635340603732</v>
      </c>
      <c r="H29" s="48">
        <v>0.38526496320661369</v>
      </c>
      <c r="I29" s="48">
        <v>14.376486519331262</v>
      </c>
      <c r="J29" s="48">
        <v>160.60380680610788</v>
      </c>
    </row>
    <row r="30" spans="2:10" ht="15.75" customHeight="1" x14ac:dyDescent="0.2">
      <c r="B30" s="46" t="s">
        <v>158</v>
      </c>
      <c r="C30" s="47">
        <v>89337</v>
      </c>
      <c r="D30" s="47">
        <v>191768</v>
      </c>
      <c r="E30" s="47">
        <v>272844</v>
      </c>
      <c r="F30" s="48">
        <v>0.70155101065138459</v>
      </c>
      <c r="G30" s="48">
        <v>0.77600330135650042</v>
      </c>
      <c r="H30" s="48">
        <v>0.61224661526314894</v>
      </c>
      <c r="I30" s="48">
        <v>114.65686109898475</v>
      </c>
      <c r="J30" s="48">
        <v>42.27816945475783</v>
      </c>
    </row>
    <row r="31" spans="2:10" ht="15.75" customHeight="1" x14ac:dyDescent="0.2">
      <c r="B31" s="46" t="s">
        <v>230</v>
      </c>
      <c r="C31" s="47">
        <v>67490</v>
      </c>
      <c r="D31" s="47">
        <v>10083</v>
      </c>
      <c r="E31" s="47">
        <v>497914</v>
      </c>
      <c r="F31" s="48">
        <v>0.52998956433350064</v>
      </c>
      <c r="G31" s="48">
        <v>4.0801600306503663E-2</v>
      </c>
      <c r="H31" s="48">
        <v>1.1172910571320445</v>
      </c>
      <c r="I31" s="48">
        <v>-85.06000889020595</v>
      </c>
      <c r="J31" s="48">
        <v>4838.1533273827235</v>
      </c>
    </row>
    <row r="32" spans="2:10" ht="15.75" customHeight="1" x14ac:dyDescent="0.2">
      <c r="B32" s="46" t="s">
        <v>250</v>
      </c>
      <c r="C32" s="47">
        <v>93750</v>
      </c>
      <c r="D32" s="47">
        <v>326633</v>
      </c>
      <c r="E32" s="47">
        <v>494629</v>
      </c>
      <c r="F32" s="48">
        <v>0.73620568463869729</v>
      </c>
      <c r="G32" s="48">
        <v>1.3217444325016572</v>
      </c>
      <c r="H32" s="48">
        <v>1.1099197015913713</v>
      </c>
      <c r="I32" s="48">
        <v>248.40853333333334</v>
      </c>
      <c r="J32" s="48">
        <v>51.432647650421117</v>
      </c>
    </row>
    <row r="33" spans="2:10" ht="15.75" customHeight="1" x14ac:dyDescent="0.2">
      <c r="B33" s="46" t="s">
        <v>257</v>
      </c>
      <c r="C33" s="47">
        <v>13354</v>
      </c>
      <c r="D33" s="47">
        <v>21856</v>
      </c>
      <c r="E33" s="47">
        <v>34599</v>
      </c>
      <c r="F33" s="48">
        <v>0.10486710093509509</v>
      </c>
      <c r="G33" s="48">
        <v>8.844190977873094E-2</v>
      </c>
      <c r="H33" s="48">
        <v>7.7638213196880607E-2</v>
      </c>
      <c r="I33" s="48">
        <v>63.666317208327094</v>
      </c>
      <c r="J33" s="48">
        <v>58.304355783308928</v>
      </c>
    </row>
    <row r="34" spans="2:10" ht="15.75" customHeight="1" thickBot="1" x14ac:dyDescent="0.25">
      <c r="B34" s="46" t="s">
        <v>282</v>
      </c>
      <c r="C34" s="47">
        <v>243389</v>
      </c>
      <c r="D34" s="47">
        <v>529195</v>
      </c>
      <c r="E34" s="47">
        <v>598048</v>
      </c>
      <c r="F34" s="48">
        <v>1.9112998973709643</v>
      </c>
      <c r="G34" s="48">
        <v>2.1414264479024303</v>
      </c>
      <c r="H34" s="48">
        <v>1.3419861304074698</v>
      </c>
      <c r="I34" s="48">
        <v>117.4276569606679</v>
      </c>
      <c r="J34" s="48">
        <v>13.010893904893281</v>
      </c>
    </row>
    <row r="35" spans="2:10" ht="15.75" customHeight="1" thickBot="1" x14ac:dyDescent="0.25">
      <c r="B35" s="52" t="s">
        <v>283</v>
      </c>
      <c r="C35" s="53">
        <v>1255986</v>
      </c>
      <c r="D35" s="53">
        <v>2652676</v>
      </c>
      <c r="E35" s="53">
        <v>4938795</v>
      </c>
      <c r="F35" s="54">
        <v>9.8630830189506025</v>
      </c>
      <c r="G35" s="54">
        <v>10.734248328340266</v>
      </c>
      <c r="H35" s="54">
        <v>11.082378656772969</v>
      </c>
      <c r="I35" s="54">
        <v>111.20267264125556</v>
      </c>
      <c r="J35" s="54">
        <v>86.181614339632887</v>
      </c>
    </row>
    <row r="36" spans="2:10" ht="15.75" customHeight="1" x14ac:dyDescent="0.2">
      <c r="B36" s="46" t="s">
        <v>38</v>
      </c>
      <c r="C36" s="47">
        <v>5634</v>
      </c>
      <c r="D36" s="47">
        <v>8226</v>
      </c>
      <c r="E36" s="47">
        <v>24335</v>
      </c>
      <c r="F36" s="48">
        <v>4.4243016824047153E-2</v>
      </c>
      <c r="G36" s="48">
        <v>3.3287113371149368E-2</v>
      </c>
      <c r="H36" s="48">
        <v>5.4606373541029783E-2</v>
      </c>
      <c r="I36" s="48">
        <v>46.006389776357828</v>
      </c>
      <c r="J36" s="48">
        <v>195.83029418915635</v>
      </c>
    </row>
    <row r="37" spans="2:10" ht="15.75" customHeight="1" x14ac:dyDescent="0.2">
      <c r="B37" s="46" t="s">
        <v>69</v>
      </c>
      <c r="C37" s="47">
        <v>40264</v>
      </c>
      <c r="D37" s="47">
        <v>33641</v>
      </c>
      <c r="E37" s="47">
        <v>89515</v>
      </c>
      <c r="F37" s="48">
        <v>0.31618758065378677</v>
      </c>
      <c r="G37" s="48">
        <v>0.13613077813260832</v>
      </c>
      <c r="H37" s="48">
        <v>0.20086663355353529</v>
      </c>
      <c r="I37" s="48">
        <v>-16.448937015696405</v>
      </c>
      <c r="J37" s="48">
        <v>166.08899854344401</v>
      </c>
    </row>
    <row r="38" spans="2:10" ht="15.75" customHeight="1" x14ac:dyDescent="0.2">
      <c r="B38" s="46" t="s">
        <v>78</v>
      </c>
      <c r="C38" s="47">
        <v>39690</v>
      </c>
      <c r="D38" s="47">
        <v>49319</v>
      </c>
      <c r="E38" s="47">
        <v>152995</v>
      </c>
      <c r="F38" s="48">
        <v>0.31168003864863891</v>
      </c>
      <c r="G38" s="48">
        <v>0.19957295700847505</v>
      </c>
      <c r="H38" s="48">
        <v>0.34331218902444427</v>
      </c>
      <c r="I38" s="48">
        <v>24.260519022423786</v>
      </c>
      <c r="J38" s="48">
        <v>210.21513007157486</v>
      </c>
    </row>
    <row r="39" spans="2:10" ht="15.75" customHeight="1" x14ac:dyDescent="0.2">
      <c r="B39" s="46" t="s">
        <v>88</v>
      </c>
      <c r="C39" s="47">
        <v>48440</v>
      </c>
      <c r="D39" s="47">
        <v>55397</v>
      </c>
      <c r="E39" s="47">
        <v>97954</v>
      </c>
      <c r="F39" s="48">
        <v>0.38039256921491732</v>
      </c>
      <c r="G39" s="48">
        <v>0.22416803056425502</v>
      </c>
      <c r="H39" s="48">
        <v>0.21980327568678987</v>
      </c>
      <c r="I39" s="48">
        <v>14.362097440132123</v>
      </c>
      <c r="J39" s="48">
        <v>76.821849558640366</v>
      </c>
    </row>
    <row r="40" spans="2:10" ht="15.75" customHeight="1" x14ac:dyDescent="0.2">
      <c r="B40" s="46" t="s">
        <v>112</v>
      </c>
      <c r="C40" s="47">
        <v>44707</v>
      </c>
      <c r="D40" s="47">
        <v>52651</v>
      </c>
      <c r="E40" s="47">
        <v>231579</v>
      </c>
      <c r="F40" s="48">
        <v>0.35107784046018392</v>
      </c>
      <c r="G40" s="48">
        <v>0.21305613981332186</v>
      </c>
      <c r="H40" s="48">
        <v>0.51965027237551409</v>
      </c>
      <c r="I40" s="48">
        <v>17.769029458474066</v>
      </c>
      <c r="J40" s="48">
        <v>339.83779985185464</v>
      </c>
    </row>
    <row r="41" spans="2:10" ht="15.75" customHeight="1" x14ac:dyDescent="0.2">
      <c r="B41" s="46" t="s">
        <v>119</v>
      </c>
      <c r="C41" s="47">
        <v>385762</v>
      </c>
      <c r="D41" s="47">
        <v>1153092</v>
      </c>
      <c r="E41" s="47">
        <v>2331076</v>
      </c>
      <c r="F41" s="48">
        <v>3.0293352247209939</v>
      </c>
      <c r="G41" s="48">
        <v>4.6660714966405754</v>
      </c>
      <c r="H41" s="48">
        <v>5.2308036494156376</v>
      </c>
      <c r="I41" s="48">
        <v>198.91280115719019</v>
      </c>
      <c r="J41" s="48">
        <v>102.15871760449296</v>
      </c>
    </row>
    <row r="42" spans="2:10" ht="15.75" customHeight="1" x14ac:dyDescent="0.2">
      <c r="B42" s="46" t="s">
        <v>165</v>
      </c>
      <c r="C42" s="47">
        <v>17892</v>
      </c>
      <c r="D42" s="47">
        <v>9618</v>
      </c>
      <c r="E42" s="47">
        <v>89766</v>
      </c>
      <c r="F42" s="48">
        <v>0.14050338250192612</v>
      </c>
      <c r="G42" s="48">
        <v>3.8919943642561954E-2</v>
      </c>
      <c r="H42" s="48">
        <v>0.20142986345938277</v>
      </c>
      <c r="I42" s="48">
        <v>-46.244131455399064</v>
      </c>
      <c r="J42" s="48">
        <v>833.31253898939485</v>
      </c>
    </row>
    <row r="43" spans="2:10" ht="15.75" customHeight="1" x14ac:dyDescent="0.2">
      <c r="B43" s="46" t="s">
        <v>194</v>
      </c>
      <c r="C43" s="47">
        <v>51326</v>
      </c>
      <c r="D43" s="47">
        <v>90681</v>
      </c>
      <c r="E43" s="47">
        <v>173621</v>
      </c>
      <c r="F43" s="48">
        <v>0.40305592501083498</v>
      </c>
      <c r="G43" s="48">
        <v>0.36694732890945736</v>
      </c>
      <c r="H43" s="48">
        <v>0.38959577483324975</v>
      </c>
      <c r="I43" s="48">
        <v>76.676538206756803</v>
      </c>
      <c r="J43" s="48">
        <v>91.463481876026947</v>
      </c>
    </row>
    <row r="44" spans="2:10" ht="15.75" customHeight="1" x14ac:dyDescent="0.2">
      <c r="B44" s="46" t="s">
        <v>220</v>
      </c>
      <c r="C44" s="47">
        <v>4912</v>
      </c>
      <c r="D44" s="47">
        <v>2951</v>
      </c>
      <c r="E44" s="47">
        <v>30602</v>
      </c>
      <c r="F44" s="48">
        <v>3.857325144474967E-2</v>
      </c>
      <c r="G44" s="48">
        <v>1.1941438312455846E-2</v>
      </c>
      <c r="H44" s="48">
        <v>6.8669169636432853E-2</v>
      </c>
      <c r="I44" s="48">
        <v>-39.922638436482082</v>
      </c>
      <c r="J44" s="48">
        <v>937.00440528634363</v>
      </c>
    </row>
    <row r="45" spans="2:10" ht="15.75" customHeight="1" x14ac:dyDescent="0.2">
      <c r="B45" s="46" t="s">
        <v>237</v>
      </c>
      <c r="C45" s="47">
        <v>8163</v>
      </c>
      <c r="D45" s="47">
        <v>6687</v>
      </c>
      <c r="E45" s="47">
        <v>29814</v>
      </c>
      <c r="F45" s="48">
        <v>6.4102901372860649E-2</v>
      </c>
      <c r="G45" s="48">
        <v>2.7059436799522957E-2</v>
      </c>
      <c r="H45" s="48">
        <v>6.6900941884210474E-2</v>
      </c>
      <c r="I45" s="48">
        <v>-18.081587651598678</v>
      </c>
      <c r="J45" s="48">
        <v>345.85015702108569</v>
      </c>
    </row>
    <row r="46" spans="2:10" ht="15.75" customHeight="1" thickBot="1" x14ac:dyDescent="0.25">
      <c r="B46" s="46" t="s">
        <v>284</v>
      </c>
      <c r="C46" s="47">
        <v>60923</v>
      </c>
      <c r="D46" s="47">
        <v>83128</v>
      </c>
      <c r="E46" s="47">
        <v>142785</v>
      </c>
      <c r="F46" s="48">
        <v>0.47841982853592918</v>
      </c>
      <c r="G46" s="48">
        <v>0.33638355948418491</v>
      </c>
      <c r="H46" s="48">
        <v>0.32040152233638536</v>
      </c>
      <c r="I46" s="48">
        <v>36.447647029857357</v>
      </c>
      <c r="J46" s="48">
        <v>71.765229525550964</v>
      </c>
    </row>
    <row r="47" spans="2:10" ht="15.75" customHeight="1" thickBot="1" x14ac:dyDescent="0.25">
      <c r="B47" s="52" t="s">
        <v>285</v>
      </c>
      <c r="C47" s="113">
        <v>707713</v>
      </c>
      <c r="D47" s="113">
        <v>1545391</v>
      </c>
      <c r="E47" s="113">
        <v>3394042</v>
      </c>
      <c r="F47" s="114">
        <v>5.5575715593888688</v>
      </c>
      <c r="G47" s="114">
        <v>6.2535382226785678</v>
      </c>
      <c r="H47" s="114">
        <v>7.6160396657466123</v>
      </c>
      <c r="I47" s="114">
        <v>118.36408261541048</v>
      </c>
      <c r="J47" s="114">
        <v>119.62351275502445</v>
      </c>
    </row>
    <row r="48" spans="2:10" ht="15.75" customHeight="1" thickBot="1" x14ac:dyDescent="0.25">
      <c r="B48" s="52" t="s">
        <v>286</v>
      </c>
      <c r="C48" s="113">
        <v>1963699</v>
      </c>
      <c r="D48" s="113">
        <v>4198067</v>
      </c>
      <c r="E48" s="113">
        <v>8332837</v>
      </c>
      <c r="F48" s="114">
        <v>15.42065457833947</v>
      </c>
      <c r="G48" s="114">
        <v>16.987786551018836</v>
      </c>
      <c r="H48" s="114">
        <v>18.698418322519579</v>
      </c>
      <c r="I48" s="114">
        <v>113.78362977217995</v>
      </c>
      <c r="J48" s="114">
        <v>98.492234640371393</v>
      </c>
    </row>
    <row r="49" spans="2:10" ht="15.75" customHeight="1" x14ac:dyDescent="0.2">
      <c r="B49" s="46" t="s">
        <v>22</v>
      </c>
      <c r="C49" s="47">
        <v>1118932</v>
      </c>
      <c r="D49" s="47">
        <v>3085215</v>
      </c>
      <c r="E49" s="47">
        <v>5679194</v>
      </c>
      <c r="F49" s="48">
        <v>8.7868170573242335</v>
      </c>
      <c r="G49" s="48">
        <v>12.484549170844955</v>
      </c>
      <c r="H49" s="48">
        <v>12.743792437886793</v>
      </c>
      <c r="I49" s="48">
        <v>175.72855186910374</v>
      </c>
      <c r="J49" s="48">
        <v>84.077738504447822</v>
      </c>
    </row>
    <row r="50" spans="2:10" ht="15.75" customHeight="1" x14ac:dyDescent="0.2">
      <c r="B50" s="46" t="s">
        <v>34</v>
      </c>
      <c r="C50" s="47">
        <v>112126</v>
      </c>
      <c r="D50" s="47">
        <v>284095</v>
      </c>
      <c r="E50" s="47">
        <v>454638</v>
      </c>
      <c r="F50" s="48">
        <v>0.88050985168851814</v>
      </c>
      <c r="G50" s="48">
        <v>1.1496112901989644</v>
      </c>
      <c r="H50" s="48">
        <v>1.0201821431660858</v>
      </c>
      <c r="I50" s="48">
        <v>153.37120739168435</v>
      </c>
      <c r="J50" s="48">
        <v>60.030271564089475</v>
      </c>
    </row>
    <row r="51" spans="2:10" ht="15.75" customHeight="1" x14ac:dyDescent="0.2">
      <c r="B51" s="46" t="s">
        <v>43</v>
      </c>
      <c r="C51" s="47">
        <v>138729</v>
      </c>
      <c r="D51" s="47">
        <v>339529</v>
      </c>
      <c r="E51" s="47">
        <v>596173</v>
      </c>
      <c r="F51" s="48">
        <v>1.0894195031919129</v>
      </c>
      <c r="G51" s="48">
        <v>1.3739290439816405</v>
      </c>
      <c r="H51" s="48">
        <v>1.3377787356924737</v>
      </c>
      <c r="I51" s="48">
        <v>144.74262771302324</v>
      </c>
      <c r="J51" s="48">
        <v>75.58824135788106</v>
      </c>
    </row>
    <row r="52" spans="2:10" ht="15.75" customHeight="1" x14ac:dyDescent="0.2">
      <c r="B52" s="46" t="s">
        <v>68</v>
      </c>
      <c r="C52" s="47">
        <v>15642</v>
      </c>
      <c r="D52" s="47">
        <v>89734</v>
      </c>
      <c r="E52" s="47">
        <v>295454</v>
      </c>
      <c r="F52" s="48">
        <v>0.12283444607059738</v>
      </c>
      <c r="G52" s="48">
        <v>0.36311522383256961</v>
      </c>
      <c r="H52" s="48">
        <v>0.66298218566638234</v>
      </c>
      <c r="I52" s="48">
        <v>473.67344329369644</v>
      </c>
      <c r="J52" s="48">
        <v>229.25535471504671</v>
      </c>
    </row>
    <row r="53" spans="2:10" ht="15.75" customHeight="1" x14ac:dyDescent="0.2">
      <c r="B53" s="46" t="s">
        <v>70</v>
      </c>
      <c r="C53" s="47">
        <v>44694</v>
      </c>
      <c r="D53" s="47">
        <v>111499</v>
      </c>
      <c r="E53" s="47">
        <v>356127</v>
      </c>
      <c r="F53" s="48">
        <v>0.35097575327191399</v>
      </c>
      <c r="G53" s="48">
        <v>0.45118889542545393</v>
      </c>
      <c r="H53" s="48">
        <v>0.79912899075596111</v>
      </c>
      <c r="I53" s="48">
        <v>149.47196491699108</v>
      </c>
      <c r="J53" s="48">
        <v>219.39927712356166</v>
      </c>
    </row>
    <row r="54" spans="2:10" ht="15.75" customHeight="1" x14ac:dyDescent="0.2">
      <c r="B54" s="46" t="s">
        <v>90</v>
      </c>
      <c r="C54" s="47">
        <v>15003</v>
      </c>
      <c r="D54" s="47">
        <v>32809</v>
      </c>
      <c r="E54" s="47">
        <v>117281</v>
      </c>
      <c r="F54" s="48">
        <v>0.11781646812410002</v>
      </c>
      <c r="G54" s="48">
        <v>0.13276402900486747</v>
      </c>
      <c r="H54" s="48">
        <v>0.26317197843704598</v>
      </c>
      <c r="I54" s="48">
        <v>118.68293008065054</v>
      </c>
      <c r="J54" s="48">
        <v>257.46593922399342</v>
      </c>
    </row>
    <row r="55" spans="2:10" ht="15.75" customHeight="1" x14ac:dyDescent="0.2">
      <c r="B55" s="46" t="s">
        <v>91</v>
      </c>
      <c r="C55" s="47">
        <v>311708</v>
      </c>
      <c r="D55" s="47">
        <v>621493</v>
      </c>
      <c r="E55" s="47">
        <v>986090</v>
      </c>
      <c r="F55" s="48">
        <v>2.4477994831718299</v>
      </c>
      <c r="G55" s="48">
        <v>2.5149170861142398</v>
      </c>
      <c r="H55" s="48">
        <v>2.2127305890722853</v>
      </c>
      <c r="I55" s="48">
        <v>99.383076469003043</v>
      </c>
      <c r="J55" s="48">
        <v>58.664699361054751</v>
      </c>
    </row>
    <row r="56" spans="2:10" ht="15.75" customHeight="1" x14ac:dyDescent="0.2">
      <c r="B56" s="46" t="s">
        <v>113</v>
      </c>
      <c r="C56" s="47">
        <v>271526</v>
      </c>
      <c r="D56" s="47">
        <v>645601</v>
      </c>
      <c r="E56" s="47">
        <v>1244756</v>
      </c>
      <c r="F56" s="48">
        <v>2.1322558370902072</v>
      </c>
      <c r="G56" s="48">
        <v>2.6124718793493078</v>
      </c>
      <c r="H56" s="48">
        <v>2.7931625684585195</v>
      </c>
      <c r="I56" s="48">
        <v>137.76765392632748</v>
      </c>
      <c r="J56" s="48">
        <v>92.805773225258321</v>
      </c>
    </row>
    <row r="57" spans="2:10" ht="15.75" customHeight="1" x14ac:dyDescent="0.2">
      <c r="B57" s="46" t="s">
        <v>118</v>
      </c>
      <c r="C57" s="47">
        <v>820709</v>
      </c>
      <c r="D57" s="47">
        <v>392746</v>
      </c>
      <c r="E57" s="47">
        <v>3370739</v>
      </c>
      <c r="F57" s="48">
        <v>6.4449133998308339</v>
      </c>
      <c r="G57" s="48">
        <v>1.5892755443794593</v>
      </c>
      <c r="H57" s="48">
        <v>7.563749042256716</v>
      </c>
      <c r="I57" s="48">
        <v>-52.145522956370648</v>
      </c>
      <c r="J57" s="48">
        <v>758.2490973810045</v>
      </c>
    </row>
    <row r="58" spans="2:10" ht="15.75" customHeight="1" x14ac:dyDescent="0.2">
      <c r="B58" s="46" t="s">
        <v>120</v>
      </c>
      <c r="C58" s="47">
        <v>26176</v>
      </c>
      <c r="D58" s="47">
        <v>36947</v>
      </c>
      <c r="E58" s="47">
        <v>136608</v>
      </c>
      <c r="F58" s="48">
        <v>0.20555648001176044</v>
      </c>
      <c r="G58" s="48">
        <v>0.1495087500272132</v>
      </c>
      <c r="H58" s="48">
        <v>0.3065406811873021</v>
      </c>
      <c r="I58" s="48">
        <v>41.148380195599024</v>
      </c>
      <c r="J58" s="48">
        <v>269.74043900722654</v>
      </c>
    </row>
    <row r="59" spans="2:10" ht="15.75" customHeight="1" x14ac:dyDescent="0.2">
      <c r="B59" s="46" t="s">
        <v>121</v>
      </c>
      <c r="C59" s="47">
        <v>54381</v>
      </c>
      <c r="D59" s="47">
        <v>104848</v>
      </c>
      <c r="E59" s="47">
        <v>298165</v>
      </c>
      <c r="F59" s="48">
        <v>0.42704641425426132</v>
      </c>
      <c r="G59" s="48">
        <v>0.42427513527088129</v>
      </c>
      <c r="H59" s="48">
        <v>0.66906551743830478</v>
      </c>
      <c r="I59" s="48">
        <v>92.802633272650368</v>
      </c>
      <c r="J59" s="48">
        <v>184.37833816572561</v>
      </c>
    </row>
    <row r="60" spans="2:10" ht="15.75" customHeight="1" x14ac:dyDescent="0.2">
      <c r="B60" s="46" t="s">
        <v>123</v>
      </c>
      <c r="C60" s="47">
        <v>93703</v>
      </c>
      <c r="D60" s="47">
        <v>192872</v>
      </c>
      <c r="E60" s="47">
        <v>415696</v>
      </c>
      <c r="F60" s="48">
        <v>0.73583660018879848</v>
      </c>
      <c r="G60" s="48">
        <v>0.7804707184683104</v>
      </c>
      <c r="H60" s="48">
        <v>0.93279848183735015</v>
      </c>
      <c r="I60" s="48">
        <v>105.83332443998592</v>
      </c>
      <c r="J60" s="48">
        <v>115.52947032228629</v>
      </c>
    </row>
    <row r="61" spans="2:10" ht="15.75" customHeight="1" x14ac:dyDescent="0.2">
      <c r="B61" s="46" t="s">
        <v>124</v>
      </c>
      <c r="C61" s="47">
        <v>127643</v>
      </c>
      <c r="D61" s="47">
        <v>219591</v>
      </c>
      <c r="E61" s="47">
        <v>382835</v>
      </c>
      <c r="F61" s="48">
        <v>1.0023626901795972</v>
      </c>
      <c r="G61" s="48">
        <v>0.88859111503574784</v>
      </c>
      <c r="H61" s="48">
        <v>0.85906024304828998</v>
      </c>
      <c r="I61" s="48">
        <v>72.035285914621255</v>
      </c>
      <c r="J61" s="48">
        <v>74.340023042838737</v>
      </c>
    </row>
    <row r="62" spans="2:10" ht="15.75" customHeight="1" x14ac:dyDescent="0.2">
      <c r="B62" s="110" t="s">
        <v>125</v>
      </c>
      <c r="C62" s="111">
        <v>72619</v>
      </c>
      <c r="D62" s="111">
        <v>116806</v>
      </c>
      <c r="E62" s="111">
        <v>420661</v>
      </c>
      <c r="F62" s="112">
        <v>0.57026688653629398</v>
      </c>
      <c r="G62" s="112">
        <v>0.47266406083521439</v>
      </c>
      <c r="H62" s="112">
        <v>0.94393966304265997</v>
      </c>
      <c r="I62" s="112">
        <v>60.847712031286576</v>
      </c>
      <c r="J62" s="112">
        <v>260.13646559252095</v>
      </c>
    </row>
    <row r="63" spans="2:10" ht="15.75" customHeight="1" x14ac:dyDescent="0.2">
      <c r="B63" s="46"/>
      <c r="C63" s="47"/>
      <c r="D63" s="47"/>
      <c r="E63" s="47"/>
      <c r="F63" s="48"/>
      <c r="G63" s="48"/>
      <c r="H63" s="48"/>
      <c r="I63" s="48"/>
      <c r="J63" s="48"/>
    </row>
    <row r="64" spans="2:10" ht="15.75" customHeight="1" x14ac:dyDescent="0.2">
      <c r="B64" s="46"/>
      <c r="C64" s="47"/>
      <c r="D64" s="47"/>
      <c r="E64" s="47"/>
      <c r="F64" s="48"/>
      <c r="G64" s="48"/>
      <c r="H64" s="48"/>
      <c r="I64" s="48"/>
      <c r="J64" s="48"/>
    </row>
    <row r="65" spans="2:10" ht="15.75" customHeight="1" thickBot="1" x14ac:dyDescent="0.25">
      <c r="B65" s="455" t="s">
        <v>615</v>
      </c>
      <c r="C65" s="456"/>
      <c r="D65" s="456"/>
      <c r="E65" s="456"/>
      <c r="F65" s="456"/>
      <c r="G65" s="456"/>
      <c r="H65" s="456"/>
      <c r="I65" s="456"/>
      <c r="J65" s="456"/>
    </row>
    <row r="66" spans="2:10" ht="15.75" customHeight="1" x14ac:dyDescent="0.2">
      <c r="B66" s="69" t="s">
        <v>264</v>
      </c>
      <c r="C66" s="457" t="s">
        <v>1</v>
      </c>
      <c r="D66" s="457"/>
      <c r="E66" s="457"/>
      <c r="F66" s="457" t="s">
        <v>508</v>
      </c>
      <c r="G66" s="457"/>
      <c r="H66" s="457"/>
      <c r="I66" s="457" t="s">
        <v>266</v>
      </c>
      <c r="J66" s="457"/>
    </row>
    <row r="67" spans="2:10" ht="15.75" customHeight="1" thickBot="1" x14ac:dyDescent="0.25">
      <c r="B67" s="108" t="s">
        <v>268</v>
      </c>
      <c r="C67" s="115">
        <v>2020</v>
      </c>
      <c r="D67" s="115">
        <v>2021</v>
      </c>
      <c r="E67" s="115">
        <v>2022</v>
      </c>
      <c r="F67" s="115">
        <v>2020</v>
      </c>
      <c r="G67" s="115">
        <v>2021</v>
      </c>
      <c r="H67" s="115">
        <v>2022</v>
      </c>
      <c r="I67" s="116" t="s">
        <v>267</v>
      </c>
      <c r="J67" s="116" t="s">
        <v>594</v>
      </c>
    </row>
    <row r="68" spans="2:10" ht="15.75" customHeight="1" x14ac:dyDescent="0.2">
      <c r="B68" s="46" t="s">
        <v>126</v>
      </c>
      <c r="C68" s="47">
        <v>541</v>
      </c>
      <c r="D68" s="47">
        <v>962</v>
      </c>
      <c r="E68" s="47">
        <v>4070</v>
      </c>
      <c r="F68" s="48">
        <v>4.2483976041550429E-3</v>
      </c>
      <c r="G68" s="48">
        <v>3.892803678950364E-3</v>
      </c>
      <c r="H68" s="48">
        <v>9.1328514613516019E-3</v>
      </c>
      <c r="I68" s="48">
        <v>77.818853974121993</v>
      </c>
      <c r="J68" s="48">
        <v>323.07692307692309</v>
      </c>
    </row>
    <row r="69" spans="2:10" ht="15.75" customHeight="1" x14ac:dyDescent="0.2">
      <c r="B69" s="46" t="s">
        <v>159</v>
      </c>
      <c r="C69" s="47">
        <v>2228</v>
      </c>
      <c r="D69" s="47">
        <v>8499</v>
      </c>
      <c r="E69" s="47">
        <v>13186</v>
      </c>
      <c r="F69" s="48">
        <v>1.7496173497333522E-2</v>
      </c>
      <c r="G69" s="48">
        <v>3.4391827928689341E-2</v>
      </c>
      <c r="H69" s="48">
        <v>2.9588643579700789E-2</v>
      </c>
      <c r="I69" s="48">
        <v>281.46319569120288</v>
      </c>
      <c r="J69" s="48">
        <v>55.14766443110954</v>
      </c>
    </row>
    <row r="70" spans="2:10" ht="15.75" customHeight="1" x14ac:dyDescent="0.2">
      <c r="B70" s="46" t="s">
        <v>160</v>
      </c>
      <c r="C70" s="47">
        <v>16563</v>
      </c>
      <c r="D70" s="47">
        <v>76257</v>
      </c>
      <c r="E70" s="47">
        <v>165842</v>
      </c>
      <c r="F70" s="48">
        <v>0.13006693071648795</v>
      </c>
      <c r="G70" s="48">
        <v>0.30857955316602692</v>
      </c>
      <c r="H70" s="48">
        <v>0.3721401356396738</v>
      </c>
      <c r="I70" s="48">
        <v>360.40572360079693</v>
      </c>
      <c r="J70" s="48">
        <v>117.47773974848211</v>
      </c>
    </row>
    <row r="71" spans="2:10" ht="15.75" customHeight="1" x14ac:dyDescent="0.2">
      <c r="B71" s="46" t="s">
        <v>191</v>
      </c>
      <c r="C71" s="47">
        <v>25100</v>
      </c>
      <c r="D71" s="47">
        <v>54633</v>
      </c>
      <c r="E71" s="47">
        <v>191789</v>
      </c>
      <c r="F71" s="48">
        <v>0.19710680196726724</v>
      </c>
      <c r="G71" s="48">
        <v>0.22107644843253144</v>
      </c>
      <c r="H71" s="48">
        <v>0.43036374666367622</v>
      </c>
      <c r="I71" s="48">
        <v>117.66135458167331</v>
      </c>
      <c r="J71" s="48">
        <v>251.04973184705216</v>
      </c>
    </row>
    <row r="72" spans="2:10" ht="15.75" customHeight="1" x14ac:dyDescent="0.2">
      <c r="B72" s="46" t="s">
        <v>201</v>
      </c>
      <c r="C72" s="47">
        <v>145908</v>
      </c>
      <c r="D72" s="47">
        <v>585076</v>
      </c>
      <c r="E72" s="47">
        <v>1135903</v>
      </c>
      <c r="F72" s="48">
        <v>1.1457951896988059</v>
      </c>
      <c r="G72" s="48">
        <v>2.3675530200265729</v>
      </c>
      <c r="H72" s="48">
        <v>2.5489025487724</v>
      </c>
      <c r="I72" s="48">
        <v>300.98966472023466</v>
      </c>
      <c r="J72" s="48">
        <v>94.146230575173135</v>
      </c>
    </row>
    <row r="73" spans="2:10" ht="15.75" customHeight="1" x14ac:dyDescent="0.2">
      <c r="B73" s="46" t="s">
        <v>202</v>
      </c>
      <c r="C73" s="47">
        <v>12893</v>
      </c>
      <c r="D73" s="47">
        <v>26379</v>
      </c>
      <c r="E73" s="47">
        <v>74812</v>
      </c>
      <c r="F73" s="48">
        <v>0.10124693218183173</v>
      </c>
      <c r="G73" s="48">
        <v>0.10674456158735099</v>
      </c>
      <c r="H73" s="48">
        <v>0.16787392715642163</v>
      </c>
      <c r="I73" s="48">
        <v>104.59939502055379</v>
      </c>
      <c r="J73" s="48">
        <v>183.60438227377838</v>
      </c>
    </row>
    <row r="74" spans="2:10" ht="15.75" customHeight="1" x14ac:dyDescent="0.2">
      <c r="B74" s="46" t="s">
        <v>221</v>
      </c>
      <c r="C74" s="47">
        <v>8648</v>
      </c>
      <c r="D74" s="47">
        <v>37963</v>
      </c>
      <c r="E74" s="47">
        <v>196462</v>
      </c>
      <c r="F74" s="48">
        <v>6.7911538781391514E-2</v>
      </c>
      <c r="G74" s="48">
        <v>0.15362006867358907</v>
      </c>
      <c r="H74" s="48">
        <v>0.44084969626537057</v>
      </c>
      <c r="I74" s="48">
        <v>338.98011100832565</v>
      </c>
      <c r="J74" s="48">
        <v>417.50915364960622</v>
      </c>
    </row>
    <row r="75" spans="2:10" ht="15.75" customHeight="1" x14ac:dyDescent="0.2">
      <c r="B75" s="46" t="s">
        <v>261</v>
      </c>
      <c r="C75" s="47">
        <v>136305</v>
      </c>
      <c r="D75" s="47">
        <v>157723</v>
      </c>
      <c r="E75" s="47">
        <v>569795</v>
      </c>
      <c r="F75" s="48">
        <v>1.0703841690098947</v>
      </c>
      <c r="G75" s="48">
        <v>0.63823770754167186</v>
      </c>
      <c r="H75" s="48">
        <v>1.2785879848699842</v>
      </c>
      <c r="I75" s="48">
        <v>15.713290048053997</v>
      </c>
      <c r="J75" s="48">
        <v>261.26310049897603</v>
      </c>
    </row>
    <row r="76" spans="2:10" ht="15.75" customHeight="1" thickBot="1" x14ac:dyDescent="0.25">
      <c r="B76" s="46" t="s">
        <v>598</v>
      </c>
      <c r="C76" s="47"/>
      <c r="D76" s="47"/>
      <c r="E76" s="47">
        <v>12</v>
      </c>
      <c r="F76" s="48"/>
      <c r="G76" s="48"/>
      <c r="H76" s="48">
        <v>2.6927326175975238E-5</v>
      </c>
      <c r="I76" s="48"/>
      <c r="J76" s="48"/>
    </row>
    <row r="77" spans="2:10" ht="15.75" customHeight="1" thickBot="1" x14ac:dyDescent="0.25">
      <c r="B77" s="52" t="s">
        <v>287</v>
      </c>
      <c r="C77" s="113">
        <v>3571777</v>
      </c>
      <c r="D77" s="113">
        <v>7221277</v>
      </c>
      <c r="E77" s="113">
        <v>17106288</v>
      </c>
      <c r="F77" s="114">
        <v>28.048667004392026</v>
      </c>
      <c r="G77" s="114">
        <v>29.221427933804208</v>
      </c>
      <c r="H77" s="114">
        <v>38.385549719680924</v>
      </c>
      <c r="I77" s="114">
        <v>102.17603170634673</v>
      </c>
      <c r="J77" s="114">
        <v>136.88729846535455</v>
      </c>
    </row>
    <row r="78" spans="2:10" ht="15.75" customHeight="1" x14ac:dyDescent="0.2">
      <c r="B78" s="46" t="s">
        <v>30</v>
      </c>
      <c r="C78" s="47">
        <v>49667</v>
      </c>
      <c r="D78" s="47">
        <v>89748</v>
      </c>
      <c r="E78" s="47">
        <v>145032</v>
      </c>
      <c r="F78" s="48">
        <v>0.39002802921546859</v>
      </c>
      <c r="G78" s="48">
        <v>0.3631718758611614</v>
      </c>
      <c r="H78" s="48">
        <v>0.32544366416283671</v>
      </c>
      <c r="I78" s="48">
        <v>80.699458392896688</v>
      </c>
      <c r="J78" s="48">
        <v>61.599144270624414</v>
      </c>
    </row>
    <row r="79" spans="2:10" ht="15.75" customHeight="1" x14ac:dyDescent="0.2">
      <c r="B79" s="46" t="s">
        <v>53</v>
      </c>
      <c r="C79" s="47">
        <v>61651</v>
      </c>
      <c r="D79" s="47">
        <v>131347</v>
      </c>
      <c r="E79" s="47">
        <v>200698</v>
      </c>
      <c r="F79" s="48">
        <v>0.48413671107904349</v>
      </c>
      <c r="G79" s="48">
        <v>0.53150528567473332</v>
      </c>
      <c r="H79" s="48">
        <v>0.45035504240548985</v>
      </c>
      <c r="I79" s="48">
        <v>113.04926116364697</v>
      </c>
      <c r="J79" s="48">
        <v>52.79983555010773</v>
      </c>
    </row>
    <row r="80" spans="2:10" ht="15.75" customHeight="1" x14ac:dyDescent="0.2">
      <c r="B80" s="46" t="s">
        <v>58</v>
      </c>
      <c r="C80" s="47">
        <v>1242961</v>
      </c>
      <c r="D80" s="47">
        <v>1402795</v>
      </c>
      <c r="E80" s="47">
        <v>2882512</v>
      </c>
      <c r="F80" s="48">
        <v>9.7607995091647997</v>
      </c>
      <c r="G80" s="48">
        <v>5.6765130320303285</v>
      </c>
      <c r="H80" s="48">
        <v>6.4681950691802275</v>
      </c>
      <c r="I80" s="48">
        <v>12.859132346067174</v>
      </c>
      <c r="J80" s="48">
        <v>105.48348119290416</v>
      </c>
    </row>
    <row r="81" spans="2:10" ht="15.75" customHeight="1" x14ac:dyDescent="0.2">
      <c r="B81" s="46" t="s">
        <v>81</v>
      </c>
      <c r="C81" s="47">
        <v>5113</v>
      </c>
      <c r="D81" s="47">
        <v>47597</v>
      </c>
      <c r="E81" s="47">
        <v>93209</v>
      </c>
      <c r="F81" s="48">
        <v>4.0151676432615031E-2</v>
      </c>
      <c r="G81" s="48">
        <v>0.19260475749168449</v>
      </c>
      <c r="H81" s="48">
        <v>0.20915576212803966</v>
      </c>
      <c r="I81" s="48">
        <v>830.90162331312342</v>
      </c>
      <c r="J81" s="48">
        <v>95.829569090488903</v>
      </c>
    </row>
    <row r="82" spans="2:10" ht="15.75" customHeight="1" x14ac:dyDescent="0.2">
      <c r="B82" s="46" t="s">
        <v>106</v>
      </c>
      <c r="C82" s="47">
        <v>2207</v>
      </c>
      <c r="D82" s="47">
        <v>2471</v>
      </c>
      <c r="E82" s="47">
        <v>11254</v>
      </c>
      <c r="F82" s="48">
        <v>1.7331263423974452E-2</v>
      </c>
      <c r="G82" s="48">
        <v>9.9990830464515065E-3</v>
      </c>
      <c r="H82" s="48">
        <v>2.5253344065368777E-2</v>
      </c>
      <c r="I82" s="48">
        <v>11.961939284096058</v>
      </c>
      <c r="J82" s="48">
        <v>355.44314042897611</v>
      </c>
    </row>
    <row r="83" spans="2:10" ht="15.75" customHeight="1" x14ac:dyDescent="0.2">
      <c r="B83" s="46" t="s">
        <v>111</v>
      </c>
      <c r="C83" s="47">
        <v>16566</v>
      </c>
      <c r="D83" s="47">
        <v>29464</v>
      </c>
      <c r="E83" s="47">
        <v>61327</v>
      </c>
      <c r="F83" s="48">
        <v>0.13009048929839637</v>
      </c>
      <c r="G83" s="48">
        <v>0.11922824074489972</v>
      </c>
      <c r="H83" s="48">
        <v>0.13761434436616946</v>
      </c>
      <c r="I83" s="48">
        <v>77.858263914040805</v>
      </c>
      <c r="J83" s="48">
        <v>108.14213956014119</v>
      </c>
    </row>
    <row r="84" spans="2:10" ht="15.75" customHeight="1" x14ac:dyDescent="0.2">
      <c r="B84" s="46" t="s">
        <v>133</v>
      </c>
      <c r="C84" s="47">
        <v>11441</v>
      </c>
      <c r="D84" s="47">
        <v>20812</v>
      </c>
      <c r="E84" s="47">
        <v>29417</v>
      </c>
      <c r="F84" s="48">
        <v>8.984457853814759E-2</v>
      </c>
      <c r="G84" s="48">
        <v>8.4217287075171496E-2</v>
      </c>
      <c r="H84" s="48">
        <v>6.6010096176555302E-2</v>
      </c>
      <c r="I84" s="48">
        <v>81.907175946158546</v>
      </c>
      <c r="J84" s="48">
        <v>41.346338650778399</v>
      </c>
    </row>
    <row r="85" spans="2:10" ht="15.75" customHeight="1" x14ac:dyDescent="0.2">
      <c r="B85" s="46" t="s">
        <v>143</v>
      </c>
      <c r="C85" s="47">
        <v>70462</v>
      </c>
      <c r="D85" s="47">
        <v>145931</v>
      </c>
      <c r="E85" s="47">
        <v>193823</v>
      </c>
      <c r="F85" s="48">
        <v>0.55332826614412689</v>
      </c>
      <c r="G85" s="48">
        <v>0.59052051317349852</v>
      </c>
      <c r="H85" s="48">
        <v>0.43492792845050404</v>
      </c>
      <c r="I85" s="48">
        <v>107.10595782123698</v>
      </c>
      <c r="J85" s="48">
        <v>32.818249720758438</v>
      </c>
    </row>
    <row r="86" spans="2:10" ht="15.75" customHeight="1" x14ac:dyDescent="0.2">
      <c r="B86" s="46" t="s">
        <v>148</v>
      </c>
      <c r="C86" s="47">
        <v>115483</v>
      </c>
      <c r="D86" s="47">
        <v>182045</v>
      </c>
      <c r="E86" s="47">
        <v>266184</v>
      </c>
      <c r="F86" s="48">
        <v>0.90687190484406066</v>
      </c>
      <c r="G86" s="48">
        <v>0.73665846749950004</v>
      </c>
      <c r="H86" s="48">
        <v>0.59730194923548274</v>
      </c>
      <c r="I86" s="48">
        <v>57.637920732921728</v>
      </c>
      <c r="J86" s="48">
        <v>46.218792056909002</v>
      </c>
    </row>
    <row r="87" spans="2:10" ht="15.75" customHeight="1" x14ac:dyDescent="0.2">
      <c r="B87" s="46" t="s">
        <v>153</v>
      </c>
      <c r="C87" s="47">
        <v>9392</v>
      </c>
      <c r="D87" s="47">
        <v>44760</v>
      </c>
      <c r="E87" s="47">
        <v>97240</v>
      </c>
      <c r="F87" s="48">
        <v>7.3754067094684211E-2</v>
      </c>
      <c r="G87" s="48">
        <v>0.18112462855490469</v>
      </c>
      <c r="H87" s="48">
        <v>0.21820109977931934</v>
      </c>
      <c r="I87" s="48">
        <v>376.57580919931854</v>
      </c>
      <c r="J87" s="48">
        <v>117.24754244861484</v>
      </c>
    </row>
    <row r="88" spans="2:10" ht="15.75" customHeight="1" x14ac:dyDescent="0.2">
      <c r="B88" s="46" t="s">
        <v>157</v>
      </c>
      <c r="C88" s="47">
        <v>14194</v>
      </c>
      <c r="D88" s="47">
        <v>114227</v>
      </c>
      <c r="E88" s="47">
        <v>251619</v>
      </c>
      <c r="F88" s="48">
        <v>0.11146350386945782</v>
      </c>
      <c r="G88" s="48">
        <v>0.46222794785391191</v>
      </c>
      <c r="H88" s="48">
        <v>0.56461890708939277</v>
      </c>
      <c r="I88" s="48">
        <v>704.75553050584756</v>
      </c>
      <c r="J88" s="48">
        <v>120.279793744036</v>
      </c>
    </row>
    <row r="89" spans="2:10" ht="15.75" customHeight="1" x14ac:dyDescent="0.2">
      <c r="B89" s="46" t="s">
        <v>167</v>
      </c>
      <c r="C89" s="47">
        <v>3258</v>
      </c>
      <c r="D89" s="47">
        <v>7163</v>
      </c>
      <c r="E89" s="47">
        <v>16321</v>
      </c>
      <c r="F89" s="48">
        <v>2.558461995256401E-2</v>
      </c>
      <c r="G89" s="48">
        <v>2.8985605771643927E-2</v>
      </c>
      <c r="H89" s="48">
        <v>3.6623407543174322E-2</v>
      </c>
      <c r="I89" s="48">
        <v>119.85880908532842</v>
      </c>
      <c r="J89" s="48">
        <v>127.85145888594164</v>
      </c>
    </row>
    <row r="90" spans="2:10" ht="15.75" customHeight="1" x14ac:dyDescent="0.2">
      <c r="B90" s="46" t="s">
        <v>205</v>
      </c>
      <c r="C90" s="47">
        <v>269076</v>
      </c>
      <c r="D90" s="47">
        <v>496178</v>
      </c>
      <c r="E90" s="47">
        <v>886555</v>
      </c>
      <c r="F90" s="48">
        <v>2.1130163285316494</v>
      </c>
      <c r="G90" s="48">
        <v>2.0078207316156278</v>
      </c>
      <c r="H90" s="48">
        <v>1.9893796381618105</v>
      </c>
      <c r="I90" s="48">
        <v>84.400689767946602</v>
      </c>
      <c r="J90" s="48">
        <v>78.676805501251565</v>
      </c>
    </row>
    <row r="91" spans="2:10" ht="15.75" customHeight="1" x14ac:dyDescent="0.2">
      <c r="B91" s="46" t="s">
        <v>218</v>
      </c>
      <c r="C91" s="47">
        <v>129284</v>
      </c>
      <c r="D91" s="47">
        <v>238852</v>
      </c>
      <c r="E91" s="47">
        <v>357787</v>
      </c>
      <c r="F91" s="48">
        <v>1.0152492344835131</v>
      </c>
      <c r="G91" s="48">
        <v>0.96653216665764285</v>
      </c>
      <c r="H91" s="48">
        <v>0.80285393754363765</v>
      </c>
      <c r="I91" s="48">
        <v>84.749853036725355</v>
      </c>
      <c r="J91" s="48">
        <v>49.794433372967362</v>
      </c>
    </row>
    <row r="92" spans="2:10" ht="15.75" customHeight="1" x14ac:dyDescent="0.2">
      <c r="B92" s="46" t="s">
        <v>222</v>
      </c>
      <c r="C92" s="47">
        <v>8108</v>
      </c>
      <c r="D92" s="47">
        <v>18580</v>
      </c>
      <c r="E92" s="47">
        <v>48622</v>
      </c>
      <c r="F92" s="48">
        <v>6.3670994037872616E-2</v>
      </c>
      <c r="G92" s="48">
        <v>7.5185335088251315E-2</v>
      </c>
      <c r="H92" s="48">
        <v>0.10910503777735567</v>
      </c>
      <c r="I92" s="48">
        <v>129.15638875185002</v>
      </c>
      <c r="J92" s="48">
        <v>161.68998923573736</v>
      </c>
    </row>
    <row r="93" spans="2:10" ht="15.75" customHeight="1" thickBot="1" x14ac:dyDescent="0.25">
      <c r="B93" s="46" t="s">
        <v>288</v>
      </c>
      <c r="C93" s="47">
        <v>762</v>
      </c>
      <c r="D93" s="47">
        <v>1800</v>
      </c>
      <c r="E93" s="47">
        <v>3085</v>
      </c>
      <c r="F93" s="48">
        <v>5.983879804743332E-3</v>
      </c>
      <c r="G93" s="48">
        <v>7.2838322475162736E-3</v>
      </c>
      <c r="H93" s="48">
        <v>6.9225667710736344E-3</v>
      </c>
      <c r="I93" s="48">
        <v>136.22047244094489</v>
      </c>
      <c r="J93" s="48">
        <v>71.388888888888886</v>
      </c>
    </row>
    <row r="94" spans="2:10" ht="15.75" customHeight="1" thickBot="1" x14ac:dyDescent="0.25">
      <c r="B94" s="52" t="s">
        <v>289</v>
      </c>
      <c r="C94" s="113">
        <v>2009625</v>
      </c>
      <c r="D94" s="113">
        <v>2973770</v>
      </c>
      <c r="E94" s="113">
        <v>5544685</v>
      </c>
      <c r="F94" s="114">
        <v>15.781305055915116</v>
      </c>
      <c r="G94" s="114">
        <v>12.033578790386928</v>
      </c>
      <c r="H94" s="114">
        <v>12.441961794836438</v>
      </c>
      <c r="I94" s="114">
        <v>47.976363749455743</v>
      </c>
      <c r="J94" s="114">
        <v>86.453054540196447</v>
      </c>
    </row>
    <row r="95" spans="2:10" ht="15.75" customHeight="1" thickBot="1" x14ac:dyDescent="0.25">
      <c r="B95" s="52" t="s">
        <v>290</v>
      </c>
      <c r="C95" s="113">
        <v>5581402</v>
      </c>
      <c r="D95" s="113">
        <v>10195047</v>
      </c>
      <c r="E95" s="113">
        <v>22650973</v>
      </c>
      <c r="F95" s="114">
        <v>43.829972060307142</v>
      </c>
      <c r="G95" s="114">
        <v>41.255006724191134</v>
      </c>
      <c r="H95" s="114">
        <v>50.827511514517361</v>
      </c>
      <c r="I95" s="114">
        <v>82.661041078926047</v>
      </c>
      <c r="J95" s="114">
        <v>122.17624891773427</v>
      </c>
    </row>
    <row r="96" spans="2:10" ht="15.75" customHeight="1" x14ac:dyDescent="0.2">
      <c r="B96" s="46" t="s">
        <v>35</v>
      </c>
      <c r="C96" s="47">
        <v>236797</v>
      </c>
      <c r="D96" s="47">
        <v>470618</v>
      </c>
      <c r="E96" s="47">
        <v>683834</v>
      </c>
      <c r="F96" s="48">
        <v>1.8595338400574892</v>
      </c>
      <c r="G96" s="48">
        <v>1.9043903137008966</v>
      </c>
      <c r="H96" s="48">
        <v>1.5344850973518209</v>
      </c>
      <c r="I96" s="48">
        <v>98.743227321292082</v>
      </c>
      <c r="J96" s="48">
        <v>45.305534424947624</v>
      </c>
    </row>
    <row r="97" spans="2:10" ht="15.75" customHeight="1" x14ac:dyDescent="0.2">
      <c r="B97" s="46" t="s">
        <v>47</v>
      </c>
      <c r="C97" s="47">
        <v>106426</v>
      </c>
      <c r="D97" s="47">
        <v>220932</v>
      </c>
      <c r="E97" s="47">
        <v>239966</v>
      </c>
      <c r="F97" s="48">
        <v>0.83574854606248539</v>
      </c>
      <c r="G97" s="48">
        <v>0.89401757006014748</v>
      </c>
      <c r="H97" s="48">
        <v>0.53847022942867284</v>
      </c>
      <c r="I97" s="48">
        <v>107.59212974273204</v>
      </c>
      <c r="J97" s="48">
        <v>8.615320551119801</v>
      </c>
    </row>
    <row r="98" spans="2:10" ht="15.75" customHeight="1" x14ac:dyDescent="0.2">
      <c r="B98" s="46" t="s">
        <v>80</v>
      </c>
      <c r="C98" s="47">
        <v>9309</v>
      </c>
      <c r="D98" s="47">
        <v>10178</v>
      </c>
      <c r="E98" s="47">
        <v>36445</v>
      </c>
      <c r="F98" s="48">
        <v>7.3102279661884095E-2</v>
      </c>
      <c r="G98" s="48">
        <v>4.1186024786233684E-2</v>
      </c>
      <c r="H98" s="48">
        <v>8.1780533540284792E-2</v>
      </c>
      <c r="I98" s="48">
        <v>9.3350521001181654</v>
      </c>
      <c r="J98" s="48">
        <v>258.07624287679306</v>
      </c>
    </row>
    <row r="99" spans="2:10" ht="15.75" customHeight="1" x14ac:dyDescent="0.2">
      <c r="B99" s="46" t="s">
        <v>109</v>
      </c>
      <c r="C99" s="47">
        <v>410501</v>
      </c>
      <c r="D99" s="47">
        <v>291852</v>
      </c>
      <c r="E99" s="47">
        <v>1514813</v>
      </c>
      <c r="F99" s="48">
        <v>3.223607143998612</v>
      </c>
      <c r="G99" s="48">
        <v>1.1810005606122886</v>
      </c>
      <c r="H99" s="48">
        <v>3.3991553122172982</v>
      </c>
      <c r="I99" s="48">
        <v>-28.903461867327973</v>
      </c>
      <c r="J99" s="48">
        <v>419.03464769814838</v>
      </c>
    </row>
    <row r="100" spans="2:10" ht="15.75" customHeight="1" x14ac:dyDescent="0.2">
      <c r="B100" s="46" t="s">
        <v>136</v>
      </c>
      <c r="C100" s="47">
        <v>137213</v>
      </c>
      <c r="D100" s="47">
        <v>366076</v>
      </c>
      <c r="E100" s="47">
        <v>712136</v>
      </c>
      <c r="F100" s="48">
        <v>1.0775145664675154</v>
      </c>
      <c r="G100" s="48">
        <v>1.481353429912093</v>
      </c>
      <c r="H100" s="48">
        <v>1.5979931961378584</v>
      </c>
      <c r="I100" s="48">
        <v>166.79396267117548</v>
      </c>
      <c r="J100" s="48">
        <v>94.532282913930445</v>
      </c>
    </row>
    <row r="101" spans="2:10" ht="15.75" customHeight="1" x14ac:dyDescent="0.2">
      <c r="B101" s="46" t="s">
        <v>138</v>
      </c>
      <c r="C101" s="47">
        <v>52142</v>
      </c>
      <c r="D101" s="47">
        <v>102840</v>
      </c>
      <c r="E101" s="47">
        <v>147487</v>
      </c>
      <c r="F101" s="48">
        <v>0.40946385928993023</v>
      </c>
      <c r="G101" s="48">
        <v>0.41614961574142978</v>
      </c>
      <c r="H101" s="48">
        <v>0.33095254630967164</v>
      </c>
      <c r="I101" s="48">
        <v>97.230639407771093</v>
      </c>
      <c r="J101" s="48">
        <v>43.414041229093741</v>
      </c>
    </row>
    <row r="102" spans="2:10" ht="15.75" customHeight="1" x14ac:dyDescent="0.2">
      <c r="B102" s="46" t="s">
        <v>178</v>
      </c>
      <c r="C102" s="47">
        <v>109137</v>
      </c>
      <c r="D102" s="47">
        <v>192441</v>
      </c>
      <c r="E102" s="47">
        <v>274257</v>
      </c>
      <c r="F102" s="48">
        <v>0.85703765124707743</v>
      </c>
      <c r="G102" s="48">
        <v>0.77872664530237734</v>
      </c>
      <c r="H102" s="48">
        <v>0.61541730792037008</v>
      </c>
      <c r="I102" s="48">
        <v>76.329750680337554</v>
      </c>
      <c r="J102" s="48">
        <v>42.514848706876393</v>
      </c>
    </row>
    <row r="103" spans="2:10" ht="15.75" customHeight="1" x14ac:dyDescent="0.2">
      <c r="B103" s="46" t="s">
        <v>193</v>
      </c>
      <c r="C103" s="47">
        <v>102598</v>
      </c>
      <c r="D103" s="47">
        <v>272604</v>
      </c>
      <c r="E103" s="47">
        <v>419673</v>
      </c>
      <c r="F103" s="48">
        <v>0.80568779554731806</v>
      </c>
      <c r="G103" s="48">
        <v>1.1031121144455147</v>
      </c>
      <c r="H103" s="48">
        <v>0.94172264652083804</v>
      </c>
      <c r="I103" s="48">
        <v>165.70108579114603</v>
      </c>
      <c r="J103" s="48">
        <v>53.949685257736498</v>
      </c>
    </row>
    <row r="104" spans="2:10" ht="15.75" customHeight="1" x14ac:dyDescent="0.2">
      <c r="B104" s="46" t="s">
        <v>207</v>
      </c>
      <c r="C104" s="47">
        <v>2128758</v>
      </c>
      <c r="D104" s="47">
        <v>4694422</v>
      </c>
      <c r="E104" s="47">
        <v>5232611</v>
      </c>
      <c r="F104" s="48">
        <v>16.716839902081109</v>
      </c>
      <c r="G104" s="48">
        <v>18.996323526138802</v>
      </c>
      <c r="H104" s="48">
        <v>11.741685262416331</v>
      </c>
      <c r="I104" s="48">
        <v>120.52398628683956</v>
      </c>
      <c r="J104" s="48">
        <v>11.464435877302893</v>
      </c>
    </row>
    <row r="105" spans="2:10" ht="15.75" customHeight="1" x14ac:dyDescent="0.2">
      <c r="B105" s="46" t="s">
        <v>234</v>
      </c>
      <c r="C105" s="47">
        <v>16972</v>
      </c>
      <c r="D105" s="47">
        <v>41440</v>
      </c>
      <c r="E105" s="47">
        <v>74101</v>
      </c>
      <c r="F105" s="48">
        <v>0.1332787507166717</v>
      </c>
      <c r="G105" s="48">
        <v>0.167690004631708</v>
      </c>
      <c r="H105" s="48">
        <v>0.16627848308049509</v>
      </c>
      <c r="I105" s="48">
        <v>144.16686306858355</v>
      </c>
      <c r="J105" s="48">
        <v>78.815154440154444</v>
      </c>
    </row>
    <row r="106" spans="2:10" ht="15.75" customHeight="1" x14ac:dyDescent="0.2">
      <c r="B106" s="46" t="s">
        <v>245</v>
      </c>
      <c r="C106" s="47">
        <v>43236</v>
      </c>
      <c r="D106" s="47">
        <v>18979</v>
      </c>
      <c r="E106" s="47">
        <v>45249</v>
      </c>
      <c r="F106" s="48">
        <v>0.33952628246441302</v>
      </c>
      <c r="G106" s="48">
        <v>7.6799917903117423E-2</v>
      </c>
      <c r="H106" s="48">
        <v>0.10153621517805862</v>
      </c>
      <c r="I106" s="48">
        <v>-56.10370987140346</v>
      </c>
      <c r="J106" s="48">
        <v>138.41614415933401</v>
      </c>
    </row>
    <row r="107" spans="2:10" ht="15.75" customHeight="1" thickBot="1" x14ac:dyDescent="0.25">
      <c r="B107" s="46" t="s">
        <v>247</v>
      </c>
      <c r="C107" s="47">
        <v>997652</v>
      </c>
      <c r="D107" s="47">
        <v>2060008</v>
      </c>
      <c r="E107" s="47">
        <v>675467</v>
      </c>
      <c r="F107" s="48">
        <v>7.8344221193724337</v>
      </c>
      <c r="G107" s="48">
        <v>8.3359737225230575</v>
      </c>
      <c r="H107" s="48">
        <v>1.5157100191756221</v>
      </c>
      <c r="I107" s="48">
        <v>106.48562825514307</v>
      </c>
      <c r="J107" s="48">
        <v>-67.210467143816913</v>
      </c>
    </row>
    <row r="108" spans="2:10" ht="15.75" customHeight="1" thickBot="1" x14ac:dyDescent="0.25">
      <c r="B108" s="52" t="s">
        <v>291</v>
      </c>
      <c r="C108" s="113">
        <v>4350741</v>
      </c>
      <c r="D108" s="113">
        <v>8742390</v>
      </c>
      <c r="E108" s="113">
        <v>10056039</v>
      </c>
      <c r="F108" s="114">
        <v>34.16576273696694</v>
      </c>
      <c r="G108" s="114">
        <v>35.376723445757662</v>
      </c>
      <c r="H108" s="114">
        <v>22.565186849277321</v>
      </c>
      <c r="I108" s="114">
        <v>100.94025362576168</v>
      </c>
      <c r="J108" s="114">
        <v>15.026199929309948</v>
      </c>
    </row>
    <row r="109" spans="2:10" ht="15.75" customHeight="1" x14ac:dyDescent="0.2">
      <c r="B109" s="46" t="s">
        <v>23</v>
      </c>
      <c r="C109" s="47">
        <v>148937</v>
      </c>
      <c r="D109" s="47">
        <v>371759</v>
      </c>
      <c r="E109" s="47">
        <v>1013478</v>
      </c>
      <c r="F109" s="48">
        <v>1.1695815045656925</v>
      </c>
      <c r="G109" s="48">
        <v>1.5043501069468903</v>
      </c>
      <c r="H109" s="48">
        <v>2.2741877231812526</v>
      </c>
      <c r="I109" s="48">
        <v>149.6082236113256</v>
      </c>
      <c r="J109" s="48">
        <v>172.61693731691767</v>
      </c>
    </row>
    <row r="110" spans="2:10" ht="15.75" customHeight="1" x14ac:dyDescent="0.2">
      <c r="B110" s="46" t="s">
        <v>33</v>
      </c>
      <c r="C110" s="47">
        <v>15109</v>
      </c>
      <c r="D110" s="47">
        <v>15674</v>
      </c>
      <c r="E110" s="47">
        <v>118847</v>
      </c>
      <c r="F110" s="48">
        <v>0.1186488713515315</v>
      </c>
      <c r="G110" s="48">
        <v>6.3425992581983379E-2</v>
      </c>
      <c r="H110" s="48">
        <v>0.26668599450301078</v>
      </c>
      <c r="I110" s="48">
        <v>3.7394930174068435</v>
      </c>
      <c r="J110" s="48">
        <v>658.24295010845992</v>
      </c>
    </row>
    <row r="111" spans="2:10" ht="15.75" customHeight="1" x14ac:dyDescent="0.2">
      <c r="B111" s="46" t="s">
        <v>107</v>
      </c>
      <c r="C111" s="47">
        <v>36636</v>
      </c>
      <c r="D111" s="47">
        <v>15206</v>
      </c>
      <c r="E111" s="47">
        <v>99869</v>
      </c>
      <c r="F111" s="48">
        <v>0.28769740226584872</v>
      </c>
      <c r="G111" s="48">
        <v>6.1532196197629146E-2</v>
      </c>
      <c r="H111" s="48">
        <v>0.22410042815570591</v>
      </c>
      <c r="I111" s="48">
        <v>-58.494377115405612</v>
      </c>
      <c r="J111" s="48">
        <v>556.77364198342764</v>
      </c>
    </row>
    <row r="112" spans="2:10" ht="15.75" customHeight="1" x14ac:dyDescent="0.2">
      <c r="B112" s="46" t="s">
        <v>129</v>
      </c>
      <c r="C112" s="47">
        <v>19122</v>
      </c>
      <c r="D112" s="47">
        <v>7153</v>
      </c>
      <c r="E112" s="47">
        <v>30610</v>
      </c>
      <c r="F112" s="48">
        <v>0.15016240108438583</v>
      </c>
      <c r="G112" s="48">
        <v>2.8945140036935504E-2</v>
      </c>
      <c r="H112" s="48">
        <v>6.8687121187216829E-2</v>
      </c>
      <c r="I112" s="48">
        <v>-62.592825018303522</v>
      </c>
      <c r="J112" s="48">
        <v>327.9323360827625</v>
      </c>
    </row>
    <row r="113" spans="2:10" ht="15.75" customHeight="1" x14ac:dyDescent="0.2">
      <c r="B113" s="46" t="s">
        <v>132</v>
      </c>
      <c r="C113" s="47">
        <v>34210</v>
      </c>
      <c r="D113" s="47">
        <v>72034</v>
      </c>
      <c r="E113" s="47">
        <v>197416</v>
      </c>
      <c r="F113" s="48">
        <v>0.26864636236255823</v>
      </c>
      <c r="G113" s="48">
        <v>0.29149087339865959</v>
      </c>
      <c r="H113" s="48">
        <v>0.44299041869636063</v>
      </c>
      <c r="I113" s="48">
        <v>110.56416252557732</v>
      </c>
      <c r="J113" s="48">
        <v>174.05947191603966</v>
      </c>
    </row>
    <row r="114" spans="2:10" x14ac:dyDescent="0.2">
      <c r="B114" s="46" t="s">
        <v>172</v>
      </c>
      <c r="C114" s="47">
        <v>12775</v>
      </c>
      <c r="D114" s="47">
        <v>34705</v>
      </c>
      <c r="E114" s="47">
        <v>114267</v>
      </c>
      <c r="F114" s="48">
        <v>0.10032029462676649</v>
      </c>
      <c r="G114" s="48">
        <v>0.14043633230558461</v>
      </c>
      <c r="H114" s="48">
        <v>0.25640873167918021</v>
      </c>
      <c r="I114" s="48">
        <v>171.66340508806263</v>
      </c>
      <c r="J114" s="48">
        <v>229.25226912548624</v>
      </c>
    </row>
    <row r="115" spans="2:10" ht="12.75" thickBot="1" x14ac:dyDescent="0.25">
      <c r="B115" s="46" t="s">
        <v>259</v>
      </c>
      <c r="C115" s="47">
        <v>2879</v>
      </c>
      <c r="D115" s="47">
        <v>2746</v>
      </c>
      <c r="E115" s="47">
        <v>15448</v>
      </c>
      <c r="F115" s="48">
        <v>2.2608385771464637E-2</v>
      </c>
      <c r="G115" s="48">
        <v>1.111189075093316E-2</v>
      </c>
      <c r="H115" s="48">
        <v>3.4664444563872125E-2</v>
      </c>
      <c r="I115" s="48">
        <v>-4.6196596040291764</v>
      </c>
      <c r="J115" s="48">
        <v>462.56372906045158</v>
      </c>
    </row>
    <row r="116" spans="2:10" ht="12.75" thickBot="1" x14ac:dyDescent="0.25">
      <c r="B116" s="52" t="s">
        <v>292</v>
      </c>
      <c r="C116" s="113">
        <v>269668</v>
      </c>
      <c r="D116" s="113">
        <v>519277</v>
      </c>
      <c r="E116" s="113">
        <v>1589935</v>
      </c>
      <c r="F116" s="114">
        <v>2.1176652220282479</v>
      </c>
      <c r="G116" s="114">
        <v>2.1012925322186158</v>
      </c>
      <c r="H116" s="114">
        <v>3.5677248619665991</v>
      </c>
      <c r="I116" s="114">
        <v>92.561594256641499</v>
      </c>
      <c r="J116" s="114">
        <v>206.18244212626402</v>
      </c>
    </row>
    <row r="117" spans="2:10" ht="12.75" thickBot="1" x14ac:dyDescent="0.25">
      <c r="B117" s="52" t="s">
        <v>293</v>
      </c>
      <c r="C117" s="113">
        <v>29681</v>
      </c>
      <c r="D117" s="113">
        <v>62423</v>
      </c>
      <c r="E117" s="113">
        <v>89322</v>
      </c>
      <c r="F117" s="114">
        <v>0.23308075654145255</v>
      </c>
      <c r="G117" s="114">
        <v>0.25259925577039355</v>
      </c>
      <c r="H117" s="114">
        <v>0.20043355239087168</v>
      </c>
      <c r="I117" s="114">
        <v>110.31299484518716</v>
      </c>
      <c r="J117" s="114">
        <v>43.091488714095767</v>
      </c>
    </row>
    <row r="118" spans="2:10" ht="12.75" thickBot="1" x14ac:dyDescent="0.25">
      <c r="B118" s="52" t="s">
        <v>294</v>
      </c>
      <c r="C118" s="113">
        <v>406</v>
      </c>
      <c r="D118" s="113">
        <v>260</v>
      </c>
      <c r="E118" s="113">
        <v>709</v>
      </c>
      <c r="F118" s="114">
        <v>3.1882614182753184E-3</v>
      </c>
      <c r="G118" s="114">
        <v>1.0521091024190174E-3</v>
      </c>
      <c r="H118" s="114">
        <v>1.590956188230537E-3</v>
      </c>
      <c r="I118" s="114">
        <v>-35.960591133004925</v>
      </c>
      <c r="J118" s="114">
        <v>172.69230769230768</v>
      </c>
    </row>
    <row r="119" spans="2:10" ht="12.75" thickBot="1" x14ac:dyDescent="0.25">
      <c r="B119" s="52" t="s">
        <v>295</v>
      </c>
      <c r="C119" s="113">
        <v>12734213</v>
      </c>
      <c r="D119" s="113">
        <v>24712266</v>
      </c>
      <c r="E119" s="113">
        <v>44564395</v>
      </c>
      <c r="F119" s="114">
        <v>100</v>
      </c>
      <c r="G119" s="114">
        <v>100</v>
      </c>
      <c r="H119" s="114">
        <v>100</v>
      </c>
      <c r="I119" s="114">
        <v>94.061980901371754</v>
      </c>
      <c r="J119" s="114">
        <v>80.333098551140552</v>
      </c>
    </row>
  </sheetData>
  <mergeCells count="8">
    <mergeCell ref="C66:E66"/>
    <mergeCell ref="F66:H66"/>
    <mergeCell ref="I66:J66"/>
    <mergeCell ref="B1:J1"/>
    <mergeCell ref="C2:E2"/>
    <mergeCell ref="F2:H2"/>
    <mergeCell ref="I2:J2"/>
    <mergeCell ref="B65:J65"/>
  </mergeCells>
  <printOptions horizontalCentered="1"/>
  <pageMargins left="0.78740157480314965" right="0.62992125984251968" top="0.59055118110236227" bottom="0" header="0.23622047244094491" footer="0.11811023622047245"/>
  <pageSetup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O120"/>
  <sheetViews>
    <sheetView view="pageBreakPreview" zoomScaleNormal="100" zoomScaleSheetLayoutView="100" workbookViewId="0">
      <selection activeCell="W5" sqref="W5"/>
    </sheetView>
  </sheetViews>
  <sheetFormatPr defaultColWidth="9.140625" defaultRowHeight="12" x14ac:dyDescent="0.2"/>
  <cols>
    <col min="1" max="1" width="9.140625" style="107"/>
    <col min="2" max="2" width="31.140625" style="109" customWidth="1"/>
    <col min="3" max="8" width="9.140625" style="107" customWidth="1"/>
    <col min="9" max="9" width="9" style="107" customWidth="1"/>
    <col min="10" max="10" width="9.42578125" style="107" customWidth="1"/>
    <col min="11" max="14" width="9.140625" style="107" customWidth="1"/>
    <col min="15" max="15" width="10.140625" style="107" customWidth="1"/>
    <col min="16" max="16384" width="9.140625" style="107"/>
  </cols>
  <sheetData>
    <row r="1" spans="2:15" ht="30" customHeight="1" thickBot="1" x14ac:dyDescent="0.25">
      <c r="B1" s="455" t="s">
        <v>616</v>
      </c>
      <c r="C1" s="456"/>
      <c r="D1" s="456"/>
      <c r="E1" s="456"/>
      <c r="F1" s="456"/>
      <c r="G1" s="456"/>
      <c r="H1" s="456"/>
      <c r="I1" s="456"/>
      <c r="J1" s="456"/>
      <c r="K1" s="456"/>
      <c r="L1" s="456"/>
      <c r="M1" s="456"/>
      <c r="N1" s="456"/>
      <c r="O1" s="456"/>
    </row>
    <row r="2" spans="2:15" ht="18" customHeight="1" thickBot="1" x14ac:dyDescent="0.25">
      <c r="B2" s="69" t="s">
        <v>264</v>
      </c>
      <c r="C2" s="484" t="s">
        <v>265</v>
      </c>
      <c r="D2" s="484"/>
      <c r="E2" s="484"/>
      <c r="F2" s="484"/>
      <c r="G2" s="484"/>
      <c r="H2" s="484"/>
      <c r="I2" s="484"/>
      <c r="J2" s="484"/>
      <c r="K2" s="484"/>
      <c r="L2" s="484"/>
      <c r="M2" s="484"/>
      <c r="N2" s="484"/>
      <c r="O2" s="484"/>
    </row>
    <row r="3" spans="2:15" ht="18" customHeight="1" thickBot="1" x14ac:dyDescent="0.25">
      <c r="B3" s="108" t="s">
        <v>268</v>
      </c>
      <c r="C3" s="71" t="s">
        <v>5</v>
      </c>
      <c r="D3" s="71" t="s">
        <v>6</v>
      </c>
      <c r="E3" s="71" t="s">
        <v>7</v>
      </c>
      <c r="F3" s="71" t="s">
        <v>8</v>
      </c>
      <c r="G3" s="71" t="s">
        <v>9</v>
      </c>
      <c r="H3" s="71" t="s">
        <v>10</v>
      </c>
      <c r="I3" s="71" t="s">
        <v>11</v>
      </c>
      <c r="J3" s="71" t="s">
        <v>12</v>
      </c>
      <c r="K3" s="71" t="s">
        <v>13</v>
      </c>
      <c r="L3" s="71" t="s">
        <v>14</v>
      </c>
      <c r="M3" s="71" t="s">
        <v>15</v>
      </c>
      <c r="N3" s="71" t="s">
        <v>16</v>
      </c>
      <c r="O3" s="119" t="s">
        <v>17</v>
      </c>
    </row>
    <row r="4" spans="2:15" ht="18" customHeight="1" x14ac:dyDescent="0.2">
      <c r="B4" s="46" t="s">
        <v>63</v>
      </c>
      <c r="C4" s="47">
        <v>8872</v>
      </c>
      <c r="D4" s="47">
        <v>9923</v>
      </c>
      <c r="E4" s="47">
        <v>11655</v>
      </c>
      <c r="F4" s="47">
        <v>5151</v>
      </c>
      <c r="G4" s="47">
        <v>11987</v>
      </c>
      <c r="H4" s="47">
        <v>15674</v>
      </c>
      <c r="I4" s="47">
        <v>21806</v>
      </c>
      <c r="J4" s="47">
        <v>33517</v>
      </c>
      <c r="K4" s="47">
        <v>26267</v>
      </c>
      <c r="L4" s="47">
        <v>21953</v>
      </c>
      <c r="M4" s="47">
        <v>20190</v>
      </c>
      <c r="N4" s="47">
        <v>23483</v>
      </c>
      <c r="O4" s="120">
        <v>210478</v>
      </c>
    </row>
    <row r="5" spans="2:15" ht="18" customHeight="1" x14ac:dyDescent="0.2">
      <c r="B5" s="46" t="s">
        <v>85</v>
      </c>
      <c r="C5" s="47">
        <v>5869</v>
      </c>
      <c r="D5" s="47">
        <v>15133</v>
      </c>
      <c r="E5" s="47">
        <v>17424</v>
      </c>
      <c r="F5" s="47">
        <v>7706</v>
      </c>
      <c r="G5" s="47">
        <v>23044</v>
      </c>
      <c r="H5" s="47">
        <v>20904</v>
      </c>
      <c r="I5" s="47">
        <v>27563</v>
      </c>
      <c r="J5" s="47">
        <v>35659</v>
      </c>
      <c r="K5" s="47">
        <v>28379</v>
      </c>
      <c r="L5" s="47">
        <v>28539</v>
      </c>
      <c r="M5" s="47">
        <v>22331</v>
      </c>
      <c r="N5" s="47">
        <v>19157</v>
      </c>
      <c r="O5" s="120">
        <v>251708</v>
      </c>
    </row>
    <row r="6" spans="2:15" ht="18" customHeight="1" x14ac:dyDescent="0.2">
      <c r="B6" s="46" t="s">
        <v>105</v>
      </c>
      <c r="C6" s="47">
        <v>1268</v>
      </c>
      <c r="D6" s="47">
        <v>2339</v>
      </c>
      <c r="E6" s="47">
        <v>5354</v>
      </c>
      <c r="F6" s="47">
        <v>3575</v>
      </c>
      <c r="G6" s="47">
        <v>5685</v>
      </c>
      <c r="H6" s="47">
        <v>8909</v>
      </c>
      <c r="I6" s="47">
        <v>7966</v>
      </c>
      <c r="J6" s="47">
        <v>7347</v>
      </c>
      <c r="K6" s="47">
        <v>10382</v>
      </c>
      <c r="L6" s="47">
        <v>8329</v>
      </c>
      <c r="M6" s="47">
        <v>4229</v>
      </c>
      <c r="N6" s="47">
        <v>6253</v>
      </c>
      <c r="O6" s="120">
        <v>71636</v>
      </c>
    </row>
    <row r="7" spans="2:15" ht="18" customHeight="1" x14ac:dyDescent="0.2">
      <c r="B7" s="46" t="s">
        <v>155</v>
      </c>
      <c r="C7" s="47">
        <v>13226</v>
      </c>
      <c r="D7" s="47">
        <v>15797</v>
      </c>
      <c r="E7" s="47">
        <v>16496</v>
      </c>
      <c r="F7" s="47">
        <v>7232</v>
      </c>
      <c r="G7" s="47">
        <v>17654</v>
      </c>
      <c r="H7" s="47">
        <v>16619</v>
      </c>
      <c r="I7" s="47">
        <v>21379</v>
      </c>
      <c r="J7" s="47">
        <v>27966</v>
      </c>
      <c r="K7" s="47">
        <v>29080</v>
      </c>
      <c r="L7" s="47">
        <v>20596</v>
      </c>
      <c r="M7" s="47">
        <v>15679</v>
      </c>
      <c r="N7" s="47">
        <v>18455</v>
      </c>
      <c r="O7" s="120">
        <v>220179</v>
      </c>
    </row>
    <row r="8" spans="2:15" ht="18" customHeight="1" x14ac:dyDescent="0.2">
      <c r="B8" s="46" t="s">
        <v>173</v>
      </c>
      <c r="C8" s="47">
        <v>9595</v>
      </c>
      <c r="D8" s="47">
        <v>17916</v>
      </c>
      <c r="E8" s="47">
        <v>16861</v>
      </c>
      <c r="F8" s="47">
        <v>7811</v>
      </c>
      <c r="G8" s="47">
        <v>17534</v>
      </c>
      <c r="H8" s="47">
        <v>20584</v>
      </c>
      <c r="I8" s="47">
        <v>25500</v>
      </c>
      <c r="J8" s="47">
        <v>23992</v>
      </c>
      <c r="K8" s="47">
        <v>29224</v>
      </c>
      <c r="L8" s="47">
        <v>23420</v>
      </c>
      <c r="M8" s="47">
        <v>17775</v>
      </c>
      <c r="N8" s="47">
        <v>17638</v>
      </c>
      <c r="O8" s="120">
        <v>227850</v>
      </c>
    </row>
    <row r="9" spans="2:15" ht="18" customHeight="1" x14ac:dyDescent="0.2">
      <c r="B9" s="46" t="s">
        <v>227</v>
      </c>
      <c r="C9" s="47">
        <v>1994</v>
      </c>
      <c r="D9" s="47">
        <v>2214</v>
      </c>
      <c r="E9" s="47">
        <v>3314</v>
      </c>
      <c r="F9" s="47">
        <v>2453</v>
      </c>
      <c r="G9" s="47">
        <v>3669</v>
      </c>
      <c r="H9" s="47">
        <v>4618</v>
      </c>
      <c r="I9" s="47">
        <v>5587</v>
      </c>
      <c r="J9" s="47">
        <v>5728</v>
      </c>
      <c r="K9" s="47">
        <v>4935</v>
      </c>
      <c r="L9" s="47">
        <v>3772</v>
      </c>
      <c r="M9" s="47">
        <v>2493</v>
      </c>
      <c r="N9" s="47">
        <v>2415</v>
      </c>
      <c r="O9" s="120">
        <v>43192</v>
      </c>
    </row>
    <row r="10" spans="2:15" ht="18" customHeight="1" x14ac:dyDescent="0.2">
      <c r="B10" s="46" t="s">
        <v>243</v>
      </c>
      <c r="C10" s="47">
        <v>12956</v>
      </c>
      <c r="D10" s="47">
        <v>13150</v>
      </c>
      <c r="E10" s="47">
        <v>22179</v>
      </c>
      <c r="F10" s="47">
        <v>6535</v>
      </c>
      <c r="G10" s="47">
        <v>17536</v>
      </c>
      <c r="H10" s="47">
        <v>19327</v>
      </c>
      <c r="I10" s="47">
        <v>21683</v>
      </c>
      <c r="J10" s="47">
        <v>24669</v>
      </c>
      <c r="K10" s="47">
        <v>18237</v>
      </c>
      <c r="L10" s="47">
        <v>17565</v>
      </c>
      <c r="M10" s="47">
        <v>15775</v>
      </c>
      <c r="N10" s="47">
        <v>17102</v>
      </c>
      <c r="O10" s="120">
        <v>206714</v>
      </c>
    </row>
    <row r="11" spans="2:15" ht="18" customHeight="1" thickBot="1" x14ac:dyDescent="0.25">
      <c r="B11" s="46" t="s">
        <v>275</v>
      </c>
      <c r="C11" s="47">
        <v>17235</v>
      </c>
      <c r="D11" s="47">
        <v>19746</v>
      </c>
      <c r="E11" s="47">
        <v>24142</v>
      </c>
      <c r="F11" s="47">
        <v>19613</v>
      </c>
      <c r="G11" s="47">
        <v>24417</v>
      </c>
      <c r="H11" s="47">
        <v>24482</v>
      </c>
      <c r="I11" s="47">
        <v>22247</v>
      </c>
      <c r="J11" s="47">
        <v>24275</v>
      </c>
      <c r="K11" s="47">
        <v>22654</v>
      </c>
      <c r="L11" s="47">
        <v>22630</v>
      </c>
      <c r="M11" s="47">
        <v>22571</v>
      </c>
      <c r="N11" s="47">
        <v>19094</v>
      </c>
      <c r="O11" s="120">
        <v>263106</v>
      </c>
    </row>
    <row r="12" spans="2:15" ht="18" customHeight="1" thickBot="1" x14ac:dyDescent="0.25">
      <c r="B12" s="117" t="s">
        <v>276</v>
      </c>
      <c r="C12" s="113">
        <v>71015</v>
      </c>
      <c r="D12" s="113">
        <v>96218</v>
      </c>
      <c r="E12" s="113">
        <v>117425</v>
      </c>
      <c r="F12" s="113">
        <v>60076</v>
      </c>
      <c r="G12" s="113">
        <v>121526</v>
      </c>
      <c r="H12" s="113">
        <v>131117</v>
      </c>
      <c r="I12" s="113">
        <v>153731</v>
      </c>
      <c r="J12" s="113">
        <v>183153</v>
      </c>
      <c r="K12" s="113">
        <v>169158</v>
      </c>
      <c r="L12" s="113">
        <v>146804</v>
      </c>
      <c r="M12" s="113">
        <v>121043</v>
      </c>
      <c r="N12" s="113">
        <v>123597</v>
      </c>
      <c r="O12" s="59">
        <v>1494863</v>
      </c>
    </row>
    <row r="13" spans="2:15" ht="18" customHeight="1" x14ac:dyDescent="0.2">
      <c r="B13" s="46" t="s">
        <v>29</v>
      </c>
      <c r="C13" s="47">
        <v>1065</v>
      </c>
      <c r="D13" s="47">
        <v>1269</v>
      </c>
      <c r="E13" s="47">
        <v>2518</v>
      </c>
      <c r="F13" s="47">
        <v>3127</v>
      </c>
      <c r="G13" s="47">
        <v>4462</v>
      </c>
      <c r="H13" s="47">
        <v>3973</v>
      </c>
      <c r="I13" s="47">
        <v>3755</v>
      </c>
      <c r="J13" s="47">
        <v>4679</v>
      </c>
      <c r="K13" s="47">
        <v>6279</v>
      </c>
      <c r="L13" s="47">
        <v>5259</v>
      </c>
      <c r="M13" s="47">
        <v>3305</v>
      </c>
      <c r="N13" s="47">
        <v>2017</v>
      </c>
      <c r="O13" s="120">
        <v>41708</v>
      </c>
    </row>
    <row r="14" spans="2:15" ht="18" customHeight="1" x14ac:dyDescent="0.2">
      <c r="B14" s="46" t="s">
        <v>56</v>
      </c>
      <c r="C14" s="47">
        <v>3510</v>
      </c>
      <c r="D14" s="47">
        <v>3082</v>
      </c>
      <c r="E14" s="47">
        <v>4299</v>
      </c>
      <c r="F14" s="47">
        <v>5392</v>
      </c>
      <c r="G14" s="47">
        <v>8103</v>
      </c>
      <c r="H14" s="47">
        <v>8417</v>
      </c>
      <c r="I14" s="47">
        <v>9038</v>
      </c>
      <c r="J14" s="47">
        <v>7959</v>
      </c>
      <c r="K14" s="47">
        <v>11967</v>
      </c>
      <c r="L14" s="47">
        <v>11109</v>
      </c>
      <c r="M14" s="47">
        <v>6807</v>
      </c>
      <c r="N14" s="47">
        <v>4899</v>
      </c>
      <c r="O14" s="120">
        <v>84582</v>
      </c>
    </row>
    <row r="15" spans="2:15" ht="18" customHeight="1" x14ac:dyDescent="0.2">
      <c r="B15" s="46" t="s">
        <v>140</v>
      </c>
      <c r="C15" s="47">
        <v>3545</v>
      </c>
      <c r="D15" s="47">
        <v>2154</v>
      </c>
      <c r="E15" s="47">
        <v>4050</v>
      </c>
      <c r="F15" s="47">
        <v>6306</v>
      </c>
      <c r="G15" s="47">
        <v>8043</v>
      </c>
      <c r="H15" s="47">
        <v>9650</v>
      </c>
      <c r="I15" s="47">
        <v>7456</v>
      </c>
      <c r="J15" s="47">
        <v>6061</v>
      </c>
      <c r="K15" s="47">
        <v>8632</v>
      </c>
      <c r="L15" s="47">
        <v>10183</v>
      </c>
      <c r="M15" s="47">
        <v>6089</v>
      </c>
      <c r="N15" s="47">
        <v>5694</v>
      </c>
      <c r="O15" s="120">
        <v>77863</v>
      </c>
    </row>
    <row r="16" spans="2:15" ht="18" customHeight="1" x14ac:dyDescent="0.2">
      <c r="B16" s="46" t="s">
        <v>233</v>
      </c>
      <c r="C16" s="47">
        <v>593</v>
      </c>
      <c r="D16" s="47">
        <v>758</v>
      </c>
      <c r="E16" s="47">
        <v>725</v>
      </c>
      <c r="F16" s="47">
        <v>1072</v>
      </c>
      <c r="G16" s="47">
        <v>1745</v>
      </c>
      <c r="H16" s="47">
        <v>1917</v>
      </c>
      <c r="I16" s="47">
        <v>1777</v>
      </c>
      <c r="J16" s="47">
        <v>1817</v>
      </c>
      <c r="K16" s="47">
        <v>2468</v>
      </c>
      <c r="L16" s="47">
        <v>2504</v>
      </c>
      <c r="M16" s="47">
        <v>1349</v>
      </c>
      <c r="N16" s="47">
        <v>608</v>
      </c>
      <c r="O16" s="120">
        <v>17333</v>
      </c>
    </row>
    <row r="17" spans="2:15" ht="18" customHeight="1" x14ac:dyDescent="0.2">
      <c r="B17" s="46" t="s">
        <v>253</v>
      </c>
      <c r="C17" s="47">
        <v>1630</v>
      </c>
      <c r="D17" s="47">
        <v>1001</v>
      </c>
      <c r="E17" s="47">
        <v>1166</v>
      </c>
      <c r="F17" s="47">
        <v>1307</v>
      </c>
      <c r="G17" s="47">
        <v>1420</v>
      </c>
      <c r="H17" s="47">
        <v>1896</v>
      </c>
      <c r="I17" s="47">
        <v>1747</v>
      </c>
      <c r="J17" s="47">
        <v>1887</v>
      </c>
      <c r="K17" s="47">
        <v>1898</v>
      </c>
      <c r="L17" s="47">
        <v>1529</v>
      </c>
      <c r="M17" s="47">
        <v>1338</v>
      </c>
      <c r="N17" s="47">
        <v>1576</v>
      </c>
      <c r="O17" s="120">
        <v>18395</v>
      </c>
    </row>
    <row r="18" spans="2:15" ht="18" customHeight="1" thickBot="1" x14ac:dyDescent="0.25">
      <c r="B18" s="46" t="s">
        <v>277</v>
      </c>
      <c r="C18" s="47">
        <v>1030</v>
      </c>
      <c r="D18" s="47">
        <v>1088</v>
      </c>
      <c r="E18" s="47">
        <v>2339</v>
      </c>
      <c r="F18" s="47">
        <v>3160</v>
      </c>
      <c r="G18" s="47">
        <v>4398</v>
      </c>
      <c r="H18" s="47">
        <v>3579</v>
      </c>
      <c r="I18" s="47">
        <v>3377</v>
      </c>
      <c r="J18" s="47">
        <v>4336</v>
      </c>
      <c r="K18" s="47">
        <v>5794</v>
      </c>
      <c r="L18" s="47">
        <v>5730</v>
      </c>
      <c r="M18" s="47">
        <v>4000</v>
      </c>
      <c r="N18" s="47">
        <v>2231</v>
      </c>
      <c r="O18" s="120">
        <v>41062</v>
      </c>
    </row>
    <row r="19" spans="2:15" ht="18" customHeight="1" thickBot="1" x14ac:dyDescent="0.25">
      <c r="B19" s="117" t="s">
        <v>278</v>
      </c>
      <c r="C19" s="113">
        <v>11373</v>
      </c>
      <c r="D19" s="113">
        <v>9352</v>
      </c>
      <c r="E19" s="113">
        <v>15097</v>
      </c>
      <c r="F19" s="113">
        <v>20364</v>
      </c>
      <c r="G19" s="113">
        <v>28171</v>
      </c>
      <c r="H19" s="113">
        <v>29432</v>
      </c>
      <c r="I19" s="113">
        <v>27150</v>
      </c>
      <c r="J19" s="113">
        <v>26739</v>
      </c>
      <c r="K19" s="113">
        <v>37038</v>
      </c>
      <c r="L19" s="113">
        <v>36314</v>
      </c>
      <c r="M19" s="113">
        <v>22888</v>
      </c>
      <c r="N19" s="113">
        <v>17025</v>
      </c>
      <c r="O19" s="59">
        <v>280943</v>
      </c>
    </row>
    <row r="20" spans="2:15" ht="18" customHeight="1" thickBot="1" x14ac:dyDescent="0.25">
      <c r="B20" s="117" t="s">
        <v>279</v>
      </c>
      <c r="C20" s="113">
        <v>1682</v>
      </c>
      <c r="D20" s="113">
        <v>2397</v>
      </c>
      <c r="E20" s="113">
        <v>2497</v>
      </c>
      <c r="F20" s="113">
        <v>2225</v>
      </c>
      <c r="G20" s="113">
        <v>3197</v>
      </c>
      <c r="H20" s="113">
        <v>3562</v>
      </c>
      <c r="I20" s="113">
        <v>5715</v>
      </c>
      <c r="J20" s="113">
        <v>4964</v>
      </c>
      <c r="K20" s="113">
        <v>4271</v>
      </c>
      <c r="L20" s="113">
        <v>4123</v>
      </c>
      <c r="M20" s="113">
        <v>3294</v>
      </c>
      <c r="N20" s="113">
        <v>3205</v>
      </c>
      <c r="O20" s="59">
        <v>41132</v>
      </c>
    </row>
    <row r="21" spans="2:15" ht="18" customHeight="1" thickBot="1" x14ac:dyDescent="0.25">
      <c r="B21" s="117" t="s">
        <v>280</v>
      </c>
      <c r="C21" s="113">
        <v>1000</v>
      </c>
      <c r="D21" s="113">
        <v>1040</v>
      </c>
      <c r="E21" s="113">
        <v>1306</v>
      </c>
      <c r="F21" s="113">
        <v>1746</v>
      </c>
      <c r="G21" s="113">
        <v>2610</v>
      </c>
      <c r="H21" s="113">
        <v>3105</v>
      </c>
      <c r="I21" s="113">
        <v>2569</v>
      </c>
      <c r="J21" s="113">
        <v>1872</v>
      </c>
      <c r="K21" s="113">
        <v>4285</v>
      </c>
      <c r="L21" s="113">
        <v>3557</v>
      </c>
      <c r="M21" s="113">
        <v>2850</v>
      </c>
      <c r="N21" s="113">
        <v>1702</v>
      </c>
      <c r="O21" s="59">
        <v>27642</v>
      </c>
    </row>
    <row r="22" spans="2:15" ht="18" customHeight="1" thickBot="1" x14ac:dyDescent="0.25">
      <c r="B22" s="117" t="s">
        <v>281</v>
      </c>
      <c r="C22" s="113">
        <v>14055</v>
      </c>
      <c r="D22" s="113">
        <v>12789</v>
      </c>
      <c r="E22" s="113">
        <v>18900</v>
      </c>
      <c r="F22" s="113">
        <v>24335</v>
      </c>
      <c r="G22" s="113">
        <v>33978</v>
      </c>
      <c r="H22" s="113">
        <v>36099</v>
      </c>
      <c r="I22" s="113">
        <v>35434</v>
      </c>
      <c r="J22" s="113">
        <v>33575</v>
      </c>
      <c r="K22" s="113">
        <v>45594</v>
      </c>
      <c r="L22" s="113">
        <v>43994</v>
      </c>
      <c r="M22" s="113">
        <v>29032</v>
      </c>
      <c r="N22" s="113">
        <v>21932</v>
      </c>
      <c r="O22" s="59">
        <v>349717</v>
      </c>
    </row>
    <row r="23" spans="2:15" ht="18" customHeight="1" x14ac:dyDescent="0.2">
      <c r="B23" s="46" t="s">
        <v>37</v>
      </c>
      <c r="C23" s="47">
        <v>10758</v>
      </c>
      <c r="D23" s="47">
        <v>5486</v>
      </c>
      <c r="E23" s="47">
        <v>6271</v>
      </c>
      <c r="F23" s="47">
        <v>1554</v>
      </c>
      <c r="G23" s="47">
        <v>10188</v>
      </c>
      <c r="H23" s="47">
        <v>14051</v>
      </c>
      <c r="I23" s="47">
        <v>12423</v>
      </c>
      <c r="J23" s="47">
        <v>10365</v>
      </c>
      <c r="K23" s="47">
        <v>5435</v>
      </c>
      <c r="L23" s="47">
        <v>6636</v>
      </c>
      <c r="M23" s="47">
        <v>4894</v>
      </c>
      <c r="N23" s="47">
        <v>10086</v>
      </c>
      <c r="O23" s="120">
        <v>98147</v>
      </c>
    </row>
    <row r="24" spans="2:15" ht="18" customHeight="1" x14ac:dyDescent="0.2">
      <c r="B24" s="46" t="s">
        <v>49</v>
      </c>
      <c r="C24" s="47">
        <v>3742</v>
      </c>
      <c r="D24" s="47">
        <v>3820</v>
      </c>
      <c r="E24" s="47">
        <v>10433</v>
      </c>
      <c r="F24" s="47">
        <v>1803</v>
      </c>
      <c r="G24" s="47">
        <v>12944</v>
      </c>
      <c r="H24" s="47">
        <v>10535</v>
      </c>
      <c r="I24" s="47">
        <v>37913</v>
      </c>
      <c r="J24" s="47">
        <v>25526</v>
      </c>
      <c r="K24" s="47">
        <v>5837</v>
      </c>
      <c r="L24" s="47">
        <v>7464</v>
      </c>
      <c r="M24" s="47">
        <v>6797</v>
      </c>
      <c r="N24" s="47">
        <v>19624</v>
      </c>
      <c r="O24" s="120">
        <v>146438</v>
      </c>
    </row>
    <row r="25" spans="2:15" ht="18" customHeight="1" x14ac:dyDescent="0.2">
      <c r="B25" s="46" t="s">
        <v>116</v>
      </c>
      <c r="C25" s="47">
        <v>52024</v>
      </c>
      <c r="D25" s="47">
        <v>72824</v>
      </c>
      <c r="E25" s="47">
        <v>83239</v>
      </c>
      <c r="F25" s="47">
        <v>54927</v>
      </c>
      <c r="G25" s="47">
        <v>93396</v>
      </c>
      <c r="H25" s="47">
        <v>122899</v>
      </c>
      <c r="I25" s="47">
        <v>180736</v>
      </c>
      <c r="J25" s="47">
        <v>162713</v>
      </c>
      <c r="K25" s="47">
        <v>140228</v>
      </c>
      <c r="L25" s="47">
        <v>93080</v>
      </c>
      <c r="M25" s="47">
        <v>75060</v>
      </c>
      <c r="N25" s="47">
        <v>77769</v>
      </c>
      <c r="O25" s="120">
        <v>1208895</v>
      </c>
    </row>
    <row r="26" spans="2:15" ht="18" customHeight="1" x14ac:dyDescent="0.2">
      <c r="B26" s="46" t="s">
        <v>122</v>
      </c>
      <c r="C26" s="47">
        <v>17416</v>
      </c>
      <c r="D26" s="47">
        <v>34158</v>
      </c>
      <c r="E26" s="47">
        <v>47518</v>
      </c>
      <c r="F26" s="47">
        <v>58190</v>
      </c>
      <c r="G26" s="47">
        <v>89076</v>
      </c>
      <c r="H26" s="47">
        <v>66294</v>
      </c>
      <c r="I26" s="47">
        <v>109556</v>
      </c>
      <c r="J26" s="47">
        <v>112610</v>
      </c>
      <c r="K26" s="47">
        <v>96851</v>
      </c>
      <c r="L26" s="47">
        <v>81179</v>
      </c>
      <c r="M26" s="47">
        <v>67884</v>
      </c>
      <c r="N26" s="47">
        <v>62296</v>
      </c>
      <c r="O26" s="120">
        <v>843028</v>
      </c>
    </row>
    <row r="27" spans="2:15" ht="18" customHeight="1" x14ac:dyDescent="0.2">
      <c r="B27" s="46" t="s">
        <v>134</v>
      </c>
      <c r="C27" s="47">
        <v>3645</v>
      </c>
      <c r="D27" s="47">
        <v>4074</v>
      </c>
      <c r="E27" s="47">
        <v>8718</v>
      </c>
      <c r="F27" s="47">
        <v>1529</v>
      </c>
      <c r="G27" s="47">
        <v>7448</v>
      </c>
      <c r="H27" s="47">
        <v>16623</v>
      </c>
      <c r="I27" s="47">
        <v>26547</v>
      </c>
      <c r="J27" s="47">
        <v>5768</v>
      </c>
      <c r="K27" s="47">
        <v>2901</v>
      </c>
      <c r="L27" s="47">
        <v>2921</v>
      </c>
      <c r="M27" s="47">
        <v>5668</v>
      </c>
      <c r="N27" s="47">
        <v>6597</v>
      </c>
      <c r="O27" s="120">
        <v>92439</v>
      </c>
    </row>
    <row r="28" spans="2:15" ht="18" customHeight="1" x14ac:dyDescent="0.2">
      <c r="B28" s="46" t="s">
        <v>145</v>
      </c>
      <c r="C28" s="47">
        <v>22584</v>
      </c>
      <c r="D28" s="47">
        <v>39215</v>
      </c>
      <c r="E28" s="47">
        <v>27234</v>
      </c>
      <c r="F28" s="47">
        <v>11593</v>
      </c>
      <c r="G28" s="47">
        <v>31389</v>
      </c>
      <c r="H28" s="47">
        <v>56311</v>
      </c>
      <c r="I28" s="47">
        <v>90948</v>
      </c>
      <c r="J28" s="47">
        <v>94355</v>
      </c>
      <c r="K28" s="47">
        <v>43526</v>
      </c>
      <c r="L28" s="47">
        <v>24164</v>
      </c>
      <c r="M28" s="47">
        <v>17810</v>
      </c>
      <c r="N28" s="47">
        <v>20994</v>
      </c>
      <c r="O28" s="120">
        <v>480123</v>
      </c>
    </row>
    <row r="29" spans="2:15" ht="18" customHeight="1" x14ac:dyDescent="0.2">
      <c r="B29" s="46" t="s">
        <v>146</v>
      </c>
      <c r="C29" s="47">
        <v>6448</v>
      </c>
      <c r="D29" s="47">
        <v>10665</v>
      </c>
      <c r="E29" s="47">
        <v>10169</v>
      </c>
      <c r="F29" s="47">
        <v>10548</v>
      </c>
      <c r="G29" s="47">
        <v>14122</v>
      </c>
      <c r="H29" s="47">
        <v>15993</v>
      </c>
      <c r="I29" s="47">
        <v>23916</v>
      </c>
      <c r="J29" s="47">
        <v>25585</v>
      </c>
      <c r="K29" s="47">
        <v>16027</v>
      </c>
      <c r="L29" s="47">
        <v>15231</v>
      </c>
      <c r="M29" s="47">
        <v>12679</v>
      </c>
      <c r="N29" s="47">
        <v>10308</v>
      </c>
      <c r="O29" s="120">
        <v>171691</v>
      </c>
    </row>
    <row r="30" spans="2:15" ht="18" customHeight="1" x14ac:dyDescent="0.2">
      <c r="B30" s="46" t="s">
        <v>158</v>
      </c>
      <c r="C30" s="47">
        <v>13045</v>
      </c>
      <c r="D30" s="47">
        <v>17276</v>
      </c>
      <c r="E30" s="47">
        <v>20561</v>
      </c>
      <c r="F30" s="47">
        <v>13594</v>
      </c>
      <c r="G30" s="47">
        <v>22996</v>
      </c>
      <c r="H30" s="47">
        <v>23349</v>
      </c>
      <c r="I30" s="47">
        <v>39025</v>
      </c>
      <c r="J30" s="47">
        <v>37890</v>
      </c>
      <c r="K30" s="47">
        <v>28524</v>
      </c>
      <c r="L30" s="47">
        <v>22306</v>
      </c>
      <c r="M30" s="47">
        <v>18291</v>
      </c>
      <c r="N30" s="47">
        <v>15987</v>
      </c>
      <c r="O30" s="120">
        <v>272844</v>
      </c>
    </row>
    <row r="31" spans="2:15" ht="18" customHeight="1" x14ac:dyDescent="0.2">
      <c r="B31" s="46" t="s">
        <v>230</v>
      </c>
      <c r="C31" s="47">
        <v>793</v>
      </c>
      <c r="D31" s="47">
        <v>1027</v>
      </c>
      <c r="E31" s="47">
        <v>1372</v>
      </c>
      <c r="F31" s="47">
        <v>626</v>
      </c>
      <c r="G31" s="47">
        <v>2594</v>
      </c>
      <c r="H31" s="47">
        <v>13346</v>
      </c>
      <c r="I31" s="47">
        <v>110991</v>
      </c>
      <c r="J31" s="47">
        <v>140223</v>
      </c>
      <c r="K31" s="47">
        <v>68107</v>
      </c>
      <c r="L31" s="47">
        <v>56032</v>
      </c>
      <c r="M31" s="47">
        <v>65339</v>
      </c>
      <c r="N31" s="47">
        <v>37464</v>
      </c>
      <c r="O31" s="120">
        <v>497914</v>
      </c>
    </row>
    <row r="32" spans="2:15" ht="18" customHeight="1" x14ac:dyDescent="0.2">
      <c r="B32" s="46" t="s">
        <v>250</v>
      </c>
      <c r="C32" s="47">
        <v>15957</v>
      </c>
      <c r="D32" s="47">
        <v>19590</v>
      </c>
      <c r="E32" s="47">
        <v>25173</v>
      </c>
      <c r="F32" s="47">
        <v>13797</v>
      </c>
      <c r="G32" s="47">
        <v>48946</v>
      </c>
      <c r="H32" s="47">
        <v>55555</v>
      </c>
      <c r="I32" s="47">
        <v>93658</v>
      </c>
      <c r="J32" s="47">
        <v>83569</v>
      </c>
      <c r="K32" s="47">
        <v>53900</v>
      </c>
      <c r="L32" s="47">
        <v>39763</v>
      </c>
      <c r="M32" s="47">
        <v>23053</v>
      </c>
      <c r="N32" s="47">
        <v>21668</v>
      </c>
      <c r="O32" s="120">
        <v>494629</v>
      </c>
    </row>
    <row r="33" spans="2:15" ht="18" customHeight="1" x14ac:dyDescent="0.2">
      <c r="B33" s="46" t="s">
        <v>257</v>
      </c>
      <c r="C33" s="47">
        <v>1770</v>
      </c>
      <c r="D33" s="47">
        <v>1725</v>
      </c>
      <c r="E33" s="47">
        <v>2323</v>
      </c>
      <c r="F33" s="47">
        <v>1446</v>
      </c>
      <c r="G33" s="47">
        <v>2714</v>
      </c>
      <c r="H33" s="47">
        <v>3103</v>
      </c>
      <c r="I33" s="47">
        <v>4680</v>
      </c>
      <c r="J33" s="47">
        <v>4646</v>
      </c>
      <c r="K33" s="47">
        <v>3994</v>
      </c>
      <c r="L33" s="47">
        <v>3009</v>
      </c>
      <c r="M33" s="47">
        <v>2795</v>
      </c>
      <c r="N33" s="47">
        <v>2394</v>
      </c>
      <c r="O33" s="120">
        <v>34599</v>
      </c>
    </row>
    <row r="34" spans="2:15" ht="18" customHeight="1" thickBot="1" x14ac:dyDescent="0.25">
      <c r="B34" s="46" t="s">
        <v>282</v>
      </c>
      <c r="C34" s="47">
        <v>32721</v>
      </c>
      <c r="D34" s="47">
        <v>35828</v>
      </c>
      <c r="E34" s="47">
        <v>40496</v>
      </c>
      <c r="F34" s="47">
        <v>27143</v>
      </c>
      <c r="G34" s="47">
        <v>51544</v>
      </c>
      <c r="H34" s="47">
        <v>69697</v>
      </c>
      <c r="I34" s="47">
        <v>85789</v>
      </c>
      <c r="J34" s="47">
        <v>78344</v>
      </c>
      <c r="K34" s="47">
        <v>53623</v>
      </c>
      <c r="L34" s="47">
        <v>46487</v>
      </c>
      <c r="M34" s="47">
        <v>38837</v>
      </c>
      <c r="N34" s="47">
        <v>37539</v>
      </c>
      <c r="O34" s="120">
        <v>598048</v>
      </c>
    </row>
    <row r="35" spans="2:15" ht="18" customHeight="1" thickBot="1" x14ac:dyDescent="0.25">
      <c r="B35" s="117" t="s">
        <v>283</v>
      </c>
      <c r="C35" s="113">
        <v>180903</v>
      </c>
      <c r="D35" s="113">
        <v>245688</v>
      </c>
      <c r="E35" s="113">
        <v>283507</v>
      </c>
      <c r="F35" s="113">
        <v>196750</v>
      </c>
      <c r="G35" s="113">
        <v>387357</v>
      </c>
      <c r="H35" s="113">
        <v>467756</v>
      </c>
      <c r="I35" s="113">
        <v>816182</v>
      </c>
      <c r="J35" s="113">
        <v>781594</v>
      </c>
      <c r="K35" s="113">
        <v>518953</v>
      </c>
      <c r="L35" s="113">
        <v>398272</v>
      </c>
      <c r="M35" s="113">
        <v>339107</v>
      </c>
      <c r="N35" s="113">
        <v>322726</v>
      </c>
      <c r="O35" s="59">
        <v>4938795</v>
      </c>
    </row>
    <row r="36" spans="2:15" ht="18" customHeight="1" x14ac:dyDescent="0.2">
      <c r="B36" s="46" t="s">
        <v>38</v>
      </c>
      <c r="C36" s="47">
        <v>945</v>
      </c>
      <c r="D36" s="47">
        <v>1104</v>
      </c>
      <c r="E36" s="47">
        <v>2170</v>
      </c>
      <c r="F36" s="47">
        <v>1439</v>
      </c>
      <c r="G36" s="47">
        <v>2864</v>
      </c>
      <c r="H36" s="47">
        <v>2349</v>
      </c>
      <c r="I36" s="47">
        <v>2394</v>
      </c>
      <c r="J36" s="47">
        <v>2351</v>
      </c>
      <c r="K36" s="47">
        <v>2983</v>
      </c>
      <c r="L36" s="47">
        <v>2175</v>
      </c>
      <c r="M36" s="47">
        <v>1825</v>
      </c>
      <c r="N36" s="47">
        <v>1736</v>
      </c>
      <c r="O36" s="120">
        <v>24335</v>
      </c>
    </row>
    <row r="37" spans="2:15" ht="18" customHeight="1" x14ac:dyDescent="0.2">
      <c r="B37" s="46" t="s">
        <v>69</v>
      </c>
      <c r="C37" s="47">
        <v>2576</v>
      </c>
      <c r="D37" s="47">
        <v>3482</v>
      </c>
      <c r="E37" s="47">
        <v>3795</v>
      </c>
      <c r="F37" s="47">
        <v>7167</v>
      </c>
      <c r="G37" s="47">
        <v>7087</v>
      </c>
      <c r="H37" s="47">
        <v>9564</v>
      </c>
      <c r="I37" s="47">
        <v>10287</v>
      </c>
      <c r="J37" s="47">
        <v>9525</v>
      </c>
      <c r="K37" s="47">
        <v>8803</v>
      </c>
      <c r="L37" s="47">
        <v>8558</v>
      </c>
      <c r="M37" s="47">
        <v>7717</v>
      </c>
      <c r="N37" s="47">
        <v>10954</v>
      </c>
      <c r="O37" s="120">
        <v>89515</v>
      </c>
    </row>
    <row r="38" spans="2:15" ht="18" customHeight="1" x14ac:dyDescent="0.2">
      <c r="B38" s="46" t="s">
        <v>78</v>
      </c>
      <c r="C38" s="47">
        <v>5055</v>
      </c>
      <c r="D38" s="47">
        <v>5305</v>
      </c>
      <c r="E38" s="47">
        <v>8072</v>
      </c>
      <c r="F38" s="47">
        <v>9465</v>
      </c>
      <c r="G38" s="47">
        <v>16337</v>
      </c>
      <c r="H38" s="47">
        <v>15227</v>
      </c>
      <c r="I38" s="47">
        <v>9938</v>
      </c>
      <c r="J38" s="47">
        <v>9002</v>
      </c>
      <c r="K38" s="47">
        <v>15176</v>
      </c>
      <c r="L38" s="47">
        <v>23591</v>
      </c>
      <c r="M38" s="47">
        <v>18257</v>
      </c>
      <c r="N38" s="47">
        <v>17570</v>
      </c>
      <c r="O38" s="120">
        <v>152995</v>
      </c>
    </row>
    <row r="39" spans="2:15" ht="18" customHeight="1" x14ac:dyDescent="0.2">
      <c r="B39" s="46" t="s">
        <v>88</v>
      </c>
      <c r="C39" s="47">
        <v>3200</v>
      </c>
      <c r="D39" s="47">
        <v>4696</v>
      </c>
      <c r="E39" s="47">
        <v>4588</v>
      </c>
      <c r="F39" s="47">
        <v>5828</v>
      </c>
      <c r="G39" s="47">
        <v>7905</v>
      </c>
      <c r="H39" s="47">
        <v>9982</v>
      </c>
      <c r="I39" s="47">
        <v>13673</v>
      </c>
      <c r="J39" s="47">
        <v>9778</v>
      </c>
      <c r="K39" s="47">
        <v>9027</v>
      </c>
      <c r="L39" s="47">
        <v>11213</v>
      </c>
      <c r="M39" s="47">
        <v>10816</v>
      </c>
      <c r="N39" s="47">
        <v>7248</v>
      </c>
      <c r="O39" s="120">
        <v>97954</v>
      </c>
    </row>
    <row r="40" spans="2:15" ht="18" customHeight="1" x14ac:dyDescent="0.2">
      <c r="B40" s="46" t="s">
        <v>112</v>
      </c>
      <c r="C40" s="47">
        <v>4418</v>
      </c>
      <c r="D40" s="47">
        <v>6009</v>
      </c>
      <c r="E40" s="47">
        <v>10791</v>
      </c>
      <c r="F40" s="47">
        <v>13602</v>
      </c>
      <c r="G40" s="47">
        <v>23211</v>
      </c>
      <c r="H40" s="47">
        <v>27226</v>
      </c>
      <c r="I40" s="47">
        <v>22792</v>
      </c>
      <c r="J40" s="47">
        <v>20723</v>
      </c>
      <c r="K40" s="47">
        <v>26506</v>
      </c>
      <c r="L40" s="47">
        <v>30720</v>
      </c>
      <c r="M40" s="47">
        <v>23229</v>
      </c>
      <c r="N40" s="47">
        <v>22352</v>
      </c>
      <c r="O40" s="120">
        <v>231579</v>
      </c>
    </row>
    <row r="41" spans="2:15" ht="18" customHeight="1" x14ac:dyDescent="0.2">
      <c r="B41" s="46" t="s">
        <v>119</v>
      </c>
      <c r="C41" s="47">
        <v>106957</v>
      </c>
      <c r="D41" s="47">
        <v>120475</v>
      </c>
      <c r="E41" s="47">
        <v>274815</v>
      </c>
      <c r="F41" s="47">
        <v>152384</v>
      </c>
      <c r="G41" s="47">
        <v>184088</v>
      </c>
      <c r="H41" s="47">
        <v>211869</v>
      </c>
      <c r="I41" s="47">
        <v>227473</v>
      </c>
      <c r="J41" s="47">
        <v>259302</v>
      </c>
      <c r="K41" s="47">
        <v>307245</v>
      </c>
      <c r="L41" s="47">
        <v>185945</v>
      </c>
      <c r="M41" s="47">
        <v>154643</v>
      </c>
      <c r="N41" s="47">
        <v>145880</v>
      </c>
      <c r="O41" s="120">
        <v>2331076</v>
      </c>
    </row>
    <row r="42" spans="2:15" ht="18" customHeight="1" x14ac:dyDescent="0.2">
      <c r="B42" s="46" t="s">
        <v>165</v>
      </c>
      <c r="C42" s="47">
        <v>2976</v>
      </c>
      <c r="D42" s="47">
        <v>4147</v>
      </c>
      <c r="E42" s="47">
        <v>6629</v>
      </c>
      <c r="F42" s="47">
        <v>2357</v>
      </c>
      <c r="G42" s="47">
        <v>7913</v>
      </c>
      <c r="H42" s="47">
        <v>6111</v>
      </c>
      <c r="I42" s="47">
        <v>3878</v>
      </c>
      <c r="J42" s="47">
        <v>5108</v>
      </c>
      <c r="K42" s="47">
        <v>10894</v>
      </c>
      <c r="L42" s="47">
        <v>14022</v>
      </c>
      <c r="M42" s="47">
        <v>10952</v>
      </c>
      <c r="N42" s="47">
        <v>14779</v>
      </c>
      <c r="O42" s="120">
        <v>89766</v>
      </c>
    </row>
    <row r="43" spans="2:15" ht="18" customHeight="1" x14ac:dyDescent="0.2">
      <c r="B43" s="46" t="s">
        <v>194</v>
      </c>
      <c r="C43" s="47">
        <v>8775</v>
      </c>
      <c r="D43" s="47">
        <v>10980</v>
      </c>
      <c r="E43" s="47">
        <v>16419</v>
      </c>
      <c r="F43" s="47">
        <v>6015</v>
      </c>
      <c r="G43" s="47">
        <v>17901</v>
      </c>
      <c r="H43" s="47">
        <v>20184</v>
      </c>
      <c r="I43" s="47">
        <v>20126</v>
      </c>
      <c r="J43" s="47">
        <v>17015</v>
      </c>
      <c r="K43" s="47">
        <v>17805</v>
      </c>
      <c r="L43" s="47">
        <v>15884</v>
      </c>
      <c r="M43" s="47">
        <v>11554</v>
      </c>
      <c r="N43" s="47">
        <v>10963</v>
      </c>
      <c r="O43" s="120">
        <v>173621</v>
      </c>
    </row>
    <row r="44" spans="2:15" ht="18" customHeight="1" x14ac:dyDescent="0.2">
      <c r="B44" s="46" t="s">
        <v>220</v>
      </c>
      <c r="C44" s="47">
        <v>586</v>
      </c>
      <c r="D44" s="47">
        <v>517</v>
      </c>
      <c r="E44" s="47">
        <v>1339</v>
      </c>
      <c r="F44" s="47">
        <v>1356</v>
      </c>
      <c r="G44" s="47">
        <v>2168</v>
      </c>
      <c r="H44" s="47">
        <v>2856</v>
      </c>
      <c r="I44" s="47">
        <v>1413</v>
      </c>
      <c r="J44" s="47">
        <v>1320</v>
      </c>
      <c r="K44" s="47">
        <v>2857</v>
      </c>
      <c r="L44" s="47">
        <v>3762</v>
      </c>
      <c r="M44" s="47">
        <v>4922</v>
      </c>
      <c r="N44" s="47">
        <v>7506</v>
      </c>
      <c r="O44" s="120">
        <v>30602</v>
      </c>
    </row>
    <row r="45" spans="2:15" ht="18" customHeight="1" x14ac:dyDescent="0.2">
      <c r="B45" s="46" t="s">
        <v>237</v>
      </c>
      <c r="C45" s="47">
        <v>659</v>
      </c>
      <c r="D45" s="47">
        <v>878</v>
      </c>
      <c r="E45" s="47">
        <v>1195</v>
      </c>
      <c r="F45" s="47">
        <v>2411</v>
      </c>
      <c r="G45" s="47">
        <v>2663</v>
      </c>
      <c r="H45" s="47">
        <v>2678</v>
      </c>
      <c r="I45" s="47">
        <v>3067</v>
      </c>
      <c r="J45" s="47">
        <v>1887</v>
      </c>
      <c r="K45" s="47">
        <v>2794</v>
      </c>
      <c r="L45" s="47">
        <v>4635</v>
      </c>
      <c r="M45" s="47">
        <v>3547</v>
      </c>
      <c r="N45" s="47">
        <v>3400</v>
      </c>
      <c r="O45" s="120">
        <v>29814</v>
      </c>
    </row>
    <row r="46" spans="2:15" ht="18" customHeight="1" thickBot="1" x14ac:dyDescent="0.25">
      <c r="B46" s="46" t="s">
        <v>284</v>
      </c>
      <c r="C46" s="47">
        <v>8443</v>
      </c>
      <c r="D46" s="47">
        <v>7829</v>
      </c>
      <c r="E46" s="47">
        <v>9542</v>
      </c>
      <c r="F46" s="47">
        <v>10405</v>
      </c>
      <c r="G46" s="47">
        <v>11479</v>
      </c>
      <c r="H46" s="47">
        <v>13011</v>
      </c>
      <c r="I46" s="47">
        <v>15319</v>
      </c>
      <c r="J46" s="47">
        <v>14401</v>
      </c>
      <c r="K46" s="47">
        <v>12779</v>
      </c>
      <c r="L46" s="47">
        <v>13472</v>
      </c>
      <c r="M46" s="47">
        <v>12068</v>
      </c>
      <c r="N46" s="47">
        <v>14037</v>
      </c>
      <c r="O46" s="120">
        <v>142785</v>
      </c>
    </row>
    <row r="47" spans="2:15" ht="18" customHeight="1" thickBot="1" x14ac:dyDescent="0.25">
      <c r="B47" s="117" t="s">
        <v>285</v>
      </c>
      <c r="C47" s="113">
        <v>144590</v>
      </c>
      <c r="D47" s="113">
        <v>165422</v>
      </c>
      <c r="E47" s="113">
        <v>339355</v>
      </c>
      <c r="F47" s="113">
        <v>212429</v>
      </c>
      <c r="G47" s="113">
        <v>283616</v>
      </c>
      <c r="H47" s="113">
        <v>321057</v>
      </c>
      <c r="I47" s="113">
        <v>330360</v>
      </c>
      <c r="J47" s="113">
        <v>350412</v>
      </c>
      <c r="K47" s="113">
        <v>416869</v>
      </c>
      <c r="L47" s="113">
        <v>313977</v>
      </c>
      <c r="M47" s="113">
        <v>259530</v>
      </c>
      <c r="N47" s="113">
        <v>256425</v>
      </c>
      <c r="O47" s="59">
        <v>3394042</v>
      </c>
    </row>
    <row r="48" spans="2:15" ht="18" customHeight="1" thickBot="1" x14ac:dyDescent="0.25">
      <c r="B48" s="117" t="s">
        <v>286</v>
      </c>
      <c r="C48" s="113">
        <v>325493</v>
      </c>
      <c r="D48" s="113">
        <v>411110</v>
      </c>
      <c r="E48" s="113">
        <v>622862</v>
      </c>
      <c r="F48" s="113">
        <v>409179</v>
      </c>
      <c r="G48" s="113">
        <v>670973</v>
      </c>
      <c r="H48" s="113">
        <v>788813</v>
      </c>
      <c r="I48" s="113">
        <v>1146542</v>
      </c>
      <c r="J48" s="113">
        <v>1132006</v>
      </c>
      <c r="K48" s="113">
        <v>935822</v>
      </c>
      <c r="L48" s="113">
        <v>712249</v>
      </c>
      <c r="M48" s="113">
        <v>598637</v>
      </c>
      <c r="N48" s="113">
        <v>579151</v>
      </c>
      <c r="O48" s="59">
        <v>8332837</v>
      </c>
    </row>
    <row r="49" spans="2:15" ht="18" customHeight="1" x14ac:dyDescent="0.2">
      <c r="B49" s="46" t="s">
        <v>22</v>
      </c>
      <c r="C49" s="47">
        <v>102572</v>
      </c>
      <c r="D49" s="47">
        <v>128663</v>
      </c>
      <c r="E49" s="47">
        <v>187185</v>
      </c>
      <c r="F49" s="47">
        <v>395372</v>
      </c>
      <c r="G49" s="47">
        <v>497918</v>
      </c>
      <c r="H49" s="47">
        <v>718838</v>
      </c>
      <c r="I49" s="47">
        <v>962003</v>
      </c>
      <c r="J49" s="47">
        <v>858265</v>
      </c>
      <c r="K49" s="47">
        <v>677037</v>
      </c>
      <c r="L49" s="47">
        <v>746192</v>
      </c>
      <c r="M49" s="47">
        <v>207340</v>
      </c>
      <c r="N49" s="47">
        <v>197809</v>
      </c>
      <c r="O49" s="120">
        <v>5679194</v>
      </c>
    </row>
    <row r="50" spans="2:15" ht="18" customHeight="1" x14ac:dyDescent="0.2">
      <c r="B50" s="46" t="s">
        <v>34</v>
      </c>
      <c r="C50" s="47">
        <v>12890</v>
      </c>
      <c r="D50" s="47">
        <v>16509</v>
      </c>
      <c r="E50" s="47">
        <v>16796</v>
      </c>
      <c r="F50" s="47">
        <v>21294</v>
      </c>
      <c r="G50" s="47">
        <v>31418</v>
      </c>
      <c r="H50" s="47">
        <v>39763</v>
      </c>
      <c r="I50" s="47">
        <v>129508</v>
      </c>
      <c r="J50" s="47">
        <v>77304</v>
      </c>
      <c r="K50" s="47">
        <v>36160</v>
      </c>
      <c r="L50" s="47">
        <v>30437</v>
      </c>
      <c r="M50" s="47">
        <v>16367</v>
      </c>
      <c r="N50" s="47">
        <v>26192</v>
      </c>
      <c r="O50" s="120">
        <v>454638</v>
      </c>
    </row>
    <row r="51" spans="2:15" ht="18" customHeight="1" x14ac:dyDescent="0.2">
      <c r="B51" s="46" t="s">
        <v>43</v>
      </c>
      <c r="C51" s="47">
        <v>16266</v>
      </c>
      <c r="D51" s="47">
        <v>20725</v>
      </c>
      <c r="E51" s="47">
        <v>22441</v>
      </c>
      <c r="F51" s="47">
        <v>35203</v>
      </c>
      <c r="G51" s="47">
        <v>47609</v>
      </c>
      <c r="H51" s="47">
        <v>64837</v>
      </c>
      <c r="I51" s="47">
        <v>163923</v>
      </c>
      <c r="J51" s="47">
        <v>82819</v>
      </c>
      <c r="K51" s="47">
        <v>55004</v>
      </c>
      <c r="L51" s="47">
        <v>43190</v>
      </c>
      <c r="M51" s="47">
        <v>22566</v>
      </c>
      <c r="N51" s="47">
        <v>21590</v>
      </c>
      <c r="O51" s="120">
        <v>596173</v>
      </c>
    </row>
    <row r="52" spans="2:15" ht="18" customHeight="1" x14ac:dyDescent="0.2">
      <c r="B52" s="46" t="s">
        <v>68</v>
      </c>
      <c r="C52" s="47">
        <v>1981</v>
      </c>
      <c r="D52" s="47">
        <v>2991</v>
      </c>
      <c r="E52" s="47">
        <v>3693</v>
      </c>
      <c r="F52" s="47">
        <v>5342</v>
      </c>
      <c r="G52" s="47">
        <v>17028</v>
      </c>
      <c r="H52" s="47">
        <v>54496</v>
      </c>
      <c r="I52" s="47">
        <v>74542</v>
      </c>
      <c r="J52" s="47">
        <v>61462</v>
      </c>
      <c r="K52" s="47">
        <v>48099</v>
      </c>
      <c r="L52" s="47">
        <v>16839</v>
      </c>
      <c r="M52" s="47">
        <v>5662</v>
      </c>
      <c r="N52" s="47">
        <v>3319</v>
      </c>
      <c r="O52" s="120">
        <v>295454</v>
      </c>
    </row>
    <row r="53" spans="2:15" ht="18" customHeight="1" x14ac:dyDescent="0.2">
      <c r="B53" s="46" t="s">
        <v>70</v>
      </c>
      <c r="C53" s="47">
        <v>4946</v>
      </c>
      <c r="D53" s="47">
        <v>9797</v>
      </c>
      <c r="E53" s="47">
        <v>9641</v>
      </c>
      <c r="F53" s="47">
        <v>21559</v>
      </c>
      <c r="G53" s="47">
        <v>31915</v>
      </c>
      <c r="H53" s="47">
        <v>46915</v>
      </c>
      <c r="I53" s="47">
        <v>93588</v>
      </c>
      <c r="J53" s="47">
        <v>40821</v>
      </c>
      <c r="K53" s="47">
        <v>41808</v>
      </c>
      <c r="L53" s="47">
        <v>39248</v>
      </c>
      <c r="M53" s="47">
        <v>8276</v>
      </c>
      <c r="N53" s="47">
        <v>7613</v>
      </c>
      <c r="O53" s="120">
        <v>356127</v>
      </c>
    </row>
    <row r="54" spans="2:15" ht="18" customHeight="1" x14ac:dyDescent="0.2">
      <c r="B54" s="46" t="s">
        <v>90</v>
      </c>
      <c r="C54" s="47">
        <v>2174</v>
      </c>
      <c r="D54" s="47">
        <v>2715</v>
      </c>
      <c r="E54" s="47">
        <v>5231</v>
      </c>
      <c r="F54" s="47">
        <v>9880</v>
      </c>
      <c r="G54" s="47">
        <v>15226</v>
      </c>
      <c r="H54" s="47">
        <v>16663</v>
      </c>
      <c r="I54" s="47">
        <v>15443</v>
      </c>
      <c r="J54" s="47">
        <v>12122</v>
      </c>
      <c r="K54" s="47">
        <v>15780</v>
      </c>
      <c r="L54" s="47">
        <v>14363</v>
      </c>
      <c r="M54" s="47">
        <v>4395</v>
      </c>
      <c r="N54" s="47">
        <v>3289</v>
      </c>
      <c r="O54" s="120">
        <v>117281</v>
      </c>
    </row>
    <row r="55" spans="2:15" ht="18" customHeight="1" x14ac:dyDescent="0.2">
      <c r="B55" s="46" t="s">
        <v>91</v>
      </c>
      <c r="C55" s="47">
        <v>29664</v>
      </c>
      <c r="D55" s="47">
        <v>48994</v>
      </c>
      <c r="E55" s="47">
        <v>44629</v>
      </c>
      <c r="F55" s="47">
        <v>53052</v>
      </c>
      <c r="G55" s="47">
        <v>85113</v>
      </c>
      <c r="H55" s="47">
        <v>85465</v>
      </c>
      <c r="I55" s="47">
        <v>225889</v>
      </c>
      <c r="J55" s="47">
        <v>157646</v>
      </c>
      <c r="K55" s="47">
        <v>71724</v>
      </c>
      <c r="L55" s="47">
        <v>83332</v>
      </c>
      <c r="M55" s="47">
        <v>48869</v>
      </c>
      <c r="N55" s="47">
        <v>51713</v>
      </c>
      <c r="O55" s="120">
        <v>986090</v>
      </c>
    </row>
    <row r="56" spans="2:15" ht="18" customHeight="1" x14ac:dyDescent="0.2">
      <c r="B56" s="46" t="s">
        <v>113</v>
      </c>
      <c r="C56" s="47">
        <v>34605</v>
      </c>
      <c r="D56" s="47">
        <v>41470</v>
      </c>
      <c r="E56" s="47">
        <v>43045</v>
      </c>
      <c r="F56" s="47">
        <v>114835</v>
      </c>
      <c r="G56" s="47">
        <v>128956</v>
      </c>
      <c r="H56" s="47">
        <v>100054</v>
      </c>
      <c r="I56" s="47">
        <v>266026</v>
      </c>
      <c r="J56" s="47">
        <v>204079</v>
      </c>
      <c r="K56" s="47">
        <v>115052</v>
      </c>
      <c r="L56" s="47">
        <v>121118</v>
      </c>
      <c r="M56" s="47">
        <v>36657</v>
      </c>
      <c r="N56" s="47">
        <v>38859</v>
      </c>
      <c r="O56" s="120">
        <v>1244756</v>
      </c>
    </row>
    <row r="57" spans="2:15" ht="18" customHeight="1" x14ac:dyDescent="0.2">
      <c r="B57" s="46" t="s">
        <v>118</v>
      </c>
      <c r="C57" s="47">
        <v>34952</v>
      </c>
      <c r="D57" s="47">
        <v>58893</v>
      </c>
      <c r="E57" s="47">
        <v>87349</v>
      </c>
      <c r="F57" s="47">
        <v>225296</v>
      </c>
      <c r="G57" s="47">
        <v>403976</v>
      </c>
      <c r="H57" s="47">
        <v>453809</v>
      </c>
      <c r="I57" s="47">
        <v>545973</v>
      </c>
      <c r="J57" s="47">
        <v>550156</v>
      </c>
      <c r="K57" s="47">
        <v>456867</v>
      </c>
      <c r="L57" s="47">
        <v>388017</v>
      </c>
      <c r="M57" s="47">
        <v>95824</v>
      </c>
      <c r="N57" s="47">
        <v>69627</v>
      </c>
      <c r="O57" s="120">
        <v>3370739</v>
      </c>
    </row>
    <row r="58" spans="2:15" ht="18" customHeight="1" x14ac:dyDescent="0.2">
      <c r="B58" s="46" t="s">
        <v>120</v>
      </c>
      <c r="C58" s="47">
        <v>3129</v>
      </c>
      <c r="D58" s="47">
        <v>3425</v>
      </c>
      <c r="E58" s="47">
        <v>5209</v>
      </c>
      <c r="F58" s="47">
        <v>12091</v>
      </c>
      <c r="G58" s="47">
        <v>14434</v>
      </c>
      <c r="H58" s="47">
        <v>17553</v>
      </c>
      <c r="I58" s="47">
        <v>19932</v>
      </c>
      <c r="J58" s="47">
        <v>18062</v>
      </c>
      <c r="K58" s="47">
        <v>17307</v>
      </c>
      <c r="L58" s="47">
        <v>15598</v>
      </c>
      <c r="M58" s="47">
        <v>5940</v>
      </c>
      <c r="N58" s="47">
        <v>3928</v>
      </c>
      <c r="O58" s="120">
        <v>136608</v>
      </c>
    </row>
    <row r="59" spans="2:15" ht="18" customHeight="1" x14ac:dyDescent="0.2">
      <c r="B59" s="110" t="s">
        <v>121</v>
      </c>
      <c r="C59" s="111">
        <v>9213</v>
      </c>
      <c r="D59" s="111">
        <v>11297</v>
      </c>
      <c r="E59" s="111">
        <v>13943</v>
      </c>
      <c r="F59" s="111">
        <v>22199</v>
      </c>
      <c r="G59" s="111">
        <v>21692</v>
      </c>
      <c r="H59" s="111">
        <v>24257</v>
      </c>
      <c r="I59" s="111">
        <v>35154</v>
      </c>
      <c r="J59" s="111">
        <v>47217</v>
      </c>
      <c r="K59" s="111">
        <v>35582</v>
      </c>
      <c r="L59" s="111">
        <v>34576</v>
      </c>
      <c r="M59" s="111">
        <v>21947</v>
      </c>
      <c r="N59" s="111">
        <v>21088</v>
      </c>
      <c r="O59" s="121">
        <v>298165</v>
      </c>
    </row>
    <row r="60" spans="2:15" ht="18" customHeight="1" x14ac:dyDescent="0.2">
      <c r="B60" s="46"/>
      <c r="C60" s="47"/>
      <c r="D60" s="47"/>
      <c r="E60" s="47"/>
      <c r="F60" s="47"/>
      <c r="G60" s="47"/>
      <c r="H60" s="47"/>
      <c r="I60" s="47"/>
      <c r="J60" s="47"/>
      <c r="K60" s="47"/>
      <c r="L60" s="47"/>
      <c r="M60" s="47"/>
      <c r="N60" s="47"/>
      <c r="O60" s="47"/>
    </row>
    <row r="61" spans="2:15" ht="18" customHeight="1" x14ac:dyDescent="0.2">
      <c r="B61" s="46"/>
      <c r="C61" s="47"/>
      <c r="D61" s="47"/>
      <c r="E61" s="47"/>
      <c r="F61" s="47"/>
      <c r="G61" s="47"/>
      <c r="H61" s="47"/>
      <c r="I61" s="47"/>
      <c r="J61" s="47"/>
      <c r="K61" s="47"/>
      <c r="L61" s="47"/>
      <c r="M61" s="47"/>
      <c r="N61" s="47"/>
      <c r="O61" s="47"/>
    </row>
    <row r="62" spans="2:15" ht="30" customHeight="1" thickBot="1" x14ac:dyDescent="0.25">
      <c r="B62" s="455" t="s">
        <v>616</v>
      </c>
      <c r="C62" s="456"/>
      <c r="D62" s="456"/>
      <c r="E62" s="456"/>
      <c r="F62" s="456"/>
      <c r="G62" s="456"/>
      <c r="H62" s="456"/>
      <c r="I62" s="456"/>
      <c r="J62" s="456"/>
      <c r="K62" s="456"/>
      <c r="L62" s="456"/>
      <c r="M62" s="456"/>
      <c r="N62" s="456"/>
      <c r="O62" s="456"/>
    </row>
    <row r="63" spans="2:15" ht="18" customHeight="1" thickBot="1" x14ac:dyDescent="0.25">
      <c r="B63" s="69" t="s">
        <v>264</v>
      </c>
      <c r="C63" s="484" t="s">
        <v>265</v>
      </c>
      <c r="D63" s="484"/>
      <c r="E63" s="484"/>
      <c r="F63" s="484"/>
      <c r="G63" s="484"/>
      <c r="H63" s="484"/>
      <c r="I63" s="484"/>
      <c r="J63" s="484"/>
      <c r="K63" s="484"/>
      <c r="L63" s="484"/>
      <c r="M63" s="484"/>
      <c r="N63" s="484"/>
      <c r="O63" s="484"/>
    </row>
    <row r="64" spans="2:15" ht="18" customHeight="1" thickBot="1" x14ac:dyDescent="0.25">
      <c r="B64" s="108" t="s">
        <v>268</v>
      </c>
      <c r="C64" s="71" t="s">
        <v>5</v>
      </c>
      <c r="D64" s="71" t="s">
        <v>6</v>
      </c>
      <c r="E64" s="71" t="s">
        <v>7</v>
      </c>
      <c r="F64" s="71" t="s">
        <v>8</v>
      </c>
      <c r="G64" s="71" t="s">
        <v>9</v>
      </c>
      <c r="H64" s="71" t="s">
        <v>10</v>
      </c>
      <c r="I64" s="71" t="s">
        <v>11</v>
      </c>
      <c r="J64" s="71" t="s">
        <v>12</v>
      </c>
      <c r="K64" s="71" t="s">
        <v>13</v>
      </c>
      <c r="L64" s="71" t="s">
        <v>14</v>
      </c>
      <c r="M64" s="71" t="s">
        <v>15</v>
      </c>
      <c r="N64" s="71" t="s">
        <v>16</v>
      </c>
      <c r="O64" s="119" t="s">
        <v>17</v>
      </c>
    </row>
    <row r="65" spans="2:15" ht="18" customHeight="1" x14ac:dyDescent="0.2">
      <c r="B65" s="46" t="s">
        <v>123</v>
      </c>
      <c r="C65" s="78">
        <v>12227</v>
      </c>
      <c r="D65" s="78">
        <v>12865</v>
      </c>
      <c r="E65" s="78">
        <v>15968</v>
      </c>
      <c r="F65" s="78">
        <v>23281</v>
      </c>
      <c r="G65" s="78">
        <v>37971</v>
      </c>
      <c r="H65" s="78">
        <v>72099</v>
      </c>
      <c r="I65" s="78">
        <v>83896</v>
      </c>
      <c r="J65" s="78">
        <v>51721</v>
      </c>
      <c r="K65" s="78">
        <v>42595</v>
      </c>
      <c r="L65" s="78">
        <v>33186</v>
      </c>
      <c r="M65" s="78">
        <v>14037</v>
      </c>
      <c r="N65" s="78">
        <v>15850</v>
      </c>
      <c r="O65" s="122">
        <v>415696</v>
      </c>
    </row>
    <row r="66" spans="2:15" ht="18" customHeight="1" x14ac:dyDescent="0.2">
      <c r="B66" s="46" t="s">
        <v>124</v>
      </c>
      <c r="C66" s="78">
        <v>7435</v>
      </c>
      <c r="D66" s="78">
        <v>13201</v>
      </c>
      <c r="E66" s="78">
        <v>13177</v>
      </c>
      <c r="F66" s="78">
        <v>32417</v>
      </c>
      <c r="G66" s="78">
        <v>30430</v>
      </c>
      <c r="H66" s="78">
        <v>29522</v>
      </c>
      <c r="I66" s="78">
        <v>80501</v>
      </c>
      <c r="J66" s="78">
        <v>30731</v>
      </c>
      <c r="K66" s="78">
        <v>44414</v>
      </c>
      <c r="L66" s="78">
        <v>73795</v>
      </c>
      <c r="M66" s="78">
        <v>13465</v>
      </c>
      <c r="N66" s="78">
        <v>13747</v>
      </c>
      <c r="O66" s="122">
        <v>382835</v>
      </c>
    </row>
    <row r="67" spans="2:15" ht="18" customHeight="1" x14ac:dyDescent="0.2">
      <c r="B67" s="46" t="s">
        <v>125</v>
      </c>
      <c r="C67" s="78">
        <v>9935</v>
      </c>
      <c r="D67" s="78">
        <v>11265</v>
      </c>
      <c r="E67" s="78">
        <v>15280</v>
      </c>
      <c r="F67" s="78">
        <v>23159</v>
      </c>
      <c r="G67" s="78">
        <v>29991</v>
      </c>
      <c r="H67" s="78">
        <v>37117</v>
      </c>
      <c r="I67" s="78">
        <v>50860</v>
      </c>
      <c r="J67" s="78">
        <v>78099</v>
      </c>
      <c r="K67" s="78">
        <v>52219</v>
      </c>
      <c r="L67" s="78">
        <v>51282</v>
      </c>
      <c r="M67" s="78">
        <v>31304</v>
      </c>
      <c r="N67" s="78">
        <v>30150</v>
      </c>
      <c r="O67" s="122">
        <v>420661</v>
      </c>
    </row>
    <row r="68" spans="2:15" ht="18" customHeight="1" x14ac:dyDescent="0.2">
      <c r="B68" s="46" t="s">
        <v>126</v>
      </c>
      <c r="C68" s="78">
        <v>96</v>
      </c>
      <c r="D68" s="78">
        <v>112</v>
      </c>
      <c r="E68" s="78">
        <v>160</v>
      </c>
      <c r="F68" s="78">
        <v>398</v>
      </c>
      <c r="G68" s="78">
        <v>374</v>
      </c>
      <c r="H68" s="78">
        <v>509</v>
      </c>
      <c r="I68" s="78">
        <v>584</v>
      </c>
      <c r="J68" s="78">
        <v>474</v>
      </c>
      <c r="K68" s="78">
        <v>599</v>
      </c>
      <c r="L68" s="78">
        <v>424</v>
      </c>
      <c r="M68" s="78">
        <v>213</v>
      </c>
      <c r="N68" s="78">
        <v>127</v>
      </c>
      <c r="O68" s="122">
        <v>4070</v>
      </c>
    </row>
    <row r="69" spans="2:15" ht="18" customHeight="1" x14ac:dyDescent="0.2">
      <c r="B69" s="46" t="s">
        <v>159</v>
      </c>
      <c r="C69" s="78">
        <v>176</v>
      </c>
      <c r="D69" s="78">
        <v>353</v>
      </c>
      <c r="E69" s="78">
        <v>272</v>
      </c>
      <c r="F69" s="78">
        <v>1239</v>
      </c>
      <c r="G69" s="78">
        <v>2275</v>
      </c>
      <c r="H69" s="78">
        <v>842</v>
      </c>
      <c r="I69" s="78">
        <v>1481</v>
      </c>
      <c r="J69" s="78">
        <v>2757</v>
      </c>
      <c r="K69" s="78">
        <v>1744</v>
      </c>
      <c r="L69" s="78">
        <v>1259</v>
      </c>
      <c r="M69" s="78">
        <v>353</v>
      </c>
      <c r="N69" s="78">
        <v>435</v>
      </c>
      <c r="O69" s="122">
        <v>13186</v>
      </c>
    </row>
    <row r="70" spans="2:15" ht="18" customHeight="1" x14ac:dyDescent="0.2">
      <c r="B70" s="46" t="s">
        <v>160</v>
      </c>
      <c r="C70" s="78">
        <v>2536</v>
      </c>
      <c r="D70" s="78">
        <v>2661</v>
      </c>
      <c r="E70" s="78">
        <v>4321</v>
      </c>
      <c r="F70" s="78">
        <v>6149</v>
      </c>
      <c r="G70" s="78">
        <v>8925</v>
      </c>
      <c r="H70" s="78">
        <v>26575</v>
      </c>
      <c r="I70" s="78">
        <v>36396</v>
      </c>
      <c r="J70" s="78">
        <v>32980</v>
      </c>
      <c r="K70" s="78">
        <v>22875</v>
      </c>
      <c r="L70" s="78">
        <v>13607</v>
      </c>
      <c r="M70" s="78">
        <v>5130</v>
      </c>
      <c r="N70" s="78">
        <v>3687</v>
      </c>
      <c r="O70" s="122">
        <v>165842</v>
      </c>
    </row>
    <row r="71" spans="2:15" ht="18" customHeight="1" x14ac:dyDescent="0.2">
      <c r="B71" s="46" t="s">
        <v>191</v>
      </c>
      <c r="C71" s="78">
        <v>3806</v>
      </c>
      <c r="D71" s="78">
        <v>5668</v>
      </c>
      <c r="E71" s="78">
        <v>7257</v>
      </c>
      <c r="F71" s="78">
        <v>11507</v>
      </c>
      <c r="G71" s="78">
        <v>15058</v>
      </c>
      <c r="H71" s="78">
        <v>31593</v>
      </c>
      <c r="I71" s="78">
        <v>46337</v>
      </c>
      <c r="J71" s="78">
        <v>19497</v>
      </c>
      <c r="K71" s="78">
        <v>20236</v>
      </c>
      <c r="L71" s="78">
        <v>18299</v>
      </c>
      <c r="M71" s="78">
        <v>6579</v>
      </c>
      <c r="N71" s="78">
        <v>5952</v>
      </c>
      <c r="O71" s="122">
        <v>191789</v>
      </c>
    </row>
    <row r="72" spans="2:15" ht="18" customHeight="1" x14ac:dyDescent="0.2">
      <c r="B72" s="46" t="s">
        <v>201</v>
      </c>
      <c r="C72" s="78">
        <v>10313</v>
      </c>
      <c r="D72" s="78">
        <v>10412</v>
      </c>
      <c r="E72" s="78">
        <v>10980</v>
      </c>
      <c r="F72" s="78">
        <v>42446</v>
      </c>
      <c r="G72" s="78">
        <v>100670</v>
      </c>
      <c r="H72" s="78">
        <v>189074</v>
      </c>
      <c r="I72" s="78">
        <v>219608</v>
      </c>
      <c r="J72" s="78">
        <v>211938</v>
      </c>
      <c r="K72" s="78">
        <v>194789</v>
      </c>
      <c r="L72" s="78">
        <v>108888</v>
      </c>
      <c r="M72" s="78">
        <v>22366</v>
      </c>
      <c r="N72" s="78">
        <v>14419</v>
      </c>
      <c r="O72" s="122">
        <v>1135903</v>
      </c>
    </row>
    <row r="73" spans="2:15" ht="18" customHeight="1" x14ac:dyDescent="0.2">
      <c r="B73" s="46" t="s">
        <v>202</v>
      </c>
      <c r="C73" s="78">
        <v>2044</v>
      </c>
      <c r="D73" s="78">
        <v>2501</v>
      </c>
      <c r="E73" s="78">
        <v>3481</v>
      </c>
      <c r="F73" s="78">
        <v>5435</v>
      </c>
      <c r="G73" s="78">
        <v>7195</v>
      </c>
      <c r="H73" s="78">
        <v>8372</v>
      </c>
      <c r="I73" s="78">
        <v>8677</v>
      </c>
      <c r="J73" s="78">
        <v>10189</v>
      </c>
      <c r="K73" s="78">
        <v>9199</v>
      </c>
      <c r="L73" s="78">
        <v>8375</v>
      </c>
      <c r="M73" s="78">
        <v>5270</v>
      </c>
      <c r="N73" s="78">
        <v>4074</v>
      </c>
      <c r="O73" s="122">
        <v>74812</v>
      </c>
    </row>
    <row r="74" spans="2:15" ht="18" customHeight="1" x14ac:dyDescent="0.2">
      <c r="B74" s="46" t="s">
        <v>221</v>
      </c>
      <c r="C74" s="78">
        <v>1125</v>
      </c>
      <c r="D74" s="78">
        <v>1384</v>
      </c>
      <c r="E74" s="78">
        <v>2058</v>
      </c>
      <c r="F74" s="78">
        <v>3691</v>
      </c>
      <c r="G74" s="78">
        <v>7775</v>
      </c>
      <c r="H74" s="78">
        <v>37718</v>
      </c>
      <c r="I74" s="78">
        <v>54280</v>
      </c>
      <c r="J74" s="78">
        <v>52224</v>
      </c>
      <c r="K74" s="78">
        <v>24922</v>
      </c>
      <c r="L74" s="78">
        <v>6147</v>
      </c>
      <c r="M74" s="78">
        <v>3367</v>
      </c>
      <c r="N74" s="78">
        <v>1771</v>
      </c>
      <c r="O74" s="122">
        <v>196462</v>
      </c>
    </row>
    <row r="75" spans="2:15" ht="18" customHeight="1" x14ac:dyDescent="0.2">
      <c r="B75" s="46" t="s">
        <v>261</v>
      </c>
      <c r="C75" s="78">
        <v>12716</v>
      </c>
      <c r="D75" s="78">
        <v>21322</v>
      </c>
      <c r="E75" s="78">
        <v>37452</v>
      </c>
      <c r="F75" s="78">
        <v>52167</v>
      </c>
      <c r="G75" s="78">
        <v>50696</v>
      </c>
      <c r="H75" s="78">
        <v>53463</v>
      </c>
      <c r="I75" s="78">
        <v>50061</v>
      </c>
      <c r="J75" s="78">
        <v>67139</v>
      </c>
      <c r="K75" s="78">
        <v>56534</v>
      </c>
      <c r="L75" s="78">
        <v>66858</v>
      </c>
      <c r="M75" s="78">
        <v>49254</v>
      </c>
      <c r="N75" s="78">
        <v>52133</v>
      </c>
      <c r="O75" s="122">
        <v>569795</v>
      </c>
    </row>
    <row r="76" spans="2:15" ht="18" customHeight="1" thickBot="1" x14ac:dyDescent="0.25">
      <c r="B76" s="46" t="s">
        <v>598</v>
      </c>
      <c r="C76" s="78"/>
      <c r="D76" s="78"/>
      <c r="E76" s="78"/>
      <c r="F76" s="78">
        <v>1</v>
      </c>
      <c r="G76" s="78">
        <v>3</v>
      </c>
      <c r="H76" s="78">
        <v>6</v>
      </c>
      <c r="I76" s="78">
        <v>2</v>
      </c>
      <c r="J76" s="78"/>
      <c r="K76" s="78"/>
      <c r="L76" s="78"/>
      <c r="M76" s="78"/>
      <c r="N76" s="78"/>
      <c r="O76" s="122">
        <v>12</v>
      </c>
    </row>
    <row r="77" spans="2:15" ht="18" customHeight="1" thickBot="1" x14ac:dyDescent="0.25">
      <c r="B77" s="52" t="s">
        <v>287</v>
      </c>
      <c r="C77" s="118">
        <v>314801</v>
      </c>
      <c r="D77" s="118">
        <v>427223</v>
      </c>
      <c r="E77" s="118">
        <v>549568</v>
      </c>
      <c r="F77" s="118">
        <v>1118013</v>
      </c>
      <c r="G77" s="118">
        <v>1586648</v>
      </c>
      <c r="H77" s="118">
        <v>2109540</v>
      </c>
      <c r="I77" s="118">
        <v>3164664</v>
      </c>
      <c r="J77" s="118">
        <v>2667702</v>
      </c>
      <c r="K77" s="118">
        <v>2040546</v>
      </c>
      <c r="L77" s="118">
        <v>1915030</v>
      </c>
      <c r="M77" s="118">
        <v>625181</v>
      </c>
      <c r="N77" s="118">
        <v>587372</v>
      </c>
      <c r="O77" s="81">
        <v>17106288</v>
      </c>
    </row>
    <row r="78" spans="2:15" ht="18" customHeight="1" x14ac:dyDescent="0.2">
      <c r="B78" s="46" t="s">
        <v>30</v>
      </c>
      <c r="C78" s="78">
        <v>5740</v>
      </c>
      <c r="D78" s="78">
        <v>6558</v>
      </c>
      <c r="E78" s="78">
        <v>8966</v>
      </c>
      <c r="F78" s="78">
        <v>8728</v>
      </c>
      <c r="G78" s="78">
        <v>10253</v>
      </c>
      <c r="H78" s="78">
        <v>15097</v>
      </c>
      <c r="I78" s="78">
        <v>19997</v>
      </c>
      <c r="J78" s="78">
        <v>24879</v>
      </c>
      <c r="K78" s="78">
        <v>16096</v>
      </c>
      <c r="L78" s="78">
        <v>10651</v>
      </c>
      <c r="M78" s="78">
        <v>10805</v>
      </c>
      <c r="N78" s="78">
        <v>7262</v>
      </c>
      <c r="O78" s="122">
        <v>145032</v>
      </c>
    </row>
    <row r="79" spans="2:15" ht="18" customHeight="1" x14ac:dyDescent="0.2">
      <c r="B79" s="46" t="s">
        <v>53</v>
      </c>
      <c r="C79" s="78">
        <v>6660</v>
      </c>
      <c r="D79" s="78">
        <v>7466</v>
      </c>
      <c r="E79" s="78">
        <v>12084</v>
      </c>
      <c r="F79" s="78">
        <v>9044</v>
      </c>
      <c r="G79" s="78">
        <v>17495</v>
      </c>
      <c r="H79" s="78">
        <v>28505</v>
      </c>
      <c r="I79" s="78">
        <v>31496</v>
      </c>
      <c r="J79" s="78">
        <v>33238</v>
      </c>
      <c r="K79" s="78">
        <v>23511</v>
      </c>
      <c r="L79" s="78">
        <v>15376</v>
      </c>
      <c r="M79" s="78">
        <v>8768</v>
      </c>
      <c r="N79" s="78">
        <v>7055</v>
      </c>
      <c r="O79" s="122">
        <v>200698</v>
      </c>
    </row>
    <row r="80" spans="2:15" ht="18" customHeight="1" x14ac:dyDescent="0.2">
      <c r="B80" s="46" t="s">
        <v>58</v>
      </c>
      <c r="C80" s="78">
        <v>109971</v>
      </c>
      <c r="D80" s="78">
        <v>128798</v>
      </c>
      <c r="E80" s="78">
        <v>169640</v>
      </c>
      <c r="F80" s="78">
        <v>270997</v>
      </c>
      <c r="G80" s="78">
        <v>266960</v>
      </c>
      <c r="H80" s="78">
        <v>242196</v>
      </c>
      <c r="I80" s="78">
        <v>250859</v>
      </c>
      <c r="J80" s="78">
        <v>273919</v>
      </c>
      <c r="K80" s="78">
        <v>349358</v>
      </c>
      <c r="L80" s="78">
        <v>326429</v>
      </c>
      <c r="M80" s="78">
        <v>232709</v>
      </c>
      <c r="N80" s="78">
        <v>260676</v>
      </c>
      <c r="O80" s="122">
        <v>2882512</v>
      </c>
    </row>
    <row r="81" spans="2:15" ht="18" customHeight="1" x14ac:dyDescent="0.2">
      <c r="B81" s="46" t="s">
        <v>81</v>
      </c>
      <c r="C81" s="78">
        <v>716</v>
      </c>
      <c r="D81" s="78">
        <v>782</v>
      </c>
      <c r="E81" s="78">
        <v>1020</v>
      </c>
      <c r="F81" s="78">
        <v>9645</v>
      </c>
      <c r="G81" s="78">
        <v>13752</v>
      </c>
      <c r="H81" s="78">
        <v>11642</v>
      </c>
      <c r="I81" s="78">
        <v>10536</v>
      </c>
      <c r="J81" s="78">
        <v>10207</v>
      </c>
      <c r="K81" s="78">
        <v>14403</v>
      </c>
      <c r="L81" s="78">
        <v>16848</v>
      </c>
      <c r="M81" s="78">
        <v>2418</v>
      </c>
      <c r="N81" s="78">
        <v>1240</v>
      </c>
      <c r="O81" s="122">
        <v>93209</v>
      </c>
    </row>
    <row r="82" spans="2:15" ht="18" customHeight="1" x14ac:dyDescent="0.2">
      <c r="B82" s="46" t="s">
        <v>106</v>
      </c>
      <c r="C82" s="78">
        <v>238</v>
      </c>
      <c r="D82" s="78">
        <v>321</v>
      </c>
      <c r="E82" s="78">
        <v>544</v>
      </c>
      <c r="F82" s="78">
        <v>660</v>
      </c>
      <c r="G82" s="78">
        <v>679</v>
      </c>
      <c r="H82" s="78">
        <v>1052</v>
      </c>
      <c r="I82" s="78">
        <v>1601</v>
      </c>
      <c r="J82" s="78">
        <v>2391</v>
      </c>
      <c r="K82" s="78">
        <v>1175</v>
      </c>
      <c r="L82" s="78">
        <v>1359</v>
      </c>
      <c r="M82" s="78">
        <v>677</v>
      </c>
      <c r="N82" s="78">
        <v>557</v>
      </c>
      <c r="O82" s="122">
        <v>11254</v>
      </c>
    </row>
    <row r="83" spans="2:15" ht="18" customHeight="1" x14ac:dyDescent="0.2">
      <c r="B83" s="46" t="s">
        <v>111</v>
      </c>
      <c r="C83" s="78">
        <v>2518</v>
      </c>
      <c r="D83" s="78">
        <v>3131</v>
      </c>
      <c r="E83" s="78">
        <v>4266</v>
      </c>
      <c r="F83" s="78">
        <v>5138</v>
      </c>
      <c r="G83" s="78">
        <v>5389</v>
      </c>
      <c r="H83" s="78">
        <v>5650</v>
      </c>
      <c r="I83" s="78">
        <v>5521</v>
      </c>
      <c r="J83" s="78">
        <v>6450</v>
      </c>
      <c r="K83" s="78">
        <v>6195</v>
      </c>
      <c r="L83" s="78">
        <v>7324</v>
      </c>
      <c r="M83" s="78">
        <v>6082</v>
      </c>
      <c r="N83" s="78">
        <v>3663</v>
      </c>
      <c r="O83" s="122">
        <v>61327</v>
      </c>
    </row>
    <row r="84" spans="2:15" ht="18" customHeight="1" x14ac:dyDescent="0.2">
      <c r="B84" s="46" t="s">
        <v>133</v>
      </c>
      <c r="C84" s="78">
        <v>1674</v>
      </c>
      <c r="D84" s="78">
        <v>1771</v>
      </c>
      <c r="E84" s="78">
        <v>2351</v>
      </c>
      <c r="F84" s="78">
        <v>2571</v>
      </c>
      <c r="G84" s="78">
        <v>2770</v>
      </c>
      <c r="H84" s="78">
        <v>2605</v>
      </c>
      <c r="I84" s="78">
        <v>1985</v>
      </c>
      <c r="J84" s="78">
        <v>2590</v>
      </c>
      <c r="K84" s="78">
        <v>3007</v>
      </c>
      <c r="L84" s="78">
        <v>3246</v>
      </c>
      <c r="M84" s="78">
        <v>2558</v>
      </c>
      <c r="N84" s="78">
        <v>2289</v>
      </c>
      <c r="O84" s="122">
        <v>29417</v>
      </c>
    </row>
    <row r="85" spans="2:15" ht="18" customHeight="1" x14ac:dyDescent="0.2">
      <c r="B85" s="46" t="s">
        <v>143</v>
      </c>
      <c r="C85" s="78">
        <v>9006</v>
      </c>
      <c r="D85" s="78">
        <v>9992</v>
      </c>
      <c r="E85" s="78">
        <v>11893</v>
      </c>
      <c r="F85" s="78">
        <v>10411</v>
      </c>
      <c r="G85" s="78">
        <v>18137</v>
      </c>
      <c r="H85" s="78">
        <v>25835</v>
      </c>
      <c r="I85" s="78">
        <v>21764</v>
      </c>
      <c r="J85" s="78">
        <v>24793</v>
      </c>
      <c r="K85" s="78">
        <v>24925</v>
      </c>
      <c r="L85" s="78">
        <v>18224</v>
      </c>
      <c r="M85" s="78">
        <v>10646</v>
      </c>
      <c r="N85" s="78">
        <v>8197</v>
      </c>
      <c r="O85" s="122">
        <v>193823</v>
      </c>
    </row>
    <row r="86" spans="2:15" ht="18" customHeight="1" x14ac:dyDescent="0.2">
      <c r="B86" s="46" t="s">
        <v>148</v>
      </c>
      <c r="C86" s="78">
        <v>12204</v>
      </c>
      <c r="D86" s="78">
        <v>11476</v>
      </c>
      <c r="E86" s="78">
        <v>16159</v>
      </c>
      <c r="F86" s="78">
        <v>13862</v>
      </c>
      <c r="G86" s="78">
        <v>22939</v>
      </c>
      <c r="H86" s="78">
        <v>30074</v>
      </c>
      <c r="I86" s="78">
        <v>30565</v>
      </c>
      <c r="J86" s="78">
        <v>39015</v>
      </c>
      <c r="K86" s="78">
        <v>33089</v>
      </c>
      <c r="L86" s="78">
        <v>27032</v>
      </c>
      <c r="M86" s="78">
        <v>14587</v>
      </c>
      <c r="N86" s="78">
        <v>15182</v>
      </c>
      <c r="O86" s="122">
        <v>266184</v>
      </c>
    </row>
    <row r="87" spans="2:15" ht="18" customHeight="1" x14ac:dyDescent="0.2">
      <c r="B87" s="46" t="s">
        <v>153</v>
      </c>
      <c r="C87" s="78">
        <v>991</v>
      </c>
      <c r="D87" s="78">
        <v>1353</v>
      </c>
      <c r="E87" s="78">
        <v>1660</v>
      </c>
      <c r="F87" s="78">
        <v>7497</v>
      </c>
      <c r="G87" s="78">
        <v>14053</v>
      </c>
      <c r="H87" s="78">
        <v>13664</v>
      </c>
      <c r="I87" s="78">
        <v>10131</v>
      </c>
      <c r="J87" s="78">
        <v>10472</v>
      </c>
      <c r="K87" s="78">
        <v>15107</v>
      </c>
      <c r="L87" s="78">
        <v>16517</v>
      </c>
      <c r="M87" s="78">
        <v>3799</v>
      </c>
      <c r="N87" s="78">
        <v>1996</v>
      </c>
      <c r="O87" s="122">
        <v>97240</v>
      </c>
    </row>
    <row r="88" spans="2:15" ht="18" customHeight="1" x14ac:dyDescent="0.2">
      <c r="B88" s="46" t="s">
        <v>157</v>
      </c>
      <c r="C88" s="78">
        <v>1704</v>
      </c>
      <c r="D88" s="78">
        <v>1781</v>
      </c>
      <c r="E88" s="78">
        <v>3037</v>
      </c>
      <c r="F88" s="78">
        <v>27070</v>
      </c>
      <c r="G88" s="78">
        <v>42354</v>
      </c>
      <c r="H88" s="78">
        <v>34098</v>
      </c>
      <c r="I88" s="78">
        <v>27761</v>
      </c>
      <c r="J88" s="78">
        <v>25428</v>
      </c>
      <c r="K88" s="78">
        <v>36322</v>
      </c>
      <c r="L88" s="78">
        <v>43530</v>
      </c>
      <c r="M88" s="78">
        <v>5793</v>
      </c>
      <c r="N88" s="78">
        <v>2741</v>
      </c>
      <c r="O88" s="122">
        <v>251619</v>
      </c>
    </row>
    <row r="89" spans="2:15" ht="18" customHeight="1" x14ac:dyDescent="0.2">
      <c r="B89" s="46" t="s">
        <v>167</v>
      </c>
      <c r="C89" s="78">
        <v>578</v>
      </c>
      <c r="D89" s="78">
        <v>673</v>
      </c>
      <c r="E89" s="78">
        <v>907</v>
      </c>
      <c r="F89" s="78">
        <v>1119</v>
      </c>
      <c r="G89" s="78">
        <v>1367</v>
      </c>
      <c r="H89" s="78">
        <v>1398</v>
      </c>
      <c r="I89" s="78">
        <v>1824</v>
      </c>
      <c r="J89" s="78">
        <v>2188</v>
      </c>
      <c r="K89" s="78">
        <v>2479</v>
      </c>
      <c r="L89" s="78">
        <v>1442</v>
      </c>
      <c r="M89" s="78">
        <v>1151</v>
      </c>
      <c r="N89" s="78">
        <v>1195</v>
      </c>
      <c r="O89" s="122">
        <v>16321</v>
      </c>
    </row>
    <row r="90" spans="2:15" ht="18" customHeight="1" x14ac:dyDescent="0.2">
      <c r="B90" s="46" t="s">
        <v>205</v>
      </c>
      <c r="C90" s="78">
        <v>22628</v>
      </c>
      <c r="D90" s="78">
        <v>26910</v>
      </c>
      <c r="E90" s="78">
        <v>33306</v>
      </c>
      <c r="F90" s="78">
        <v>62152</v>
      </c>
      <c r="G90" s="78">
        <v>59368</v>
      </c>
      <c r="H90" s="78">
        <v>129760</v>
      </c>
      <c r="I90" s="78">
        <v>131372</v>
      </c>
      <c r="J90" s="78">
        <v>158114</v>
      </c>
      <c r="K90" s="78">
        <v>102099</v>
      </c>
      <c r="L90" s="78">
        <v>71175</v>
      </c>
      <c r="M90" s="78">
        <v>51122</v>
      </c>
      <c r="N90" s="78">
        <v>38549</v>
      </c>
      <c r="O90" s="122">
        <v>886555</v>
      </c>
    </row>
    <row r="91" spans="2:15" ht="18" customHeight="1" x14ac:dyDescent="0.2">
      <c r="B91" s="46" t="s">
        <v>218</v>
      </c>
      <c r="C91" s="78">
        <v>11578</v>
      </c>
      <c r="D91" s="78">
        <v>15751</v>
      </c>
      <c r="E91" s="78">
        <v>18624</v>
      </c>
      <c r="F91" s="78">
        <v>26493</v>
      </c>
      <c r="G91" s="78">
        <v>22839</v>
      </c>
      <c r="H91" s="78">
        <v>43903</v>
      </c>
      <c r="I91" s="78">
        <v>61850</v>
      </c>
      <c r="J91" s="78">
        <v>59595</v>
      </c>
      <c r="K91" s="78">
        <v>40205</v>
      </c>
      <c r="L91" s="78">
        <v>24966</v>
      </c>
      <c r="M91" s="78">
        <v>18835</v>
      </c>
      <c r="N91" s="78">
        <v>13148</v>
      </c>
      <c r="O91" s="122">
        <v>357787</v>
      </c>
    </row>
    <row r="92" spans="2:15" ht="18" customHeight="1" x14ac:dyDescent="0.2">
      <c r="B92" s="46" t="s">
        <v>222</v>
      </c>
      <c r="C92" s="78">
        <v>1143</v>
      </c>
      <c r="D92" s="78">
        <v>1992</v>
      </c>
      <c r="E92" s="78">
        <v>2663</v>
      </c>
      <c r="F92" s="78">
        <v>5054</v>
      </c>
      <c r="G92" s="78">
        <v>3637</v>
      </c>
      <c r="H92" s="78">
        <v>4900</v>
      </c>
      <c r="I92" s="78">
        <v>6510</v>
      </c>
      <c r="J92" s="78">
        <v>5100</v>
      </c>
      <c r="K92" s="78">
        <v>5842</v>
      </c>
      <c r="L92" s="78">
        <v>5811</v>
      </c>
      <c r="M92" s="78">
        <v>3740</v>
      </c>
      <c r="N92" s="78">
        <v>2230</v>
      </c>
      <c r="O92" s="122">
        <v>48622</v>
      </c>
    </row>
    <row r="93" spans="2:15" ht="18" customHeight="1" thickBot="1" x14ac:dyDescent="0.25">
      <c r="B93" s="46" t="s">
        <v>288</v>
      </c>
      <c r="C93" s="78">
        <v>68</v>
      </c>
      <c r="D93" s="78">
        <v>116</v>
      </c>
      <c r="E93" s="78">
        <v>130</v>
      </c>
      <c r="F93" s="78">
        <v>230</v>
      </c>
      <c r="G93" s="78">
        <v>217</v>
      </c>
      <c r="H93" s="78">
        <v>224</v>
      </c>
      <c r="I93" s="78">
        <v>796</v>
      </c>
      <c r="J93" s="78">
        <v>261</v>
      </c>
      <c r="K93" s="78">
        <v>289</v>
      </c>
      <c r="L93" s="78">
        <v>451</v>
      </c>
      <c r="M93" s="78">
        <v>144</v>
      </c>
      <c r="N93" s="78">
        <v>159</v>
      </c>
      <c r="O93" s="122">
        <v>3085</v>
      </c>
    </row>
    <row r="94" spans="2:15" ht="18" customHeight="1" thickBot="1" x14ac:dyDescent="0.25">
      <c r="B94" s="52" t="s">
        <v>289</v>
      </c>
      <c r="C94" s="118">
        <v>187417</v>
      </c>
      <c r="D94" s="118">
        <v>218871</v>
      </c>
      <c r="E94" s="118">
        <v>287250</v>
      </c>
      <c r="F94" s="118">
        <v>460671</v>
      </c>
      <c r="G94" s="118">
        <v>502209</v>
      </c>
      <c r="H94" s="118">
        <v>590603</v>
      </c>
      <c r="I94" s="118">
        <v>614568</v>
      </c>
      <c r="J94" s="118">
        <v>678640</v>
      </c>
      <c r="K94" s="118">
        <v>674102</v>
      </c>
      <c r="L94" s="118">
        <v>590381</v>
      </c>
      <c r="M94" s="118">
        <v>373834</v>
      </c>
      <c r="N94" s="118">
        <v>366139</v>
      </c>
      <c r="O94" s="81">
        <v>5544685</v>
      </c>
    </row>
    <row r="95" spans="2:15" ht="18" customHeight="1" thickBot="1" x14ac:dyDescent="0.25">
      <c r="B95" s="52" t="s">
        <v>290</v>
      </c>
      <c r="C95" s="118">
        <v>502218</v>
      </c>
      <c r="D95" s="118">
        <v>646094</v>
      </c>
      <c r="E95" s="118">
        <v>836818</v>
      </c>
      <c r="F95" s="118">
        <v>1578684</v>
      </c>
      <c r="G95" s="118">
        <v>2088857</v>
      </c>
      <c r="H95" s="118">
        <v>2700143</v>
      </c>
      <c r="I95" s="118">
        <v>3779232</v>
      </c>
      <c r="J95" s="118">
        <v>3346342</v>
      </c>
      <c r="K95" s="118">
        <v>2714648</v>
      </c>
      <c r="L95" s="118">
        <v>2505411</v>
      </c>
      <c r="M95" s="118">
        <v>999015</v>
      </c>
      <c r="N95" s="118">
        <v>953511</v>
      </c>
      <c r="O95" s="81">
        <v>22650973</v>
      </c>
    </row>
    <row r="96" spans="2:15" ht="18" customHeight="1" x14ac:dyDescent="0.2">
      <c r="B96" s="46" t="s">
        <v>35</v>
      </c>
      <c r="C96" s="78">
        <v>36191</v>
      </c>
      <c r="D96" s="78">
        <v>41292</v>
      </c>
      <c r="E96" s="78">
        <v>65850</v>
      </c>
      <c r="F96" s="78">
        <v>49791</v>
      </c>
      <c r="G96" s="78">
        <v>67785</v>
      </c>
      <c r="H96" s="78">
        <v>77832</v>
      </c>
      <c r="I96" s="78">
        <v>73755</v>
      </c>
      <c r="J96" s="78">
        <v>76469</v>
      </c>
      <c r="K96" s="78">
        <v>59006</v>
      </c>
      <c r="L96" s="78">
        <v>43149</v>
      </c>
      <c r="M96" s="78">
        <v>51574</v>
      </c>
      <c r="N96" s="78">
        <v>41140</v>
      </c>
      <c r="O96" s="122">
        <v>683834</v>
      </c>
    </row>
    <row r="97" spans="2:15" ht="18" customHeight="1" x14ac:dyDescent="0.2">
      <c r="B97" s="46" t="s">
        <v>47</v>
      </c>
      <c r="C97" s="78">
        <v>4521</v>
      </c>
      <c r="D97" s="78">
        <v>5230</v>
      </c>
      <c r="E97" s="78">
        <v>10876</v>
      </c>
      <c r="F97" s="78">
        <v>9018</v>
      </c>
      <c r="G97" s="78">
        <v>22881</v>
      </c>
      <c r="H97" s="78">
        <v>32305</v>
      </c>
      <c r="I97" s="78">
        <v>34524</v>
      </c>
      <c r="J97" s="78">
        <v>36286</v>
      </c>
      <c r="K97" s="78">
        <v>35892</v>
      </c>
      <c r="L97" s="78">
        <v>25414</v>
      </c>
      <c r="M97" s="78">
        <v>12834</v>
      </c>
      <c r="N97" s="78">
        <v>10185</v>
      </c>
      <c r="O97" s="122">
        <v>239966</v>
      </c>
    </row>
    <row r="98" spans="2:15" ht="18" customHeight="1" x14ac:dyDescent="0.2">
      <c r="B98" s="46" t="s">
        <v>80</v>
      </c>
      <c r="C98" s="78">
        <v>1112</v>
      </c>
      <c r="D98" s="78">
        <v>1864</v>
      </c>
      <c r="E98" s="78">
        <v>2048</v>
      </c>
      <c r="F98" s="78">
        <v>2369</v>
      </c>
      <c r="G98" s="78">
        <v>3159</v>
      </c>
      <c r="H98" s="78">
        <v>3957</v>
      </c>
      <c r="I98" s="78">
        <v>4596</v>
      </c>
      <c r="J98" s="78">
        <v>5201</v>
      </c>
      <c r="K98" s="78">
        <v>3473</v>
      </c>
      <c r="L98" s="78">
        <v>3072</v>
      </c>
      <c r="M98" s="78">
        <v>3163</v>
      </c>
      <c r="N98" s="78">
        <v>2431</v>
      </c>
      <c r="O98" s="122">
        <v>36445</v>
      </c>
    </row>
    <row r="99" spans="2:15" ht="18" customHeight="1" x14ac:dyDescent="0.2">
      <c r="B99" s="46" t="s">
        <v>109</v>
      </c>
      <c r="C99" s="78">
        <v>39539</v>
      </c>
      <c r="D99" s="78">
        <v>49987</v>
      </c>
      <c r="E99" s="78">
        <v>74794</v>
      </c>
      <c r="F99" s="78">
        <v>101127</v>
      </c>
      <c r="G99" s="78">
        <v>130472</v>
      </c>
      <c r="H99" s="78">
        <v>141770</v>
      </c>
      <c r="I99" s="78">
        <v>162839</v>
      </c>
      <c r="J99" s="78">
        <v>176076</v>
      </c>
      <c r="K99" s="78">
        <v>184970</v>
      </c>
      <c r="L99" s="78">
        <v>158901</v>
      </c>
      <c r="M99" s="78">
        <v>151057</v>
      </c>
      <c r="N99" s="78">
        <v>143281</v>
      </c>
      <c r="O99" s="122">
        <v>1514813</v>
      </c>
    </row>
    <row r="100" spans="2:15" ht="18" customHeight="1" x14ac:dyDescent="0.2">
      <c r="B100" s="46" t="s">
        <v>136</v>
      </c>
      <c r="C100" s="78">
        <v>18992</v>
      </c>
      <c r="D100" s="78">
        <v>23248</v>
      </c>
      <c r="E100" s="78">
        <v>28516</v>
      </c>
      <c r="F100" s="78">
        <v>28554</v>
      </c>
      <c r="G100" s="78">
        <v>72885</v>
      </c>
      <c r="H100" s="78">
        <v>115732</v>
      </c>
      <c r="I100" s="78">
        <v>122064</v>
      </c>
      <c r="J100" s="78">
        <v>114384</v>
      </c>
      <c r="K100" s="78">
        <v>83328</v>
      </c>
      <c r="L100" s="78">
        <v>41674</v>
      </c>
      <c r="M100" s="78">
        <v>32065</v>
      </c>
      <c r="N100" s="78">
        <v>30694</v>
      </c>
      <c r="O100" s="122">
        <v>712136</v>
      </c>
    </row>
    <row r="101" spans="2:15" ht="18" customHeight="1" x14ac:dyDescent="0.2">
      <c r="B101" s="46" t="s">
        <v>138</v>
      </c>
      <c r="C101" s="78">
        <v>9887</v>
      </c>
      <c r="D101" s="78">
        <v>9176</v>
      </c>
      <c r="E101" s="78">
        <v>9194</v>
      </c>
      <c r="F101" s="78">
        <v>10826</v>
      </c>
      <c r="G101" s="78">
        <v>15809</v>
      </c>
      <c r="H101" s="78">
        <v>15286</v>
      </c>
      <c r="I101" s="78">
        <v>13415</v>
      </c>
      <c r="J101" s="78">
        <v>13063</v>
      </c>
      <c r="K101" s="78">
        <v>15835</v>
      </c>
      <c r="L101" s="78">
        <v>13249</v>
      </c>
      <c r="M101" s="78">
        <v>10808</v>
      </c>
      <c r="N101" s="78">
        <v>10939</v>
      </c>
      <c r="O101" s="122">
        <v>147487</v>
      </c>
    </row>
    <row r="102" spans="2:15" ht="18" customHeight="1" x14ac:dyDescent="0.2">
      <c r="B102" s="46" t="s">
        <v>178</v>
      </c>
      <c r="C102" s="78">
        <v>6852</v>
      </c>
      <c r="D102" s="78">
        <v>6357</v>
      </c>
      <c r="E102" s="78">
        <v>6407</v>
      </c>
      <c r="F102" s="78">
        <v>8642</v>
      </c>
      <c r="G102" s="78">
        <v>22911</v>
      </c>
      <c r="H102" s="78">
        <v>48815</v>
      </c>
      <c r="I102" s="78">
        <v>49043</v>
      </c>
      <c r="J102" s="78">
        <v>47751</v>
      </c>
      <c r="K102" s="78">
        <v>40351</v>
      </c>
      <c r="L102" s="78">
        <v>20523</v>
      </c>
      <c r="M102" s="78">
        <v>8501</v>
      </c>
      <c r="N102" s="78">
        <v>8104</v>
      </c>
      <c r="O102" s="122">
        <v>274257</v>
      </c>
    </row>
    <row r="103" spans="2:15" ht="18" customHeight="1" x14ac:dyDescent="0.2">
      <c r="B103" s="46" t="s">
        <v>193</v>
      </c>
      <c r="C103" s="78">
        <v>24813</v>
      </c>
      <c r="D103" s="78">
        <v>28272</v>
      </c>
      <c r="E103" s="78">
        <v>27228</v>
      </c>
      <c r="F103" s="78">
        <v>25749</v>
      </c>
      <c r="G103" s="78">
        <v>37064</v>
      </c>
      <c r="H103" s="78">
        <v>43531</v>
      </c>
      <c r="I103" s="78">
        <v>45893</v>
      </c>
      <c r="J103" s="78">
        <v>49778</v>
      </c>
      <c r="K103" s="78">
        <v>40425</v>
      </c>
      <c r="L103" s="78">
        <v>35153</v>
      </c>
      <c r="M103" s="78">
        <v>33049</v>
      </c>
      <c r="N103" s="78">
        <v>28718</v>
      </c>
      <c r="O103" s="122">
        <v>419673</v>
      </c>
    </row>
    <row r="104" spans="2:15" ht="18" customHeight="1" x14ac:dyDescent="0.2">
      <c r="B104" s="46" t="s">
        <v>207</v>
      </c>
      <c r="C104" s="78">
        <v>134215</v>
      </c>
      <c r="D104" s="78">
        <v>112165</v>
      </c>
      <c r="E104" s="78">
        <v>114384</v>
      </c>
      <c r="F104" s="78">
        <v>130150</v>
      </c>
      <c r="G104" s="78">
        <v>362983</v>
      </c>
      <c r="H104" s="78">
        <v>602015</v>
      </c>
      <c r="I104" s="78">
        <v>741414</v>
      </c>
      <c r="J104" s="78">
        <v>806831</v>
      </c>
      <c r="K104" s="78">
        <v>860741</v>
      </c>
      <c r="L104" s="78">
        <v>767814</v>
      </c>
      <c r="M104" s="78">
        <v>312486</v>
      </c>
      <c r="N104" s="78">
        <v>287413</v>
      </c>
      <c r="O104" s="122">
        <v>5232611</v>
      </c>
    </row>
    <row r="105" spans="2:15" ht="18" customHeight="1" x14ac:dyDescent="0.2">
      <c r="B105" s="46" t="s">
        <v>234</v>
      </c>
      <c r="C105" s="78">
        <v>6728</v>
      </c>
      <c r="D105" s="78">
        <v>11103</v>
      </c>
      <c r="E105" s="78">
        <v>4936</v>
      </c>
      <c r="F105" s="78">
        <v>3181</v>
      </c>
      <c r="G105" s="78">
        <v>5113</v>
      </c>
      <c r="H105" s="78">
        <v>5092</v>
      </c>
      <c r="I105" s="78">
        <v>5606</v>
      </c>
      <c r="J105" s="78">
        <v>6223</v>
      </c>
      <c r="K105" s="78">
        <v>6882</v>
      </c>
      <c r="L105" s="78">
        <v>6110</v>
      </c>
      <c r="M105" s="78">
        <v>7013</v>
      </c>
      <c r="N105" s="78">
        <v>6114</v>
      </c>
      <c r="O105" s="122">
        <v>74101</v>
      </c>
    </row>
    <row r="106" spans="2:15" ht="18" customHeight="1" x14ac:dyDescent="0.2">
      <c r="B106" s="46" t="s">
        <v>245</v>
      </c>
      <c r="C106" s="78">
        <v>1903</v>
      </c>
      <c r="D106" s="78">
        <v>1912</v>
      </c>
      <c r="E106" s="78">
        <v>5107</v>
      </c>
      <c r="F106" s="78">
        <v>1809</v>
      </c>
      <c r="G106" s="78">
        <v>2514</v>
      </c>
      <c r="H106" s="78">
        <v>3052</v>
      </c>
      <c r="I106" s="78">
        <v>3636</v>
      </c>
      <c r="J106" s="78">
        <v>5033</v>
      </c>
      <c r="K106" s="78">
        <v>4627</v>
      </c>
      <c r="L106" s="78">
        <v>5193</v>
      </c>
      <c r="M106" s="78">
        <v>5056</v>
      </c>
      <c r="N106" s="78">
        <v>5407</v>
      </c>
      <c r="O106" s="122">
        <v>45249</v>
      </c>
    </row>
    <row r="107" spans="2:15" ht="18" customHeight="1" thickBot="1" x14ac:dyDescent="0.25">
      <c r="B107" s="46" t="s">
        <v>247</v>
      </c>
      <c r="C107" s="78">
        <v>36918</v>
      </c>
      <c r="D107" s="78">
        <v>42280</v>
      </c>
      <c r="E107" s="78">
        <v>66233</v>
      </c>
      <c r="F107" s="78">
        <v>43809</v>
      </c>
      <c r="G107" s="78">
        <v>54002</v>
      </c>
      <c r="H107" s="78">
        <v>61666</v>
      </c>
      <c r="I107" s="78">
        <v>69164</v>
      </c>
      <c r="J107" s="78">
        <v>70114</v>
      </c>
      <c r="K107" s="78">
        <v>73692</v>
      </c>
      <c r="L107" s="78">
        <v>68104</v>
      </c>
      <c r="M107" s="78">
        <v>43507</v>
      </c>
      <c r="N107" s="78">
        <v>45978</v>
      </c>
      <c r="O107" s="122">
        <v>675467</v>
      </c>
    </row>
    <row r="108" spans="2:15" ht="18" customHeight="1" thickBot="1" x14ac:dyDescent="0.25">
      <c r="B108" s="52" t="s">
        <v>291</v>
      </c>
      <c r="C108" s="118">
        <v>321671</v>
      </c>
      <c r="D108" s="118">
        <v>332886</v>
      </c>
      <c r="E108" s="118">
        <v>415573</v>
      </c>
      <c r="F108" s="118">
        <v>415025</v>
      </c>
      <c r="G108" s="118">
        <v>797578</v>
      </c>
      <c r="H108" s="118">
        <v>1151053</v>
      </c>
      <c r="I108" s="118">
        <v>1325949</v>
      </c>
      <c r="J108" s="118">
        <v>1407209</v>
      </c>
      <c r="K108" s="118">
        <v>1409222</v>
      </c>
      <c r="L108" s="118">
        <v>1188356</v>
      </c>
      <c r="M108" s="118">
        <v>671113</v>
      </c>
      <c r="N108" s="118">
        <v>620404</v>
      </c>
      <c r="O108" s="81">
        <v>10056039</v>
      </c>
    </row>
    <row r="109" spans="2:15" ht="18" customHeight="1" x14ac:dyDescent="0.2">
      <c r="B109" s="46" t="s">
        <v>23</v>
      </c>
      <c r="C109" s="78">
        <v>27012</v>
      </c>
      <c r="D109" s="78">
        <v>23105</v>
      </c>
      <c r="E109" s="78">
        <v>39235</v>
      </c>
      <c r="F109" s="78">
        <v>52787</v>
      </c>
      <c r="G109" s="78">
        <v>102103</v>
      </c>
      <c r="H109" s="78">
        <v>138315</v>
      </c>
      <c r="I109" s="78">
        <v>137077</v>
      </c>
      <c r="J109" s="78">
        <v>120317</v>
      </c>
      <c r="K109" s="78">
        <v>115679</v>
      </c>
      <c r="L109" s="78">
        <v>123305</v>
      </c>
      <c r="M109" s="78">
        <v>78745</v>
      </c>
      <c r="N109" s="78">
        <v>55798</v>
      </c>
      <c r="O109" s="122">
        <v>1013478</v>
      </c>
    </row>
    <row r="110" spans="2:15" ht="18" customHeight="1" x14ac:dyDescent="0.2">
      <c r="B110" s="46" t="s">
        <v>33</v>
      </c>
      <c r="C110" s="78">
        <v>3228</v>
      </c>
      <c r="D110" s="78">
        <v>2680</v>
      </c>
      <c r="E110" s="78">
        <v>3849</v>
      </c>
      <c r="F110" s="78">
        <v>5129</v>
      </c>
      <c r="G110" s="78">
        <v>10322</v>
      </c>
      <c r="H110" s="78">
        <v>15156</v>
      </c>
      <c r="I110" s="78">
        <v>17163</v>
      </c>
      <c r="J110" s="78">
        <v>17321</v>
      </c>
      <c r="K110" s="78">
        <v>16640</v>
      </c>
      <c r="L110" s="78">
        <v>13368</v>
      </c>
      <c r="M110" s="78">
        <v>8011</v>
      </c>
      <c r="N110" s="78">
        <v>5980</v>
      </c>
      <c r="O110" s="122">
        <v>118847</v>
      </c>
    </row>
    <row r="111" spans="2:15" ht="18" customHeight="1" x14ac:dyDescent="0.2">
      <c r="B111" s="46" t="s">
        <v>107</v>
      </c>
      <c r="C111" s="78">
        <v>2796</v>
      </c>
      <c r="D111" s="78">
        <v>2016</v>
      </c>
      <c r="E111" s="78">
        <v>2925</v>
      </c>
      <c r="F111" s="78">
        <v>5234</v>
      </c>
      <c r="G111" s="78">
        <v>8763</v>
      </c>
      <c r="H111" s="78">
        <v>9221</v>
      </c>
      <c r="I111" s="78">
        <v>11394</v>
      </c>
      <c r="J111" s="78">
        <v>10372</v>
      </c>
      <c r="K111" s="78">
        <v>12349</v>
      </c>
      <c r="L111" s="78">
        <v>14726</v>
      </c>
      <c r="M111" s="78">
        <v>10487</v>
      </c>
      <c r="N111" s="78">
        <v>9586</v>
      </c>
      <c r="O111" s="122">
        <v>99869</v>
      </c>
    </row>
    <row r="112" spans="2:15" ht="18" customHeight="1" x14ac:dyDescent="0.2">
      <c r="B112" s="46" t="s">
        <v>129</v>
      </c>
      <c r="C112" s="78">
        <v>768</v>
      </c>
      <c r="D112" s="78">
        <v>794</v>
      </c>
      <c r="E112" s="78">
        <v>1235</v>
      </c>
      <c r="F112" s="78">
        <v>1593</v>
      </c>
      <c r="G112" s="78">
        <v>2174</v>
      </c>
      <c r="H112" s="78">
        <v>2552</v>
      </c>
      <c r="I112" s="78">
        <v>3138</v>
      </c>
      <c r="J112" s="78">
        <v>3723</v>
      </c>
      <c r="K112" s="78">
        <v>3733</v>
      </c>
      <c r="L112" s="78">
        <v>3899</v>
      </c>
      <c r="M112" s="78">
        <v>3333</v>
      </c>
      <c r="N112" s="78">
        <v>3668</v>
      </c>
      <c r="O112" s="122">
        <v>30610</v>
      </c>
    </row>
    <row r="113" spans="2:15" ht="18" customHeight="1" x14ac:dyDescent="0.2">
      <c r="B113" s="46" t="s">
        <v>132</v>
      </c>
      <c r="C113" s="78">
        <v>5687</v>
      </c>
      <c r="D113" s="78">
        <v>5459</v>
      </c>
      <c r="E113" s="78">
        <v>9062</v>
      </c>
      <c r="F113" s="78">
        <v>9260</v>
      </c>
      <c r="G113" s="78">
        <v>18610</v>
      </c>
      <c r="H113" s="78">
        <v>21999</v>
      </c>
      <c r="I113" s="78">
        <v>27220</v>
      </c>
      <c r="J113" s="78">
        <v>25583</v>
      </c>
      <c r="K113" s="78">
        <v>23857</v>
      </c>
      <c r="L113" s="78">
        <v>25379</v>
      </c>
      <c r="M113" s="78">
        <v>14711</v>
      </c>
      <c r="N113" s="78">
        <v>10589</v>
      </c>
      <c r="O113" s="122">
        <v>197416</v>
      </c>
    </row>
    <row r="114" spans="2:15" ht="18" customHeight="1" x14ac:dyDescent="0.2">
      <c r="B114" s="46" t="s">
        <v>172</v>
      </c>
      <c r="C114" s="78">
        <v>3611</v>
      </c>
      <c r="D114" s="78">
        <v>3420</v>
      </c>
      <c r="E114" s="78">
        <v>5850</v>
      </c>
      <c r="F114" s="78">
        <v>7295</v>
      </c>
      <c r="G114" s="78">
        <v>9423</v>
      </c>
      <c r="H114" s="78">
        <v>10010</v>
      </c>
      <c r="I114" s="78">
        <v>12431</v>
      </c>
      <c r="J114" s="78">
        <v>10736</v>
      </c>
      <c r="K114" s="78">
        <v>15950</v>
      </c>
      <c r="L114" s="78">
        <v>15352</v>
      </c>
      <c r="M114" s="78">
        <v>11748</v>
      </c>
      <c r="N114" s="78">
        <v>8441</v>
      </c>
      <c r="O114" s="122">
        <v>114267</v>
      </c>
    </row>
    <row r="115" spans="2:15" ht="18" customHeight="1" thickBot="1" x14ac:dyDescent="0.25">
      <c r="B115" s="46" t="s">
        <v>259</v>
      </c>
      <c r="C115" s="78">
        <v>270</v>
      </c>
      <c r="D115" s="78">
        <v>326</v>
      </c>
      <c r="E115" s="78">
        <v>483</v>
      </c>
      <c r="F115" s="78">
        <v>883</v>
      </c>
      <c r="G115" s="78">
        <v>1094</v>
      </c>
      <c r="H115" s="78">
        <v>1647</v>
      </c>
      <c r="I115" s="78">
        <v>2067</v>
      </c>
      <c r="J115" s="78">
        <v>2399</v>
      </c>
      <c r="K115" s="78">
        <v>2373</v>
      </c>
      <c r="L115" s="78">
        <v>1959</v>
      </c>
      <c r="M115" s="78">
        <v>1015</v>
      </c>
      <c r="N115" s="78">
        <v>932</v>
      </c>
      <c r="O115" s="122">
        <v>15448</v>
      </c>
    </row>
    <row r="116" spans="2:15" ht="18" customHeight="1" thickBot="1" x14ac:dyDescent="0.25">
      <c r="B116" s="117" t="s">
        <v>292</v>
      </c>
      <c r="C116" s="118">
        <v>43372</v>
      </c>
      <c r="D116" s="118">
        <v>37800</v>
      </c>
      <c r="E116" s="118">
        <v>62639</v>
      </c>
      <c r="F116" s="118">
        <v>82181</v>
      </c>
      <c r="G116" s="118">
        <v>152489</v>
      </c>
      <c r="H116" s="118">
        <v>198900</v>
      </c>
      <c r="I116" s="118">
        <v>210490</v>
      </c>
      <c r="J116" s="118">
        <v>190451</v>
      </c>
      <c r="K116" s="118">
        <v>190581</v>
      </c>
      <c r="L116" s="118">
        <v>197988</v>
      </c>
      <c r="M116" s="118">
        <v>128050</v>
      </c>
      <c r="N116" s="118">
        <v>94994</v>
      </c>
      <c r="O116" s="81">
        <v>1589935</v>
      </c>
    </row>
    <row r="117" spans="2:15" ht="18" customHeight="1" thickBot="1" x14ac:dyDescent="0.25">
      <c r="B117" s="117" t="s">
        <v>293</v>
      </c>
      <c r="C117" s="118">
        <v>3814</v>
      </c>
      <c r="D117" s="118">
        <v>4440</v>
      </c>
      <c r="E117" s="118">
        <v>5303</v>
      </c>
      <c r="F117" s="118">
        <v>4882</v>
      </c>
      <c r="G117" s="118">
        <v>7745</v>
      </c>
      <c r="H117" s="118">
        <v>8636</v>
      </c>
      <c r="I117" s="118">
        <v>13515</v>
      </c>
      <c r="J117" s="118">
        <v>11959</v>
      </c>
      <c r="K117" s="118">
        <v>10359</v>
      </c>
      <c r="L117" s="118">
        <v>8338</v>
      </c>
      <c r="M117" s="118">
        <v>4549</v>
      </c>
      <c r="N117" s="118">
        <v>5782</v>
      </c>
      <c r="O117" s="81">
        <v>89322</v>
      </c>
    </row>
    <row r="118" spans="2:15" ht="18" customHeight="1" thickBot="1" x14ac:dyDescent="0.25">
      <c r="B118" s="117" t="s">
        <v>294</v>
      </c>
      <c r="C118" s="118">
        <v>28</v>
      </c>
      <c r="D118" s="118">
        <v>56</v>
      </c>
      <c r="E118" s="118">
        <v>45</v>
      </c>
      <c r="F118" s="118">
        <v>61</v>
      </c>
      <c r="G118" s="118">
        <v>66</v>
      </c>
      <c r="H118" s="118">
        <v>60</v>
      </c>
      <c r="I118" s="118">
        <v>77</v>
      </c>
      <c r="J118" s="118">
        <v>75</v>
      </c>
      <c r="K118" s="118">
        <v>69</v>
      </c>
      <c r="L118" s="118">
        <v>58</v>
      </c>
      <c r="M118" s="118">
        <v>44</v>
      </c>
      <c r="N118" s="118">
        <v>70</v>
      </c>
      <c r="O118" s="81">
        <v>709</v>
      </c>
    </row>
    <row r="119" spans="2:15" ht="18" customHeight="1" thickBot="1" x14ac:dyDescent="0.25">
      <c r="B119" s="117" t="s">
        <v>295</v>
      </c>
      <c r="C119" s="118">
        <v>1281666</v>
      </c>
      <c r="D119" s="118">
        <v>1541393</v>
      </c>
      <c r="E119" s="118">
        <v>2079565</v>
      </c>
      <c r="F119" s="118">
        <v>2574423</v>
      </c>
      <c r="G119" s="118">
        <v>3873212</v>
      </c>
      <c r="H119" s="118">
        <v>5014821</v>
      </c>
      <c r="I119" s="118">
        <v>6664970</v>
      </c>
      <c r="J119" s="118">
        <v>6304770</v>
      </c>
      <c r="K119" s="118">
        <v>5475453</v>
      </c>
      <c r="L119" s="118">
        <v>4803198</v>
      </c>
      <c r="M119" s="118">
        <v>2551483</v>
      </c>
      <c r="N119" s="118">
        <v>2399441</v>
      </c>
      <c r="O119" s="81">
        <v>44564395</v>
      </c>
    </row>
    <row r="120" spans="2:15" ht="18" customHeight="1" x14ac:dyDescent="0.2"/>
  </sheetData>
  <mergeCells count="4">
    <mergeCell ref="B1:O1"/>
    <mergeCell ref="C2:O2"/>
    <mergeCell ref="B62:O62"/>
    <mergeCell ref="C63:O63"/>
  </mergeCells>
  <printOptions horizontalCentered="1"/>
  <pageMargins left="0.55118110236220474" right="0.55118110236220474" top="0.98425196850393704" bottom="0.51181102362204722" header="0.51181102362204722" footer="0.51181102362204722"/>
  <pageSetup scale="6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GP114"/>
  <sheetViews>
    <sheetView view="pageBreakPreview" zoomScaleNormal="100" zoomScaleSheetLayoutView="100" workbookViewId="0"/>
  </sheetViews>
  <sheetFormatPr defaultColWidth="9.140625" defaultRowHeight="12" x14ac:dyDescent="0.2"/>
  <cols>
    <col min="1" max="1" width="9.140625" style="301"/>
    <col min="2" max="2" width="24.7109375" style="301" customWidth="1"/>
    <col min="3" max="3" width="9.28515625" style="301" customWidth="1"/>
    <col min="4" max="4" width="6.42578125" style="301" customWidth="1"/>
    <col min="5" max="5" width="5.7109375" style="301" customWidth="1"/>
    <col min="6" max="6" width="6.140625" style="301" customWidth="1"/>
    <col min="7" max="7" width="7.85546875" style="301" customWidth="1"/>
    <col min="8" max="8" width="9" style="301" customWidth="1"/>
    <col min="9" max="9" width="8.28515625" style="301" customWidth="1"/>
    <col min="10" max="10" width="7" style="301" customWidth="1"/>
    <col min="11" max="11" width="7.85546875" style="301" customWidth="1"/>
    <col min="12" max="12" width="8" style="301" customWidth="1"/>
    <col min="13" max="13" width="9" style="301" customWidth="1"/>
    <col min="14" max="14" width="9.85546875" style="301" customWidth="1"/>
    <col min="15" max="15" width="8.42578125" style="301" customWidth="1"/>
    <col min="16" max="16" width="6.85546875" style="301" customWidth="1"/>
    <col min="17" max="17" width="7" style="301" customWidth="1"/>
    <col min="18" max="18" width="5.85546875" style="301" customWidth="1"/>
    <col min="19" max="19" width="5.7109375" style="301" customWidth="1"/>
    <col min="20" max="21" width="6.42578125" style="301" customWidth="1"/>
    <col min="22" max="22" width="9.85546875" style="301" customWidth="1"/>
    <col min="23" max="23" width="6.85546875" style="301" customWidth="1"/>
    <col min="24" max="24" width="7.5703125" style="301" customWidth="1"/>
    <col min="25" max="25" width="7.85546875" style="301" customWidth="1"/>
    <col min="26" max="26" width="8.85546875" style="301" customWidth="1"/>
    <col min="27" max="28" width="5.140625" style="301" customWidth="1"/>
    <col min="29" max="29" width="8.85546875" style="301" customWidth="1"/>
    <col min="30" max="30" width="8.5703125" style="301" customWidth="1"/>
    <col min="31" max="31" width="9.140625" style="301" customWidth="1"/>
    <col min="32" max="32" width="7.85546875" style="301" customWidth="1"/>
    <col min="33" max="33" width="6.85546875" style="301" customWidth="1"/>
    <col min="34" max="34" width="5.85546875" style="301" customWidth="1"/>
    <col min="35" max="35" width="8.85546875" style="301" customWidth="1"/>
    <col min="36" max="36" width="6.7109375" style="301" customWidth="1"/>
    <col min="37" max="37" width="8.140625" style="301" customWidth="1"/>
    <col min="38" max="38" width="7" style="301" customWidth="1"/>
    <col min="39" max="39" width="7.42578125" style="301" customWidth="1"/>
    <col min="40" max="40" width="7" style="301" customWidth="1"/>
    <col min="41" max="41" width="7.28515625" style="301" customWidth="1"/>
    <col min="42" max="42" width="7" style="301" customWidth="1"/>
    <col min="43" max="43" width="8.5703125" style="301" customWidth="1"/>
    <col min="44" max="44" width="6.5703125" style="301" customWidth="1"/>
    <col min="45" max="45" width="7" style="301" customWidth="1"/>
    <col min="46" max="46" width="6.85546875" style="301" customWidth="1"/>
    <col min="47" max="47" width="7.85546875" style="301" customWidth="1"/>
    <col min="48" max="48" width="9.140625" style="301" customWidth="1"/>
    <col min="49" max="49" width="5.42578125" style="301" customWidth="1"/>
    <col min="50" max="51" width="9.7109375" style="301" customWidth="1"/>
    <col min="52" max="52" width="8.28515625" style="301" customWidth="1"/>
    <col min="53" max="53" width="9.7109375" style="301" customWidth="1"/>
    <col min="54" max="54" width="8.28515625" style="301" customWidth="1"/>
    <col min="55" max="55" width="9.5703125" style="301" customWidth="1"/>
    <col min="56" max="56" width="6.85546875" style="301" customWidth="1"/>
    <col min="57" max="57" width="9.28515625" style="301" customWidth="1"/>
    <col min="58" max="58" width="10.28515625" style="301" customWidth="1"/>
    <col min="59" max="59" width="7.85546875" style="301" customWidth="1"/>
    <col min="60" max="60" width="8.85546875" style="301" customWidth="1"/>
    <col min="61" max="61" width="8" style="301" customWidth="1"/>
    <col min="62" max="62" width="9.140625" style="301" customWidth="1"/>
    <col min="63" max="63" width="8.85546875" style="301" customWidth="1"/>
    <col min="64" max="64" width="7" style="301" customWidth="1"/>
    <col min="65" max="65" width="8" style="301" customWidth="1"/>
    <col min="66" max="66" width="7.85546875" style="301" customWidth="1"/>
    <col min="67" max="67" width="8.5703125" style="301" customWidth="1"/>
    <col min="68" max="68" width="9" style="301" customWidth="1"/>
    <col min="69" max="69" width="8.85546875" style="301" customWidth="1"/>
    <col min="70" max="70" width="9" style="301" customWidth="1"/>
    <col min="71" max="71" width="7.28515625" style="301" customWidth="1"/>
    <col min="72" max="72" width="8.7109375" style="301" customWidth="1"/>
    <col min="73" max="74" width="7.85546875" style="301" customWidth="1"/>
    <col min="75" max="75" width="7" style="301" customWidth="1"/>
    <col min="76" max="76" width="7.28515625" style="301" customWidth="1"/>
    <col min="77" max="77" width="10.140625" style="301" customWidth="1"/>
    <col min="78" max="78" width="6.7109375" style="301" customWidth="1"/>
    <col min="79" max="79" width="7.28515625" style="301" customWidth="1"/>
    <col min="80" max="80" width="8.42578125" style="301" customWidth="1"/>
    <col min="81" max="81" width="7.140625" style="301" customWidth="1"/>
    <col min="82" max="82" width="6.85546875" style="301" customWidth="1"/>
    <col min="83" max="83" width="8" style="301" customWidth="1"/>
    <col min="84" max="84" width="6.7109375" style="301" customWidth="1"/>
    <col min="85" max="85" width="6.42578125" style="301" customWidth="1"/>
    <col min="86" max="86" width="8.7109375" style="301" customWidth="1"/>
    <col min="87" max="87" width="8.28515625" style="301" customWidth="1"/>
    <col min="88" max="88" width="9.28515625" style="301" customWidth="1"/>
    <col min="89" max="90" width="6.42578125" style="301" customWidth="1"/>
    <col min="91" max="92" width="7.85546875" style="301" customWidth="1"/>
    <col min="93" max="93" width="9.85546875" style="301" customWidth="1"/>
    <col min="94" max="94" width="7.85546875" style="301" customWidth="1"/>
    <col min="95" max="95" width="9.28515625" style="301" customWidth="1"/>
    <col min="96" max="96" width="6.85546875" style="301" customWidth="1"/>
    <col min="97" max="97" width="10.7109375" style="301" customWidth="1"/>
    <col min="98" max="98" width="9.85546875" style="301" customWidth="1"/>
    <col min="99" max="99" width="7.85546875" style="301" customWidth="1"/>
    <col min="100" max="100" width="8.85546875" style="301" customWidth="1"/>
    <col min="101" max="101" width="6.85546875" style="301" customWidth="1"/>
    <col min="102" max="102" width="10.5703125" style="301" customWidth="1"/>
    <col min="103" max="103" width="7.28515625" style="301" customWidth="1"/>
    <col min="104" max="104" width="10.42578125" style="301" customWidth="1"/>
    <col min="105" max="105" width="8.42578125" style="301" customWidth="1"/>
    <col min="106" max="106" width="6.5703125" style="301" customWidth="1"/>
    <col min="107" max="107" width="9.85546875" style="301" customWidth="1"/>
    <col min="108" max="108" width="9.140625" style="301" customWidth="1"/>
    <col min="109" max="109" width="6" style="301" customWidth="1"/>
    <col min="110" max="110" width="6.85546875" style="301" customWidth="1"/>
    <col min="111" max="111" width="7" style="301" customWidth="1"/>
    <col min="112" max="112" width="5.85546875" style="301" customWidth="1"/>
    <col min="113" max="113" width="10" style="301" customWidth="1"/>
    <col min="114" max="114" width="4.85546875" style="301" customWidth="1"/>
    <col min="115" max="115" width="8.85546875" style="301" customWidth="1"/>
    <col min="116" max="116" width="14.85546875" style="301" customWidth="1"/>
    <col min="117" max="117" width="8.28515625" style="301" customWidth="1"/>
    <col min="118" max="118" width="6.85546875" style="301" customWidth="1"/>
    <col min="119" max="120" width="10.28515625" style="301" customWidth="1"/>
    <col min="121" max="121" width="7.85546875" style="301" customWidth="1"/>
    <col min="122" max="122" width="9.42578125" style="301" customWidth="1"/>
    <col min="123" max="123" width="9" style="301" customWidth="1"/>
    <col min="124" max="124" width="7" style="301" customWidth="1"/>
    <col min="125" max="125" width="7.28515625" style="301" customWidth="1"/>
    <col min="126" max="126" width="6.42578125" style="301" customWidth="1"/>
    <col min="127" max="128" width="7" style="301" customWidth="1"/>
    <col min="129" max="129" width="8" style="301" customWidth="1"/>
    <col min="130" max="130" width="8.28515625" style="301" customWidth="1"/>
    <col min="131" max="131" width="8.42578125" style="301" customWidth="1"/>
    <col min="132" max="134" width="7" style="301" customWidth="1"/>
    <col min="135" max="135" width="10.140625" style="301" customWidth="1"/>
    <col min="136" max="136" width="8.5703125" style="301" customWidth="1"/>
    <col min="137" max="137" width="7.85546875" style="301" customWidth="1"/>
    <col min="138" max="138" width="7" style="301" customWidth="1"/>
    <col min="139" max="139" width="7.85546875" style="301" customWidth="1"/>
    <col min="140" max="140" width="8.85546875" style="301" customWidth="1"/>
    <col min="141" max="141" width="6.85546875" style="301" customWidth="1"/>
    <col min="142" max="142" width="8.85546875" style="301" customWidth="1"/>
    <col min="143" max="143" width="7.85546875" style="301" customWidth="1"/>
    <col min="144" max="144" width="9.42578125" style="301" customWidth="1"/>
    <col min="145" max="145" width="8.7109375" style="301" customWidth="1"/>
    <col min="146" max="146" width="7.85546875" style="301" customWidth="1"/>
    <col min="147" max="147" width="8.7109375" style="301" customWidth="1"/>
    <col min="148" max="148" width="5.85546875" style="301" customWidth="1"/>
    <col min="149" max="149" width="6.140625" style="301" customWidth="1"/>
    <col min="150" max="150" width="8.7109375" style="301" customWidth="1"/>
    <col min="151" max="151" width="6" style="301" customWidth="1"/>
    <col min="152" max="152" width="8.85546875" style="301" customWidth="1"/>
    <col min="153" max="153" width="7" style="301" customWidth="1"/>
    <col min="154" max="154" width="10" style="301" customWidth="1"/>
    <col min="155" max="155" width="7.28515625" style="301" customWidth="1"/>
    <col min="156" max="156" width="5.42578125" style="301" customWidth="1"/>
    <col min="157" max="157" width="5.85546875" style="301" customWidth="1"/>
    <col min="158" max="159" width="7" style="301" customWidth="1"/>
    <col min="160" max="160" width="9.85546875" style="301" customWidth="1"/>
    <col min="161" max="161" width="7" style="301" customWidth="1"/>
    <col min="162" max="164" width="7.7109375" style="301" customWidth="1"/>
    <col min="165" max="165" width="6.42578125" style="301" customWidth="1"/>
    <col min="166" max="166" width="8" style="301" customWidth="1"/>
    <col min="167" max="167" width="7.7109375" style="301" customWidth="1"/>
    <col min="168" max="168" width="4.42578125" style="301" customWidth="1"/>
    <col min="169" max="169" width="8.5703125" style="301" customWidth="1"/>
    <col min="170" max="170" width="8.28515625" style="301" customWidth="1"/>
    <col min="171" max="174" width="7" style="301" customWidth="1"/>
    <col min="175" max="175" width="7.85546875" style="301" customWidth="1"/>
    <col min="176" max="176" width="5.85546875" style="301" customWidth="1"/>
    <col min="177" max="177" width="8.140625" style="301" customWidth="1"/>
    <col min="178" max="179" width="8.5703125" style="301" customWidth="1"/>
    <col min="180" max="180" width="11.42578125" style="301" customWidth="1"/>
    <col min="181" max="181" width="8.140625" style="301" customWidth="1"/>
    <col min="182" max="182" width="5.5703125" style="301" customWidth="1"/>
    <col min="183" max="183" width="7.85546875" style="301" customWidth="1"/>
    <col min="184" max="184" width="7.5703125" style="301" customWidth="1"/>
    <col min="185" max="185" width="7.85546875" style="301" customWidth="1"/>
    <col min="186" max="186" width="7" style="301" customWidth="1"/>
    <col min="187" max="187" width="7.85546875" style="301" customWidth="1"/>
    <col min="188" max="188" width="7" style="301" customWidth="1"/>
    <col min="189" max="189" width="7.42578125" style="301" customWidth="1"/>
    <col min="190" max="190" width="7.85546875" style="301" customWidth="1"/>
    <col min="191" max="191" width="8.140625" style="301" customWidth="1"/>
    <col min="192" max="192" width="5.85546875" style="301" customWidth="1"/>
    <col min="193" max="193" width="8.5703125" style="301" customWidth="1"/>
    <col min="194" max="194" width="9.140625" style="301" customWidth="1"/>
    <col min="195" max="196" width="9.42578125" style="301" customWidth="1"/>
    <col min="197" max="197" width="12" style="301" bestFit="1" customWidth="1"/>
    <col min="198" max="198" width="7.85546875" style="301" bestFit="1" customWidth="1"/>
    <col min="199" max="16384" width="9.140625" style="301"/>
  </cols>
  <sheetData>
    <row r="1" spans="2:198" ht="30" customHeight="1" thickBot="1" x14ac:dyDescent="0.25">
      <c r="B1" s="488" t="s">
        <v>624</v>
      </c>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9" t="s">
        <v>624</v>
      </c>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t="s">
        <v>624</v>
      </c>
      <c r="BE1" s="489"/>
      <c r="BF1" s="489"/>
      <c r="BG1" s="489"/>
      <c r="BH1" s="489"/>
      <c r="BI1" s="489"/>
      <c r="BJ1" s="489"/>
      <c r="BK1" s="489"/>
      <c r="BL1" s="489"/>
      <c r="BM1" s="489"/>
      <c r="BN1" s="489"/>
      <c r="BO1" s="489"/>
      <c r="BP1" s="489"/>
      <c r="BQ1" s="489"/>
      <c r="BR1" s="489"/>
      <c r="BS1" s="489"/>
      <c r="BT1" s="489"/>
      <c r="BU1" s="489"/>
      <c r="BV1" s="489"/>
      <c r="BW1" s="489" t="s">
        <v>624</v>
      </c>
      <c r="BX1" s="489"/>
      <c r="BY1" s="489"/>
      <c r="BZ1" s="489"/>
      <c r="CA1" s="489"/>
      <c r="CB1" s="489"/>
      <c r="CC1" s="489"/>
      <c r="CD1" s="489"/>
      <c r="CE1" s="489"/>
      <c r="CF1" s="489"/>
      <c r="CG1" s="489"/>
      <c r="CH1" s="489"/>
      <c r="CI1" s="489"/>
      <c r="CJ1" s="489"/>
      <c r="CK1" s="489"/>
      <c r="CL1" s="489"/>
      <c r="CM1" s="489"/>
      <c r="CN1" s="489"/>
      <c r="CO1" s="489"/>
      <c r="CP1" s="489"/>
      <c r="CQ1" s="489"/>
      <c r="CR1" s="489" t="s">
        <v>624</v>
      </c>
      <c r="CS1" s="489"/>
      <c r="CT1" s="489"/>
      <c r="CU1" s="489"/>
      <c r="CV1" s="489"/>
      <c r="CW1" s="489"/>
      <c r="CX1" s="489"/>
      <c r="CY1" s="489"/>
      <c r="CZ1" s="489"/>
      <c r="DA1" s="489"/>
      <c r="DB1" s="489"/>
      <c r="DC1" s="489"/>
      <c r="DD1" s="489"/>
      <c r="DE1" s="489"/>
      <c r="DF1" s="489"/>
      <c r="DG1" s="489"/>
      <c r="DH1" s="489"/>
      <c r="DI1" s="489"/>
      <c r="DJ1" s="489"/>
      <c r="DK1" s="489"/>
      <c r="DL1" s="489"/>
      <c r="DM1" s="489"/>
      <c r="DN1" s="489" t="s">
        <v>624</v>
      </c>
      <c r="DO1" s="489"/>
      <c r="DP1" s="489"/>
      <c r="DQ1" s="489"/>
      <c r="DR1" s="489"/>
      <c r="DS1" s="489"/>
      <c r="DT1" s="489"/>
      <c r="DU1" s="489"/>
      <c r="DV1" s="489"/>
      <c r="DW1" s="489"/>
      <c r="DX1" s="489"/>
      <c r="DY1" s="489"/>
      <c r="DZ1" s="489"/>
      <c r="EA1" s="489"/>
      <c r="EB1" s="489"/>
      <c r="EC1" s="489"/>
      <c r="ED1" s="489"/>
      <c r="EE1" s="489"/>
      <c r="EF1" s="489"/>
      <c r="EG1" s="489"/>
      <c r="EH1" s="489"/>
      <c r="EI1" s="489" t="s">
        <v>624</v>
      </c>
      <c r="EJ1" s="489"/>
      <c r="EK1" s="489"/>
      <c r="EL1" s="489"/>
      <c r="EM1" s="489"/>
      <c r="EN1" s="489"/>
      <c r="EO1" s="489"/>
      <c r="EP1" s="489"/>
      <c r="EQ1" s="489"/>
      <c r="ER1" s="489"/>
      <c r="ES1" s="489"/>
      <c r="ET1" s="489"/>
      <c r="EU1" s="489"/>
      <c r="EV1" s="489"/>
      <c r="EW1" s="489"/>
      <c r="EX1" s="489"/>
      <c r="EY1" s="489"/>
      <c r="EZ1" s="489"/>
      <c r="FA1" s="489"/>
      <c r="FB1" s="489"/>
      <c r="FC1" s="489"/>
      <c r="FD1" s="489"/>
      <c r="FE1" s="489"/>
      <c r="FF1" s="489" t="s">
        <v>624</v>
      </c>
      <c r="FG1" s="489"/>
      <c r="FH1" s="489"/>
      <c r="FI1" s="489"/>
      <c r="FJ1" s="489"/>
      <c r="FK1" s="489"/>
      <c r="FL1" s="489"/>
      <c r="FM1" s="489"/>
      <c r="FN1" s="489"/>
      <c r="FO1" s="489"/>
      <c r="FP1" s="489"/>
      <c r="FQ1" s="489"/>
      <c r="FR1" s="489"/>
      <c r="FS1" s="489"/>
      <c r="FT1" s="489"/>
      <c r="FU1" s="489"/>
      <c r="FV1" s="489"/>
      <c r="FW1" s="489"/>
      <c r="FX1" s="489"/>
      <c r="FY1" s="489"/>
      <c r="FZ1" s="489" t="s">
        <v>624</v>
      </c>
      <c r="GA1" s="489"/>
      <c r="GB1" s="489"/>
      <c r="GC1" s="489"/>
      <c r="GD1" s="489"/>
      <c r="GE1" s="489"/>
      <c r="GF1" s="489"/>
      <c r="GG1" s="489"/>
      <c r="GH1" s="489"/>
      <c r="GI1" s="489"/>
      <c r="GJ1" s="489"/>
      <c r="GK1" s="489"/>
      <c r="GL1" s="489"/>
      <c r="GM1" s="489"/>
      <c r="GN1" s="489"/>
      <c r="GO1" s="489"/>
      <c r="GP1" s="489"/>
    </row>
    <row r="2" spans="2:198" s="339" customFormat="1" ht="12.75" customHeight="1" x14ac:dyDescent="0.2">
      <c r="B2" s="490" t="s">
        <v>268</v>
      </c>
      <c r="C2" s="486" t="s">
        <v>302</v>
      </c>
      <c r="D2" s="485"/>
      <c r="E2" s="485"/>
      <c r="F2" s="485"/>
      <c r="G2" s="487"/>
      <c r="H2" s="349" t="s">
        <v>303</v>
      </c>
      <c r="I2" s="492" t="s">
        <v>304</v>
      </c>
      <c r="J2" s="493"/>
      <c r="K2" s="494"/>
      <c r="L2" s="349" t="s">
        <v>305</v>
      </c>
      <c r="M2" s="348" t="s">
        <v>306</v>
      </c>
      <c r="N2" s="485" t="s">
        <v>307</v>
      </c>
      <c r="O2" s="485"/>
      <c r="P2" s="485"/>
      <c r="Q2" s="485"/>
      <c r="R2" s="485"/>
      <c r="S2" s="485"/>
      <c r="T2" s="485"/>
      <c r="U2" s="485"/>
      <c r="V2" s="485"/>
      <c r="W2" s="486" t="s">
        <v>308</v>
      </c>
      <c r="X2" s="485"/>
      <c r="Y2" s="487"/>
      <c r="Z2" s="485" t="s">
        <v>309</v>
      </c>
      <c r="AA2" s="485"/>
      <c r="AB2" s="485"/>
      <c r="AC2" s="485"/>
      <c r="AD2" s="486" t="s">
        <v>310</v>
      </c>
      <c r="AE2" s="485"/>
      <c r="AF2" s="487"/>
      <c r="AG2" s="485" t="s">
        <v>311</v>
      </c>
      <c r="AH2" s="485"/>
      <c r="AI2" s="485"/>
      <c r="AJ2" s="485"/>
      <c r="AK2" s="485"/>
      <c r="AL2" s="486" t="s">
        <v>312</v>
      </c>
      <c r="AM2" s="485"/>
      <c r="AN2" s="487"/>
      <c r="AO2" s="348" t="s">
        <v>313</v>
      </c>
      <c r="AP2" s="348" t="s">
        <v>601</v>
      </c>
      <c r="AQ2" s="485" t="s">
        <v>314</v>
      </c>
      <c r="AR2" s="485"/>
      <c r="AS2" s="485"/>
      <c r="AT2" s="486" t="s">
        <v>315</v>
      </c>
      <c r="AU2" s="485"/>
      <c r="AV2" s="485"/>
      <c r="AW2" s="485"/>
      <c r="AX2" s="485"/>
      <c r="AY2" s="485"/>
      <c r="AZ2" s="485"/>
      <c r="BA2" s="485"/>
      <c r="BB2" s="485"/>
      <c r="BC2" s="487"/>
      <c r="BD2" s="349" t="s">
        <v>316</v>
      </c>
      <c r="BE2" s="348" t="s">
        <v>317</v>
      </c>
      <c r="BF2" s="485" t="s">
        <v>318</v>
      </c>
      <c r="BG2" s="485"/>
      <c r="BH2" s="485"/>
      <c r="BI2" s="485"/>
      <c r="BJ2" s="485"/>
      <c r="BK2" s="485"/>
      <c r="BL2" s="348" t="s">
        <v>319</v>
      </c>
      <c r="BM2" s="348" t="s">
        <v>320</v>
      </c>
      <c r="BN2" s="348" t="s">
        <v>321</v>
      </c>
      <c r="BO2" s="348" t="s">
        <v>322</v>
      </c>
      <c r="BP2" s="485" t="s">
        <v>323</v>
      </c>
      <c r="BQ2" s="485"/>
      <c r="BR2" s="485"/>
      <c r="BS2" s="348" t="s">
        <v>324</v>
      </c>
      <c r="BT2" s="485" t="s">
        <v>325</v>
      </c>
      <c r="BU2" s="485"/>
      <c r="BV2" s="485"/>
      <c r="BW2" s="486" t="s">
        <v>326</v>
      </c>
      <c r="BX2" s="485"/>
      <c r="BY2" s="485"/>
      <c r="BZ2" s="485"/>
      <c r="CA2" s="485"/>
      <c r="CB2" s="485"/>
      <c r="CC2" s="485"/>
      <c r="CD2" s="485"/>
      <c r="CE2" s="485"/>
      <c r="CF2" s="485"/>
      <c r="CG2" s="485"/>
      <c r="CH2" s="485"/>
      <c r="CI2" s="485"/>
      <c r="CJ2" s="485"/>
      <c r="CK2" s="485"/>
      <c r="CL2" s="485"/>
      <c r="CM2" s="487"/>
      <c r="CN2" s="485" t="s">
        <v>327</v>
      </c>
      <c r="CO2" s="485"/>
      <c r="CP2" s="485"/>
      <c r="CQ2" s="348" t="s">
        <v>328</v>
      </c>
      <c r="CR2" s="485" t="s">
        <v>329</v>
      </c>
      <c r="CS2" s="485"/>
      <c r="CT2" s="485"/>
      <c r="CU2" s="485"/>
      <c r="CV2" s="485"/>
      <c r="CW2" s="485"/>
      <c r="CX2" s="485"/>
      <c r="CY2" s="485"/>
      <c r="CZ2" s="485"/>
      <c r="DA2" s="485"/>
      <c r="DB2" s="485"/>
      <c r="DC2" s="485"/>
      <c r="DD2" s="486" t="s">
        <v>330</v>
      </c>
      <c r="DE2" s="485"/>
      <c r="DF2" s="485"/>
      <c r="DG2" s="485"/>
      <c r="DH2" s="485"/>
      <c r="DI2" s="485"/>
      <c r="DJ2" s="485"/>
      <c r="DK2" s="487"/>
      <c r="DL2" s="349" t="s">
        <v>331</v>
      </c>
      <c r="DM2" s="348" t="s">
        <v>332</v>
      </c>
      <c r="DN2" s="485" t="s">
        <v>333</v>
      </c>
      <c r="DO2" s="485"/>
      <c r="DP2" s="485"/>
      <c r="DQ2" s="348" t="s">
        <v>334</v>
      </c>
      <c r="DR2" s="485" t="s">
        <v>336</v>
      </c>
      <c r="DS2" s="485"/>
      <c r="DT2" s="485"/>
      <c r="DU2" s="486" t="s">
        <v>337</v>
      </c>
      <c r="DV2" s="485"/>
      <c r="DW2" s="487"/>
      <c r="DX2" s="349" t="s">
        <v>338</v>
      </c>
      <c r="DY2" s="348" t="s">
        <v>339</v>
      </c>
      <c r="DZ2" s="348" t="s">
        <v>335</v>
      </c>
      <c r="EA2" s="348" t="s">
        <v>340</v>
      </c>
      <c r="EB2" s="348" t="s">
        <v>341</v>
      </c>
      <c r="EC2" s="485" t="s">
        <v>342</v>
      </c>
      <c r="ED2" s="485"/>
      <c r="EE2" s="485"/>
      <c r="EF2" s="485"/>
      <c r="EG2" s="485"/>
      <c r="EH2" s="485"/>
      <c r="EI2" s="486" t="s">
        <v>343</v>
      </c>
      <c r="EJ2" s="485"/>
      <c r="EK2" s="485"/>
      <c r="EL2" s="485"/>
      <c r="EM2" s="485"/>
      <c r="EN2" s="485"/>
      <c r="EO2" s="485"/>
      <c r="EP2" s="485"/>
      <c r="EQ2" s="485"/>
      <c r="ER2" s="485"/>
      <c r="ES2" s="485"/>
      <c r="ET2" s="485"/>
      <c r="EU2" s="485"/>
      <c r="EV2" s="487"/>
      <c r="EW2" s="349" t="s">
        <v>602</v>
      </c>
      <c r="EX2" s="348" t="s">
        <v>344</v>
      </c>
      <c r="EY2" s="485" t="s">
        <v>345</v>
      </c>
      <c r="EZ2" s="485"/>
      <c r="FA2" s="485"/>
      <c r="FB2" s="485"/>
      <c r="FC2" s="486" t="s">
        <v>346</v>
      </c>
      <c r="FD2" s="485"/>
      <c r="FE2" s="487"/>
      <c r="FF2" s="349" t="s">
        <v>347</v>
      </c>
      <c r="FG2" s="486" t="s">
        <v>348</v>
      </c>
      <c r="FH2" s="485"/>
      <c r="FI2" s="485"/>
      <c r="FJ2" s="485"/>
      <c r="FK2" s="487"/>
      <c r="FL2" s="485" t="s">
        <v>351</v>
      </c>
      <c r="FM2" s="485"/>
      <c r="FN2" s="485"/>
      <c r="FO2" s="486" t="s">
        <v>349</v>
      </c>
      <c r="FP2" s="485"/>
      <c r="FQ2" s="487"/>
      <c r="FR2" s="349" t="s">
        <v>350</v>
      </c>
      <c r="FS2" s="348" t="s">
        <v>352</v>
      </c>
      <c r="FT2" s="485" t="s">
        <v>353</v>
      </c>
      <c r="FU2" s="485"/>
      <c r="FV2" s="485"/>
      <c r="FW2" s="485"/>
      <c r="FX2" s="485"/>
      <c r="FY2" s="485"/>
      <c r="FZ2" s="348" t="s">
        <v>603</v>
      </c>
      <c r="GA2" s="485" t="s">
        <v>354</v>
      </c>
      <c r="GB2" s="485"/>
      <c r="GC2" s="485"/>
      <c r="GD2" s="348" t="s">
        <v>355</v>
      </c>
      <c r="GE2" s="485" t="s">
        <v>356</v>
      </c>
      <c r="GF2" s="485"/>
      <c r="GG2" s="485"/>
      <c r="GH2" s="485"/>
      <c r="GI2" s="348" t="s">
        <v>357</v>
      </c>
      <c r="GJ2" s="485" t="s">
        <v>358</v>
      </c>
      <c r="GK2" s="485"/>
      <c r="GL2" s="485"/>
      <c r="GM2" s="485"/>
      <c r="GN2" s="485"/>
      <c r="GO2" s="495" t="s">
        <v>539</v>
      </c>
      <c r="GP2" s="497" t="s">
        <v>540</v>
      </c>
    </row>
    <row r="3" spans="2:198" s="339" customFormat="1" ht="60.75" customHeight="1" thickBot="1" x14ac:dyDescent="0.25">
      <c r="B3" s="491"/>
      <c r="C3" s="346" t="s">
        <v>360</v>
      </c>
      <c r="D3" s="341" t="s">
        <v>359</v>
      </c>
      <c r="E3" s="341" t="s">
        <v>361</v>
      </c>
      <c r="F3" s="341" t="s">
        <v>362</v>
      </c>
      <c r="G3" s="340" t="s">
        <v>511</v>
      </c>
      <c r="H3" s="343" t="s">
        <v>363</v>
      </c>
      <c r="I3" s="346" t="s">
        <v>364</v>
      </c>
      <c r="J3" s="341" t="s">
        <v>605</v>
      </c>
      <c r="K3" s="345" t="s">
        <v>623</v>
      </c>
      <c r="L3" s="344" t="s">
        <v>365</v>
      </c>
      <c r="M3" s="343" t="s">
        <v>366</v>
      </c>
      <c r="N3" s="344" t="s">
        <v>372</v>
      </c>
      <c r="O3" s="341" t="s">
        <v>371</v>
      </c>
      <c r="P3" s="341" t="s">
        <v>606</v>
      </c>
      <c r="Q3" s="341" t="s">
        <v>370</v>
      </c>
      <c r="R3" s="341" t="s">
        <v>368</v>
      </c>
      <c r="S3" s="341" t="s">
        <v>369</v>
      </c>
      <c r="T3" s="341" t="s">
        <v>373</v>
      </c>
      <c r="U3" s="341" t="s">
        <v>367</v>
      </c>
      <c r="V3" s="340" t="s">
        <v>512</v>
      </c>
      <c r="W3" s="346" t="s">
        <v>503</v>
      </c>
      <c r="X3" s="341" t="s">
        <v>502</v>
      </c>
      <c r="Y3" s="345" t="s">
        <v>513</v>
      </c>
      <c r="Z3" s="342" t="s">
        <v>375</v>
      </c>
      <c r="AA3" s="341" t="s">
        <v>374</v>
      </c>
      <c r="AB3" s="341" t="s">
        <v>376</v>
      </c>
      <c r="AC3" s="340" t="s">
        <v>514</v>
      </c>
      <c r="AD3" s="346" t="s">
        <v>378</v>
      </c>
      <c r="AE3" s="341" t="s">
        <v>377</v>
      </c>
      <c r="AF3" s="345" t="s">
        <v>515</v>
      </c>
      <c r="AG3" s="342" t="s">
        <v>381</v>
      </c>
      <c r="AH3" s="341" t="s">
        <v>382</v>
      </c>
      <c r="AI3" s="341" t="s">
        <v>380</v>
      </c>
      <c r="AJ3" s="341" t="s">
        <v>379</v>
      </c>
      <c r="AK3" s="340" t="s">
        <v>516</v>
      </c>
      <c r="AL3" s="346" t="s">
        <v>501</v>
      </c>
      <c r="AM3" s="341" t="s">
        <v>622</v>
      </c>
      <c r="AN3" s="345" t="s">
        <v>621</v>
      </c>
      <c r="AO3" s="343" t="s">
        <v>509</v>
      </c>
      <c r="AP3" s="343" t="s">
        <v>607</v>
      </c>
      <c r="AQ3" s="342" t="s">
        <v>383</v>
      </c>
      <c r="AR3" s="341" t="s">
        <v>384</v>
      </c>
      <c r="AS3" s="340" t="s">
        <v>517</v>
      </c>
      <c r="AT3" s="346" t="s">
        <v>387</v>
      </c>
      <c r="AU3" s="341" t="s">
        <v>388</v>
      </c>
      <c r="AV3" s="341" t="s">
        <v>391</v>
      </c>
      <c r="AW3" s="341" t="s">
        <v>390</v>
      </c>
      <c r="AX3" s="341" t="s">
        <v>608</v>
      </c>
      <c r="AY3" s="341" t="s">
        <v>392</v>
      </c>
      <c r="AZ3" s="341" t="s">
        <v>386</v>
      </c>
      <c r="BA3" s="341" t="s">
        <v>385</v>
      </c>
      <c r="BB3" s="341" t="s">
        <v>389</v>
      </c>
      <c r="BC3" s="345" t="s">
        <v>518</v>
      </c>
      <c r="BD3" s="344" t="s">
        <v>393</v>
      </c>
      <c r="BE3" s="343" t="s">
        <v>394</v>
      </c>
      <c r="BF3" s="342" t="s">
        <v>395</v>
      </c>
      <c r="BG3" s="341" t="s">
        <v>396</v>
      </c>
      <c r="BH3" s="341" t="s">
        <v>397</v>
      </c>
      <c r="BI3" s="341" t="s">
        <v>398</v>
      </c>
      <c r="BJ3" s="341" t="s">
        <v>399</v>
      </c>
      <c r="BK3" s="340" t="s">
        <v>519</v>
      </c>
      <c r="BL3" s="343" t="s">
        <v>400</v>
      </c>
      <c r="BM3" s="343" t="s">
        <v>401</v>
      </c>
      <c r="BN3" s="343" t="s">
        <v>402</v>
      </c>
      <c r="BO3" s="343" t="s">
        <v>403</v>
      </c>
      <c r="BP3" s="342" t="s">
        <v>405</v>
      </c>
      <c r="BQ3" s="341" t="s">
        <v>404</v>
      </c>
      <c r="BR3" s="340" t="s">
        <v>520</v>
      </c>
      <c r="BS3" s="343" t="s">
        <v>406</v>
      </c>
      <c r="BT3" s="342" t="s">
        <v>407</v>
      </c>
      <c r="BU3" s="341" t="s">
        <v>408</v>
      </c>
      <c r="BV3" s="340" t="s">
        <v>521</v>
      </c>
      <c r="BW3" s="346" t="s">
        <v>419</v>
      </c>
      <c r="BX3" s="341" t="s">
        <v>609</v>
      </c>
      <c r="BY3" s="341" t="s">
        <v>423</v>
      </c>
      <c r="BZ3" s="341" t="s">
        <v>418</v>
      </c>
      <c r="CA3" s="341" t="s">
        <v>414</v>
      </c>
      <c r="CB3" s="341" t="s">
        <v>420</v>
      </c>
      <c r="CC3" s="341" t="s">
        <v>415</v>
      </c>
      <c r="CD3" s="341" t="s">
        <v>409</v>
      </c>
      <c r="CE3" s="341" t="s">
        <v>421</v>
      </c>
      <c r="CF3" s="341" t="s">
        <v>416</v>
      </c>
      <c r="CG3" s="341" t="s">
        <v>422</v>
      </c>
      <c r="CH3" s="341" t="s">
        <v>413</v>
      </c>
      <c r="CI3" s="341" t="s">
        <v>417</v>
      </c>
      <c r="CJ3" s="341" t="s">
        <v>410</v>
      </c>
      <c r="CK3" s="341" t="s">
        <v>412</v>
      </c>
      <c r="CL3" s="341" t="s">
        <v>411</v>
      </c>
      <c r="CM3" s="345" t="s">
        <v>522</v>
      </c>
      <c r="CN3" s="342" t="s">
        <v>504</v>
      </c>
      <c r="CO3" s="341" t="s">
        <v>510</v>
      </c>
      <c r="CP3" s="340" t="s">
        <v>523</v>
      </c>
      <c r="CQ3" s="343" t="s">
        <v>424</v>
      </c>
      <c r="CR3" s="342" t="s">
        <v>431</v>
      </c>
      <c r="CS3" s="341" t="s">
        <v>437</v>
      </c>
      <c r="CT3" s="341" t="s">
        <v>434</v>
      </c>
      <c r="CU3" s="341" t="s">
        <v>440</v>
      </c>
      <c r="CV3" s="341" t="s">
        <v>433</v>
      </c>
      <c r="CW3" s="341" t="s">
        <v>436</v>
      </c>
      <c r="CX3" s="341" t="s">
        <v>430</v>
      </c>
      <c r="CY3" s="341" t="s">
        <v>435</v>
      </c>
      <c r="CZ3" s="341" t="s">
        <v>439</v>
      </c>
      <c r="DA3" s="341" t="s">
        <v>438</v>
      </c>
      <c r="DB3" s="341" t="s">
        <v>432</v>
      </c>
      <c r="DC3" s="340" t="s">
        <v>524</v>
      </c>
      <c r="DD3" s="346" t="s">
        <v>444</v>
      </c>
      <c r="DE3" s="341" t="s">
        <v>443</v>
      </c>
      <c r="DF3" s="341" t="s">
        <v>441</v>
      </c>
      <c r="DG3" s="341" t="s">
        <v>442</v>
      </c>
      <c r="DH3" s="341" t="s">
        <v>445</v>
      </c>
      <c r="DI3" s="341" t="s">
        <v>447</v>
      </c>
      <c r="DJ3" s="341" t="s">
        <v>446</v>
      </c>
      <c r="DK3" s="345" t="s">
        <v>525</v>
      </c>
      <c r="DL3" s="344" t="s">
        <v>458</v>
      </c>
      <c r="DM3" s="343" t="s">
        <v>448</v>
      </c>
      <c r="DN3" s="342" t="s">
        <v>449</v>
      </c>
      <c r="DO3" s="341" t="s">
        <v>450</v>
      </c>
      <c r="DP3" s="340" t="s">
        <v>526</v>
      </c>
      <c r="DQ3" s="343" t="s">
        <v>451</v>
      </c>
      <c r="DR3" s="342" t="s">
        <v>506</v>
      </c>
      <c r="DS3" s="341" t="s">
        <v>507</v>
      </c>
      <c r="DT3" s="340" t="s">
        <v>527</v>
      </c>
      <c r="DU3" s="346" t="s">
        <v>453</v>
      </c>
      <c r="DV3" s="341" t="s">
        <v>454</v>
      </c>
      <c r="DW3" s="345" t="s">
        <v>528</v>
      </c>
      <c r="DX3" s="344" t="s">
        <v>455</v>
      </c>
      <c r="DY3" s="343" t="s">
        <v>456</v>
      </c>
      <c r="DZ3" s="343" t="s">
        <v>452</v>
      </c>
      <c r="EA3" s="343" t="s">
        <v>457</v>
      </c>
      <c r="EB3" s="343" t="s">
        <v>459</v>
      </c>
      <c r="EC3" s="342" t="s">
        <v>425</v>
      </c>
      <c r="ED3" s="341" t="s">
        <v>426</v>
      </c>
      <c r="EE3" s="341" t="s">
        <v>427</v>
      </c>
      <c r="EF3" s="341" t="s">
        <v>428</v>
      </c>
      <c r="EG3" s="341" t="s">
        <v>610</v>
      </c>
      <c r="EH3" s="340" t="s">
        <v>529</v>
      </c>
      <c r="EI3" s="346" t="s">
        <v>460</v>
      </c>
      <c r="EJ3" s="341" t="s">
        <v>463</v>
      </c>
      <c r="EK3" s="341" t="s">
        <v>467</v>
      </c>
      <c r="EL3" s="341" t="s">
        <v>466</v>
      </c>
      <c r="EM3" s="341" t="s">
        <v>465</v>
      </c>
      <c r="EN3" s="341" t="s">
        <v>461</v>
      </c>
      <c r="EO3" s="341" t="s">
        <v>471</v>
      </c>
      <c r="EP3" s="341" t="s">
        <v>462</v>
      </c>
      <c r="EQ3" s="341" t="s">
        <v>611</v>
      </c>
      <c r="ER3" s="341" t="s">
        <v>469</v>
      </c>
      <c r="ES3" s="341" t="s">
        <v>464</v>
      </c>
      <c r="ET3" s="341" t="s">
        <v>468</v>
      </c>
      <c r="EU3" s="341" t="s">
        <v>470</v>
      </c>
      <c r="EV3" s="345" t="s">
        <v>530</v>
      </c>
      <c r="EW3" s="344" t="s">
        <v>612</v>
      </c>
      <c r="EX3" s="343" t="s">
        <v>472</v>
      </c>
      <c r="EY3" s="342" t="s">
        <v>475</v>
      </c>
      <c r="EZ3" s="341" t="s">
        <v>473</v>
      </c>
      <c r="FA3" s="341" t="s">
        <v>474</v>
      </c>
      <c r="FB3" s="340" t="s">
        <v>531</v>
      </c>
      <c r="FC3" s="346" t="s">
        <v>476</v>
      </c>
      <c r="FD3" s="341" t="s">
        <v>613</v>
      </c>
      <c r="FE3" s="345" t="s">
        <v>620</v>
      </c>
      <c r="FF3" s="344" t="s">
        <v>619</v>
      </c>
      <c r="FG3" s="346" t="s">
        <v>479</v>
      </c>
      <c r="FH3" s="341" t="s">
        <v>480</v>
      </c>
      <c r="FI3" s="341" t="s">
        <v>359</v>
      </c>
      <c r="FJ3" s="341" t="s">
        <v>478</v>
      </c>
      <c r="FK3" s="345" t="s">
        <v>532</v>
      </c>
      <c r="FL3" s="342" t="s">
        <v>491</v>
      </c>
      <c r="FM3" s="341" t="s">
        <v>490</v>
      </c>
      <c r="FN3" s="340" t="s">
        <v>533</v>
      </c>
      <c r="FO3" s="346" t="s">
        <v>481</v>
      </c>
      <c r="FP3" s="341" t="s">
        <v>482</v>
      </c>
      <c r="FQ3" s="345" t="s">
        <v>534</v>
      </c>
      <c r="FR3" s="344" t="s">
        <v>483</v>
      </c>
      <c r="FS3" s="343" t="s">
        <v>500</v>
      </c>
      <c r="FT3" s="342" t="s">
        <v>484</v>
      </c>
      <c r="FU3" s="341" t="s">
        <v>487</v>
      </c>
      <c r="FV3" s="341" t="s">
        <v>485</v>
      </c>
      <c r="FW3" s="341" t="s">
        <v>486</v>
      </c>
      <c r="FX3" s="341" t="s">
        <v>618</v>
      </c>
      <c r="FY3" s="340" t="s">
        <v>535</v>
      </c>
      <c r="FZ3" s="343" t="s">
        <v>617</v>
      </c>
      <c r="GA3" s="342" t="s">
        <v>489</v>
      </c>
      <c r="GB3" s="341" t="s">
        <v>488</v>
      </c>
      <c r="GC3" s="340" t="s">
        <v>536</v>
      </c>
      <c r="GD3" s="343" t="s">
        <v>492</v>
      </c>
      <c r="GE3" s="342" t="s">
        <v>494</v>
      </c>
      <c r="GF3" s="341" t="s">
        <v>495</v>
      </c>
      <c r="GG3" s="341" t="s">
        <v>493</v>
      </c>
      <c r="GH3" s="340" t="s">
        <v>537</v>
      </c>
      <c r="GI3" s="343" t="s">
        <v>505</v>
      </c>
      <c r="GJ3" s="342" t="s">
        <v>497</v>
      </c>
      <c r="GK3" s="341" t="s">
        <v>499</v>
      </c>
      <c r="GL3" s="341" t="s">
        <v>498</v>
      </c>
      <c r="GM3" s="341" t="s">
        <v>496</v>
      </c>
      <c r="GN3" s="340" t="s">
        <v>538</v>
      </c>
      <c r="GO3" s="496"/>
      <c r="GP3" s="498"/>
    </row>
    <row r="4" spans="2:198" x14ac:dyDescent="0.2">
      <c r="B4" s="322" t="s">
        <v>63</v>
      </c>
      <c r="C4" s="321">
        <v>10</v>
      </c>
      <c r="D4" s="338"/>
      <c r="E4" s="338"/>
      <c r="F4" s="338"/>
      <c r="G4" s="320">
        <v>10</v>
      </c>
      <c r="H4" s="317"/>
      <c r="I4" s="319">
        <v>1</v>
      </c>
      <c r="J4" s="315"/>
      <c r="K4" s="318">
        <v>1</v>
      </c>
      <c r="L4" s="317"/>
      <c r="M4" s="313">
        <v>499</v>
      </c>
      <c r="N4" s="317">
        <v>14719</v>
      </c>
      <c r="O4" s="315">
        <v>6</v>
      </c>
      <c r="P4" s="315">
        <v>1</v>
      </c>
      <c r="Q4" s="315"/>
      <c r="R4" s="315"/>
      <c r="S4" s="315"/>
      <c r="T4" s="315"/>
      <c r="U4" s="315"/>
      <c r="V4" s="314">
        <v>14726</v>
      </c>
      <c r="W4" s="319"/>
      <c r="X4" s="315"/>
      <c r="Y4" s="318"/>
      <c r="Z4" s="316">
        <v>12</v>
      </c>
      <c r="AA4" s="315"/>
      <c r="AB4" s="315"/>
      <c r="AC4" s="314">
        <v>12</v>
      </c>
      <c r="AD4" s="319">
        <v>7</v>
      </c>
      <c r="AE4" s="315"/>
      <c r="AF4" s="318">
        <v>7</v>
      </c>
      <c r="AG4" s="316">
        <v>1</v>
      </c>
      <c r="AH4" s="315"/>
      <c r="AI4" s="315"/>
      <c r="AJ4" s="315"/>
      <c r="AK4" s="314">
        <v>1</v>
      </c>
      <c r="AL4" s="319"/>
      <c r="AM4" s="315"/>
      <c r="AN4" s="318"/>
      <c r="AO4" s="313"/>
      <c r="AP4" s="313"/>
      <c r="AQ4" s="316">
        <v>15</v>
      </c>
      <c r="AR4" s="315"/>
      <c r="AS4" s="314">
        <v>15</v>
      </c>
      <c r="AT4" s="319"/>
      <c r="AU4" s="315"/>
      <c r="AV4" s="315"/>
      <c r="AW4" s="315"/>
      <c r="AX4" s="315"/>
      <c r="AY4" s="315"/>
      <c r="AZ4" s="315"/>
      <c r="BA4" s="315"/>
      <c r="BB4" s="315"/>
      <c r="BC4" s="318"/>
      <c r="BD4" s="317"/>
      <c r="BE4" s="313">
        <v>1</v>
      </c>
      <c r="BF4" s="316">
        <v>9</v>
      </c>
      <c r="BG4" s="315">
        <v>51</v>
      </c>
      <c r="BH4" s="315">
        <v>180</v>
      </c>
      <c r="BI4" s="315">
        <v>1</v>
      </c>
      <c r="BJ4" s="315">
        <v>3</v>
      </c>
      <c r="BK4" s="314">
        <v>244</v>
      </c>
      <c r="BL4" s="313"/>
      <c r="BM4" s="313"/>
      <c r="BN4" s="313"/>
      <c r="BO4" s="313">
        <v>5</v>
      </c>
      <c r="BP4" s="316">
        <v>3</v>
      </c>
      <c r="BQ4" s="315"/>
      <c r="BR4" s="314">
        <v>3</v>
      </c>
      <c r="BS4" s="313"/>
      <c r="BT4" s="316">
        <v>1</v>
      </c>
      <c r="BU4" s="315"/>
      <c r="BV4" s="314">
        <v>1</v>
      </c>
      <c r="BW4" s="319">
        <v>1</v>
      </c>
      <c r="BX4" s="315"/>
      <c r="BY4" s="315"/>
      <c r="BZ4" s="315"/>
      <c r="CA4" s="315"/>
      <c r="CB4" s="315"/>
      <c r="CC4" s="315"/>
      <c r="CD4" s="315"/>
      <c r="CE4" s="315"/>
      <c r="CF4" s="315"/>
      <c r="CG4" s="315"/>
      <c r="CH4" s="315"/>
      <c r="CI4" s="315"/>
      <c r="CJ4" s="315"/>
      <c r="CK4" s="315"/>
      <c r="CL4" s="315"/>
      <c r="CM4" s="318">
        <v>1</v>
      </c>
      <c r="CN4" s="316">
        <v>1</v>
      </c>
      <c r="CO4" s="315"/>
      <c r="CP4" s="314">
        <v>1</v>
      </c>
      <c r="CQ4" s="313"/>
      <c r="CR4" s="316">
        <v>46</v>
      </c>
      <c r="CS4" s="315">
        <v>9</v>
      </c>
      <c r="CT4" s="315">
        <v>185261</v>
      </c>
      <c r="CU4" s="315">
        <v>15</v>
      </c>
      <c r="CV4" s="315">
        <v>8447</v>
      </c>
      <c r="CW4" s="315">
        <v>97</v>
      </c>
      <c r="CX4" s="315">
        <v>1</v>
      </c>
      <c r="CY4" s="315"/>
      <c r="CZ4" s="315"/>
      <c r="DA4" s="315"/>
      <c r="DB4" s="315"/>
      <c r="DC4" s="314">
        <v>193876</v>
      </c>
      <c r="DD4" s="319">
        <v>411</v>
      </c>
      <c r="DE4" s="315">
        <v>10</v>
      </c>
      <c r="DF4" s="315">
        <v>10</v>
      </c>
      <c r="DG4" s="315">
        <v>4</v>
      </c>
      <c r="DH4" s="315"/>
      <c r="DI4" s="315"/>
      <c r="DJ4" s="315"/>
      <c r="DK4" s="318">
        <v>435</v>
      </c>
      <c r="DL4" s="317"/>
      <c r="DM4" s="313"/>
      <c r="DN4" s="316"/>
      <c r="DO4" s="315"/>
      <c r="DP4" s="314"/>
      <c r="DQ4" s="313">
        <v>8</v>
      </c>
      <c r="DR4" s="316"/>
      <c r="DS4" s="315"/>
      <c r="DT4" s="314"/>
      <c r="DU4" s="319"/>
      <c r="DV4" s="315"/>
      <c r="DW4" s="318"/>
      <c r="DX4" s="317">
        <v>12</v>
      </c>
      <c r="DY4" s="313"/>
      <c r="DZ4" s="313">
        <v>2</v>
      </c>
      <c r="EA4" s="313"/>
      <c r="EB4" s="313"/>
      <c r="EC4" s="316">
        <v>4</v>
      </c>
      <c r="ED4" s="315"/>
      <c r="EE4" s="315"/>
      <c r="EF4" s="315"/>
      <c r="EG4" s="315"/>
      <c r="EH4" s="314">
        <v>4</v>
      </c>
      <c r="EI4" s="319">
        <v>35</v>
      </c>
      <c r="EJ4" s="315">
        <v>104</v>
      </c>
      <c r="EK4" s="315">
        <v>16</v>
      </c>
      <c r="EL4" s="315">
        <v>22</v>
      </c>
      <c r="EM4" s="315">
        <v>249</v>
      </c>
      <c r="EN4" s="315">
        <v>5</v>
      </c>
      <c r="EO4" s="315">
        <v>1</v>
      </c>
      <c r="EP4" s="315">
        <v>24</v>
      </c>
      <c r="EQ4" s="315"/>
      <c r="ER4" s="315"/>
      <c r="ES4" s="315"/>
      <c r="ET4" s="315"/>
      <c r="EU4" s="315"/>
      <c r="EV4" s="318">
        <v>456</v>
      </c>
      <c r="EW4" s="317"/>
      <c r="EX4" s="313"/>
      <c r="EY4" s="316"/>
      <c r="EZ4" s="315"/>
      <c r="FA4" s="315"/>
      <c r="FB4" s="314"/>
      <c r="FC4" s="319"/>
      <c r="FD4" s="315"/>
      <c r="FE4" s="318"/>
      <c r="FF4" s="317"/>
      <c r="FG4" s="319">
        <v>2</v>
      </c>
      <c r="FH4" s="315">
        <v>2</v>
      </c>
      <c r="FI4" s="315"/>
      <c r="FJ4" s="315"/>
      <c r="FK4" s="318">
        <v>4</v>
      </c>
      <c r="FL4" s="316"/>
      <c r="FM4" s="315"/>
      <c r="FN4" s="314"/>
      <c r="FO4" s="319"/>
      <c r="FP4" s="315"/>
      <c r="FQ4" s="318"/>
      <c r="FR4" s="317"/>
      <c r="FS4" s="313">
        <v>5</v>
      </c>
      <c r="FT4" s="316">
        <v>6</v>
      </c>
      <c r="FU4" s="315">
        <v>86</v>
      </c>
      <c r="FV4" s="315"/>
      <c r="FW4" s="315"/>
      <c r="FX4" s="315"/>
      <c r="FY4" s="314">
        <v>92</v>
      </c>
      <c r="FZ4" s="313"/>
      <c r="GA4" s="316">
        <v>54</v>
      </c>
      <c r="GB4" s="315"/>
      <c r="GC4" s="314">
        <v>54</v>
      </c>
      <c r="GD4" s="313"/>
      <c r="GE4" s="316">
        <v>1</v>
      </c>
      <c r="GF4" s="315"/>
      <c r="GG4" s="315"/>
      <c r="GH4" s="314">
        <v>1</v>
      </c>
      <c r="GI4" s="313">
        <v>1</v>
      </c>
      <c r="GJ4" s="316">
        <v>1</v>
      </c>
      <c r="GK4" s="315"/>
      <c r="GL4" s="315"/>
      <c r="GM4" s="315"/>
      <c r="GN4" s="314">
        <v>1</v>
      </c>
      <c r="GO4" s="313">
        <v>210478</v>
      </c>
      <c r="GP4" s="312">
        <f>210478/44564395</f>
        <v>4.723008132389097E-3</v>
      </c>
    </row>
    <row r="5" spans="2:198" x14ac:dyDescent="0.2">
      <c r="B5" s="326" t="s">
        <v>85</v>
      </c>
      <c r="C5" s="325">
        <v>85</v>
      </c>
      <c r="D5" s="128"/>
      <c r="E5" s="128"/>
      <c r="F5" s="128"/>
      <c r="G5" s="324">
        <v>85</v>
      </c>
      <c r="H5" s="140"/>
      <c r="I5" s="136">
        <v>3</v>
      </c>
      <c r="J5" s="128"/>
      <c r="K5" s="137">
        <v>3</v>
      </c>
      <c r="L5" s="140"/>
      <c r="M5" s="134">
        <v>532</v>
      </c>
      <c r="N5" s="140">
        <v>10861</v>
      </c>
      <c r="O5" s="128">
        <v>23</v>
      </c>
      <c r="P5" s="128">
        <v>3</v>
      </c>
      <c r="Q5" s="128">
        <v>21</v>
      </c>
      <c r="R5" s="128">
        <v>1</v>
      </c>
      <c r="S5" s="128"/>
      <c r="T5" s="128"/>
      <c r="U5" s="128"/>
      <c r="V5" s="132">
        <v>10909</v>
      </c>
      <c r="W5" s="136">
        <v>0</v>
      </c>
      <c r="X5" s="128">
        <v>2</v>
      </c>
      <c r="Y5" s="137">
        <v>2</v>
      </c>
      <c r="Z5" s="130">
        <v>108</v>
      </c>
      <c r="AA5" s="128"/>
      <c r="AB5" s="128"/>
      <c r="AC5" s="132">
        <v>108</v>
      </c>
      <c r="AD5" s="136">
        <v>299</v>
      </c>
      <c r="AE5" s="128"/>
      <c r="AF5" s="137">
        <v>299</v>
      </c>
      <c r="AG5" s="130">
        <v>5</v>
      </c>
      <c r="AH5" s="128">
        <v>1</v>
      </c>
      <c r="AI5" s="128"/>
      <c r="AJ5" s="128"/>
      <c r="AK5" s="132">
        <v>6</v>
      </c>
      <c r="AL5" s="136"/>
      <c r="AM5" s="128"/>
      <c r="AN5" s="137"/>
      <c r="AO5" s="134"/>
      <c r="AP5" s="134"/>
      <c r="AQ5" s="130">
        <v>4</v>
      </c>
      <c r="AR5" s="128"/>
      <c r="AS5" s="132">
        <v>4</v>
      </c>
      <c r="AT5" s="136">
        <v>4</v>
      </c>
      <c r="AU5" s="128"/>
      <c r="AV5" s="128"/>
      <c r="AW5" s="128"/>
      <c r="AX5" s="128"/>
      <c r="AY5" s="128"/>
      <c r="AZ5" s="128"/>
      <c r="BA5" s="128"/>
      <c r="BB5" s="128"/>
      <c r="BC5" s="137">
        <v>4</v>
      </c>
      <c r="BD5" s="140"/>
      <c r="BE5" s="134">
        <v>3</v>
      </c>
      <c r="BF5" s="130">
        <v>64</v>
      </c>
      <c r="BG5" s="128">
        <v>136</v>
      </c>
      <c r="BH5" s="128">
        <v>607</v>
      </c>
      <c r="BI5" s="128">
        <v>17</v>
      </c>
      <c r="BJ5" s="128">
        <v>11</v>
      </c>
      <c r="BK5" s="132">
        <v>835</v>
      </c>
      <c r="BL5" s="134">
        <v>1</v>
      </c>
      <c r="BM5" s="134"/>
      <c r="BN5" s="134"/>
      <c r="BO5" s="134">
        <v>53</v>
      </c>
      <c r="BP5" s="130">
        <v>11</v>
      </c>
      <c r="BQ5" s="128">
        <v>3</v>
      </c>
      <c r="BR5" s="132">
        <v>14</v>
      </c>
      <c r="BS5" s="134"/>
      <c r="BT5" s="130"/>
      <c r="BU5" s="128"/>
      <c r="BV5" s="132"/>
      <c r="BW5" s="136">
        <v>24</v>
      </c>
      <c r="BX5" s="128">
        <v>0</v>
      </c>
      <c r="BY5" s="128"/>
      <c r="BZ5" s="128"/>
      <c r="CA5" s="128"/>
      <c r="CB5" s="128"/>
      <c r="CC5" s="128"/>
      <c r="CD5" s="128"/>
      <c r="CE5" s="128"/>
      <c r="CF5" s="128"/>
      <c r="CG5" s="128"/>
      <c r="CH5" s="128"/>
      <c r="CI5" s="128"/>
      <c r="CJ5" s="128"/>
      <c r="CK5" s="128"/>
      <c r="CL5" s="128"/>
      <c r="CM5" s="137">
        <v>24</v>
      </c>
      <c r="CN5" s="130">
        <v>2</v>
      </c>
      <c r="CO5" s="128"/>
      <c r="CP5" s="132">
        <v>2</v>
      </c>
      <c r="CQ5" s="134"/>
      <c r="CR5" s="130">
        <v>45</v>
      </c>
      <c r="CS5" s="128">
        <v>8</v>
      </c>
      <c r="CT5" s="128">
        <v>138126</v>
      </c>
      <c r="CU5" s="128">
        <v>154</v>
      </c>
      <c r="CV5" s="128">
        <v>95207</v>
      </c>
      <c r="CW5" s="128">
        <v>4</v>
      </c>
      <c r="CX5" s="128">
        <v>1</v>
      </c>
      <c r="CY5" s="128">
        <v>2</v>
      </c>
      <c r="CZ5" s="128">
        <v>2</v>
      </c>
      <c r="DA5" s="128"/>
      <c r="DB5" s="128"/>
      <c r="DC5" s="132">
        <v>233549</v>
      </c>
      <c r="DD5" s="136">
        <v>1002</v>
      </c>
      <c r="DE5" s="128">
        <v>1</v>
      </c>
      <c r="DF5" s="128">
        <v>73</v>
      </c>
      <c r="DG5" s="128">
        <v>69</v>
      </c>
      <c r="DH5" s="128"/>
      <c r="DI5" s="128"/>
      <c r="DJ5" s="128"/>
      <c r="DK5" s="137">
        <v>1145</v>
      </c>
      <c r="DL5" s="140">
        <v>1</v>
      </c>
      <c r="DM5" s="134"/>
      <c r="DN5" s="130"/>
      <c r="DO5" s="128"/>
      <c r="DP5" s="132"/>
      <c r="DQ5" s="134">
        <v>87</v>
      </c>
      <c r="DR5" s="130"/>
      <c r="DS5" s="128"/>
      <c r="DT5" s="132"/>
      <c r="DU5" s="136">
        <v>1</v>
      </c>
      <c r="DV5" s="128"/>
      <c r="DW5" s="137">
        <v>1</v>
      </c>
      <c r="DX5" s="140">
        <v>17</v>
      </c>
      <c r="DY5" s="134">
        <v>1</v>
      </c>
      <c r="DZ5" s="134">
        <v>60</v>
      </c>
      <c r="EA5" s="134">
        <v>2</v>
      </c>
      <c r="EB5" s="134"/>
      <c r="EC5" s="130">
        <v>39</v>
      </c>
      <c r="ED5" s="128">
        <v>8</v>
      </c>
      <c r="EE5" s="128"/>
      <c r="EF5" s="128"/>
      <c r="EG5" s="128"/>
      <c r="EH5" s="132">
        <v>47</v>
      </c>
      <c r="EI5" s="136">
        <v>210</v>
      </c>
      <c r="EJ5" s="128">
        <v>305</v>
      </c>
      <c r="EK5" s="128">
        <v>47</v>
      </c>
      <c r="EL5" s="128">
        <v>56</v>
      </c>
      <c r="EM5" s="128">
        <v>2645</v>
      </c>
      <c r="EN5" s="128">
        <v>36</v>
      </c>
      <c r="EO5" s="128">
        <v>1</v>
      </c>
      <c r="EP5" s="128">
        <v>218</v>
      </c>
      <c r="EQ5" s="128">
        <v>1</v>
      </c>
      <c r="ER5" s="128"/>
      <c r="ES5" s="128"/>
      <c r="ET5" s="128"/>
      <c r="EU5" s="128"/>
      <c r="EV5" s="137">
        <v>3519</v>
      </c>
      <c r="EW5" s="140"/>
      <c r="EX5" s="134"/>
      <c r="EY5" s="130">
        <v>0</v>
      </c>
      <c r="EZ5" s="128"/>
      <c r="FA5" s="128"/>
      <c r="FB5" s="132">
        <v>0</v>
      </c>
      <c r="FC5" s="136"/>
      <c r="FD5" s="128"/>
      <c r="FE5" s="137"/>
      <c r="FF5" s="140">
        <v>3</v>
      </c>
      <c r="FG5" s="136"/>
      <c r="FH5" s="128">
        <v>13</v>
      </c>
      <c r="FI5" s="128"/>
      <c r="FJ5" s="128"/>
      <c r="FK5" s="137">
        <v>13</v>
      </c>
      <c r="FL5" s="130"/>
      <c r="FM5" s="128"/>
      <c r="FN5" s="132"/>
      <c r="FO5" s="136"/>
      <c r="FP5" s="128"/>
      <c r="FQ5" s="137"/>
      <c r="FR5" s="140">
        <v>2</v>
      </c>
      <c r="FS5" s="134">
        <v>99</v>
      </c>
      <c r="FT5" s="130">
        <v>14</v>
      </c>
      <c r="FU5" s="128"/>
      <c r="FV5" s="128"/>
      <c r="FW5" s="128"/>
      <c r="FX5" s="128"/>
      <c r="FY5" s="132">
        <v>14</v>
      </c>
      <c r="FZ5" s="134"/>
      <c r="GA5" s="130">
        <v>255</v>
      </c>
      <c r="GB5" s="128"/>
      <c r="GC5" s="132">
        <v>255</v>
      </c>
      <c r="GD5" s="134"/>
      <c r="GE5" s="130">
        <v>3</v>
      </c>
      <c r="GF5" s="128"/>
      <c r="GG5" s="128"/>
      <c r="GH5" s="132">
        <v>3</v>
      </c>
      <c r="GI5" s="134"/>
      <c r="GJ5" s="130"/>
      <c r="GK5" s="128">
        <v>6</v>
      </c>
      <c r="GL5" s="128">
        <v>0</v>
      </c>
      <c r="GM5" s="128"/>
      <c r="GN5" s="132">
        <v>6</v>
      </c>
      <c r="GO5" s="134">
        <v>251708</v>
      </c>
      <c r="GP5" s="323">
        <f>251708/44564395</f>
        <v>5.6481861809186459E-3</v>
      </c>
    </row>
    <row r="6" spans="2:198" x14ac:dyDescent="0.2">
      <c r="B6" s="326" t="s">
        <v>105</v>
      </c>
      <c r="C6" s="325">
        <v>14</v>
      </c>
      <c r="D6" s="128">
        <v>0</v>
      </c>
      <c r="E6" s="128"/>
      <c r="F6" s="128"/>
      <c r="G6" s="324">
        <v>14</v>
      </c>
      <c r="H6" s="140"/>
      <c r="I6" s="136">
        <v>1</v>
      </c>
      <c r="J6" s="128"/>
      <c r="K6" s="137">
        <v>1</v>
      </c>
      <c r="L6" s="140"/>
      <c r="M6" s="134">
        <v>293</v>
      </c>
      <c r="N6" s="140">
        <v>2018</v>
      </c>
      <c r="O6" s="128">
        <v>2</v>
      </c>
      <c r="P6" s="128">
        <v>29</v>
      </c>
      <c r="Q6" s="128">
        <v>151</v>
      </c>
      <c r="R6" s="128">
        <v>9</v>
      </c>
      <c r="S6" s="128">
        <v>4</v>
      </c>
      <c r="T6" s="128">
        <v>1</v>
      </c>
      <c r="U6" s="128"/>
      <c r="V6" s="132">
        <v>2214</v>
      </c>
      <c r="W6" s="136">
        <v>0</v>
      </c>
      <c r="X6" s="128"/>
      <c r="Y6" s="137">
        <v>0</v>
      </c>
      <c r="Z6" s="130">
        <v>163</v>
      </c>
      <c r="AA6" s="128"/>
      <c r="AB6" s="128"/>
      <c r="AC6" s="132">
        <v>163</v>
      </c>
      <c r="AD6" s="136">
        <v>1258</v>
      </c>
      <c r="AE6" s="128">
        <v>23</v>
      </c>
      <c r="AF6" s="137">
        <v>1281</v>
      </c>
      <c r="AG6" s="130">
        <v>28</v>
      </c>
      <c r="AH6" s="128"/>
      <c r="AI6" s="128"/>
      <c r="AJ6" s="128"/>
      <c r="AK6" s="132">
        <v>28</v>
      </c>
      <c r="AL6" s="136"/>
      <c r="AM6" s="128"/>
      <c r="AN6" s="137"/>
      <c r="AO6" s="134"/>
      <c r="AP6" s="134"/>
      <c r="AQ6" s="130">
        <v>2</v>
      </c>
      <c r="AR6" s="128">
        <v>1</v>
      </c>
      <c r="AS6" s="132">
        <v>3</v>
      </c>
      <c r="AT6" s="136">
        <v>20</v>
      </c>
      <c r="AU6" s="128">
        <v>0</v>
      </c>
      <c r="AV6" s="128">
        <v>263</v>
      </c>
      <c r="AW6" s="128"/>
      <c r="AX6" s="128"/>
      <c r="AY6" s="128"/>
      <c r="AZ6" s="128"/>
      <c r="BA6" s="128"/>
      <c r="BB6" s="128"/>
      <c r="BC6" s="137">
        <v>283</v>
      </c>
      <c r="BD6" s="140"/>
      <c r="BE6" s="134">
        <v>1</v>
      </c>
      <c r="BF6" s="130">
        <v>9</v>
      </c>
      <c r="BG6" s="128">
        <v>24</v>
      </c>
      <c r="BH6" s="128">
        <v>36</v>
      </c>
      <c r="BI6" s="128">
        <v>6</v>
      </c>
      <c r="BJ6" s="128">
        <v>2</v>
      </c>
      <c r="BK6" s="132">
        <v>77</v>
      </c>
      <c r="BL6" s="134"/>
      <c r="BM6" s="134"/>
      <c r="BN6" s="134">
        <v>1</v>
      </c>
      <c r="BO6" s="134">
        <v>1</v>
      </c>
      <c r="BP6" s="130"/>
      <c r="BQ6" s="128"/>
      <c r="BR6" s="132"/>
      <c r="BS6" s="134"/>
      <c r="BT6" s="130">
        <v>2</v>
      </c>
      <c r="BU6" s="128"/>
      <c r="BV6" s="132">
        <v>2</v>
      </c>
      <c r="BW6" s="136"/>
      <c r="BX6" s="128"/>
      <c r="BY6" s="128">
        <v>1</v>
      </c>
      <c r="BZ6" s="128"/>
      <c r="CA6" s="128"/>
      <c r="CB6" s="128"/>
      <c r="CC6" s="128"/>
      <c r="CD6" s="128"/>
      <c r="CE6" s="128"/>
      <c r="CF6" s="128"/>
      <c r="CG6" s="128"/>
      <c r="CH6" s="128"/>
      <c r="CI6" s="128"/>
      <c r="CJ6" s="128"/>
      <c r="CK6" s="128"/>
      <c r="CL6" s="128"/>
      <c r="CM6" s="137">
        <v>1</v>
      </c>
      <c r="CN6" s="130"/>
      <c r="CO6" s="128"/>
      <c r="CP6" s="132"/>
      <c r="CQ6" s="134"/>
      <c r="CR6" s="130">
        <v>144</v>
      </c>
      <c r="CS6" s="128">
        <v>1</v>
      </c>
      <c r="CT6" s="128">
        <v>54804</v>
      </c>
      <c r="CU6" s="128">
        <v>397</v>
      </c>
      <c r="CV6" s="128">
        <v>8602</v>
      </c>
      <c r="CW6" s="128">
        <v>19</v>
      </c>
      <c r="CX6" s="128">
        <v>4</v>
      </c>
      <c r="CY6" s="128">
        <v>2</v>
      </c>
      <c r="CZ6" s="128">
        <v>53</v>
      </c>
      <c r="DA6" s="128">
        <v>5</v>
      </c>
      <c r="DB6" s="128"/>
      <c r="DC6" s="132">
        <v>64031</v>
      </c>
      <c r="DD6" s="136">
        <v>329</v>
      </c>
      <c r="DE6" s="128">
        <v>4</v>
      </c>
      <c r="DF6" s="128">
        <v>43</v>
      </c>
      <c r="DG6" s="128">
        <v>124</v>
      </c>
      <c r="DH6" s="128">
        <v>11</v>
      </c>
      <c r="DI6" s="128">
        <v>2</v>
      </c>
      <c r="DJ6" s="128"/>
      <c r="DK6" s="137">
        <v>513</v>
      </c>
      <c r="DL6" s="140"/>
      <c r="DM6" s="134"/>
      <c r="DN6" s="130"/>
      <c r="DO6" s="128"/>
      <c r="DP6" s="132"/>
      <c r="DQ6" s="134">
        <v>11</v>
      </c>
      <c r="DR6" s="130"/>
      <c r="DS6" s="128"/>
      <c r="DT6" s="132"/>
      <c r="DU6" s="136">
        <v>10</v>
      </c>
      <c r="DV6" s="128"/>
      <c r="DW6" s="137">
        <v>10</v>
      </c>
      <c r="DX6" s="140"/>
      <c r="DY6" s="134">
        <v>0</v>
      </c>
      <c r="DZ6" s="134">
        <v>10</v>
      </c>
      <c r="EA6" s="134"/>
      <c r="EB6" s="134"/>
      <c r="EC6" s="130">
        <v>13</v>
      </c>
      <c r="ED6" s="128">
        <v>8</v>
      </c>
      <c r="EE6" s="128"/>
      <c r="EF6" s="128"/>
      <c r="EG6" s="128"/>
      <c r="EH6" s="132">
        <v>21</v>
      </c>
      <c r="EI6" s="136">
        <v>192</v>
      </c>
      <c r="EJ6" s="128">
        <v>830</v>
      </c>
      <c r="EK6" s="128">
        <v>146</v>
      </c>
      <c r="EL6" s="128">
        <v>172</v>
      </c>
      <c r="EM6" s="128">
        <v>678</v>
      </c>
      <c r="EN6" s="128">
        <v>64</v>
      </c>
      <c r="EO6" s="128">
        <v>136</v>
      </c>
      <c r="EP6" s="128">
        <v>198</v>
      </c>
      <c r="EQ6" s="128">
        <v>24</v>
      </c>
      <c r="ER6" s="128">
        <v>31</v>
      </c>
      <c r="ES6" s="128">
        <v>125</v>
      </c>
      <c r="ET6" s="128"/>
      <c r="EU6" s="128"/>
      <c r="EV6" s="137">
        <v>2596</v>
      </c>
      <c r="EW6" s="140"/>
      <c r="EX6" s="134">
        <v>1</v>
      </c>
      <c r="EY6" s="130"/>
      <c r="EZ6" s="128"/>
      <c r="FA6" s="128"/>
      <c r="FB6" s="132"/>
      <c r="FC6" s="136"/>
      <c r="FD6" s="128"/>
      <c r="FE6" s="137"/>
      <c r="FF6" s="140"/>
      <c r="FG6" s="136"/>
      <c r="FH6" s="128"/>
      <c r="FI6" s="128"/>
      <c r="FJ6" s="128"/>
      <c r="FK6" s="137"/>
      <c r="FL6" s="130"/>
      <c r="FM6" s="128"/>
      <c r="FN6" s="132"/>
      <c r="FO6" s="136"/>
      <c r="FP6" s="128"/>
      <c r="FQ6" s="137"/>
      <c r="FR6" s="140"/>
      <c r="FS6" s="134">
        <v>4</v>
      </c>
      <c r="FT6" s="130">
        <v>1</v>
      </c>
      <c r="FU6" s="128">
        <v>11</v>
      </c>
      <c r="FV6" s="128">
        <v>1</v>
      </c>
      <c r="FW6" s="128">
        <v>2</v>
      </c>
      <c r="FX6" s="128"/>
      <c r="FY6" s="132">
        <v>15</v>
      </c>
      <c r="FZ6" s="134"/>
      <c r="GA6" s="130">
        <v>11</v>
      </c>
      <c r="GB6" s="128"/>
      <c r="GC6" s="132">
        <v>11</v>
      </c>
      <c r="GD6" s="134"/>
      <c r="GE6" s="130">
        <v>2</v>
      </c>
      <c r="GF6" s="128">
        <v>0</v>
      </c>
      <c r="GG6" s="128"/>
      <c r="GH6" s="132">
        <v>2</v>
      </c>
      <c r="GI6" s="134">
        <v>4</v>
      </c>
      <c r="GJ6" s="130">
        <v>44</v>
      </c>
      <c r="GK6" s="128"/>
      <c r="GL6" s="128"/>
      <c r="GM6" s="128"/>
      <c r="GN6" s="132">
        <v>44</v>
      </c>
      <c r="GO6" s="134">
        <v>71636</v>
      </c>
      <c r="GP6" s="323">
        <f>71636/44564395</f>
        <v>1.6074716149518018E-3</v>
      </c>
    </row>
    <row r="7" spans="2:198" x14ac:dyDescent="0.2">
      <c r="B7" s="326" t="s">
        <v>155</v>
      </c>
      <c r="C7" s="325">
        <v>11</v>
      </c>
      <c r="D7" s="128"/>
      <c r="E7" s="128"/>
      <c r="F7" s="128"/>
      <c r="G7" s="324">
        <v>11</v>
      </c>
      <c r="H7" s="140"/>
      <c r="I7" s="136"/>
      <c r="J7" s="128"/>
      <c r="K7" s="137"/>
      <c r="L7" s="140"/>
      <c r="M7" s="134">
        <v>934</v>
      </c>
      <c r="N7" s="140">
        <v>762</v>
      </c>
      <c r="O7" s="128">
        <v>9</v>
      </c>
      <c r="P7" s="128"/>
      <c r="Q7" s="128">
        <v>16</v>
      </c>
      <c r="R7" s="128"/>
      <c r="S7" s="128"/>
      <c r="T7" s="128"/>
      <c r="U7" s="128"/>
      <c r="V7" s="132">
        <v>787</v>
      </c>
      <c r="W7" s="136"/>
      <c r="X7" s="128"/>
      <c r="Y7" s="137"/>
      <c r="Z7" s="130">
        <v>7</v>
      </c>
      <c r="AA7" s="128"/>
      <c r="AB7" s="128"/>
      <c r="AC7" s="132">
        <v>7</v>
      </c>
      <c r="AD7" s="136">
        <v>2</v>
      </c>
      <c r="AE7" s="128"/>
      <c r="AF7" s="137">
        <v>2</v>
      </c>
      <c r="AG7" s="130">
        <v>2</v>
      </c>
      <c r="AH7" s="128"/>
      <c r="AI7" s="128"/>
      <c r="AJ7" s="128"/>
      <c r="AK7" s="132">
        <v>2</v>
      </c>
      <c r="AL7" s="136"/>
      <c r="AM7" s="128"/>
      <c r="AN7" s="137"/>
      <c r="AO7" s="134"/>
      <c r="AP7" s="134"/>
      <c r="AQ7" s="130">
        <v>0</v>
      </c>
      <c r="AR7" s="128">
        <v>1</v>
      </c>
      <c r="AS7" s="132">
        <v>1</v>
      </c>
      <c r="AT7" s="136"/>
      <c r="AU7" s="128"/>
      <c r="AV7" s="128"/>
      <c r="AW7" s="128"/>
      <c r="AX7" s="128"/>
      <c r="AY7" s="128"/>
      <c r="AZ7" s="128"/>
      <c r="BA7" s="128"/>
      <c r="BB7" s="128"/>
      <c r="BC7" s="137"/>
      <c r="BD7" s="140"/>
      <c r="BE7" s="134"/>
      <c r="BF7" s="130">
        <v>42</v>
      </c>
      <c r="BG7" s="128">
        <v>38</v>
      </c>
      <c r="BH7" s="128">
        <v>181</v>
      </c>
      <c r="BI7" s="128">
        <v>0</v>
      </c>
      <c r="BJ7" s="128">
        <v>1</v>
      </c>
      <c r="BK7" s="132">
        <v>262</v>
      </c>
      <c r="BL7" s="134"/>
      <c r="BM7" s="134"/>
      <c r="BN7" s="134"/>
      <c r="BO7" s="134"/>
      <c r="BP7" s="130">
        <v>2</v>
      </c>
      <c r="BQ7" s="128">
        <v>1</v>
      </c>
      <c r="BR7" s="132">
        <v>3</v>
      </c>
      <c r="BS7" s="134"/>
      <c r="BT7" s="130"/>
      <c r="BU7" s="128"/>
      <c r="BV7" s="132"/>
      <c r="BW7" s="136">
        <v>0</v>
      </c>
      <c r="BX7" s="128"/>
      <c r="BY7" s="128">
        <v>1</v>
      </c>
      <c r="BZ7" s="128"/>
      <c r="CA7" s="128"/>
      <c r="CB7" s="128"/>
      <c r="CC7" s="128"/>
      <c r="CD7" s="128"/>
      <c r="CE7" s="128"/>
      <c r="CF7" s="128"/>
      <c r="CG7" s="128"/>
      <c r="CH7" s="128"/>
      <c r="CI7" s="128"/>
      <c r="CJ7" s="128"/>
      <c r="CK7" s="128"/>
      <c r="CL7" s="128"/>
      <c r="CM7" s="137">
        <v>1</v>
      </c>
      <c r="CN7" s="130"/>
      <c r="CO7" s="128"/>
      <c r="CP7" s="132"/>
      <c r="CQ7" s="134"/>
      <c r="CR7" s="130">
        <v>548</v>
      </c>
      <c r="CS7" s="128">
        <v>5241</v>
      </c>
      <c r="CT7" s="128">
        <v>206803</v>
      </c>
      <c r="CU7" s="128"/>
      <c r="CV7" s="128">
        <v>4370</v>
      </c>
      <c r="CW7" s="128">
        <v>116</v>
      </c>
      <c r="CX7" s="128">
        <v>0</v>
      </c>
      <c r="CY7" s="128"/>
      <c r="CZ7" s="128"/>
      <c r="DA7" s="128"/>
      <c r="DB7" s="128"/>
      <c r="DC7" s="132">
        <v>217078</v>
      </c>
      <c r="DD7" s="136">
        <v>315</v>
      </c>
      <c r="DE7" s="128"/>
      <c r="DF7" s="128">
        <v>3</v>
      </c>
      <c r="DG7" s="128">
        <v>549</v>
      </c>
      <c r="DH7" s="128"/>
      <c r="DI7" s="128"/>
      <c r="DJ7" s="128"/>
      <c r="DK7" s="137">
        <v>867</v>
      </c>
      <c r="DL7" s="140"/>
      <c r="DM7" s="134"/>
      <c r="DN7" s="130"/>
      <c r="DO7" s="128"/>
      <c r="DP7" s="132"/>
      <c r="DQ7" s="134">
        <v>2</v>
      </c>
      <c r="DR7" s="130"/>
      <c r="DS7" s="128"/>
      <c r="DT7" s="132"/>
      <c r="DU7" s="136"/>
      <c r="DV7" s="128"/>
      <c r="DW7" s="137"/>
      <c r="DX7" s="140">
        <v>1</v>
      </c>
      <c r="DY7" s="134"/>
      <c r="DZ7" s="134">
        <v>13</v>
      </c>
      <c r="EA7" s="134">
        <v>1</v>
      </c>
      <c r="EB7" s="134"/>
      <c r="EC7" s="130">
        <v>19</v>
      </c>
      <c r="ED7" s="128">
        <v>1</v>
      </c>
      <c r="EE7" s="128"/>
      <c r="EF7" s="128"/>
      <c r="EG7" s="128"/>
      <c r="EH7" s="132">
        <v>20</v>
      </c>
      <c r="EI7" s="136">
        <v>8</v>
      </c>
      <c r="EJ7" s="128">
        <v>107</v>
      </c>
      <c r="EK7" s="128">
        <v>6</v>
      </c>
      <c r="EL7" s="128"/>
      <c r="EM7" s="128">
        <v>34</v>
      </c>
      <c r="EN7" s="128"/>
      <c r="EO7" s="128"/>
      <c r="EP7" s="128">
        <v>2</v>
      </c>
      <c r="EQ7" s="128"/>
      <c r="ER7" s="128"/>
      <c r="ES7" s="128"/>
      <c r="ET7" s="128"/>
      <c r="EU7" s="128"/>
      <c r="EV7" s="137">
        <v>157</v>
      </c>
      <c r="EW7" s="140"/>
      <c r="EX7" s="134"/>
      <c r="EY7" s="130"/>
      <c r="EZ7" s="128"/>
      <c r="FA7" s="128"/>
      <c r="FB7" s="132"/>
      <c r="FC7" s="136"/>
      <c r="FD7" s="128"/>
      <c r="FE7" s="137"/>
      <c r="FF7" s="140"/>
      <c r="FG7" s="136"/>
      <c r="FH7" s="128">
        <v>1</v>
      </c>
      <c r="FI7" s="128"/>
      <c r="FJ7" s="128">
        <v>3</v>
      </c>
      <c r="FK7" s="137">
        <v>4</v>
      </c>
      <c r="FL7" s="130"/>
      <c r="FM7" s="128"/>
      <c r="FN7" s="132"/>
      <c r="FO7" s="136"/>
      <c r="FP7" s="128"/>
      <c r="FQ7" s="137"/>
      <c r="FR7" s="140"/>
      <c r="FS7" s="134">
        <v>0</v>
      </c>
      <c r="FT7" s="130">
        <v>6</v>
      </c>
      <c r="FU7" s="128"/>
      <c r="FV7" s="128"/>
      <c r="FW7" s="128"/>
      <c r="FX7" s="128"/>
      <c r="FY7" s="132">
        <v>6</v>
      </c>
      <c r="FZ7" s="134"/>
      <c r="GA7" s="130">
        <v>17</v>
      </c>
      <c r="GB7" s="128"/>
      <c r="GC7" s="132">
        <v>17</v>
      </c>
      <c r="GD7" s="134"/>
      <c r="GE7" s="130"/>
      <c r="GF7" s="128"/>
      <c r="GG7" s="128"/>
      <c r="GH7" s="132"/>
      <c r="GI7" s="134">
        <v>3</v>
      </c>
      <c r="GJ7" s="130">
        <v>0</v>
      </c>
      <c r="GK7" s="128"/>
      <c r="GL7" s="128"/>
      <c r="GM7" s="128"/>
      <c r="GN7" s="132">
        <v>0</v>
      </c>
      <c r="GO7" s="134">
        <v>220179</v>
      </c>
      <c r="GP7" s="323">
        <f>220179/44564395</f>
        <v>4.9406931250833763E-3</v>
      </c>
    </row>
    <row r="8" spans="2:198" x14ac:dyDescent="0.2">
      <c r="B8" s="326" t="s">
        <v>173</v>
      </c>
      <c r="C8" s="325">
        <v>122</v>
      </c>
      <c r="D8" s="128">
        <v>9</v>
      </c>
      <c r="E8" s="128">
        <v>2</v>
      </c>
      <c r="F8" s="128">
        <v>10</v>
      </c>
      <c r="G8" s="324">
        <v>143</v>
      </c>
      <c r="H8" s="140"/>
      <c r="I8" s="136"/>
      <c r="J8" s="128"/>
      <c r="K8" s="137"/>
      <c r="L8" s="140">
        <v>1</v>
      </c>
      <c r="M8" s="134">
        <v>818</v>
      </c>
      <c r="N8" s="140">
        <v>3387</v>
      </c>
      <c r="O8" s="128">
        <v>4</v>
      </c>
      <c r="P8" s="128">
        <v>9</v>
      </c>
      <c r="Q8" s="128">
        <v>473</v>
      </c>
      <c r="R8" s="128"/>
      <c r="S8" s="128">
        <v>13</v>
      </c>
      <c r="T8" s="128"/>
      <c r="U8" s="128"/>
      <c r="V8" s="132">
        <v>3886</v>
      </c>
      <c r="W8" s="136"/>
      <c r="X8" s="128"/>
      <c r="Y8" s="137"/>
      <c r="Z8" s="130">
        <v>166</v>
      </c>
      <c r="AA8" s="128">
        <v>13</v>
      </c>
      <c r="AB8" s="128"/>
      <c r="AC8" s="132">
        <v>179</v>
      </c>
      <c r="AD8" s="136">
        <v>177</v>
      </c>
      <c r="AE8" s="128">
        <v>1</v>
      </c>
      <c r="AF8" s="137">
        <v>178</v>
      </c>
      <c r="AG8" s="130">
        <v>0</v>
      </c>
      <c r="AH8" s="128"/>
      <c r="AI8" s="128">
        <v>19</v>
      </c>
      <c r="AJ8" s="128"/>
      <c r="AK8" s="132">
        <v>19</v>
      </c>
      <c r="AL8" s="136">
        <v>117</v>
      </c>
      <c r="AM8" s="128"/>
      <c r="AN8" s="137">
        <v>117</v>
      </c>
      <c r="AO8" s="134"/>
      <c r="AP8" s="134"/>
      <c r="AQ8" s="130">
        <v>40</v>
      </c>
      <c r="AR8" s="128">
        <v>158</v>
      </c>
      <c r="AS8" s="132">
        <v>198</v>
      </c>
      <c r="AT8" s="136">
        <v>22</v>
      </c>
      <c r="AU8" s="128"/>
      <c r="AV8" s="128"/>
      <c r="AW8" s="128">
        <v>4</v>
      </c>
      <c r="AX8" s="128"/>
      <c r="AY8" s="128"/>
      <c r="AZ8" s="128"/>
      <c r="BA8" s="128"/>
      <c r="BB8" s="128"/>
      <c r="BC8" s="137">
        <v>26</v>
      </c>
      <c r="BD8" s="140"/>
      <c r="BE8" s="134">
        <v>1</v>
      </c>
      <c r="BF8" s="130">
        <v>22</v>
      </c>
      <c r="BG8" s="128">
        <v>35</v>
      </c>
      <c r="BH8" s="128">
        <v>113</v>
      </c>
      <c r="BI8" s="128">
        <v>4</v>
      </c>
      <c r="BJ8" s="128">
        <v>0</v>
      </c>
      <c r="BK8" s="132">
        <v>174</v>
      </c>
      <c r="BL8" s="134"/>
      <c r="BM8" s="134"/>
      <c r="BN8" s="134"/>
      <c r="BO8" s="134"/>
      <c r="BP8" s="130">
        <v>13</v>
      </c>
      <c r="BQ8" s="128"/>
      <c r="BR8" s="132">
        <v>13</v>
      </c>
      <c r="BS8" s="134">
        <v>1</v>
      </c>
      <c r="BT8" s="130">
        <v>2</v>
      </c>
      <c r="BU8" s="128"/>
      <c r="BV8" s="132">
        <v>2</v>
      </c>
      <c r="BW8" s="136">
        <v>16</v>
      </c>
      <c r="BX8" s="128"/>
      <c r="BY8" s="128">
        <v>137</v>
      </c>
      <c r="BZ8" s="128">
        <v>17</v>
      </c>
      <c r="CA8" s="128">
        <v>12</v>
      </c>
      <c r="CB8" s="128">
        <v>24</v>
      </c>
      <c r="CC8" s="128">
        <v>36</v>
      </c>
      <c r="CD8" s="128">
        <v>2</v>
      </c>
      <c r="CE8" s="128">
        <v>35</v>
      </c>
      <c r="CF8" s="128">
        <v>89</v>
      </c>
      <c r="CG8" s="128">
        <v>89</v>
      </c>
      <c r="CH8" s="128"/>
      <c r="CI8" s="128"/>
      <c r="CJ8" s="128"/>
      <c r="CK8" s="128"/>
      <c r="CL8" s="128"/>
      <c r="CM8" s="137">
        <v>457</v>
      </c>
      <c r="CN8" s="130"/>
      <c r="CO8" s="128"/>
      <c r="CP8" s="132"/>
      <c r="CQ8" s="134"/>
      <c r="CR8" s="130">
        <v>198</v>
      </c>
      <c r="CS8" s="128">
        <v>121</v>
      </c>
      <c r="CT8" s="128">
        <v>147795</v>
      </c>
      <c r="CU8" s="128">
        <v>44</v>
      </c>
      <c r="CV8" s="128">
        <v>59951</v>
      </c>
      <c r="CW8" s="128">
        <v>505</v>
      </c>
      <c r="CX8" s="128">
        <v>311</v>
      </c>
      <c r="CY8" s="128">
        <v>50</v>
      </c>
      <c r="CZ8" s="128">
        <v>2</v>
      </c>
      <c r="DA8" s="128"/>
      <c r="DB8" s="128">
        <v>1</v>
      </c>
      <c r="DC8" s="132">
        <v>208978</v>
      </c>
      <c r="DD8" s="136">
        <v>281</v>
      </c>
      <c r="DE8" s="128">
        <v>243</v>
      </c>
      <c r="DF8" s="128">
        <v>4</v>
      </c>
      <c r="DG8" s="128">
        <v>58</v>
      </c>
      <c r="DH8" s="128">
        <v>87</v>
      </c>
      <c r="DI8" s="128"/>
      <c r="DJ8" s="128"/>
      <c r="DK8" s="137">
        <v>673</v>
      </c>
      <c r="DL8" s="140"/>
      <c r="DM8" s="134"/>
      <c r="DN8" s="130"/>
      <c r="DO8" s="128"/>
      <c r="DP8" s="132"/>
      <c r="DQ8" s="134">
        <v>12</v>
      </c>
      <c r="DR8" s="130"/>
      <c r="DS8" s="128"/>
      <c r="DT8" s="132"/>
      <c r="DU8" s="136">
        <v>395</v>
      </c>
      <c r="DV8" s="128"/>
      <c r="DW8" s="137">
        <v>395</v>
      </c>
      <c r="DX8" s="140">
        <v>10</v>
      </c>
      <c r="DY8" s="134"/>
      <c r="DZ8" s="134">
        <v>16</v>
      </c>
      <c r="EA8" s="134"/>
      <c r="EB8" s="134"/>
      <c r="EC8" s="130">
        <v>12</v>
      </c>
      <c r="ED8" s="128">
        <v>469</v>
      </c>
      <c r="EE8" s="128">
        <v>1</v>
      </c>
      <c r="EF8" s="128"/>
      <c r="EG8" s="128"/>
      <c r="EH8" s="132">
        <v>482</v>
      </c>
      <c r="EI8" s="136">
        <v>29</v>
      </c>
      <c r="EJ8" s="128">
        <v>217</v>
      </c>
      <c r="EK8" s="128">
        <v>8</v>
      </c>
      <c r="EL8" s="128">
        <v>56</v>
      </c>
      <c r="EM8" s="128">
        <v>404</v>
      </c>
      <c r="EN8" s="128">
        <v>7</v>
      </c>
      <c r="EO8" s="128">
        <v>30</v>
      </c>
      <c r="EP8" s="128">
        <v>42</v>
      </c>
      <c r="EQ8" s="128">
        <v>1</v>
      </c>
      <c r="ER8" s="128">
        <v>2</v>
      </c>
      <c r="ES8" s="128">
        <v>2</v>
      </c>
      <c r="ET8" s="128">
        <v>2</v>
      </c>
      <c r="EU8" s="128"/>
      <c r="EV8" s="137">
        <v>800</v>
      </c>
      <c r="EW8" s="140"/>
      <c r="EX8" s="134"/>
      <c r="EY8" s="130">
        <v>1</v>
      </c>
      <c r="EZ8" s="128">
        <v>5</v>
      </c>
      <c r="FA8" s="128">
        <v>102</v>
      </c>
      <c r="FB8" s="132">
        <v>108</v>
      </c>
      <c r="FC8" s="136"/>
      <c r="FD8" s="128"/>
      <c r="FE8" s="137"/>
      <c r="FF8" s="140">
        <v>16</v>
      </c>
      <c r="FG8" s="136">
        <v>819</v>
      </c>
      <c r="FH8" s="128">
        <v>4</v>
      </c>
      <c r="FI8" s="128">
        <v>10</v>
      </c>
      <c r="FJ8" s="128">
        <v>100</v>
      </c>
      <c r="FK8" s="137">
        <v>933</v>
      </c>
      <c r="FL8" s="130"/>
      <c r="FM8" s="128"/>
      <c r="FN8" s="132"/>
      <c r="FO8" s="136">
        <v>41</v>
      </c>
      <c r="FP8" s="128"/>
      <c r="FQ8" s="137">
        <v>41</v>
      </c>
      <c r="FR8" s="140"/>
      <c r="FS8" s="134">
        <v>49</v>
      </c>
      <c r="FT8" s="130">
        <v>7483</v>
      </c>
      <c r="FU8" s="128">
        <v>249</v>
      </c>
      <c r="FV8" s="128">
        <v>9</v>
      </c>
      <c r="FW8" s="128">
        <v>11</v>
      </c>
      <c r="FX8" s="128"/>
      <c r="FY8" s="132">
        <v>7752</v>
      </c>
      <c r="FZ8" s="134"/>
      <c r="GA8" s="130">
        <v>866</v>
      </c>
      <c r="GB8" s="128">
        <v>9</v>
      </c>
      <c r="GC8" s="132">
        <v>875</v>
      </c>
      <c r="GD8" s="134"/>
      <c r="GE8" s="130">
        <v>1</v>
      </c>
      <c r="GF8" s="128"/>
      <c r="GG8" s="128"/>
      <c r="GH8" s="132">
        <v>1</v>
      </c>
      <c r="GI8" s="134">
        <v>222</v>
      </c>
      <c r="GJ8" s="130">
        <v>112</v>
      </c>
      <c r="GK8" s="128">
        <v>1</v>
      </c>
      <c r="GL8" s="128">
        <v>101</v>
      </c>
      <c r="GM8" s="128">
        <v>60</v>
      </c>
      <c r="GN8" s="132">
        <v>274</v>
      </c>
      <c r="GO8" s="134">
        <v>227850</v>
      </c>
      <c r="GP8" s="323">
        <f>227850/44564395</f>
        <v>5.1128260576632986E-3</v>
      </c>
    </row>
    <row r="9" spans="2:198" x14ac:dyDescent="0.2">
      <c r="B9" s="326" t="s">
        <v>227</v>
      </c>
      <c r="C9" s="325">
        <v>16</v>
      </c>
      <c r="D9" s="128"/>
      <c r="E9" s="128"/>
      <c r="F9" s="128"/>
      <c r="G9" s="324">
        <v>16</v>
      </c>
      <c r="H9" s="140"/>
      <c r="I9" s="136"/>
      <c r="J9" s="128"/>
      <c r="K9" s="137"/>
      <c r="L9" s="140"/>
      <c r="M9" s="134">
        <v>891</v>
      </c>
      <c r="N9" s="140">
        <v>225</v>
      </c>
      <c r="O9" s="128">
        <v>1</v>
      </c>
      <c r="P9" s="128"/>
      <c r="Q9" s="128"/>
      <c r="R9" s="128"/>
      <c r="S9" s="128"/>
      <c r="T9" s="128"/>
      <c r="U9" s="128"/>
      <c r="V9" s="132">
        <v>226</v>
      </c>
      <c r="W9" s="136"/>
      <c r="X9" s="128"/>
      <c r="Y9" s="137"/>
      <c r="Z9" s="130">
        <v>14</v>
      </c>
      <c r="AA9" s="128"/>
      <c r="AB9" s="128"/>
      <c r="AC9" s="132">
        <v>14</v>
      </c>
      <c r="AD9" s="136">
        <v>8</v>
      </c>
      <c r="AE9" s="128"/>
      <c r="AF9" s="137">
        <v>8</v>
      </c>
      <c r="AG9" s="130"/>
      <c r="AH9" s="128"/>
      <c r="AI9" s="128">
        <v>1</v>
      </c>
      <c r="AJ9" s="128"/>
      <c r="AK9" s="132">
        <v>1</v>
      </c>
      <c r="AL9" s="136"/>
      <c r="AM9" s="128"/>
      <c r="AN9" s="137"/>
      <c r="AO9" s="134"/>
      <c r="AP9" s="134"/>
      <c r="AQ9" s="130">
        <v>5</v>
      </c>
      <c r="AR9" s="128"/>
      <c r="AS9" s="132">
        <v>5</v>
      </c>
      <c r="AT9" s="136"/>
      <c r="AU9" s="128"/>
      <c r="AV9" s="128"/>
      <c r="AW9" s="128"/>
      <c r="AX9" s="128"/>
      <c r="AY9" s="128"/>
      <c r="AZ9" s="128"/>
      <c r="BA9" s="128"/>
      <c r="BB9" s="128"/>
      <c r="BC9" s="137"/>
      <c r="BD9" s="140"/>
      <c r="BE9" s="134"/>
      <c r="BF9" s="130">
        <v>6</v>
      </c>
      <c r="BG9" s="128"/>
      <c r="BH9" s="128">
        <v>5</v>
      </c>
      <c r="BI9" s="128">
        <v>0</v>
      </c>
      <c r="BJ9" s="128"/>
      <c r="BK9" s="132">
        <v>11</v>
      </c>
      <c r="BL9" s="134"/>
      <c r="BM9" s="134"/>
      <c r="BN9" s="134"/>
      <c r="BO9" s="134"/>
      <c r="BP9" s="130">
        <v>5</v>
      </c>
      <c r="BQ9" s="128"/>
      <c r="BR9" s="132">
        <v>5</v>
      </c>
      <c r="BS9" s="134"/>
      <c r="BT9" s="130"/>
      <c r="BU9" s="128"/>
      <c r="BV9" s="132"/>
      <c r="BW9" s="136">
        <v>1</v>
      </c>
      <c r="BX9" s="128"/>
      <c r="BY9" s="128"/>
      <c r="BZ9" s="128"/>
      <c r="CA9" s="128"/>
      <c r="CB9" s="128"/>
      <c r="CC9" s="128"/>
      <c r="CD9" s="128"/>
      <c r="CE9" s="128">
        <v>1</v>
      </c>
      <c r="CF9" s="128">
        <v>1</v>
      </c>
      <c r="CG9" s="128"/>
      <c r="CH9" s="128"/>
      <c r="CI9" s="128"/>
      <c r="CJ9" s="128"/>
      <c r="CK9" s="128"/>
      <c r="CL9" s="128"/>
      <c r="CM9" s="137">
        <v>3</v>
      </c>
      <c r="CN9" s="130"/>
      <c r="CO9" s="128"/>
      <c r="CP9" s="132"/>
      <c r="CQ9" s="134">
        <v>0</v>
      </c>
      <c r="CR9" s="130">
        <v>29</v>
      </c>
      <c r="CS9" s="128">
        <v>3</v>
      </c>
      <c r="CT9" s="128">
        <v>38067</v>
      </c>
      <c r="CU9" s="128">
        <v>1</v>
      </c>
      <c r="CV9" s="128">
        <v>3616</v>
      </c>
      <c r="CW9" s="128">
        <v>7</v>
      </c>
      <c r="CX9" s="128">
        <v>2</v>
      </c>
      <c r="CY9" s="128"/>
      <c r="CZ9" s="128"/>
      <c r="DA9" s="128"/>
      <c r="DB9" s="128"/>
      <c r="DC9" s="132">
        <v>41725</v>
      </c>
      <c r="DD9" s="136">
        <v>18</v>
      </c>
      <c r="DE9" s="128">
        <v>1</v>
      </c>
      <c r="DF9" s="128"/>
      <c r="DG9" s="128"/>
      <c r="DH9" s="128"/>
      <c r="DI9" s="128"/>
      <c r="DJ9" s="128"/>
      <c r="DK9" s="137">
        <v>19</v>
      </c>
      <c r="DL9" s="140"/>
      <c r="DM9" s="134"/>
      <c r="DN9" s="130"/>
      <c r="DO9" s="128"/>
      <c r="DP9" s="132"/>
      <c r="DQ9" s="134">
        <v>0</v>
      </c>
      <c r="DR9" s="130"/>
      <c r="DS9" s="128"/>
      <c r="DT9" s="132"/>
      <c r="DU9" s="136"/>
      <c r="DV9" s="128"/>
      <c r="DW9" s="137"/>
      <c r="DX9" s="140"/>
      <c r="DY9" s="134"/>
      <c r="DZ9" s="134">
        <v>1</v>
      </c>
      <c r="EA9" s="134"/>
      <c r="EB9" s="134"/>
      <c r="EC9" s="130">
        <v>0</v>
      </c>
      <c r="ED9" s="128">
        <v>1</v>
      </c>
      <c r="EE9" s="128"/>
      <c r="EF9" s="128"/>
      <c r="EG9" s="128"/>
      <c r="EH9" s="132">
        <v>1</v>
      </c>
      <c r="EI9" s="136"/>
      <c r="EJ9" s="128">
        <v>52</v>
      </c>
      <c r="EK9" s="128"/>
      <c r="EL9" s="128">
        <v>2</v>
      </c>
      <c r="EM9" s="128">
        <v>35</v>
      </c>
      <c r="EN9" s="128"/>
      <c r="EO9" s="128"/>
      <c r="EP9" s="128"/>
      <c r="EQ9" s="128"/>
      <c r="ER9" s="128"/>
      <c r="ES9" s="128"/>
      <c r="ET9" s="128"/>
      <c r="EU9" s="128"/>
      <c r="EV9" s="137">
        <v>89</v>
      </c>
      <c r="EW9" s="140"/>
      <c r="EX9" s="134"/>
      <c r="EY9" s="130">
        <v>1</v>
      </c>
      <c r="EZ9" s="128"/>
      <c r="FA9" s="128"/>
      <c r="FB9" s="132">
        <v>1</v>
      </c>
      <c r="FC9" s="136"/>
      <c r="FD9" s="128"/>
      <c r="FE9" s="137"/>
      <c r="FF9" s="140">
        <v>1</v>
      </c>
      <c r="FG9" s="136">
        <v>3</v>
      </c>
      <c r="FH9" s="128">
        <v>0</v>
      </c>
      <c r="FI9" s="128"/>
      <c r="FJ9" s="128"/>
      <c r="FK9" s="137">
        <v>3</v>
      </c>
      <c r="FL9" s="130"/>
      <c r="FM9" s="128"/>
      <c r="FN9" s="132"/>
      <c r="FO9" s="136"/>
      <c r="FP9" s="128"/>
      <c r="FQ9" s="137"/>
      <c r="FR9" s="140"/>
      <c r="FS9" s="134">
        <v>2</v>
      </c>
      <c r="FT9" s="130">
        <v>9</v>
      </c>
      <c r="FU9" s="128"/>
      <c r="FV9" s="128"/>
      <c r="FW9" s="128"/>
      <c r="FX9" s="128"/>
      <c r="FY9" s="132">
        <v>9</v>
      </c>
      <c r="FZ9" s="134"/>
      <c r="GA9" s="130">
        <v>160</v>
      </c>
      <c r="GB9" s="128"/>
      <c r="GC9" s="132">
        <v>160</v>
      </c>
      <c r="GD9" s="134"/>
      <c r="GE9" s="130"/>
      <c r="GF9" s="128"/>
      <c r="GG9" s="128"/>
      <c r="GH9" s="132"/>
      <c r="GI9" s="134">
        <v>1</v>
      </c>
      <c r="GJ9" s="130"/>
      <c r="GK9" s="128"/>
      <c r="GL9" s="128"/>
      <c r="GM9" s="128"/>
      <c r="GN9" s="132"/>
      <c r="GO9" s="134">
        <v>43192</v>
      </c>
      <c r="GP9" s="323">
        <f>43192/44564395</f>
        <v>9.6920422682726876E-4</v>
      </c>
    </row>
    <row r="10" spans="2:198" x14ac:dyDescent="0.2">
      <c r="B10" s="326" t="s">
        <v>243</v>
      </c>
      <c r="C10" s="325">
        <v>37</v>
      </c>
      <c r="D10" s="128"/>
      <c r="E10" s="128"/>
      <c r="F10" s="128"/>
      <c r="G10" s="324">
        <v>37</v>
      </c>
      <c r="H10" s="140"/>
      <c r="I10" s="136">
        <v>1</v>
      </c>
      <c r="J10" s="128"/>
      <c r="K10" s="137">
        <v>1</v>
      </c>
      <c r="L10" s="140">
        <v>0</v>
      </c>
      <c r="M10" s="134">
        <v>232</v>
      </c>
      <c r="N10" s="140">
        <v>8795</v>
      </c>
      <c r="O10" s="128">
        <v>1</v>
      </c>
      <c r="P10" s="128">
        <v>26</v>
      </c>
      <c r="Q10" s="128">
        <v>140</v>
      </c>
      <c r="R10" s="128">
        <v>1</v>
      </c>
      <c r="S10" s="128">
        <v>2</v>
      </c>
      <c r="T10" s="128"/>
      <c r="U10" s="128"/>
      <c r="V10" s="132">
        <v>8965</v>
      </c>
      <c r="W10" s="136">
        <v>1</v>
      </c>
      <c r="X10" s="128">
        <v>1</v>
      </c>
      <c r="Y10" s="137">
        <v>2</v>
      </c>
      <c r="Z10" s="130">
        <v>72</v>
      </c>
      <c r="AA10" s="128"/>
      <c r="AB10" s="128"/>
      <c r="AC10" s="132">
        <v>72</v>
      </c>
      <c r="AD10" s="136">
        <v>89</v>
      </c>
      <c r="AE10" s="128"/>
      <c r="AF10" s="137">
        <v>89</v>
      </c>
      <c r="AG10" s="130">
        <v>2</v>
      </c>
      <c r="AH10" s="128">
        <v>0</v>
      </c>
      <c r="AI10" s="128"/>
      <c r="AJ10" s="128"/>
      <c r="AK10" s="132">
        <v>2</v>
      </c>
      <c r="AL10" s="136"/>
      <c r="AM10" s="128"/>
      <c r="AN10" s="137"/>
      <c r="AO10" s="134"/>
      <c r="AP10" s="134"/>
      <c r="AQ10" s="130">
        <v>22</v>
      </c>
      <c r="AR10" s="128"/>
      <c r="AS10" s="132">
        <v>22</v>
      </c>
      <c r="AT10" s="136"/>
      <c r="AU10" s="128"/>
      <c r="AV10" s="128"/>
      <c r="AW10" s="128"/>
      <c r="AX10" s="128"/>
      <c r="AY10" s="128"/>
      <c r="AZ10" s="128"/>
      <c r="BA10" s="128"/>
      <c r="BB10" s="128"/>
      <c r="BC10" s="137"/>
      <c r="BD10" s="140"/>
      <c r="BE10" s="134">
        <v>2</v>
      </c>
      <c r="BF10" s="130">
        <v>27</v>
      </c>
      <c r="BG10" s="128">
        <v>77</v>
      </c>
      <c r="BH10" s="128">
        <v>325</v>
      </c>
      <c r="BI10" s="128">
        <v>7</v>
      </c>
      <c r="BJ10" s="128">
        <v>3</v>
      </c>
      <c r="BK10" s="132">
        <v>439</v>
      </c>
      <c r="BL10" s="134">
        <v>0</v>
      </c>
      <c r="BM10" s="134"/>
      <c r="BN10" s="134"/>
      <c r="BO10" s="134">
        <v>6</v>
      </c>
      <c r="BP10" s="130">
        <v>2</v>
      </c>
      <c r="BQ10" s="128"/>
      <c r="BR10" s="132">
        <v>2</v>
      </c>
      <c r="BS10" s="134"/>
      <c r="BT10" s="130"/>
      <c r="BU10" s="128"/>
      <c r="BV10" s="132"/>
      <c r="BW10" s="136">
        <v>4</v>
      </c>
      <c r="BX10" s="128"/>
      <c r="BY10" s="128"/>
      <c r="BZ10" s="128"/>
      <c r="CA10" s="128"/>
      <c r="CB10" s="128"/>
      <c r="CC10" s="128"/>
      <c r="CD10" s="128"/>
      <c r="CE10" s="128"/>
      <c r="CF10" s="128"/>
      <c r="CG10" s="128"/>
      <c r="CH10" s="128"/>
      <c r="CI10" s="128"/>
      <c r="CJ10" s="128"/>
      <c r="CK10" s="128"/>
      <c r="CL10" s="128"/>
      <c r="CM10" s="137">
        <v>4</v>
      </c>
      <c r="CN10" s="130">
        <v>2</v>
      </c>
      <c r="CO10" s="128"/>
      <c r="CP10" s="132">
        <v>2</v>
      </c>
      <c r="CQ10" s="134"/>
      <c r="CR10" s="130">
        <v>36</v>
      </c>
      <c r="CS10" s="128">
        <v>148</v>
      </c>
      <c r="CT10" s="128">
        <v>180426</v>
      </c>
      <c r="CU10" s="128">
        <v>316</v>
      </c>
      <c r="CV10" s="128">
        <v>10678</v>
      </c>
      <c r="CW10" s="128">
        <v>76</v>
      </c>
      <c r="CX10" s="128">
        <v>0</v>
      </c>
      <c r="CY10" s="128"/>
      <c r="CZ10" s="128">
        <v>0</v>
      </c>
      <c r="DA10" s="128"/>
      <c r="DB10" s="128"/>
      <c r="DC10" s="132">
        <v>191680</v>
      </c>
      <c r="DD10" s="136">
        <v>347</v>
      </c>
      <c r="DE10" s="128"/>
      <c r="DF10" s="128">
        <v>11</v>
      </c>
      <c r="DG10" s="128">
        <v>214</v>
      </c>
      <c r="DH10" s="128">
        <v>2</v>
      </c>
      <c r="DI10" s="128">
        <v>1</v>
      </c>
      <c r="DJ10" s="128"/>
      <c r="DK10" s="137">
        <v>575</v>
      </c>
      <c r="DL10" s="140"/>
      <c r="DM10" s="134"/>
      <c r="DN10" s="130"/>
      <c r="DO10" s="128"/>
      <c r="DP10" s="132"/>
      <c r="DQ10" s="134">
        <v>25</v>
      </c>
      <c r="DR10" s="130"/>
      <c r="DS10" s="128"/>
      <c r="DT10" s="132"/>
      <c r="DU10" s="136">
        <v>1</v>
      </c>
      <c r="DV10" s="128"/>
      <c r="DW10" s="137">
        <v>1</v>
      </c>
      <c r="DX10" s="140">
        <v>3</v>
      </c>
      <c r="DY10" s="134"/>
      <c r="DZ10" s="134">
        <v>59</v>
      </c>
      <c r="EA10" s="134"/>
      <c r="EB10" s="134"/>
      <c r="EC10" s="130">
        <v>4</v>
      </c>
      <c r="ED10" s="128">
        <v>15</v>
      </c>
      <c r="EE10" s="128"/>
      <c r="EF10" s="128"/>
      <c r="EG10" s="128"/>
      <c r="EH10" s="132">
        <v>19</v>
      </c>
      <c r="EI10" s="136">
        <v>97</v>
      </c>
      <c r="EJ10" s="128">
        <v>1634</v>
      </c>
      <c r="EK10" s="128">
        <v>71</v>
      </c>
      <c r="EL10" s="128">
        <v>69</v>
      </c>
      <c r="EM10" s="128">
        <v>2237</v>
      </c>
      <c r="EN10" s="128">
        <v>2</v>
      </c>
      <c r="EO10" s="128">
        <v>1</v>
      </c>
      <c r="EP10" s="128">
        <v>211</v>
      </c>
      <c r="EQ10" s="128">
        <v>1</v>
      </c>
      <c r="ER10" s="128">
        <v>2</v>
      </c>
      <c r="ES10" s="128"/>
      <c r="ET10" s="128"/>
      <c r="EU10" s="128"/>
      <c r="EV10" s="137">
        <v>4325</v>
      </c>
      <c r="EW10" s="140"/>
      <c r="EX10" s="134">
        <v>1</v>
      </c>
      <c r="EY10" s="130"/>
      <c r="EZ10" s="128"/>
      <c r="FA10" s="128"/>
      <c r="FB10" s="132"/>
      <c r="FC10" s="136"/>
      <c r="FD10" s="128"/>
      <c r="FE10" s="137"/>
      <c r="FF10" s="140"/>
      <c r="FG10" s="136">
        <v>4</v>
      </c>
      <c r="FH10" s="128">
        <v>2</v>
      </c>
      <c r="FI10" s="128"/>
      <c r="FJ10" s="128"/>
      <c r="FK10" s="137">
        <v>6</v>
      </c>
      <c r="FL10" s="130"/>
      <c r="FM10" s="128"/>
      <c r="FN10" s="132"/>
      <c r="FO10" s="136"/>
      <c r="FP10" s="128"/>
      <c r="FQ10" s="137"/>
      <c r="FR10" s="140">
        <v>1</v>
      </c>
      <c r="FS10" s="134">
        <v>10</v>
      </c>
      <c r="FT10" s="130">
        <v>10</v>
      </c>
      <c r="FU10" s="128"/>
      <c r="FV10" s="128"/>
      <c r="FW10" s="128"/>
      <c r="FX10" s="128"/>
      <c r="FY10" s="132">
        <v>10</v>
      </c>
      <c r="FZ10" s="134"/>
      <c r="GA10" s="130">
        <v>107</v>
      </c>
      <c r="GB10" s="128"/>
      <c r="GC10" s="132">
        <v>107</v>
      </c>
      <c r="GD10" s="134"/>
      <c r="GE10" s="130">
        <v>5</v>
      </c>
      <c r="GF10" s="128"/>
      <c r="GG10" s="128"/>
      <c r="GH10" s="132">
        <v>5</v>
      </c>
      <c r="GI10" s="134"/>
      <c r="GJ10" s="130">
        <v>10</v>
      </c>
      <c r="GK10" s="128"/>
      <c r="GL10" s="128"/>
      <c r="GM10" s="128"/>
      <c r="GN10" s="132">
        <v>10</v>
      </c>
      <c r="GO10" s="134">
        <v>206714</v>
      </c>
      <c r="GP10" s="323">
        <f>206714/44564395</f>
        <v>4.6385460859504546E-3</v>
      </c>
    </row>
    <row r="11" spans="2:198" ht="12.75" thickBot="1" x14ac:dyDescent="0.25">
      <c r="B11" s="322" t="s">
        <v>556</v>
      </c>
      <c r="C11" s="321">
        <v>98</v>
      </c>
      <c r="D11" s="315"/>
      <c r="E11" s="315"/>
      <c r="F11" s="315"/>
      <c r="G11" s="320">
        <v>98</v>
      </c>
      <c r="H11" s="317"/>
      <c r="I11" s="319">
        <v>1</v>
      </c>
      <c r="J11" s="315"/>
      <c r="K11" s="318">
        <v>1</v>
      </c>
      <c r="L11" s="317"/>
      <c r="M11" s="313">
        <v>2668</v>
      </c>
      <c r="N11" s="317">
        <v>4654</v>
      </c>
      <c r="O11" s="315">
        <v>7</v>
      </c>
      <c r="P11" s="315">
        <v>68</v>
      </c>
      <c r="Q11" s="315">
        <v>372</v>
      </c>
      <c r="R11" s="315">
        <v>4</v>
      </c>
      <c r="S11" s="315"/>
      <c r="T11" s="315"/>
      <c r="U11" s="315"/>
      <c r="V11" s="314">
        <v>5105</v>
      </c>
      <c r="W11" s="319"/>
      <c r="X11" s="315">
        <v>0</v>
      </c>
      <c r="Y11" s="318">
        <v>0</v>
      </c>
      <c r="Z11" s="316">
        <v>80</v>
      </c>
      <c r="AA11" s="315"/>
      <c r="AB11" s="315">
        <v>1</v>
      </c>
      <c r="AC11" s="314">
        <v>81</v>
      </c>
      <c r="AD11" s="319">
        <v>485</v>
      </c>
      <c r="AE11" s="315">
        <v>1</v>
      </c>
      <c r="AF11" s="318">
        <v>486</v>
      </c>
      <c r="AG11" s="316">
        <v>2</v>
      </c>
      <c r="AH11" s="315"/>
      <c r="AI11" s="315">
        <v>2</v>
      </c>
      <c r="AJ11" s="315"/>
      <c r="AK11" s="314">
        <v>4</v>
      </c>
      <c r="AL11" s="319">
        <v>1</v>
      </c>
      <c r="AM11" s="315"/>
      <c r="AN11" s="318">
        <v>1</v>
      </c>
      <c r="AO11" s="313"/>
      <c r="AP11" s="313"/>
      <c r="AQ11" s="316">
        <v>10</v>
      </c>
      <c r="AR11" s="315">
        <v>1</v>
      </c>
      <c r="AS11" s="314">
        <v>11</v>
      </c>
      <c r="AT11" s="319">
        <v>8</v>
      </c>
      <c r="AU11" s="315"/>
      <c r="AV11" s="315">
        <v>38</v>
      </c>
      <c r="AW11" s="315"/>
      <c r="AX11" s="315"/>
      <c r="AY11" s="315"/>
      <c r="AZ11" s="315"/>
      <c r="BA11" s="315"/>
      <c r="BB11" s="315"/>
      <c r="BC11" s="318">
        <v>46</v>
      </c>
      <c r="BD11" s="317"/>
      <c r="BE11" s="313">
        <v>3</v>
      </c>
      <c r="BF11" s="316">
        <v>15</v>
      </c>
      <c r="BG11" s="315">
        <v>41</v>
      </c>
      <c r="BH11" s="315">
        <v>144</v>
      </c>
      <c r="BI11" s="315">
        <v>4</v>
      </c>
      <c r="BJ11" s="315">
        <v>1</v>
      </c>
      <c r="BK11" s="314">
        <v>205</v>
      </c>
      <c r="BL11" s="313">
        <v>0</v>
      </c>
      <c r="BM11" s="313"/>
      <c r="BN11" s="313"/>
      <c r="BO11" s="313">
        <v>7</v>
      </c>
      <c r="BP11" s="316">
        <v>10</v>
      </c>
      <c r="BQ11" s="315"/>
      <c r="BR11" s="314">
        <v>10</v>
      </c>
      <c r="BS11" s="313"/>
      <c r="BT11" s="316"/>
      <c r="BU11" s="315"/>
      <c r="BV11" s="314"/>
      <c r="BW11" s="319">
        <v>13</v>
      </c>
      <c r="BX11" s="315"/>
      <c r="BY11" s="315">
        <v>28</v>
      </c>
      <c r="BZ11" s="315"/>
      <c r="CA11" s="315">
        <v>3</v>
      </c>
      <c r="CB11" s="315"/>
      <c r="CC11" s="315">
        <v>0</v>
      </c>
      <c r="CD11" s="315"/>
      <c r="CE11" s="315"/>
      <c r="CF11" s="315">
        <v>1</v>
      </c>
      <c r="CG11" s="315">
        <v>1</v>
      </c>
      <c r="CH11" s="315">
        <v>1</v>
      </c>
      <c r="CI11" s="315"/>
      <c r="CJ11" s="315"/>
      <c r="CK11" s="315"/>
      <c r="CL11" s="315"/>
      <c r="CM11" s="318">
        <v>47</v>
      </c>
      <c r="CN11" s="316">
        <v>3</v>
      </c>
      <c r="CO11" s="315"/>
      <c r="CP11" s="314">
        <v>3</v>
      </c>
      <c r="CQ11" s="313">
        <v>534</v>
      </c>
      <c r="CR11" s="316">
        <v>275</v>
      </c>
      <c r="CS11" s="315">
        <v>19</v>
      </c>
      <c r="CT11" s="315">
        <v>232868</v>
      </c>
      <c r="CU11" s="315">
        <v>459</v>
      </c>
      <c r="CV11" s="315">
        <v>16703</v>
      </c>
      <c r="CW11" s="315">
        <v>51</v>
      </c>
      <c r="CX11" s="315">
        <v>10</v>
      </c>
      <c r="CY11" s="315">
        <v>6</v>
      </c>
      <c r="CZ11" s="315">
        <v>11</v>
      </c>
      <c r="DA11" s="315"/>
      <c r="DB11" s="315"/>
      <c r="DC11" s="314">
        <v>250402</v>
      </c>
      <c r="DD11" s="319">
        <v>558</v>
      </c>
      <c r="DE11" s="315">
        <v>28</v>
      </c>
      <c r="DF11" s="315">
        <v>16</v>
      </c>
      <c r="DG11" s="315">
        <v>190</v>
      </c>
      <c r="DH11" s="315">
        <v>6</v>
      </c>
      <c r="DI11" s="315"/>
      <c r="DJ11" s="315"/>
      <c r="DK11" s="318">
        <v>798</v>
      </c>
      <c r="DL11" s="317"/>
      <c r="DM11" s="313"/>
      <c r="DN11" s="316"/>
      <c r="DO11" s="315"/>
      <c r="DP11" s="314"/>
      <c r="DQ11" s="313">
        <v>95</v>
      </c>
      <c r="DR11" s="316">
        <v>1</v>
      </c>
      <c r="DS11" s="315"/>
      <c r="DT11" s="314">
        <v>1</v>
      </c>
      <c r="DU11" s="319">
        <v>30</v>
      </c>
      <c r="DV11" s="315"/>
      <c r="DW11" s="318">
        <v>30</v>
      </c>
      <c r="DX11" s="317">
        <v>160</v>
      </c>
      <c r="DY11" s="313"/>
      <c r="DZ11" s="313">
        <v>15</v>
      </c>
      <c r="EA11" s="313"/>
      <c r="EB11" s="313"/>
      <c r="EC11" s="316">
        <v>151</v>
      </c>
      <c r="ED11" s="315">
        <v>55</v>
      </c>
      <c r="EE11" s="315"/>
      <c r="EF11" s="315"/>
      <c r="EG11" s="315"/>
      <c r="EH11" s="314">
        <v>206</v>
      </c>
      <c r="EI11" s="319">
        <v>67</v>
      </c>
      <c r="EJ11" s="315">
        <v>643</v>
      </c>
      <c r="EK11" s="315">
        <v>133</v>
      </c>
      <c r="EL11" s="315">
        <v>89</v>
      </c>
      <c r="EM11" s="315">
        <v>512</v>
      </c>
      <c r="EN11" s="315">
        <v>4</v>
      </c>
      <c r="EO11" s="315">
        <v>0</v>
      </c>
      <c r="EP11" s="315">
        <v>45</v>
      </c>
      <c r="EQ11" s="315"/>
      <c r="ER11" s="315">
        <v>2</v>
      </c>
      <c r="ES11" s="315">
        <v>2</v>
      </c>
      <c r="ET11" s="315"/>
      <c r="EU11" s="315"/>
      <c r="EV11" s="318">
        <v>1497</v>
      </c>
      <c r="EW11" s="317"/>
      <c r="EX11" s="313">
        <v>1</v>
      </c>
      <c r="EY11" s="316">
        <v>1</v>
      </c>
      <c r="EZ11" s="315"/>
      <c r="FA11" s="315"/>
      <c r="FB11" s="314">
        <v>1</v>
      </c>
      <c r="FC11" s="319">
        <v>1</v>
      </c>
      <c r="FD11" s="315"/>
      <c r="FE11" s="318">
        <v>1</v>
      </c>
      <c r="FF11" s="317"/>
      <c r="FG11" s="319">
        <v>29</v>
      </c>
      <c r="FH11" s="315">
        <v>2</v>
      </c>
      <c r="FI11" s="315">
        <v>2</v>
      </c>
      <c r="FJ11" s="315">
        <v>2</v>
      </c>
      <c r="FK11" s="318">
        <v>35</v>
      </c>
      <c r="FL11" s="316"/>
      <c r="FM11" s="315"/>
      <c r="FN11" s="314"/>
      <c r="FO11" s="319">
        <v>4</v>
      </c>
      <c r="FP11" s="315"/>
      <c r="FQ11" s="318">
        <v>4</v>
      </c>
      <c r="FR11" s="317">
        <v>13</v>
      </c>
      <c r="FS11" s="313">
        <v>24</v>
      </c>
      <c r="FT11" s="316">
        <v>11</v>
      </c>
      <c r="FU11" s="315">
        <v>7</v>
      </c>
      <c r="FV11" s="315">
        <v>3</v>
      </c>
      <c r="FW11" s="315"/>
      <c r="FX11" s="315"/>
      <c r="FY11" s="314">
        <v>21</v>
      </c>
      <c r="FZ11" s="313"/>
      <c r="GA11" s="316">
        <v>438</v>
      </c>
      <c r="GB11" s="315"/>
      <c r="GC11" s="314">
        <v>438</v>
      </c>
      <c r="GD11" s="313"/>
      <c r="GE11" s="316">
        <v>1</v>
      </c>
      <c r="GF11" s="315"/>
      <c r="GG11" s="315"/>
      <c r="GH11" s="314">
        <v>1</v>
      </c>
      <c r="GI11" s="313">
        <v>14</v>
      </c>
      <c r="GJ11" s="316">
        <v>30</v>
      </c>
      <c r="GK11" s="315"/>
      <c r="GL11" s="315">
        <v>5</v>
      </c>
      <c r="GM11" s="315">
        <v>4</v>
      </c>
      <c r="GN11" s="314">
        <v>39</v>
      </c>
      <c r="GO11" s="313">
        <v>263106</v>
      </c>
      <c r="GP11" s="312">
        <f>263106/44564395</f>
        <v>5.9039509007134507E-3</v>
      </c>
    </row>
    <row r="12" spans="2:198" ht="12.75" thickBot="1" x14ac:dyDescent="0.25">
      <c r="B12" s="311" t="s">
        <v>541</v>
      </c>
      <c r="C12" s="310">
        <v>393</v>
      </c>
      <c r="D12" s="129">
        <v>9</v>
      </c>
      <c r="E12" s="129">
        <v>2</v>
      </c>
      <c r="F12" s="129">
        <v>10</v>
      </c>
      <c r="G12" s="309">
        <v>414</v>
      </c>
      <c r="H12" s="141"/>
      <c r="I12" s="138">
        <v>7</v>
      </c>
      <c r="J12" s="129"/>
      <c r="K12" s="139">
        <v>7</v>
      </c>
      <c r="L12" s="141">
        <v>1</v>
      </c>
      <c r="M12" s="135">
        <v>6867</v>
      </c>
      <c r="N12" s="141">
        <v>45421</v>
      </c>
      <c r="O12" s="129">
        <v>53</v>
      </c>
      <c r="P12" s="129">
        <v>136</v>
      </c>
      <c r="Q12" s="129">
        <v>1173</v>
      </c>
      <c r="R12" s="129">
        <v>15</v>
      </c>
      <c r="S12" s="129">
        <v>19</v>
      </c>
      <c r="T12" s="129">
        <v>1</v>
      </c>
      <c r="U12" s="129"/>
      <c r="V12" s="133">
        <v>46818</v>
      </c>
      <c r="W12" s="138">
        <v>1</v>
      </c>
      <c r="X12" s="129">
        <v>3</v>
      </c>
      <c r="Y12" s="139">
        <v>4</v>
      </c>
      <c r="Z12" s="131">
        <v>622</v>
      </c>
      <c r="AA12" s="129">
        <v>13</v>
      </c>
      <c r="AB12" s="129">
        <v>1</v>
      </c>
      <c r="AC12" s="133">
        <v>636</v>
      </c>
      <c r="AD12" s="138">
        <v>2325</v>
      </c>
      <c r="AE12" s="129">
        <v>25</v>
      </c>
      <c r="AF12" s="139">
        <v>2350</v>
      </c>
      <c r="AG12" s="131">
        <v>40</v>
      </c>
      <c r="AH12" s="129">
        <v>1</v>
      </c>
      <c r="AI12" s="129">
        <v>22</v>
      </c>
      <c r="AJ12" s="129"/>
      <c r="AK12" s="133">
        <v>63</v>
      </c>
      <c r="AL12" s="138">
        <v>118</v>
      </c>
      <c r="AM12" s="129"/>
      <c r="AN12" s="139">
        <v>118</v>
      </c>
      <c r="AO12" s="135"/>
      <c r="AP12" s="135"/>
      <c r="AQ12" s="131">
        <v>98</v>
      </c>
      <c r="AR12" s="129">
        <v>161</v>
      </c>
      <c r="AS12" s="133">
        <v>259</v>
      </c>
      <c r="AT12" s="138">
        <v>54</v>
      </c>
      <c r="AU12" s="129">
        <v>0</v>
      </c>
      <c r="AV12" s="129">
        <v>301</v>
      </c>
      <c r="AW12" s="129">
        <v>4</v>
      </c>
      <c r="AX12" s="129"/>
      <c r="AY12" s="129"/>
      <c r="AZ12" s="129"/>
      <c r="BA12" s="129"/>
      <c r="BB12" s="129"/>
      <c r="BC12" s="139">
        <v>359</v>
      </c>
      <c r="BD12" s="141"/>
      <c r="BE12" s="135">
        <v>11</v>
      </c>
      <c r="BF12" s="131">
        <v>194</v>
      </c>
      <c r="BG12" s="129">
        <v>402</v>
      </c>
      <c r="BH12" s="129">
        <v>1591</v>
      </c>
      <c r="BI12" s="129">
        <v>39</v>
      </c>
      <c r="BJ12" s="129">
        <v>21</v>
      </c>
      <c r="BK12" s="133">
        <v>2247</v>
      </c>
      <c r="BL12" s="135">
        <v>1</v>
      </c>
      <c r="BM12" s="135"/>
      <c r="BN12" s="135">
        <v>1</v>
      </c>
      <c r="BO12" s="135">
        <v>72</v>
      </c>
      <c r="BP12" s="131">
        <v>46</v>
      </c>
      <c r="BQ12" s="129">
        <v>4</v>
      </c>
      <c r="BR12" s="133">
        <v>50</v>
      </c>
      <c r="BS12" s="135">
        <v>1</v>
      </c>
      <c r="BT12" s="131">
        <v>5</v>
      </c>
      <c r="BU12" s="129"/>
      <c r="BV12" s="133">
        <v>5</v>
      </c>
      <c r="BW12" s="138">
        <v>59</v>
      </c>
      <c r="BX12" s="129">
        <v>0</v>
      </c>
      <c r="BY12" s="129">
        <v>167</v>
      </c>
      <c r="BZ12" s="129">
        <v>17</v>
      </c>
      <c r="CA12" s="129">
        <v>15</v>
      </c>
      <c r="CB12" s="129">
        <v>24</v>
      </c>
      <c r="CC12" s="129">
        <v>36</v>
      </c>
      <c r="CD12" s="129">
        <v>2</v>
      </c>
      <c r="CE12" s="129">
        <v>36</v>
      </c>
      <c r="CF12" s="129">
        <v>91</v>
      </c>
      <c r="CG12" s="129">
        <v>90</v>
      </c>
      <c r="CH12" s="129">
        <v>1</v>
      </c>
      <c r="CI12" s="129"/>
      <c r="CJ12" s="129"/>
      <c r="CK12" s="129"/>
      <c r="CL12" s="129"/>
      <c r="CM12" s="139">
        <v>538</v>
      </c>
      <c r="CN12" s="131">
        <v>8</v>
      </c>
      <c r="CO12" s="129"/>
      <c r="CP12" s="133">
        <v>8</v>
      </c>
      <c r="CQ12" s="135">
        <v>534</v>
      </c>
      <c r="CR12" s="131">
        <v>1321</v>
      </c>
      <c r="CS12" s="129">
        <v>5550</v>
      </c>
      <c r="CT12" s="129">
        <v>1184150</v>
      </c>
      <c r="CU12" s="129">
        <v>1386</v>
      </c>
      <c r="CV12" s="129">
        <v>207574</v>
      </c>
      <c r="CW12" s="129">
        <v>875</v>
      </c>
      <c r="CX12" s="129">
        <v>329</v>
      </c>
      <c r="CY12" s="129">
        <v>60</v>
      </c>
      <c r="CZ12" s="129">
        <v>68</v>
      </c>
      <c r="DA12" s="129">
        <v>5</v>
      </c>
      <c r="DB12" s="129">
        <v>1</v>
      </c>
      <c r="DC12" s="133">
        <v>1401319</v>
      </c>
      <c r="DD12" s="138">
        <v>3261</v>
      </c>
      <c r="DE12" s="129">
        <v>287</v>
      </c>
      <c r="DF12" s="129">
        <v>160</v>
      </c>
      <c r="DG12" s="129">
        <v>1208</v>
      </c>
      <c r="DH12" s="129">
        <v>106</v>
      </c>
      <c r="DI12" s="129">
        <v>3</v>
      </c>
      <c r="DJ12" s="129"/>
      <c r="DK12" s="139">
        <v>5025</v>
      </c>
      <c r="DL12" s="141">
        <v>1</v>
      </c>
      <c r="DM12" s="135"/>
      <c r="DN12" s="131"/>
      <c r="DO12" s="129"/>
      <c r="DP12" s="133"/>
      <c r="DQ12" s="135">
        <v>240</v>
      </c>
      <c r="DR12" s="131">
        <v>1</v>
      </c>
      <c r="DS12" s="129"/>
      <c r="DT12" s="133">
        <v>1</v>
      </c>
      <c r="DU12" s="138">
        <v>437</v>
      </c>
      <c r="DV12" s="129"/>
      <c r="DW12" s="139">
        <v>437</v>
      </c>
      <c r="DX12" s="141">
        <v>203</v>
      </c>
      <c r="DY12" s="135">
        <v>1</v>
      </c>
      <c r="DZ12" s="135">
        <v>176</v>
      </c>
      <c r="EA12" s="135">
        <v>3</v>
      </c>
      <c r="EB12" s="135"/>
      <c r="EC12" s="131">
        <v>242</v>
      </c>
      <c r="ED12" s="129">
        <v>557</v>
      </c>
      <c r="EE12" s="129">
        <v>1</v>
      </c>
      <c r="EF12" s="129"/>
      <c r="EG12" s="129"/>
      <c r="EH12" s="133">
        <v>800</v>
      </c>
      <c r="EI12" s="138">
        <v>638</v>
      </c>
      <c r="EJ12" s="129">
        <v>3892</v>
      </c>
      <c r="EK12" s="129">
        <v>427</v>
      </c>
      <c r="EL12" s="129">
        <v>466</v>
      </c>
      <c r="EM12" s="129">
        <v>6794</v>
      </c>
      <c r="EN12" s="129">
        <v>118</v>
      </c>
      <c r="EO12" s="129">
        <v>169</v>
      </c>
      <c r="EP12" s="129">
        <v>740</v>
      </c>
      <c r="EQ12" s="129">
        <v>27</v>
      </c>
      <c r="ER12" s="129">
        <v>37</v>
      </c>
      <c r="ES12" s="129">
        <v>129</v>
      </c>
      <c r="ET12" s="129">
        <v>2</v>
      </c>
      <c r="EU12" s="129"/>
      <c r="EV12" s="139">
        <v>13439</v>
      </c>
      <c r="EW12" s="141"/>
      <c r="EX12" s="135">
        <v>3</v>
      </c>
      <c r="EY12" s="131">
        <v>3</v>
      </c>
      <c r="EZ12" s="129">
        <v>5</v>
      </c>
      <c r="FA12" s="129">
        <v>102</v>
      </c>
      <c r="FB12" s="133">
        <v>110</v>
      </c>
      <c r="FC12" s="138">
        <v>1</v>
      </c>
      <c r="FD12" s="129"/>
      <c r="FE12" s="139">
        <v>1</v>
      </c>
      <c r="FF12" s="141">
        <v>20</v>
      </c>
      <c r="FG12" s="138">
        <v>857</v>
      </c>
      <c r="FH12" s="129">
        <v>24</v>
      </c>
      <c r="FI12" s="129">
        <v>12</v>
      </c>
      <c r="FJ12" s="129">
        <v>105</v>
      </c>
      <c r="FK12" s="139">
        <v>998</v>
      </c>
      <c r="FL12" s="131"/>
      <c r="FM12" s="129"/>
      <c r="FN12" s="133"/>
      <c r="FO12" s="138">
        <v>45</v>
      </c>
      <c r="FP12" s="129"/>
      <c r="FQ12" s="139">
        <v>45</v>
      </c>
      <c r="FR12" s="141">
        <v>16</v>
      </c>
      <c r="FS12" s="135">
        <v>193</v>
      </c>
      <c r="FT12" s="131">
        <v>7540</v>
      </c>
      <c r="FU12" s="129">
        <v>353</v>
      </c>
      <c r="FV12" s="129">
        <v>13</v>
      </c>
      <c r="FW12" s="129">
        <v>13</v>
      </c>
      <c r="FX12" s="129"/>
      <c r="FY12" s="133">
        <v>7919</v>
      </c>
      <c r="FZ12" s="135"/>
      <c r="GA12" s="131">
        <v>1908</v>
      </c>
      <c r="GB12" s="129">
        <v>9</v>
      </c>
      <c r="GC12" s="133">
        <v>1917</v>
      </c>
      <c r="GD12" s="135"/>
      <c r="GE12" s="131">
        <v>13</v>
      </c>
      <c r="GF12" s="129">
        <v>0</v>
      </c>
      <c r="GG12" s="129"/>
      <c r="GH12" s="133">
        <v>13</v>
      </c>
      <c r="GI12" s="135">
        <v>245</v>
      </c>
      <c r="GJ12" s="131">
        <v>197</v>
      </c>
      <c r="GK12" s="129">
        <v>7</v>
      </c>
      <c r="GL12" s="129">
        <v>106</v>
      </c>
      <c r="GM12" s="129">
        <v>64</v>
      </c>
      <c r="GN12" s="133">
        <v>374</v>
      </c>
      <c r="GO12" s="135">
        <v>1494863</v>
      </c>
      <c r="GP12" s="308">
        <f>1494863/44564395</f>
        <v>3.3543886324497396E-2</v>
      </c>
    </row>
    <row r="13" spans="2:198" x14ac:dyDescent="0.2">
      <c r="B13" s="322" t="s">
        <v>29</v>
      </c>
      <c r="C13" s="321">
        <v>23</v>
      </c>
      <c r="D13" s="315"/>
      <c r="E13" s="315"/>
      <c r="F13" s="315"/>
      <c r="G13" s="320">
        <v>23</v>
      </c>
      <c r="H13" s="317"/>
      <c r="I13" s="319">
        <v>0</v>
      </c>
      <c r="J13" s="315"/>
      <c r="K13" s="318">
        <v>0</v>
      </c>
      <c r="L13" s="317"/>
      <c r="M13" s="313">
        <v>203</v>
      </c>
      <c r="N13" s="317">
        <v>600</v>
      </c>
      <c r="O13" s="315">
        <v>0</v>
      </c>
      <c r="P13" s="315">
        <v>29</v>
      </c>
      <c r="Q13" s="315">
        <v>46</v>
      </c>
      <c r="R13" s="315">
        <v>1</v>
      </c>
      <c r="S13" s="315"/>
      <c r="T13" s="315"/>
      <c r="U13" s="315">
        <v>4</v>
      </c>
      <c r="V13" s="314">
        <v>680</v>
      </c>
      <c r="W13" s="319">
        <v>3</v>
      </c>
      <c r="X13" s="315">
        <v>1</v>
      </c>
      <c r="Y13" s="318">
        <v>4</v>
      </c>
      <c r="Z13" s="316">
        <v>38</v>
      </c>
      <c r="AA13" s="315"/>
      <c r="AB13" s="315"/>
      <c r="AC13" s="314">
        <v>38</v>
      </c>
      <c r="AD13" s="319">
        <v>2210</v>
      </c>
      <c r="AE13" s="315">
        <v>1</v>
      </c>
      <c r="AF13" s="318">
        <v>2211</v>
      </c>
      <c r="AG13" s="316">
        <v>10</v>
      </c>
      <c r="AH13" s="315"/>
      <c r="AI13" s="315"/>
      <c r="AJ13" s="315"/>
      <c r="AK13" s="314">
        <v>10</v>
      </c>
      <c r="AL13" s="319"/>
      <c r="AM13" s="315"/>
      <c r="AN13" s="318"/>
      <c r="AO13" s="313"/>
      <c r="AP13" s="313"/>
      <c r="AQ13" s="316"/>
      <c r="AR13" s="315">
        <v>0</v>
      </c>
      <c r="AS13" s="314">
        <v>0</v>
      </c>
      <c r="AT13" s="319">
        <v>6</v>
      </c>
      <c r="AU13" s="315">
        <v>1</v>
      </c>
      <c r="AV13" s="315"/>
      <c r="AW13" s="315"/>
      <c r="AX13" s="315"/>
      <c r="AY13" s="315"/>
      <c r="AZ13" s="315"/>
      <c r="BA13" s="315"/>
      <c r="BB13" s="315"/>
      <c r="BC13" s="318">
        <v>7</v>
      </c>
      <c r="BD13" s="317"/>
      <c r="BE13" s="313"/>
      <c r="BF13" s="316">
        <v>16</v>
      </c>
      <c r="BG13" s="315">
        <v>90</v>
      </c>
      <c r="BH13" s="315">
        <v>215</v>
      </c>
      <c r="BI13" s="315">
        <v>33</v>
      </c>
      <c r="BJ13" s="315">
        <v>1</v>
      </c>
      <c r="BK13" s="314">
        <v>355</v>
      </c>
      <c r="BL13" s="313">
        <v>1</v>
      </c>
      <c r="BM13" s="313"/>
      <c r="BN13" s="313"/>
      <c r="BO13" s="313">
        <v>3</v>
      </c>
      <c r="BP13" s="316"/>
      <c r="BQ13" s="315"/>
      <c r="BR13" s="314"/>
      <c r="BS13" s="313"/>
      <c r="BT13" s="316">
        <v>1</v>
      </c>
      <c r="BU13" s="315"/>
      <c r="BV13" s="314">
        <v>1</v>
      </c>
      <c r="BW13" s="319"/>
      <c r="BX13" s="315"/>
      <c r="BY13" s="315"/>
      <c r="BZ13" s="315"/>
      <c r="CA13" s="315"/>
      <c r="CB13" s="315"/>
      <c r="CC13" s="315"/>
      <c r="CD13" s="315"/>
      <c r="CE13" s="315"/>
      <c r="CF13" s="315"/>
      <c r="CG13" s="315">
        <v>1</v>
      </c>
      <c r="CH13" s="315"/>
      <c r="CI13" s="315"/>
      <c r="CJ13" s="315"/>
      <c r="CK13" s="315"/>
      <c r="CL13" s="315"/>
      <c r="CM13" s="318">
        <v>1</v>
      </c>
      <c r="CN13" s="316"/>
      <c r="CO13" s="315"/>
      <c r="CP13" s="314"/>
      <c r="CQ13" s="313"/>
      <c r="CR13" s="316">
        <v>31</v>
      </c>
      <c r="CS13" s="315">
        <v>1</v>
      </c>
      <c r="CT13" s="315">
        <v>30382</v>
      </c>
      <c r="CU13" s="315">
        <v>651</v>
      </c>
      <c r="CV13" s="315">
        <v>4109</v>
      </c>
      <c r="CW13" s="315">
        <v>2</v>
      </c>
      <c r="CX13" s="315"/>
      <c r="CY13" s="315"/>
      <c r="CZ13" s="315">
        <v>12</v>
      </c>
      <c r="DA13" s="315"/>
      <c r="DB13" s="315"/>
      <c r="DC13" s="314">
        <v>35188</v>
      </c>
      <c r="DD13" s="319">
        <v>184</v>
      </c>
      <c r="DE13" s="315"/>
      <c r="DF13" s="315">
        <v>2140</v>
      </c>
      <c r="DG13" s="315">
        <v>73</v>
      </c>
      <c r="DH13" s="315">
        <v>14</v>
      </c>
      <c r="DI13" s="315">
        <v>10</v>
      </c>
      <c r="DJ13" s="315">
        <v>0</v>
      </c>
      <c r="DK13" s="318">
        <v>2421</v>
      </c>
      <c r="DL13" s="317"/>
      <c r="DM13" s="313"/>
      <c r="DN13" s="316"/>
      <c r="DO13" s="315"/>
      <c r="DP13" s="314"/>
      <c r="DQ13" s="313">
        <v>35</v>
      </c>
      <c r="DR13" s="316"/>
      <c r="DS13" s="315"/>
      <c r="DT13" s="314"/>
      <c r="DU13" s="319"/>
      <c r="DV13" s="315"/>
      <c r="DW13" s="318"/>
      <c r="DX13" s="317">
        <v>3</v>
      </c>
      <c r="DY13" s="313"/>
      <c r="DZ13" s="313">
        <v>40</v>
      </c>
      <c r="EA13" s="313"/>
      <c r="EB13" s="313"/>
      <c r="EC13" s="316">
        <v>3</v>
      </c>
      <c r="ED13" s="315"/>
      <c r="EE13" s="315"/>
      <c r="EF13" s="315"/>
      <c r="EG13" s="315"/>
      <c r="EH13" s="314">
        <v>3</v>
      </c>
      <c r="EI13" s="319">
        <v>70</v>
      </c>
      <c r="EJ13" s="315">
        <v>47</v>
      </c>
      <c r="EK13" s="315">
        <v>62</v>
      </c>
      <c r="EL13" s="315">
        <v>106</v>
      </c>
      <c r="EM13" s="315">
        <v>60</v>
      </c>
      <c r="EN13" s="315">
        <v>0</v>
      </c>
      <c r="EO13" s="315">
        <v>2</v>
      </c>
      <c r="EP13" s="315">
        <v>106</v>
      </c>
      <c r="EQ13" s="315"/>
      <c r="ER13" s="315">
        <v>3</v>
      </c>
      <c r="ES13" s="315">
        <v>2</v>
      </c>
      <c r="ET13" s="315"/>
      <c r="EU13" s="315"/>
      <c r="EV13" s="318">
        <v>458</v>
      </c>
      <c r="EW13" s="317"/>
      <c r="EX13" s="313">
        <v>0</v>
      </c>
      <c r="EY13" s="316"/>
      <c r="EZ13" s="315"/>
      <c r="FA13" s="315"/>
      <c r="FB13" s="314"/>
      <c r="FC13" s="319"/>
      <c r="FD13" s="315"/>
      <c r="FE13" s="318"/>
      <c r="FF13" s="317">
        <v>0</v>
      </c>
      <c r="FG13" s="319"/>
      <c r="FH13" s="315"/>
      <c r="FI13" s="315"/>
      <c r="FJ13" s="315"/>
      <c r="FK13" s="318"/>
      <c r="FL13" s="316"/>
      <c r="FM13" s="315"/>
      <c r="FN13" s="314"/>
      <c r="FO13" s="319"/>
      <c r="FP13" s="315"/>
      <c r="FQ13" s="318"/>
      <c r="FR13" s="317"/>
      <c r="FS13" s="313">
        <v>4</v>
      </c>
      <c r="FT13" s="316"/>
      <c r="FU13" s="315"/>
      <c r="FV13" s="315"/>
      <c r="FW13" s="315"/>
      <c r="FX13" s="315"/>
      <c r="FY13" s="314"/>
      <c r="FZ13" s="313"/>
      <c r="GA13" s="316">
        <v>13</v>
      </c>
      <c r="GB13" s="315"/>
      <c r="GC13" s="314">
        <v>13</v>
      </c>
      <c r="GD13" s="313"/>
      <c r="GE13" s="316">
        <v>5</v>
      </c>
      <c r="GF13" s="315">
        <v>1</v>
      </c>
      <c r="GG13" s="315"/>
      <c r="GH13" s="314">
        <v>6</v>
      </c>
      <c r="GI13" s="313"/>
      <c r="GJ13" s="316"/>
      <c r="GK13" s="315"/>
      <c r="GL13" s="315"/>
      <c r="GM13" s="315"/>
      <c r="GN13" s="314"/>
      <c r="GO13" s="313">
        <v>41708</v>
      </c>
      <c r="GP13" s="312">
        <f>41708/44564395</f>
        <v>9.3590410012297934E-4</v>
      </c>
    </row>
    <row r="14" spans="2:198" x14ac:dyDescent="0.2">
      <c r="B14" s="326" t="s">
        <v>56</v>
      </c>
      <c r="C14" s="325">
        <v>89</v>
      </c>
      <c r="D14" s="128"/>
      <c r="E14" s="128"/>
      <c r="F14" s="128"/>
      <c r="G14" s="324">
        <v>89</v>
      </c>
      <c r="H14" s="140"/>
      <c r="I14" s="136">
        <v>0</v>
      </c>
      <c r="J14" s="128"/>
      <c r="K14" s="137">
        <v>0</v>
      </c>
      <c r="L14" s="140"/>
      <c r="M14" s="134">
        <v>376</v>
      </c>
      <c r="N14" s="140">
        <v>2982</v>
      </c>
      <c r="O14" s="128">
        <v>13</v>
      </c>
      <c r="P14" s="128">
        <v>57</v>
      </c>
      <c r="Q14" s="128">
        <v>138</v>
      </c>
      <c r="R14" s="128">
        <v>4</v>
      </c>
      <c r="S14" s="128"/>
      <c r="T14" s="128"/>
      <c r="U14" s="128"/>
      <c r="V14" s="132">
        <v>3194</v>
      </c>
      <c r="W14" s="136">
        <v>5</v>
      </c>
      <c r="X14" s="128">
        <v>4</v>
      </c>
      <c r="Y14" s="137">
        <v>9</v>
      </c>
      <c r="Z14" s="130">
        <v>75</v>
      </c>
      <c r="AA14" s="128"/>
      <c r="AB14" s="128"/>
      <c r="AC14" s="132">
        <v>75</v>
      </c>
      <c r="AD14" s="136">
        <v>6493</v>
      </c>
      <c r="AE14" s="128">
        <v>3</v>
      </c>
      <c r="AF14" s="137">
        <v>6496</v>
      </c>
      <c r="AG14" s="130">
        <v>26</v>
      </c>
      <c r="AH14" s="128"/>
      <c r="AI14" s="128"/>
      <c r="AJ14" s="128"/>
      <c r="AK14" s="132">
        <v>26</v>
      </c>
      <c r="AL14" s="136"/>
      <c r="AM14" s="128"/>
      <c r="AN14" s="137"/>
      <c r="AO14" s="134"/>
      <c r="AP14" s="134"/>
      <c r="AQ14" s="130">
        <v>1</v>
      </c>
      <c r="AR14" s="128"/>
      <c r="AS14" s="132">
        <v>1</v>
      </c>
      <c r="AT14" s="136">
        <v>25</v>
      </c>
      <c r="AU14" s="128"/>
      <c r="AV14" s="128">
        <v>165</v>
      </c>
      <c r="AW14" s="128"/>
      <c r="AX14" s="128"/>
      <c r="AY14" s="128"/>
      <c r="AZ14" s="128"/>
      <c r="BA14" s="128"/>
      <c r="BB14" s="128"/>
      <c r="BC14" s="137">
        <v>190</v>
      </c>
      <c r="BD14" s="140">
        <v>0</v>
      </c>
      <c r="BE14" s="134">
        <v>0</v>
      </c>
      <c r="BF14" s="130">
        <v>34</v>
      </c>
      <c r="BG14" s="128">
        <v>248</v>
      </c>
      <c r="BH14" s="128">
        <v>327</v>
      </c>
      <c r="BI14" s="128">
        <v>46</v>
      </c>
      <c r="BJ14" s="128">
        <v>49</v>
      </c>
      <c r="BK14" s="132">
        <v>704</v>
      </c>
      <c r="BL14" s="134">
        <v>1</v>
      </c>
      <c r="BM14" s="134"/>
      <c r="BN14" s="134"/>
      <c r="BO14" s="134">
        <v>7</v>
      </c>
      <c r="BP14" s="130">
        <v>4</v>
      </c>
      <c r="BQ14" s="128"/>
      <c r="BR14" s="132">
        <v>4</v>
      </c>
      <c r="BS14" s="134"/>
      <c r="BT14" s="130"/>
      <c r="BU14" s="128"/>
      <c r="BV14" s="132"/>
      <c r="BW14" s="136">
        <v>2</v>
      </c>
      <c r="BX14" s="128"/>
      <c r="BY14" s="128">
        <v>9</v>
      </c>
      <c r="BZ14" s="128"/>
      <c r="CA14" s="128"/>
      <c r="CB14" s="128"/>
      <c r="CC14" s="128"/>
      <c r="CD14" s="128"/>
      <c r="CE14" s="128"/>
      <c r="CF14" s="128"/>
      <c r="CG14" s="128"/>
      <c r="CH14" s="128"/>
      <c r="CI14" s="128"/>
      <c r="CJ14" s="128"/>
      <c r="CK14" s="128"/>
      <c r="CL14" s="128"/>
      <c r="CM14" s="137">
        <v>11</v>
      </c>
      <c r="CN14" s="130">
        <v>1</v>
      </c>
      <c r="CO14" s="128"/>
      <c r="CP14" s="132">
        <v>1</v>
      </c>
      <c r="CQ14" s="134"/>
      <c r="CR14" s="130">
        <v>153</v>
      </c>
      <c r="CS14" s="128">
        <v>0</v>
      </c>
      <c r="CT14" s="128">
        <v>56207</v>
      </c>
      <c r="CU14" s="128">
        <v>1323</v>
      </c>
      <c r="CV14" s="128">
        <v>8561</v>
      </c>
      <c r="CW14" s="128">
        <v>4</v>
      </c>
      <c r="CX14" s="128">
        <v>1</v>
      </c>
      <c r="CY14" s="128"/>
      <c r="CZ14" s="128">
        <v>56</v>
      </c>
      <c r="DA14" s="128">
        <v>12</v>
      </c>
      <c r="DB14" s="128"/>
      <c r="DC14" s="132">
        <v>66317</v>
      </c>
      <c r="DD14" s="136">
        <v>729</v>
      </c>
      <c r="DE14" s="128"/>
      <c r="DF14" s="128">
        <v>3670</v>
      </c>
      <c r="DG14" s="128">
        <v>199</v>
      </c>
      <c r="DH14" s="128">
        <v>14</v>
      </c>
      <c r="DI14" s="128"/>
      <c r="DJ14" s="128">
        <v>0</v>
      </c>
      <c r="DK14" s="137">
        <v>4612</v>
      </c>
      <c r="DL14" s="140"/>
      <c r="DM14" s="134"/>
      <c r="DN14" s="130"/>
      <c r="DO14" s="128"/>
      <c r="DP14" s="132"/>
      <c r="DQ14" s="134">
        <v>113</v>
      </c>
      <c r="DR14" s="130"/>
      <c r="DS14" s="128"/>
      <c r="DT14" s="132"/>
      <c r="DU14" s="136"/>
      <c r="DV14" s="128"/>
      <c r="DW14" s="137"/>
      <c r="DX14" s="140">
        <v>4</v>
      </c>
      <c r="DY14" s="134"/>
      <c r="DZ14" s="134">
        <v>67</v>
      </c>
      <c r="EA14" s="134"/>
      <c r="EB14" s="134"/>
      <c r="EC14" s="130">
        <v>5</v>
      </c>
      <c r="ED14" s="128">
        <v>2</v>
      </c>
      <c r="EE14" s="128"/>
      <c r="EF14" s="128"/>
      <c r="EG14" s="128"/>
      <c r="EH14" s="132">
        <v>7</v>
      </c>
      <c r="EI14" s="136">
        <v>422</v>
      </c>
      <c r="EJ14" s="128">
        <v>441</v>
      </c>
      <c r="EK14" s="128">
        <v>110</v>
      </c>
      <c r="EL14" s="128">
        <v>181</v>
      </c>
      <c r="EM14" s="128">
        <v>402</v>
      </c>
      <c r="EN14" s="128">
        <v>14</v>
      </c>
      <c r="EO14" s="128">
        <v>6</v>
      </c>
      <c r="EP14" s="128">
        <v>525</v>
      </c>
      <c r="EQ14" s="128">
        <v>5</v>
      </c>
      <c r="ER14" s="128">
        <v>8</v>
      </c>
      <c r="ES14" s="128">
        <v>8</v>
      </c>
      <c r="ET14" s="128"/>
      <c r="EU14" s="128">
        <v>1</v>
      </c>
      <c r="EV14" s="137">
        <v>2123</v>
      </c>
      <c r="EW14" s="140"/>
      <c r="EX14" s="134">
        <v>1</v>
      </c>
      <c r="EY14" s="130"/>
      <c r="EZ14" s="128"/>
      <c r="FA14" s="128"/>
      <c r="FB14" s="132"/>
      <c r="FC14" s="136"/>
      <c r="FD14" s="128"/>
      <c r="FE14" s="137"/>
      <c r="FF14" s="140"/>
      <c r="FG14" s="136"/>
      <c r="FH14" s="128">
        <v>2</v>
      </c>
      <c r="FI14" s="128"/>
      <c r="FJ14" s="128"/>
      <c r="FK14" s="137">
        <v>2</v>
      </c>
      <c r="FL14" s="130">
        <v>0</v>
      </c>
      <c r="FM14" s="128"/>
      <c r="FN14" s="132">
        <v>0</v>
      </c>
      <c r="FO14" s="136"/>
      <c r="FP14" s="128"/>
      <c r="FQ14" s="137"/>
      <c r="FR14" s="140">
        <v>4</v>
      </c>
      <c r="FS14" s="134">
        <v>47</v>
      </c>
      <c r="FT14" s="130">
        <v>11</v>
      </c>
      <c r="FU14" s="128"/>
      <c r="FV14" s="128"/>
      <c r="FW14" s="128">
        <v>5</v>
      </c>
      <c r="FX14" s="128"/>
      <c r="FY14" s="132">
        <v>16</v>
      </c>
      <c r="FZ14" s="134"/>
      <c r="GA14" s="130">
        <v>40</v>
      </c>
      <c r="GB14" s="128"/>
      <c r="GC14" s="132">
        <v>40</v>
      </c>
      <c r="GD14" s="134"/>
      <c r="GE14" s="130">
        <v>3</v>
      </c>
      <c r="GF14" s="128"/>
      <c r="GG14" s="128"/>
      <c r="GH14" s="132">
        <v>3</v>
      </c>
      <c r="GI14" s="134"/>
      <c r="GJ14" s="130">
        <v>42</v>
      </c>
      <c r="GK14" s="128">
        <v>0</v>
      </c>
      <c r="GL14" s="128"/>
      <c r="GM14" s="128"/>
      <c r="GN14" s="132">
        <v>42</v>
      </c>
      <c r="GO14" s="134">
        <v>84582</v>
      </c>
      <c r="GP14" s="323">
        <f>84582/44564395</f>
        <v>1.8979725855136145E-3</v>
      </c>
    </row>
    <row r="15" spans="2:198" x14ac:dyDescent="0.2">
      <c r="B15" s="326" t="s">
        <v>140</v>
      </c>
      <c r="C15" s="325">
        <v>11</v>
      </c>
      <c r="D15" s="128"/>
      <c r="E15" s="128"/>
      <c r="F15" s="128"/>
      <c r="G15" s="324">
        <v>11</v>
      </c>
      <c r="H15" s="140"/>
      <c r="I15" s="136"/>
      <c r="J15" s="128"/>
      <c r="K15" s="137"/>
      <c r="L15" s="140"/>
      <c r="M15" s="134">
        <v>175</v>
      </c>
      <c r="N15" s="140">
        <v>1731</v>
      </c>
      <c r="O15" s="128">
        <v>7</v>
      </c>
      <c r="P15" s="128">
        <v>28</v>
      </c>
      <c r="Q15" s="128">
        <v>39</v>
      </c>
      <c r="R15" s="128">
        <v>1</v>
      </c>
      <c r="S15" s="128"/>
      <c r="T15" s="128"/>
      <c r="U15" s="128">
        <v>1</v>
      </c>
      <c r="V15" s="132">
        <v>1807</v>
      </c>
      <c r="W15" s="136"/>
      <c r="X15" s="128">
        <v>9</v>
      </c>
      <c r="Y15" s="137">
        <v>9</v>
      </c>
      <c r="Z15" s="130">
        <v>62</v>
      </c>
      <c r="AA15" s="128"/>
      <c r="AB15" s="128"/>
      <c r="AC15" s="132">
        <v>62</v>
      </c>
      <c r="AD15" s="136">
        <v>4621</v>
      </c>
      <c r="AE15" s="128"/>
      <c r="AF15" s="137">
        <v>4621</v>
      </c>
      <c r="AG15" s="130">
        <v>237</v>
      </c>
      <c r="AH15" s="128"/>
      <c r="AI15" s="128"/>
      <c r="AJ15" s="128"/>
      <c r="AK15" s="132">
        <v>237</v>
      </c>
      <c r="AL15" s="136"/>
      <c r="AM15" s="128"/>
      <c r="AN15" s="137"/>
      <c r="AO15" s="134"/>
      <c r="AP15" s="134"/>
      <c r="AQ15" s="130">
        <v>3</v>
      </c>
      <c r="AR15" s="128"/>
      <c r="AS15" s="132">
        <v>3</v>
      </c>
      <c r="AT15" s="136">
        <v>56</v>
      </c>
      <c r="AU15" s="128"/>
      <c r="AV15" s="128">
        <v>14</v>
      </c>
      <c r="AW15" s="128"/>
      <c r="AX15" s="128"/>
      <c r="AY15" s="128"/>
      <c r="AZ15" s="128"/>
      <c r="BA15" s="128"/>
      <c r="BB15" s="128"/>
      <c r="BC15" s="137">
        <v>70</v>
      </c>
      <c r="BD15" s="140"/>
      <c r="BE15" s="134">
        <v>1</v>
      </c>
      <c r="BF15" s="130">
        <v>16</v>
      </c>
      <c r="BG15" s="128">
        <v>75</v>
      </c>
      <c r="BH15" s="128">
        <v>299</v>
      </c>
      <c r="BI15" s="128">
        <v>39</v>
      </c>
      <c r="BJ15" s="128">
        <v>2</v>
      </c>
      <c r="BK15" s="132">
        <v>431</v>
      </c>
      <c r="BL15" s="134"/>
      <c r="BM15" s="134"/>
      <c r="BN15" s="134"/>
      <c r="BO15" s="134">
        <v>2</v>
      </c>
      <c r="BP15" s="130">
        <v>1</v>
      </c>
      <c r="BQ15" s="128"/>
      <c r="BR15" s="132">
        <v>1</v>
      </c>
      <c r="BS15" s="134"/>
      <c r="BT15" s="130"/>
      <c r="BU15" s="128"/>
      <c r="BV15" s="132"/>
      <c r="BW15" s="136"/>
      <c r="BX15" s="128"/>
      <c r="BY15" s="128"/>
      <c r="BZ15" s="128"/>
      <c r="CA15" s="128"/>
      <c r="CB15" s="128"/>
      <c r="CC15" s="128"/>
      <c r="CD15" s="128"/>
      <c r="CE15" s="128"/>
      <c r="CF15" s="128"/>
      <c r="CG15" s="128"/>
      <c r="CH15" s="128"/>
      <c r="CI15" s="128"/>
      <c r="CJ15" s="128"/>
      <c r="CK15" s="128"/>
      <c r="CL15" s="128"/>
      <c r="CM15" s="137"/>
      <c r="CN15" s="130"/>
      <c r="CO15" s="128"/>
      <c r="CP15" s="132"/>
      <c r="CQ15" s="134"/>
      <c r="CR15" s="130">
        <v>59</v>
      </c>
      <c r="CS15" s="128">
        <v>9</v>
      </c>
      <c r="CT15" s="128">
        <v>54574</v>
      </c>
      <c r="CU15" s="128">
        <v>712</v>
      </c>
      <c r="CV15" s="128">
        <v>7737</v>
      </c>
      <c r="CW15" s="128">
        <v>0</v>
      </c>
      <c r="CX15" s="128"/>
      <c r="CY15" s="128"/>
      <c r="CZ15" s="128">
        <v>26</v>
      </c>
      <c r="DA15" s="128"/>
      <c r="DB15" s="128"/>
      <c r="DC15" s="132">
        <v>63117</v>
      </c>
      <c r="DD15" s="136">
        <v>360</v>
      </c>
      <c r="DE15" s="128">
        <v>1</v>
      </c>
      <c r="DF15" s="128">
        <v>6060</v>
      </c>
      <c r="DG15" s="128">
        <v>106</v>
      </c>
      <c r="DH15" s="128">
        <v>12</v>
      </c>
      <c r="DI15" s="128">
        <v>1</v>
      </c>
      <c r="DJ15" s="128">
        <v>2</v>
      </c>
      <c r="DK15" s="137">
        <v>6542</v>
      </c>
      <c r="DL15" s="140"/>
      <c r="DM15" s="134"/>
      <c r="DN15" s="130"/>
      <c r="DO15" s="128"/>
      <c r="DP15" s="132"/>
      <c r="DQ15" s="134">
        <v>53</v>
      </c>
      <c r="DR15" s="130"/>
      <c r="DS15" s="128"/>
      <c r="DT15" s="132"/>
      <c r="DU15" s="136">
        <v>4</v>
      </c>
      <c r="DV15" s="128"/>
      <c r="DW15" s="137">
        <v>4</v>
      </c>
      <c r="DX15" s="140">
        <v>3</v>
      </c>
      <c r="DY15" s="134"/>
      <c r="DZ15" s="134">
        <v>43</v>
      </c>
      <c r="EA15" s="134"/>
      <c r="EB15" s="134"/>
      <c r="EC15" s="130">
        <v>6</v>
      </c>
      <c r="ED15" s="128">
        <v>0</v>
      </c>
      <c r="EE15" s="128"/>
      <c r="EF15" s="128"/>
      <c r="EG15" s="128"/>
      <c r="EH15" s="132">
        <v>6</v>
      </c>
      <c r="EI15" s="136">
        <v>92</v>
      </c>
      <c r="EJ15" s="128">
        <v>93</v>
      </c>
      <c r="EK15" s="128">
        <v>44</v>
      </c>
      <c r="EL15" s="128">
        <v>110</v>
      </c>
      <c r="EM15" s="128">
        <v>85</v>
      </c>
      <c r="EN15" s="128">
        <v>6</v>
      </c>
      <c r="EO15" s="128">
        <v>2</v>
      </c>
      <c r="EP15" s="128">
        <v>150</v>
      </c>
      <c r="EQ15" s="128"/>
      <c r="ER15" s="128">
        <v>14</v>
      </c>
      <c r="ES15" s="128">
        <v>1</v>
      </c>
      <c r="ET15" s="128"/>
      <c r="EU15" s="128"/>
      <c r="EV15" s="137">
        <v>597</v>
      </c>
      <c r="EW15" s="140"/>
      <c r="EX15" s="134">
        <v>2</v>
      </c>
      <c r="EY15" s="130"/>
      <c r="EZ15" s="128"/>
      <c r="FA15" s="128"/>
      <c r="FB15" s="132"/>
      <c r="FC15" s="136"/>
      <c r="FD15" s="128"/>
      <c r="FE15" s="137"/>
      <c r="FF15" s="140"/>
      <c r="FG15" s="136"/>
      <c r="FH15" s="128">
        <v>0</v>
      </c>
      <c r="FI15" s="128"/>
      <c r="FJ15" s="128"/>
      <c r="FK15" s="137">
        <v>0</v>
      </c>
      <c r="FL15" s="130"/>
      <c r="FM15" s="128"/>
      <c r="FN15" s="132"/>
      <c r="FO15" s="136">
        <v>52</v>
      </c>
      <c r="FP15" s="128"/>
      <c r="FQ15" s="137">
        <v>52</v>
      </c>
      <c r="FR15" s="140">
        <v>0</v>
      </c>
      <c r="FS15" s="134">
        <v>3</v>
      </c>
      <c r="FT15" s="130">
        <v>1</v>
      </c>
      <c r="FU15" s="128"/>
      <c r="FV15" s="128"/>
      <c r="FW15" s="128"/>
      <c r="FX15" s="128"/>
      <c r="FY15" s="132">
        <v>1</v>
      </c>
      <c r="FZ15" s="134"/>
      <c r="GA15" s="130">
        <v>3</v>
      </c>
      <c r="GB15" s="128"/>
      <c r="GC15" s="132">
        <v>3</v>
      </c>
      <c r="GD15" s="134"/>
      <c r="GE15" s="130"/>
      <c r="GF15" s="128"/>
      <c r="GG15" s="128"/>
      <c r="GH15" s="132"/>
      <c r="GI15" s="134">
        <v>4</v>
      </c>
      <c r="GJ15" s="130">
        <v>3</v>
      </c>
      <c r="GK15" s="128"/>
      <c r="GL15" s="128"/>
      <c r="GM15" s="128"/>
      <c r="GN15" s="132">
        <v>3</v>
      </c>
      <c r="GO15" s="134">
        <v>77863</v>
      </c>
      <c r="GP15" s="323">
        <f>77863/44564395</f>
        <v>1.7472019983666334E-3</v>
      </c>
    </row>
    <row r="16" spans="2:198" x14ac:dyDescent="0.2">
      <c r="B16" s="326" t="s">
        <v>233</v>
      </c>
      <c r="C16" s="325">
        <v>4</v>
      </c>
      <c r="D16" s="128"/>
      <c r="E16" s="128"/>
      <c r="F16" s="128"/>
      <c r="G16" s="324">
        <v>4</v>
      </c>
      <c r="H16" s="140"/>
      <c r="I16" s="136">
        <v>0</v>
      </c>
      <c r="J16" s="128"/>
      <c r="K16" s="137">
        <v>0</v>
      </c>
      <c r="L16" s="140"/>
      <c r="M16" s="134">
        <v>92</v>
      </c>
      <c r="N16" s="140">
        <v>602</v>
      </c>
      <c r="O16" s="128">
        <v>1</v>
      </c>
      <c r="P16" s="128">
        <v>8</v>
      </c>
      <c r="Q16" s="128">
        <v>22</v>
      </c>
      <c r="R16" s="128"/>
      <c r="S16" s="128"/>
      <c r="T16" s="128"/>
      <c r="U16" s="128"/>
      <c r="V16" s="132">
        <v>633</v>
      </c>
      <c r="W16" s="136">
        <v>1</v>
      </c>
      <c r="X16" s="128">
        <v>0</v>
      </c>
      <c r="Y16" s="137">
        <v>1</v>
      </c>
      <c r="Z16" s="130">
        <v>22</v>
      </c>
      <c r="AA16" s="128"/>
      <c r="AB16" s="128"/>
      <c r="AC16" s="132">
        <v>22</v>
      </c>
      <c r="AD16" s="136">
        <v>2187</v>
      </c>
      <c r="AE16" s="128">
        <v>1</v>
      </c>
      <c r="AF16" s="137">
        <v>2188</v>
      </c>
      <c r="AG16" s="130">
        <v>9</v>
      </c>
      <c r="AH16" s="128"/>
      <c r="AI16" s="128"/>
      <c r="AJ16" s="128"/>
      <c r="AK16" s="132">
        <v>9</v>
      </c>
      <c r="AL16" s="136"/>
      <c r="AM16" s="128"/>
      <c r="AN16" s="137"/>
      <c r="AO16" s="134"/>
      <c r="AP16" s="134"/>
      <c r="AQ16" s="130"/>
      <c r="AR16" s="128"/>
      <c r="AS16" s="132"/>
      <c r="AT16" s="136">
        <v>9</v>
      </c>
      <c r="AU16" s="128">
        <v>0</v>
      </c>
      <c r="AV16" s="128">
        <v>3</v>
      </c>
      <c r="AW16" s="128"/>
      <c r="AX16" s="128"/>
      <c r="AY16" s="128"/>
      <c r="AZ16" s="128"/>
      <c r="BA16" s="128"/>
      <c r="BB16" s="128"/>
      <c r="BC16" s="137">
        <v>12</v>
      </c>
      <c r="BD16" s="140"/>
      <c r="BE16" s="134"/>
      <c r="BF16" s="130">
        <v>11</v>
      </c>
      <c r="BG16" s="128">
        <v>48</v>
      </c>
      <c r="BH16" s="128">
        <v>179</v>
      </c>
      <c r="BI16" s="128">
        <v>18</v>
      </c>
      <c r="BJ16" s="128"/>
      <c r="BK16" s="132">
        <v>256</v>
      </c>
      <c r="BL16" s="134"/>
      <c r="BM16" s="134"/>
      <c r="BN16" s="134"/>
      <c r="BO16" s="134"/>
      <c r="BP16" s="130"/>
      <c r="BQ16" s="128"/>
      <c r="BR16" s="132"/>
      <c r="BS16" s="134"/>
      <c r="BT16" s="130"/>
      <c r="BU16" s="128"/>
      <c r="BV16" s="132"/>
      <c r="BW16" s="136"/>
      <c r="BX16" s="128"/>
      <c r="BY16" s="128"/>
      <c r="BZ16" s="128"/>
      <c r="CA16" s="128"/>
      <c r="CB16" s="128"/>
      <c r="CC16" s="128"/>
      <c r="CD16" s="128"/>
      <c r="CE16" s="128"/>
      <c r="CF16" s="128"/>
      <c r="CG16" s="128"/>
      <c r="CH16" s="128"/>
      <c r="CI16" s="128"/>
      <c r="CJ16" s="128"/>
      <c r="CK16" s="128"/>
      <c r="CL16" s="128"/>
      <c r="CM16" s="137"/>
      <c r="CN16" s="130"/>
      <c r="CO16" s="128"/>
      <c r="CP16" s="132"/>
      <c r="CQ16" s="134"/>
      <c r="CR16" s="130">
        <v>2</v>
      </c>
      <c r="CS16" s="128"/>
      <c r="CT16" s="128">
        <v>9268</v>
      </c>
      <c r="CU16" s="128">
        <v>826</v>
      </c>
      <c r="CV16" s="128">
        <v>3141</v>
      </c>
      <c r="CW16" s="128">
        <v>9</v>
      </c>
      <c r="CX16" s="128"/>
      <c r="CY16" s="128"/>
      <c r="CZ16" s="128">
        <v>4</v>
      </c>
      <c r="DA16" s="128"/>
      <c r="DB16" s="128"/>
      <c r="DC16" s="132">
        <v>13250</v>
      </c>
      <c r="DD16" s="136">
        <v>149</v>
      </c>
      <c r="DE16" s="128">
        <v>1</v>
      </c>
      <c r="DF16" s="128">
        <v>220</v>
      </c>
      <c r="DG16" s="128">
        <v>92</v>
      </c>
      <c r="DH16" s="128">
        <v>4</v>
      </c>
      <c r="DI16" s="128"/>
      <c r="DJ16" s="128"/>
      <c r="DK16" s="137">
        <v>466</v>
      </c>
      <c r="DL16" s="140"/>
      <c r="DM16" s="134"/>
      <c r="DN16" s="130"/>
      <c r="DO16" s="128"/>
      <c r="DP16" s="132"/>
      <c r="DQ16" s="134">
        <v>19</v>
      </c>
      <c r="DR16" s="130"/>
      <c r="DS16" s="128"/>
      <c r="DT16" s="132"/>
      <c r="DU16" s="136"/>
      <c r="DV16" s="128"/>
      <c r="DW16" s="137"/>
      <c r="DX16" s="140">
        <v>3</v>
      </c>
      <c r="DY16" s="134"/>
      <c r="DZ16" s="134">
        <v>14</v>
      </c>
      <c r="EA16" s="134"/>
      <c r="EB16" s="134"/>
      <c r="EC16" s="130">
        <v>1</v>
      </c>
      <c r="ED16" s="128"/>
      <c r="EE16" s="128"/>
      <c r="EF16" s="128"/>
      <c r="EG16" s="128"/>
      <c r="EH16" s="132">
        <v>1</v>
      </c>
      <c r="EI16" s="136">
        <v>51</v>
      </c>
      <c r="EJ16" s="128">
        <v>41</v>
      </c>
      <c r="EK16" s="128">
        <v>29</v>
      </c>
      <c r="EL16" s="128">
        <v>61</v>
      </c>
      <c r="EM16" s="128">
        <v>54</v>
      </c>
      <c r="EN16" s="128">
        <v>3</v>
      </c>
      <c r="EO16" s="128">
        <v>1</v>
      </c>
      <c r="EP16" s="128">
        <v>103</v>
      </c>
      <c r="EQ16" s="128"/>
      <c r="ER16" s="128">
        <v>4</v>
      </c>
      <c r="ES16" s="128">
        <v>4</v>
      </c>
      <c r="ET16" s="128"/>
      <c r="EU16" s="128">
        <v>1</v>
      </c>
      <c r="EV16" s="137">
        <v>352</v>
      </c>
      <c r="EW16" s="140"/>
      <c r="EX16" s="134"/>
      <c r="EY16" s="130"/>
      <c r="EZ16" s="128"/>
      <c r="FA16" s="128"/>
      <c r="FB16" s="132"/>
      <c r="FC16" s="136"/>
      <c r="FD16" s="128"/>
      <c r="FE16" s="137"/>
      <c r="FF16" s="140"/>
      <c r="FG16" s="136"/>
      <c r="FH16" s="128">
        <v>1</v>
      </c>
      <c r="FI16" s="128"/>
      <c r="FJ16" s="128"/>
      <c r="FK16" s="137">
        <v>1</v>
      </c>
      <c r="FL16" s="130"/>
      <c r="FM16" s="128"/>
      <c r="FN16" s="132"/>
      <c r="FO16" s="136">
        <v>0</v>
      </c>
      <c r="FP16" s="128"/>
      <c r="FQ16" s="137">
        <v>0</v>
      </c>
      <c r="FR16" s="140"/>
      <c r="FS16" s="134">
        <v>4</v>
      </c>
      <c r="FT16" s="130"/>
      <c r="FU16" s="128"/>
      <c r="FV16" s="128"/>
      <c r="FW16" s="128"/>
      <c r="FX16" s="128"/>
      <c r="FY16" s="132"/>
      <c r="FZ16" s="134"/>
      <c r="GA16" s="130">
        <v>5</v>
      </c>
      <c r="GB16" s="128"/>
      <c r="GC16" s="132">
        <v>5</v>
      </c>
      <c r="GD16" s="134"/>
      <c r="GE16" s="130">
        <v>1</v>
      </c>
      <c r="GF16" s="128"/>
      <c r="GG16" s="128"/>
      <c r="GH16" s="132">
        <v>1</v>
      </c>
      <c r="GI16" s="134">
        <v>0</v>
      </c>
      <c r="GJ16" s="130"/>
      <c r="GK16" s="128"/>
      <c r="GL16" s="128"/>
      <c r="GM16" s="128"/>
      <c r="GN16" s="132"/>
      <c r="GO16" s="134">
        <v>17333</v>
      </c>
      <c r="GP16" s="323">
        <f>17333/44564395</f>
        <v>3.8894278717348235E-4</v>
      </c>
    </row>
    <row r="17" spans="2:198" x14ac:dyDescent="0.2">
      <c r="B17" s="326" t="s">
        <v>253</v>
      </c>
      <c r="C17" s="325">
        <v>23</v>
      </c>
      <c r="D17" s="128"/>
      <c r="E17" s="128"/>
      <c r="F17" s="128"/>
      <c r="G17" s="324">
        <v>23</v>
      </c>
      <c r="H17" s="140"/>
      <c r="I17" s="136"/>
      <c r="J17" s="128"/>
      <c r="K17" s="137"/>
      <c r="L17" s="140"/>
      <c r="M17" s="134">
        <v>222</v>
      </c>
      <c r="N17" s="140">
        <v>284</v>
      </c>
      <c r="O17" s="128"/>
      <c r="P17" s="128">
        <v>2</v>
      </c>
      <c r="Q17" s="128">
        <v>9</v>
      </c>
      <c r="R17" s="128"/>
      <c r="S17" s="128">
        <v>1</v>
      </c>
      <c r="T17" s="128"/>
      <c r="U17" s="128"/>
      <c r="V17" s="132">
        <v>296</v>
      </c>
      <c r="W17" s="136"/>
      <c r="X17" s="128"/>
      <c r="Y17" s="137"/>
      <c r="Z17" s="130">
        <v>3</v>
      </c>
      <c r="AA17" s="128"/>
      <c r="AB17" s="128"/>
      <c r="AC17" s="132">
        <v>3</v>
      </c>
      <c r="AD17" s="136">
        <v>440</v>
      </c>
      <c r="AE17" s="128">
        <v>1</v>
      </c>
      <c r="AF17" s="137">
        <v>441</v>
      </c>
      <c r="AG17" s="130">
        <v>0</v>
      </c>
      <c r="AH17" s="128"/>
      <c r="AI17" s="128">
        <v>2</v>
      </c>
      <c r="AJ17" s="128"/>
      <c r="AK17" s="132">
        <v>2</v>
      </c>
      <c r="AL17" s="136"/>
      <c r="AM17" s="128"/>
      <c r="AN17" s="137"/>
      <c r="AO17" s="134"/>
      <c r="AP17" s="134"/>
      <c r="AQ17" s="130"/>
      <c r="AR17" s="128"/>
      <c r="AS17" s="132"/>
      <c r="AT17" s="136">
        <v>7</v>
      </c>
      <c r="AU17" s="128"/>
      <c r="AV17" s="128"/>
      <c r="AW17" s="128"/>
      <c r="AX17" s="128">
        <v>1</v>
      </c>
      <c r="AY17" s="128"/>
      <c r="AZ17" s="128"/>
      <c r="BA17" s="128"/>
      <c r="BB17" s="128"/>
      <c r="BC17" s="137">
        <v>8</v>
      </c>
      <c r="BD17" s="140"/>
      <c r="BE17" s="134">
        <v>1</v>
      </c>
      <c r="BF17" s="130">
        <v>11</v>
      </c>
      <c r="BG17" s="128">
        <v>14</v>
      </c>
      <c r="BH17" s="128">
        <v>50</v>
      </c>
      <c r="BI17" s="128">
        <v>1</v>
      </c>
      <c r="BJ17" s="128"/>
      <c r="BK17" s="132">
        <v>76</v>
      </c>
      <c r="BL17" s="134">
        <v>2</v>
      </c>
      <c r="BM17" s="134"/>
      <c r="BN17" s="134"/>
      <c r="BO17" s="134">
        <v>0</v>
      </c>
      <c r="BP17" s="130">
        <v>2</v>
      </c>
      <c r="BQ17" s="128"/>
      <c r="BR17" s="132">
        <v>2</v>
      </c>
      <c r="BS17" s="134"/>
      <c r="BT17" s="130"/>
      <c r="BU17" s="128"/>
      <c r="BV17" s="132"/>
      <c r="BW17" s="136"/>
      <c r="BX17" s="128"/>
      <c r="BY17" s="128"/>
      <c r="BZ17" s="128"/>
      <c r="CA17" s="128"/>
      <c r="CB17" s="128"/>
      <c r="CC17" s="128"/>
      <c r="CD17" s="128"/>
      <c r="CE17" s="128"/>
      <c r="CF17" s="128"/>
      <c r="CG17" s="128"/>
      <c r="CH17" s="128"/>
      <c r="CI17" s="128"/>
      <c r="CJ17" s="128"/>
      <c r="CK17" s="128"/>
      <c r="CL17" s="128"/>
      <c r="CM17" s="137"/>
      <c r="CN17" s="130"/>
      <c r="CO17" s="128"/>
      <c r="CP17" s="132"/>
      <c r="CQ17" s="134"/>
      <c r="CR17" s="130">
        <v>13</v>
      </c>
      <c r="CS17" s="128">
        <v>1</v>
      </c>
      <c r="CT17" s="128">
        <v>15425</v>
      </c>
      <c r="CU17" s="128">
        <v>112</v>
      </c>
      <c r="CV17" s="128">
        <v>1315</v>
      </c>
      <c r="CW17" s="128">
        <v>3</v>
      </c>
      <c r="CX17" s="128">
        <v>1</v>
      </c>
      <c r="CY17" s="128"/>
      <c r="CZ17" s="128">
        <v>2</v>
      </c>
      <c r="DA17" s="128"/>
      <c r="DB17" s="128"/>
      <c r="DC17" s="132">
        <v>16872</v>
      </c>
      <c r="DD17" s="136">
        <v>69</v>
      </c>
      <c r="DE17" s="128">
        <v>1</v>
      </c>
      <c r="DF17" s="128">
        <v>86</v>
      </c>
      <c r="DG17" s="128">
        <v>14</v>
      </c>
      <c r="DH17" s="128">
        <v>1</v>
      </c>
      <c r="DI17" s="128"/>
      <c r="DJ17" s="128"/>
      <c r="DK17" s="137">
        <v>171</v>
      </c>
      <c r="DL17" s="140"/>
      <c r="DM17" s="134"/>
      <c r="DN17" s="130"/>
      <c r="DO17" s="128"/>
      <c r="DP17" s="132"/>
      <c r="DQ17" s="134">
        <v>8</v>
      </c>
      <c r="DR17" s="130"/>
      <c r="DS17" s="128"/>
      <c r="DT17" s="132"/>
      <c r="DU17" s="136">
        <v>5</v>
      </c>
      <c r="DV17" s="128"/>
      <c r="DW17" s="137">
        <v>5</v>
      </c>
      <c r="DX17" s="140">
        <v>1</v>
      </c>
      <c r="DY17" s="134"/>
      <c r="DZ17" s="134">
        <v>15</v>
      </c>
      <c r="EA17" s="134"/>
      <c r="EB17" s="134"/>
      <c r="EC17" s="130">
        <v>2</v>
      </c>
      <c r="ED17" s="128">
        <v>1</v>
      </c>
      <c r="EE17" s="128">
        <v>2</v>
      </c>
      <c r="EF17" s="128"/>
      <c r="EG17" s="128"/>
      <c r="EH17" s="132">
        <v>5</v>
      </c>
      <c r="EI17" s="136">
        <v>25</v>
      </c>
      <c r="EJ17" s="128">
        <v>27</v>
      </c>
      <c r="EK17" s="128">
        <v>6</v>
      </c>
      <c r="EL17" s="128">
        <v>4</v>
      </c>
      <c r="EM17" s="128">
        <v>37</v>
      </c>
      <c r="EN17" s="128">
        <v>4</v>
      </c>
      <c r="EO17" s="128">
        <v>2</v>
      </c>
      <c r="EP17" s="128">
        <v>34</v>
      </c>
      <c r="EQ17" s="128"/>
      <c r="ER17" s="128">
        <v>1</v>
      </c>
      <c r="ES17" s="128">
        <v>1</v>
      </c>
      <c r="ET17" s="128"/>
      <c r="EU17" s="128"/>
      <c r="EV17" s="137">
        <v>141</v>
      </c>
      <c r="EW17" s="140"/>
      <c r="EX17" s="134"/>
      <c r="EY17" s="130"/>
      <c r="EZ17" s="128"/>
      <c r="FA17" s="128"/>
      <c r="FB17" s="132"/>
      <c r="FC17" s="136"/>
      <c r="FD17" s="128"/>
      <c r="FE17" s="137"/>
      <c r="FF17" s="140"/>
      <c r="FG17" s="136">
        <v>86</v>
      </c>
      <c r="FH17" s="128"/>
      <c r="FI17" s="128"/>
      <c r="FJ17" s="128"/>
      <c r="FK17" s="137">
        <v>86</v>
      </c>
      <c r="FL17" s="130"/>
      <c r="FM17" s="128"/>
      <c r="FN17" s="132"/>
      <c r="FO17" s="136"/>
      <c r="FP17" s="128"/>
      <c r="FQ17" s="137"/>
      <c r="FR17" s="140"/>
      <c r="FS17" s="134">
        <v>4</v>
      </c>
      <c r="FT17" s="130"/>
      <c r="FU17" s="128"/>
      <c r="FV17" s="128"/>
      <c r="FW17" s="128"/>
      <c r="FX17" s="128"/>
      <c r="FY17" s="132"/>
      <c r="FZ17" s="134"/>
      <c r="GA17" s="130">
        <v>4</v>
      </c>
      <c r="GB17" s="128"/>
      <c r="GC17" s="132">
        <v>4</v>
      </c>
      <c r="GD17" s="134"/>
      <c r="GE17" s="130">
        <v>0</v>
      </c>
      <c r="GF17" s="128"/>
      <c r="GG17" s="128"/>
      <c r="GH17" s="132">
        <v>0</v>
      </c>
      <c r="GI17" s="134">
        <v>5</v>
      </c>
      <c r="GJ17" s="130">
        <v>2</v>
      </c>
      <c r="GK17" s="128"/>
      <c r="GL17" s="128"/>
      <c r="GM17" s="128"/>
      <c r="GN17" s="132">
        <v>2</v>
      </c>
      <c r="GO17" s="134">
        <v>18395</v>
      </c>
      <c r="GP17" s="323">
        <f>18395/44564395</f>
        <v>4.1277347083922044E-4</v>
      </c>
    </row>
    <row r="18" spans="2:198" ht="12.75" thickBot="1" x14ac:dyDescent="0.25">
      <c r="B18" s="322" t="s">
        <v>556</v>
      </c>
      <c r="C18" s="321">
        <v>8</v>
      </c>
      <c r="D18" s="315"/>
      <c r="E18" s="315">
        <v>7</v>
      </c>
      <c r="F18" s="315"/>
      <c r="G18" s="320">
        <v>15</v>
      </c>
      <c r="H18" s="317"/>
      <c r="I18" s="319">
        <v>1</v>
      </c>
      <c r="J18" s="315"/>
      <c r="K18" s="318">
        <v>1</v>
      </c>
      <c r="L18" s="317"/>
      <c r="M18" s="313">
        <v>184</v>
      </c>
      <c r="N18" s="317">
        <v>1438</v>
      </c>
      <c r="O18" s="315">
        <v>3</v>
      </c>
      <c r="P18" s="315">
        <v>25</v>
      </c>
      <c r="Q18" s="315">
        <v>137</v>
      </c>
      <c r="R18" s="315">
        <v>3</v>
      </c>
      <c r="S18" s="315"/>
      <c r="T18" s="315"/>
      <c r="U18" s="315">
        <v>0</v>
      </c>
      <c r="V18" s="314">
        <v>1606</v>
      </c>
      <c r="W18" s="319">
        <v>1</v>
      </c>
      <c r="X18" s="315">
        <v>0</v>
      </c>
      <c r="Y18" s="318">
        <v>1</v>
      </c>
      <c r="Z18" s="316">
        <v>56</v>
      </c>
      <c r="AA18" s="315"/>
      <c r="AB18" s="315"/>
      <c r="AC18" s="314">
        <v>56</v>
      </c>
      <c r="AD18" s="319">
        <v>2483</v>
      </c>
      <c r="AE18" s="315">
        <v>2</v>
      </c>
      <c r="AF18" s="318">
        <v>2485</v>
      </c>
      <c r="AG18" s="316">
        <v>5</v>
      </c>
      <c r="AH18" s="315"/>
      <c r="AI18" s="315"/>
      <c r="AJ18" s="315"/>
      <c r="AK18" s="314">
        <v>5</v>
      </c>
      <c r="AL18" s="319">
        <v>17</v>
      </c>
      <c r="AM18" s="315"/>
      <c r="AN18" s="318">
        <v>17</v>
      </c>
      <c r="AO18" s="313"/>
      <c r="AP18" s="313"/>
      <c r="AQ18" s="316"/>
      <c r="AR18" s="315">
        <v>0</v>
      </c>
      <c r="AS18" s="314">
        <v>0</v>
      </c>
      <c r="AT18" s="319">
        <v>16</v>
      </c>
      <c r="AU18" s="315"/>
      <c r="AV18" s="315">
        <v>181</v>
      </c>
      <c r="AW18" s="315"/>
      <c r="AX18" s="315">
        <v>2</v>
      </c>
      <c r="AY18" s="315">
        <v>1</v>
      </c>
      <c r="AZ18" s="315"/>
      <c r="BA18" s="315"/>
      <c r="BB18" s="315"/>
      <c r="BC18" s="318">
        <v>200</v>
      </c>
      <c r="BD18" s="317"/>
      <c r="BE18" s="313">
        <v>3</v>
      </c>
      <c r="BF18" s="316">
        <v>32</v>
      </c>
      <c r="BG18" s="315">
        <v>34</v>
      </c>
      <c r="BH18" s="315">
        <v>252</v>
      </c>
      <c r="BI18" s="315">
        <v>18</v>
      </c>
      <c r="BJ18" s="315">
        <v>11</v>
      </c>
      <c r="BK18" s="314">
        <v>347</v>
      </c>
      <c r="BL18" s="313">
        <v>1</v>
      </c>
      <c r="BM18" s="313"/>
      <c r="BN18" s="313"/>
      <c r="BO18" s="313">
        <v>2</v>
      </c>
      <c r="BP18" s="316">
        <v>2</v>
      </c>
      <c r="BQ18" s="315">
        <v>17</v>
      </c>
      <c r="BR18" s="314">
        <v>19</v>
      </c>
      <c r="BS18" s="313"/>
      <c r="BT18" s="316"/>
      <c r="BU18" s="315"/>
      <c r="BV18" s="314"/>
      <c r="BW18" s="319"/>
      <c r="BX18" s="315"/>
      <c r="BY18" s="315">
        <v>17</v>
      </c>
      <c r="BZ18" s="315">
        <v>4</v>
      </c>
      <c r="CA18" s="315">
        <v>2</v>
      </c>
      <c r="CB18" s="315"/>
      <c r="CC18" s="315"/>
      <c r="CD18" s="315">
        <v>1</v>
      </c>
      <c r="CE18" s="315"/>
      <c r="CF18" s="315"/>
      <c r="CG18" s="315"/>
      <c r="CH18" s="315">
        <v>5</v>
      </c>
      <c r="CI18" s="315">
        <v>0</v>
      </c>
      <c r="CJ18" s="315"/>
      <c r="CK18" s="315"/>
      <c r="CL18" s="315"/>
      <c r="CM18" s="318">
        <v>29</v>
      </c>
      <c r="CN18" s="316"/>
      <c r="CO18" s="315"/>
      <c r="CP18" s="314"/>
      <c r="CQ18" s="313"/>
      <c r="CR18" s="316">
        <v>24</v>
      </c>
      <c r="CS18" s="315"/>
      <c r="CT18" s="315">
        <v>26735</v>
      </c>
      <c r="CU18" s="315">
        <v>569</v>
      </c>
      <c r="CV18" s="315">
        <v>7038</v>
      </c>
      <c r="CW18" s="315">
        <v>23</v>
      </c>
      <c r="CX18" s="315">
        <v>4</v>
      </c>
      <c r="CY18" s="315"/>
      <c r="CZ18" s="315">
        <v>19</v>
      </c>
      <c r="DA18" s="315"/>
      <c r="DB18" s="315"/>
      <c r="DC18" s="314">
        <v>34412</v>
      </c>
      <c r="DD18" s="319">
        <v>352</v>
      </c>
      <c r="DE18" s="315">
        <v>10</v>
      </c>
      <c r="DF18" s="315">
        <v>334</v>
      </c>
      <c r="DG18" s="315">
        <v>49</v>
      </c>
      <c r="DH18" s="315">
        <v>8</v>
      </c>
      <c r="DI18" s="315">
        <v>2</v>
      </c>
      <c r="DJ18" s="315"/>
      <c r="DK18" s="318">
        <v>755</v>
      </c>
      <c r="DL18" s="317"/>
      <c r="DM18" s="313"/>
      <c r="DN18" s="316"/>
      <c r="DO18" s="315"/>
      <c r="DP18" s="314"/>
      <c r="DQ18" s="313">
        <v>37</v>
      </c>
      <c r="DR18" s="316">
        <v>20</v>
      </c>
      <c r="DS18" s="315"/>
      <c r="DT18" s="314">
        <v>20</v>
      </c>
      <c r="DU18" s="319">
        <v>10</v>
      </c>
      <c r="DV18" s="315"/>
      <c r="DW18" s="318">
        <v>10</v>
      </c>
      <c r="DX18" s="317">
        <v>1</v>
      </c>
      <c r="DY18" s="313"/>
      <c r="DZ18" s="313">
        <v>38</v>
      </c>
      <c r="EA18" s="313"/>
      <c r="EB18" s="313"/>
      <c r="EC18" s="316">
        <v>1</v>
      </c>
      <c r="ED18" s="315">
        <v>30</v>
      </c>
      <c r="EE18" s="315"/>
      <c r="EF18" s="315">
        <v>1</v>
      </c>
      <c r="EG18" s="315"/>
      <c r="EH18" s="314">
        <v>32</v>
      </c>
      <c r="EI18" s="319">
        <v>130</v>
      </c>
      <c r="EJ18" s="315">
        <v>155</v>
      </c>
      <c r="EK18" s="315">
        <v>36</v>
      </c>
      <c r="EL18" s="315">
        <v>156</v>
      </c>
      <c r="EM18" s="315">
        <v>141</v>
      </c>
      <c r="EN18" s="315">
        <v>6</v>
      </c>
      <c r="EO18" s="315">
        <v>2</v>
      </c>
      <c r="EP18" s="315">
        <v>133</v>
      </c>
      <c r="EQ18" s="315"/>
      <c r="ER18" s="315">
        <v>4</v>
      </c>
      <c r="ES18" s="315">
        <v>2</v>
      </c>
      <c r="ET18" s="315"/>
      <c r="EU18" s="315"/>
      <c r="EV18" s="318">
        <v>765</v>
      </c>
      <c r="EW18" s="317"/>
      <c r="EX18" s="313"/>
      <c r="EY18" s="316"/>
      <c r="EZ18" s="315"/>
      <c r="FA18" s="315"/>
      <c r="FB18" s="314"/>
      <c r="FC18" s="319"/>
      <c r="FD18" s="315"/>
      <c r="FE18" s="318"/>
      <c r="FF18" s="317"/>
      <c r="FG18" s="319">
        <v>0</v>
      </c>
      <c r="FH18" s="315">
        <v>7</v>
      </c>
      <c r="FI18" s="315"/>
      <c r="FJ18" s="315">
        <v>0</v>
      </c>
      <c r="FK18" s="318">
        <v>7</v>
      </c>
      <c r="FL18" s="316"/>
      <c r="FM18" s="315">
        <v>0</v>
      </c>
      <c r="FN18" s="314">
        <v>0</v>
      </c>
      <c r="FO18" s="319"/>
      <c r="FP18" s="315"/>
      <c r="FQ18" s="318"/>
      <c r="FR18" s="317"/>
      <c r="FS18" s="313">
        <v>1</v>
      </c>
      <c r="FT18" s="316">
        <v>1</v>
      </c>
      <c r="FU18" s="315"/>
      <c r="FV18" s="315"/>
      <c r="FW18" s="315"/>
      <c r="FX18" s="315"/>
      <c r="FY18" s="314">
        <v>1</v>
      </c>
      <c r="FZ18" s="313"/>
      <c r="GA18" s="316">
        <v>7</v>
      </c>
      <c r="GB18" s="315"/>
      <c r="GC18" s="314">
        <v>7</v>
      </c>
      <c r="GD18" s="313"/>
      <c r="GE18" s="316">
        <v>1</v>
      </c>
      <c r="GF18" s="315"/>
      <c r="GG18" s="315"/>
      <c r="GH18" s="314">
        <v>1</v>
      </c>
      <c r="GI18" s="313">
        <v>4</v>
      </c>
      <c r="GJ18" s="316"/>
      <c r="GK18" s="315"/>
      <c r="GL18" s="315"/>
      <c r="GM18" s="315"/>
      <c r="GN18" s="314"/>
      <c r="GO18" s="313">
        <v>41062</v>
      </c>
      <c r="GP18" s="312">
        <f>41062/44564395</f>
        <v>9.2140822286491269E-4</v>
      </c>
    </row>
    <row r="19" spans="2:198" ht="12.75" thickBot="1" x14ac:dyDescent="0.25">
      <c r="B19" s="311" t="s">
        <v>542</v>
      </c>
      <c r="C19" s="310">
        <v>158</v>
      </c>
      <c r="D19" s="129"/>
      <c r="E19" s="129">
        <v>7</v>
      </c>
      <c r="F19" s="129"/>
      <c r="G19" s="309">
        <v>165</v>
      </c>
      <c r="H19" s="141"/>
      <c r="I19" s="138">
        <v>1</v>
      </c>
      <c r="J19" s="129"/>
      <c r="K19" s="139">
        <v>1</v>
      </c>
      <c r="L19" s="141"/>
      <c r="M19" s="135">
        <v>1252</v>
      </c>
      <c r="N19" s="141">
        <v>7637</v>
      </c>
      <c r="O19" s="129">
        <v>24</v>
      </c>
      <c r="P19" s="129">
        <v>149</v>
      </c>
      <c r="Q19" s="129">
        <v>391</v>
      </c>
      <c r="R19" s="129">
        <v>9</v>
      </c>
      <c r="S19" s="129">
        <v>1</v>
      </c>
      <c r="T19" s="129"/>
      <c r="U19" s="129">
        <v>5</v>
      </c>
      <c r="V19" s="133">
        <v>8216</v>
      </c>
      <c r="W19" s="138">
        <v>10</v>
      </c>
      <c r="X19" s="129">
        <v>14</v>
      </c>
      <c r="Y19" s="139">
        <v>24</v>
      </c>
      <c r="Z19" s="131">
        <v>256</v>
      </c>
      <c r="AA19" s="129"/>
      <c r="AB19" s="129"/>
      <c r="AC19" s="133">
        <v>256</v>
      </c>
      <c r="AD19" s="138">
        <v>18434</v>
      </c>
      <c r="AE19" s="129">
        <v>8</v>
      </c>
      <c r="AF19" s="139">
        <v>18442</v>
      </c>
      <c r="AG19" s="131">
        <v>287</v>
      </c>
      <c r="AH19" s="129"/>
      <c r="AI19" s="129">
        <v>2</v>
      </c>
      <c r="AJ19" s="129"/>
      <c r="AK19" s="133">
        <v>289</v>
      </c>
      <c r="AL19" s="138">
        <v>17</v>
      </c>
      <c r="AM19" s="129"/>
      <c r="AN19" s="139">
        <v>17</v>
      </c>
      <c r="AO19" s="135"/>
      <c r="AP19" s="135"/>
      <c r="AQ19" s="131">
        <v>4</v>
      </c>
      <c r="AR19" s="129">
        <v>0</v>
      </c>
      <c r="AS19" s="133">
        <v>4</v>
      </c>
      <c r="AT19" s="138">
        <v>119</v>
      </c>
      <c r="AU19" s="129">
        <v>1</v>
      </c>
      <c r="AV19" s="129">
        <v>363</v>
      </c>
      <c r="AW19" s="129"/>
      <c r="AX19" s="129">
        <v>3</v>
      </c>
      <c r="AY19" s="129">
        <v>1</v>
      </c>
      <c r="AZ19" s="129"/>
      <c r="BA19" s="129"/>
      <c r="BB19" s="129"/>
      <c r="BC19" s="139">
        <v>487</v>
      </c>
      <c r="BD19" s="141">
        <v>0</v>
      </c>
      <c r="BE19" s="135">
        <v>5</v>
      </c>
      <c r="BF19" s="131">
        <v>120</v>
      </c>
      <c r="BG19" s="129">
        <v>509</v>
      </c>
      <c r="BH19" s="129">
        <v>1322</v>
      </c>
      <c r="BI19" s="129">
        <v>155</v>
      </c>
      <c r="BJ19" s="129">
        <v>63</v>
      </c>
      <c r="BK19" s="133">
        <v>2169</v>
      </c>
      <c r="BL19" s="135">
        <v>5</v>
      </c>
      <c r="BM19" s="135"/>
      <c r="BN19" s="135"/>
      <c r="BO19" s="135">
        <v>14</v>
      </c>
      <c r="BP19" s="131">
        <v>9</v>
      </c>
      <c r="BQ19" s="129">
        <v>17</v>
      </c>
      <c r="BR19" s="133">
        <v>26</v>
      </c>
      <c r="BS19" s="135"/>
      <c r="BT19" s="131">
        <v>1</v>
      </c>
      <c r="BU19" s="129"/>
      <c r="BV19" s="133">
        <v>1</v>
      </c>
      <c r="BW19" s="138">
        <v>2</v>
      </c>
      <c r="BX19" s="129"/>
      <c r="BY19" s="129">
        <v>26</v>
      </c>
      <c r="BZ19" s="129">
        <v>4</v>
      </c>
      <c r="CA19" s="129">
        <v>2</v>
      </c>
      <c r="CB19" s="129"/>
      <c r="CC19" s="129"/>
      <c r="CD19" s="129">
        <v>1</v>
      </c>
      <c r="CE19" s="129"/>
      <c r="CF19" s="129"/>
      <c r="CG19" s="129">
        <v>1</v>
      </c>
      <c r="CH19" s="129">
        <v>5</v>
      </c>
      <c r="CI19" s="129">
        <v>0</v>
      </c>
      <c r="CJ19" s="129"/>
      <c r="CK19" s="129"/>
      <c r="CL19" s="129"/>
      <c r="CM19" s="139">
        <v>41</v>
      </c>
      <c r="CN19" s="131">
        <v>1</v>
      </c>
      <c r="CO19" s="129"/>
      <c r="CP19" s="133">
        <v>1</v>
      </c>
      <c r="CQ19" s="135"/>
      <c r="CR19" s="131">
        <v>282</v>
      </c>
      <c r="CS19" s="129">
        <v>11</v>
      </c>
      <c r="CT19" s="129">
        <v>192591</v>
      </c>
      <c r="CU19" s="129">
        <v>4193</v>
      </c>
      <c r="CV19" s="129">
        <v>31901</v>
      </c>
      <c r="CW19" s="129">
        <v>41</v>
      </c>
      <c r="CX19" s="129">
        <v>6</v>
      </c>
      <c r="CY19" s="129"/>
      <c r="CZ19" s="129">
        <v>119</v>
      </c>
      <c r="DA19" s="129">
        <v>12</v>
      </c>
      <c r="DB19" s="129"/>
      <c r="DC19" s="133">
        <v>229156</v>
      </c>
      <c r="DD19" s="138">
        <v>1843</v>
      </c>
      <c r="DE19" s="129">
        <v>13</v>
      </c>
      <c r="DF19" s="129">
        <v>12510</v>
      </c>
      <c r="DG19" s="129">
        <v>533</v>
      </c>
      <c r="DH19" s="129">
        <v>53</v>
      </c>
      <c r="DI19" s="129">
        <v>13</v>
      </c>
      <c r="DJ19" s="129">
        <v>2</v>
      </c>
      <c r="DK19" s="139">
        <v>14967</v>
      </c>
      <c r="DL19" s="141"/>
      <c r="DM19" s="135"/>
      <c r="DN19" s="131"/>
      <c r="DO19" s="129"/>
      <c r="DP19" s="133"/>
      <c r="DQ19" s="135">
        <v>265</v>
      </c>
      <c r="DR19" s="131">
        <v>20</v>
      </c>
      <c r="DS19" s="129"/>
      <c r="DT19" s="133">
        <v>20</v>
      </c>
      <c r="DU19" s="138">
        <v>19</v>
      </c>
      <c r="DV19" s="129"/>
      <c r="DW19" s="139">
        <v>19</v>
      </c>
      <c r="DX19" s="141">
        <v>15</v>
      </c>
      <c r="DY19" s="135"/>
      <c r="DZ19" s="135">
        <v>217</v>
      </c>
      <c r="EA19" s="135"/>
      <c r="EB19" s="135"/>
      <c r="EC19" s="131">
        <v>18</v>
      </c>
      <c r="ED19" s="129">
        <v>33</v>
      </c>
      <c r="EE19" s="129">
        <v>2</v>
      </c>
      <c r="EF19" s="129">
        <v>1</v>
      </c>
      <c r="EG19" s="129"/>
      <c r="EH19" s="133">
        <v>54</v>
      </c>
      <c r="EI19" s="138">
        <v>790</v>
      </c>
      <c r="EJ19" s="129">
        <v>804</v>
      </c>
      <c r="EK19" s="129">
        <v>287</v>
      </c>
      <c r="EL19" s="129">
        <v>618</v>
      </c>
      <c r="EM19" s="129">
        <v>779</v>
      </c>
      <c r="EN19" s="129">
        <v>33</v>
      </c>
      <c r="EO19" s="129">
        <v>15</v>
      </c>
      <c r="EP19" s="129">
        <v>1051</v>
      </c>
      <c r="EQ19" s="129">
        <v>5</v>
      </c>
      <c r="ER19" s="129">
        <v>34</v>
      </c>
      <c r="ES19" s="129">
        <v>18</v>
      </c>
      <c r="ET19" s="129"/>
      <c r="EU19" s="129">
        <v>2</v>
      </c>
      <c r="EV19" s="139">
        <v>4436</v>
      </c>
      <c r="EW19" s="141"/>
      <c r="EX19" s="135">
        <v>3</v>
      </c>
      <c r="EY19" s="131"/>
      <c r="EZ19" s="129"/>
      <c r="FA19" s="129"/>
      <c r="FB19" s="133"/>
      <c r="FC19" s="138"/>
      <c r="FD19" s="129"/>
      <c r="FE19" s="139"/>
      <c r="FF19" s="141">
        <v>0</v>
      </c>
      <c r="FG19" s="138">
        <v>86</v>
      </c>
      <c r="FH19" s="129">
        <v>10</v>
      </c>
      <c r="FI19" s="129"/>
      <c r="FJ19" s="129">
        <v>0</v>
      </c>
      <c r="FK19" s="139">
        <v>96</v>
      </c>
      <c r="FL19" s="131">
        <v>0</v>
      </c>
      <c r="FM19" s="129">
        <v>0</v>
      </c>
      <c r="FN19" s="133">
        <v>0</v>
      </c>
      <c r="FO19" s="138">
        <v>52</v>
      </c>
      <c r="FP19" s="129"/>
      <c r="FQ19" s="139">
        <v>52</v>
      </c>
      <c r="FR19" s="141">
        <v>4</v>
      </c>
      <c r="FS19" s="135">
        <v>63</v>
      </c>
      <c r="FT19" s="131">
        <v>13</v>
      </c>
      <c r="FU19" s="129"/>
      <c r="FV19" s="129"/>
      <c r="FW19" s="129">
        <v>5</v>
      </c>
      <c r="FX19" s="129"/>
      <c r="FY19" s="133">
        <v>18</v>
      </c>
      <c r="FZ19" s="135"/>
      <c r="GA19" s="131">
        <v>72</v>
      </c>
      <c r="GB19" s="129"/>
      <c r="GC19" s="133">
        <v>72</v>
      </c>
      <c r="GD19" s="135"/>
      <c r="GE19" s="131">
        <v>10</v>
      </c>
      <c r="GF19" s="129">
        <v>1</v>
      </c>
      <c r="GG19" s="129"/>
      <c r="GH19" s="133">
        <v>11</v>
      </c>
      <c r="GI19" s="135">
        <v>13</v>
      </c>
      <c r="GJ19" s="131">
        <v>47</v>
      </c>
      <c r="GK19" s="129">
        <v>0</v>
      </c>
      <c r="GL19" s="129"/>
      <c r="GM19" s="129"/>
      <c r="GN19" s="133">
        <v>47</v>
      </c>
      <c r="GO19" s="135">
        <v>280943</v>
      </c>
      <c r="GP19" s="308">
        <f>280943/44564395</f>
        <v>6.3042031648808429E-3</v>
      </c>
    </row>
    <row r="20" spans="2:198" ht="12.75" thickBot="1" x14ac:dyDescent="0.25">
      <c r="B20" s="337" t="s">
        <v>543</v>
      </c>
      <c r="C20" s="336">
        <v>229</v>
      </c>
      <c r="D20" s="330"/>
      <c r="E20" s="330"/>
      <c r="F20" s="330"/>
      <c r="G20" s="335">
        <v>229</v>
      </c>
      <c r="H20" s="332"/>
      <c r="I20" s="334">
        <v>2</v>
      </c>
      <c r="J20" s="330"/>
      <c r="K20" s="333">
        <v>2</v>
      </c>
      <c r="L20" s="332">
        <v>0</v>
      </c>
      <c r="M20" s="328">
        <v>649</v>
      </c>
      <c r="N20" s="332">
        <v>2100</v>
      </c>
      <c r="O20" s="330">
        <v>5</v>
      </c>
      <c r="P20" s="330">
        <v>13</v>
      </c>
      <c r="Q20" s="330">
        <v>46</v>
      </c>
      <c r="R20" s="330">
        <v>1</v>
      </c>
      <c r="S20" s="330">
        <v>3</v>
      </c>
      <c r="T20" s="330"/>
      <c r="U20" s="330"/>
      <c r="V20" s="329">
        <v>2168</v>
      </c>
      <c r="W20" s="334">
        <v>2</v>
      </c>
      <c r="X20" s="330">
        <v>0</v>
      </c>
      <c r="Y20" s="333">
        <v>2</v>
      </c>
      <c r="Z20" s="331">
        <v>97</v>
      </c>
      <c r="AA20" s="330"/>
      <c r="AB20" s="330"/>
      <c r="AC20" s="329">
        <v>97</v>
      </c>
      <c r="AD20" s="334">
        <v>680</v>
      </c>
      <c r="AE20" s="330">
        <v>2</v>
      </c>
      <c r="AF20" s="333">
        <v>682</v>
      </c>
      <c r="AG20" s="331">
        <v>7</v>
      </c>
      <c r="AH20" s="330"/>
      <c r="AI20" s="330"/>
      <c r="AJ20" s="330"/>
      <c r="AK20" s="329">
        <v>7</v>
      </c>
      <c r="AL20" s="334"/>
      <c r="AM20" s="330"/>
      <c r="AN20" s="333"/>
      <c r="AO20" s="328"/>
      <c r="AP20" s="328"/>
      <c r="AQ20" s="331"/>
      <c r="AR20" s="330">
        <v>1</v>
      </c>
      <c r="AS20" s="329">
        <v>1</v>
      </c>
      <c r="AT20" s="334">
        <v>1</v>
      </c>
      <c r="AU20" s="330"/>
      <c r="AV20" s="330"/>
      <c r="AW20" s="330"/>
      <c r="AX20" s="330"/>
      <c r="AY20" s="330"/>
      <c r="AZ20" s="330"/>
      <c r="BA20" s="330"/>
      <c r="BB20" s="330"/>
      <c r="BC20" s="333">
        <v>1</v>
      </c>
      <c r="BD20" s="332"/>
      <c r="BE20" s="328">
        <v>8</v>
      </c>
      <c r="BF20" s="331">
        <v>17</v>
      </c>
      <c r="BG20" s="330">
        <v>70</v>
      </c>
      <c r="BH20" s="330">
        <v>223</v>
      </c>
      <c r="BI20" s="330">
        <v>3</v>
      </c>
      <c r="BJ20" s="330">
        <v>1</v>
      </c>
      <c r="BK20" s="329">
        <v>314</v>
      </c>
      <c r="BL20" s="328">
        <v>1</v>
      </c>
      <c r="BM20" s="328"/>
      <c r="BN20" s="328">
        <v>2</v>
      </c>
      <c r="BO20" s="328"/>
      <c r="BP20" s="331">
        <v>13</v>
      </c>
      <c r="BQ20" s="330"/>
      <c r="BR20" s="329">
        <v>13</v>
      </c>
      <c r="BS20" s="328"/>
      <c r="BT20" s="331"/>
      <c r="BU20" s="330">
        <v>17</v>
      </c>
      <c r="BV20" s="329">
        <v>17</v>
      </c>
      <c r="BW20" s="334">
        <v>2</v>
      </c>
      <c r="BX20" s="330"/>
      <c r="BY20" s="330"/>
      <c r="BZ20" s="330"/>
      <c r="CA20" s="330">
        <v>1</v>
      </c>
      <c r="CB20" s="330"/>
      <c r="CC20" s="330"/>
      <c r="CD20" s="330"/>
      <c r="CE20" s="330"/>
      <c r="CF20" s="330"/>
      <c r="CG20" s="330"/>
      <c r="CH20" s="330"/>
      <c r="CI20" s="330"/>
      <c r="CJ20" s="330"/>
      <c r="CK20" s="330"/>
      <c r="CL20" s="330"/>
      <c r="CM20" s="333">
        <v>3</v>
      </c>
      <c r="CN20" s="331">
        <v>5</v>
      </c>
      <c r="CO20" s="330"/>
      <c r="CP20" s="329">
        <v>5</v>
      </c>
      <c r="CQ20" s="328"/>
      <c r="CR20" s="331">
        <v>126</v>
      </c>
      <c r="CS20" s="330">
        <v>271</v>
      </c>
      <c r="CT20" s="330">
        <v>28835</v>
      </c>
      <c r="CU20" s="330">
        <v>157</v>
      </c>
      <c r="CV20" s="330">
        <v>4826</v>
      </c>
      <c r="CW20" s="330">
        <v>6</v>
      </c>
      <c r="CX20" s="330">
        <v>1</v>
      </c>
      <c r="CY20" s="330"/>
      <c r="CZ20" s="330">
        <v>2</v>
      </c>
      <c r="DA20" s="330"/>
      <c r="DB20" s="330"/>
      <c r="DC20" s="329">
        <v>34224</v>
      </c>
      <c r="DD20" s="334">
        <v>269</v>
      </c>
      <c r="DE20" s="330">
        <v>3</v>
      </c>
      <c r="DF20" s="330">
        <v>36</v>
      </c>
      <c r="DG20" s="330">
        <v>12</v>
      </c>
      <c r="DH20" s="330">
        <v>4</v>
      </c>
      <c r="DI20" s="330">
        <v>1</v>
      </c>
      <c r="DJ20" s="330"/>
      <c r="DK20" s="333">
        <v>325</v>
      </c>
      <c r="DL20" s="332"/>
      <c r="DM20" s="328"/>
      <c r="DN20" s="331"/>
      <c r="DO20" s="330"/>
      <c r="DP20" s="329"/>
      <c r="DQ20" s="328">
        <v>14</v>
      </c>
      <c r="DR20" s="331"/>
      <c r="DS20" s="330"/>
      <c r="DT20" s="329"/>
      <c r="DU20" s="334">
        <v>8</v>
      </c>
      <c r="DV20" s="330"/>
      <c r="DW20" s="333">
        <v>8</v>
      </c>
      <c r="DX20" s="332">
        <v>0</v>
      </c>
      <c r="DY20" s="328"/>
      <c r="DZ20" s="328">
        <v>37</v>
      </c>
      <c r="EA20" s="328"/>
      <c r="EB20" s="328"/>
      <c r="EC20" s="331">
        <v>10</v>
      </c>
      <c r="ED20" s="330">
        <v>0</v>
      </c>
      <c r="EE20" s="330"/>
      <c r="EF20" s="330"/>
      <c r="EG20" s="330"/>
      <c r="EH20" s="329">
        <v>10</v>
      </c>
      <c r="EI20" s="334">
        <v>75</v>
      </c>
      <c r="EJ20" s="330">
        <v>440</v>
      </c>
      <c r="EK20" s="330">
        <v>27</v>
      </c>
      <c r="EL20" s="330">
        <v>30</v>
      </c>
      <c r="EM20" s="330">
        <v>369</v>
      </c>
      <c r="EN20" s="330">
        <v>26</v>
      </c>
      <c r="EO20" s="330">
        <v>6</v>
      </c>
      <c r="EP20" s="330">
        <v>57</v>
      </c>
      <c r="EQ20" s="330">
        <v>2</v>
      </c>
      <c r="ER20" s="330">
        <v>0</v>
      </c>
      <c r="ES20" s="330">
        <v>5</v>
      </c>
      <c r="ET20" s="330"/>
      <c r="EU20" s="330"/>
      <c r="EV20" s="333">
        <v>1037</v>
      </c>
      <c r="EW20" s="332"/>
      <c r="EX20" s="328">
        <v>0</v>
      </c>
      <c r="EY20" s="331">
        <v>0</v>
      </c>
      <c r="EZ20" s="330"/>
      <c r="FA20" s="330"/>
      <c r="FB20" s="329">
        <v>0</v>
      </c>
      <c r="FC20" s="334"/>
      <c r="FD20" s="330"/>
      <c r="FE20" s="333"/>
      <c r="FF20" s="332">
        <v>1</v>
      </c>
      <c r="FG20" s="334"/>
      <c r="FH20" s="330">
        <v>4</v>
      </c>
      <c r="FI20" s="330"/>
      <c r="FJ20" s="330">
        <v>2</v>
      </c>
      <c r="FK20" s="333">
        <v>6</v>
      </c>
      <c r="FL20" s="331">
        <v>0</v>
      </c>
      <c r="FM20" s="330"/>
      <c r="FN20" s="329">
        <v>0</v>
      </c>
      <c r="FO20" s="334">
        <v>16</v>
      </c>
      <c r="FP20" s="330"/>
      <c r="FQ20" s="333">
        <v>16</v>
      </c>
      <c r="FR20" s="332"/>
      <c r="FS20" s="328">
        <v>878</v>
      </c>
      <c r="FT20" s="331">
        <v>5</v>
      </c>
      <c r="FU20" s="330">
        <v>9</v>
      </c>
      <c r="FV20" s="330"/>
      <c r="FW20" s="330">
        <v>1</v>
      </c>
      <c r="FX20" s="330"/>
      <c r="FY20" s="329">
        <v>15</v>
      </c>
      <c r="FZ20" s="328"/>
      <c r="GA20" s="331">
        <v>342</v>
      </c>
      <c r="GB20" s="330"/>
      <c r="GC20" s="329">
        <v>342</v>
      </c>
      <c r="GD20" s="328"/>
      <c r="GE20" s="331"/>
      <c r="GF20" s="330"/>
      <c r="GG20" s="330"/>
      <c r="GH20" s="329"/>
      <c r="GI20" s="328">
        <v>2</v>
      </c>
      <c r="GJ20" s="331">
        <v>16</v>
      </c>
      <c r="GK20" s="330"/>
      <c r="GL20" s="330"/>
      <c r="GM20" s="330"/>
      <c r="GN20" s="329">
        <v>16</v>
      </c>
      <c r="GO20" s="328">
        <v>41132</v>
      </c>
      <c r="GP20" s="327">
        <f>41132/44564395</f>
        <v>9.2297898355851119E-4</v>
      </c>
    </row>
    <row r="21" spans="2:198" ht="12.75" thickBot="1" x14ac:dyDescent="0.25">
      <c r="B21" s="311" t="s">
        <v>544</v>
      </c>
      <c r="C21" s="310">
        <v>7</v>
      </c>
      <c r="D21" s="129"/>
      <c r="E21" s="129">
        <v>3</v>
      </c>
      <c r="F21" s="129"/>
      <c r="G21" s="309">
        <v>10</v>
      </c>
      <c r="H21" s="141"/>
      <c r="I21" s="138">
        <v>0</v>
      </c>
      <c r="J21" s="129"/>
      <c r="K21" s="139">
        <v>0</v>
      </c>
      <c r="L21" s="141"/>
      <c r="M21" s="135">
        <v>88</v>
      </c>
      <c r="N21" s="141">
        <v>398</v>
      </c>
      <c r="O21" s="129">
        <v>0</v>
      </c>
      <c r="P21" s="129">
        <v>25</v>
      </c>
      <c r="Q21" s="129">
        <v>267</v>
      </c>
      <c r="R21" s="129">
        <v>1</v>
      </c>
      <c r="S21" s="129">
        <v>2</v>
      </c>
      <c r="T21" s="129"/>
      <c r="U21" s="129">
        <v>2</v>
      </c>
      <c r="V21" s="133">
        <v>695</v>
      </c>
      <c r="W21" s="138"/>
      <c r="X21" s="129">
        <v>0</v>
      </c>
      <c r="Y21" s="139">
        <v>0</v>
      </c>
      <c r="Z21" s="131">
        <v>8</v>
      </c>
      <c r="AA21" s="129"/>
      <c r="AB21" s="129"/>
      <c r="AC21" s="133">
        <v>8</v>
      </c>
      <c r="AD21" s="138">
        <v>2623</v>
      </c>
      <c r="AE21" s="129"/>
      <c r="AF21" s="139">
        <v>2623</v>
      </c>
      <c r="AG21" s="131">
        <v>40</v>
      </c>
      <c r="AH21" s="129"/>
      <c r="AI21" s="129"/>
      <c r="AJ21" s="129"/>
      <c r="AK21" s="133">
        <v>40</v>
      </c>
      <c r="AL21" s="138">
        <v>2</v>
      </c>
      <c r="AM21" s="129"/>
      <c r="AN21" s="139">
        <v>2</v>
      </c>
      <c r="AO21" s="135"/>
      <c r="AP21" s="135"/>
      <c r="AQ21" s="131"/>
      <c r="AR21" s="129"/>
      <c r="AS21" s="133"/>
      <c r="AT21" s="138">
        <v>13</v>
      </c>
      <c r="AU21" s="129"/>
      <c r="AV21" s="129"/>
      <c r="AW21" s="129"/>
      <c r="AX21" s="129"/>
      <c r="AY21" s="129"/>
      <c r="AZ21" s="129"/>
      <c r="BA21" s="129"/>
      <c r="BB21" s="129"/>
      <c r="BC21" s="139">
        <v>13</v>
      </c>
      <c r="BD21" s="141"/>
      <c r="BE21" s="135"/>
      <c r="BF21" s="131">
        <v>8</v>
      </c>
      <c r="BG21" s="129">
        <v>26</v>
      </c>
      <c r="BH21" s="129">
        <v>51</v>
      </c>
      <c r="BI21" s="129">
        <v>17</v>
      </c>
      <c r="BJ21" s="129">
        <v>0</v>
      </c>
      <c r="BK21" s="133">
        <v>102</v>
      </c>
      <c r="BL21" s="135"/>
      <c r="BM21" s="135"/>
      <c r="BN21" s="135"/>
      <c r="BO21" s="135"/>
      <c r="BP21" s="131"/>
      <c r="BQ21" s="129"/>
      <c r="BR21" s="133"/>
      <c r="BS21" s="135"/>
      <c r="BT21" s="131"/>
      <c r="BU21" s="129"/>
      <c r="BV21" s="133"/>
      <c r="BW21" s="138"/>
      <c r="BX21" s="129"/>
      <c r="BY21" s="129">
        <v>0</v>
      </c>
      <c r="BZ21" s="129">
        <v>3</v>
      </c>
      <c r="CA21" s="129">
        <v>1</v>
      </c>
      <c r="CB21" s="129"/>
      <c r="CC21" s="129">
        <v>0</v>
      </c>
      <c r="CD21" s="129"/>
      <c r="CE21" s="129"/>
      <c r="CF21" s="129"/>
      <c r="CG21" s="129"/>
      <c r="CH21" s="129"/>
      <c r="CI21" s="129"/>
      <c r="CJ21" s="129"/>
      <c r="CK21" s="129"/>
      <c r="CL21" s="129"/>
      <c r="CM21" s="139">
        <v>4</v>
      </c>
      <c r="CN21" s="131"/>
      <c r="CO21" s="129"/>
      <c r="CP21" s="133"/>
      <c r="CQ21" s="135"/>
      <c r="CR21" s="131">
        <v>9</v>
      </c>
      <c r="CS21" s="129">
        <v>9</v>
      </c>
      <c r="CT21" s="129">
        <v>18729</v>
      </c>
      <c r="CU21" s="129">
        <v>518</v>
      </c>
      <c r="CV21" s="129">
        <v>3011</v>
      </c>
      <c r="CW21" s="129">
        <v>3</v>
      </c>
      <c r="CX21" s="129"/>
      <c r="CY21" s="129">
        <v>1</v>
      </c>
      <c r="CZ21" s="129">
        <v>19</v>
      </c>
      <c r="DA21" s="129"/>
      <c r="DB21" s="129"/>
      <c r="DC21" s="133">
        <v>22299</v>
      </c>
      <c r="DD21" s="138">
        <v>124</v>
      </c>
      <c r="DE21" s="129">
        <v>16</v>
      </c>
      <c r="DF21" s="129">
        <v>1066</v>
      </c>
      <c r="DG21" s="129">
        <v>83</v>
      </c>
      <c r="DH21" s="129">
        <v>9</v>
      </c>
      <c r="DI21" s="129"/>
      <c r="DJ21" s="129"/>
      <c r="DK21" s="139">
        <v>1298</v>
      </c>
      <c r="DL21" s="141"/>
      <c r="DM21" s="135"/>
      <c r="DN21" s="131">
        <v>0</v>
      </c>
      <c r="DO21" s="129"/>
      <c r="DP21" s="133">
        <v>0</v>
      </c>
      <c r="DQ21" s="135">
        <v>27</v>
      </c>
      <c r="DR21" s="131"/>
      <c r="DS21" s="129"/>
      <c r="DT21" s="133"/>
      <c r="DU21" s="138">
        <v>6</v>
      </c>
      <c r="DV21" s="129"/>
      <c r="DW21" s="139">
        <v>6</v>
      </c>
      <c r="DX21" s="141">
        <v>1</v>
      </c>
      <c r="DY21" s="135"/>
      <c r="DZ21" s="135">
        <v>20</v>
      </c>
      <c r="EA21" s="135"/>
      <c r="EB21" s="135"/>
      <c r="EC21" s="131">
        <v>0</v>
      </c>
      <c r="ED21" s="129">
        <v>4</v>
      </c>
      <c r="EE21" s="129"/>
      <c r="EF21" s="129"/>
      <c r="EG21" s="129"/>
      <c r="EH21" s="133">
        <v>4</v>
      </c>
      <c r="EI21" s="138">
        <v>30</v>
      </c>
      <c r="EJ21" s="129">
        <v>51</v>
      </c>
      <c r="EK21" s="129">
        <v>44</v>
      </c>
      <c r="EL21" s="129">
        <v>83</v>
      </c>
      <c r="EM21" s="129">
        <v>29</v>
      </c>
      <c r="EN21" s="129">
        <v>3</v>
      </c>
      <c r="EO21" s="129">
        <v>2</v>
      </c>
      <c r="EP21" s="129">
        <v>151</v>
      </c>
      <c r="EQ21" s="129"/>
      <c r="ER21" s="129">
        <v>1</v>
      </c>
      <c r="ES21" s="129"/>
      <c r="ET21" s="129"/>
      <c r="EU21" s="129"/>
      <c r="EV21" s="139">
        <v>394</v>
      </c>
      <c r="EW21" s="141"/>
      <c r="EX21" s="135">
        <v>0</v>
      </c>
      <c r="EY21" s="131"/>
      <c r="EZ21" s="129"/>
      <c r="FA21" s="129"/>
      <c r="FB21" s="133"/>
      <c r="FC21" s="138"/>
      <c r="FD21" s="129"/>
      <c r="FE21" s="139"/>
      <c r="FF21" s="141"/>
      <c r="FG21" s="138"/>
      <c r="FH21" s="129"/>
      <c r="FI21" s="129"/>
      <c r="FJ21" s="129"/>
      <c r="FK21" s="139"/>
      <c r="FL21" s="131"/>
      <c r="FM21" s="129"/>
      <c r="FN21" s="133"/>
      <c r="FO21" s="138"/>
      <c r="FP21" s="129"/>
      <c r="FQ21" s="139"/>
      <c r="FR21" s="141"/>
      <c r="FS21" s="135">
        <v>1</v>
      </c>
      <c r="FT21" s="131">
        <v>1</v>
      </c>
      <c r="FU21" s="129"/>
      <c r="FV21" s="129"/>
      <c r="FW21" s="129"/>
      <c r="FX21" s="129"/>
      <c r="FY21" s="133">
        <v>1</v>
      </c>
      <c r="FZ21" s="135"/>
      <c r="GA21" s="131">
        <v>3</v>
      </c>
      <c r="GB21" s="129"/>
      <c r="GC21" s="133">
        <v>3</v>
      </c>
      <c r="GD21" s="135"/>
      <c r="GE21" s="131"/>
      <c r="GF21" s="129"/>
      <c r="GG21" s="129"/>
      <c r="GH21" s="133"/>
      <c r="GI21" s="135">
        <v>3</v>
      </c>
      <c r="GJ21" s="131"/>
      <c r="GK21" s="129"/>
      <c r="GL21" s="129"/>
      <c r="GM21" s="129"/>
      <c r="GN21" s="133"/>
      <c r="GO21" s="135">
        <v>27642</v>
      </c>
      <c r="GP21" s="308">
        <f>27642/44564395</f>
        <v>6.2027095846358955E-4</v>
      </c>
    </row>
    <row r="22" spans="2:198" ht="12.75" thickBot="1" x14ac:dyDescent="0.25">
      <c r="B22" s="311" t="s">
        <v>545</v>
      </c>
      <c r="C22" s="310">
        <v>394</v>
      </c>
      <c r="D22" s="129"/>
      <c r="E22" s="129">
        <v>10</v>
      </c>
      <c r="F22" s="129"/>
      <c r="G22" s="309">
        <v>404</v>
      </c>
      <c r="H22" s="141"/>
      <c r="I22" s="138">
        <v>3</v>
      </c>
      <c r="J22" s="129"/>
      <c r="K22" s="139">
        <v>3</v>
      </c>
      <c r="L22" s="141">
        <v>0</v>
      </c>
      <c r="M22" s="135">
        <v>1989</v>
      </c>
      <c r="N22" s="141">
        <v>10135</v>
      </c>
      <c r="O22" s="129">
        <v>29</v>
      </c>
      <c r="P22" s="129">
        <v>187</v>
      </c>
      <c r="Q22" s="129">
        <v>704</v>
      </c>
      <c r="R22" s="129">
        <v>11</v>
      </c>
      <c r="S22" s="129">
        <v>6</v>
      </c>
      <c r="T22" s="129"/>
      <c r="U22" s="129">
        <v>7</v>
      </c>
      <c r="V22" s="133">
        <v>11079</v>
      </c>
      <c r="W22" s="138">
        <v>12</v>
      </c>
      <c r="X22" s="129">
        <v>14</v>
      </c>
      <c r="Y22" s="139">
        <v>26</v>
      </c>
      <c r="Z22" s="131">
        <v>361</v>
      </c>
      <c r="AA22" s="129"/>
      <c r="AB22" s="129"/>
      <c r="AC22" s="133">
        <v>361</v>
      </c>
      <c r="AD22" s="138">
        <v>21737</v>
      </c>
      <c r="AE22" s="129">
        <v>10</v>
      </c>
      <c r="AF22" s="139">
        <v>21747</v>
      </c>
      <c r="AG22" s="131">
        <v>334</v>
      </c>
      <c r="AH22" s="129"/>
      <c r="AI22" s="129">
        <v>2</v>
      </c>
      <c r="AJ22" s="129"/>
      <c r="AK22" s="133">
        <v>336</v>
      </c>
      <c r="AL22" s="138">
        <v>19</v>
      </c>
      <c r="AM22" s="129"/>
      <c r="AN22" s="139">
        <v>19</v>
      </c>
      <c r="AO22" s="135"/>
      <c r="AP22" s="135"/>
      <c r="AQ22" s="131">
        <v>4</v>
      </c>
      <c r="AR22" s="129">
        <v>1</v>
      </c>
      <c r="AS22" s="133">
        <v>5</v>
      </c>
      <c r="AT22" s="138">
        <v>133</v>
      </c>
      <c r="AU22" s="129">
        <v>1</v>
      </c>
      <c r="AV22" s="129">
        <v>363</v>
      </c>
      <c r="AW22" s="129"/>
      <c r="AX22" s="129">
        <v>3</v>
      </c>
      <c r="AY22" s="129">
        <v>1</v>
      </c>
      <c r="AZ22" s="129"/>
      <c r="BA22" s="129"/>
      <c r="BB22" s="129"/>
      <c r="BC22" s="139">
        <v>501</v>
      </c>
      <c r="BD22" s="141">
        <v>0</v>
      </c>
      <c r="BE22" s="135">
        <v>13</v>
      </c>
      <c r="BF22" s="131">
        <v>145</v>
      </c>
      <c r="BG22" s="129">
        <v>605</v>
      </c>
      <c r="BH22" s="129">
        <v>1596</v>
      </c>
      <c r="BI22" s="129">
        <v>175</v>
      </c>
      <c r="BJ22" s="129">
        <v>64</v>
      </c>
      <c r="BK22" s="133">
        <v>2585</v>
      </c>
      <c r="BL22" s="135">
        <v>6</v>
      </c>
      <c r="BM22" s="135"/>
      <c r="BN22" s="135">
        <v>2</v>
      </c>
      <c r="BO22" s="135">
        <v>14</v>
      </c>
      <c r="BP22" s="131">
        <v>22</v>
      </c>
      <c r="BQ22" s="129">
        <v>17</v>
      </c>
      <c r="BR22" s="133">
        <v>39</v>
      </c>
      <c r="BS22" s="135"/>
      <c r="BT22" s="131">
        <v>1</v>
      </c>
      <c r="BU22" s="129">
        <v>17</v>
      </c>
      <c r="BV22" s="133">
        <v>18</v>
      </c>
      <c r="BW22" s="138">
        <v>4</v>
      </c>
      <c r="BX22" s="129"/>
      <c r="BY22" s="129">
        <v>26</v>
      </c>
      <c r="BZ22" s="129">
        <v>7</v>
      </c>
      <c r="CA22" s="129">
        <v>4</v>
      </c>
      <c r="CB22" s="129"/>
      <c r="CC22" s="129">
        <v>0</v>
      </c>
      <c r="CD22" s="129">
        <v>1</v>
      </c>
      <c r="CE22" s="129"/>
      <c r="CF22" s="129"/>
      <c r="CG22" s="129">
        <v>1</v>
      </c>
      <c r="CH22" s="129">
        <v>5</v>
      </c>
      <c r="CI22" s="129">
        <v>0</v>
      </c>
      <c r="CJ22" s="129"/>
      <c r="CK22" s="129"/>
      <c r="CL22" s="129"/>
      <c r="CM22" s="139">
        <v>48</v>
      </c>
      <c r="CN22" s="131">
        <v>6</v>
      </c>
      <c r="CO22" s="129"/>
      <c r="CP22" s="133">
        <v>6</v>
      </c>
      <c r="CQ22" s="135"/>
      <c r="CR22" s="131">
        <v>417</v>
      </c>
      <c r="CS22" s="129">
        <v>291</v>
      </c>
      <c r="CT22" s="129">
        <v>240155</v>
      </c>
      <c r="CU22" s="129">
        <v>4868</v>
      </c>
      <c r="CV22" s="129">
        <v>39738</v>
      </c>
      <c r="CW22" s="129">
        <v>50</v>
      </c>
      <c r="CX22" s="129">
        <v>7</v>
      </c>
      <c r="CY22" s="129">
        <v>1</v>
      </c>
      <c r="CZ22" s="129">
        <v>140</v>
      </c>
      <c r="DA22" s="129">
        <v>12</v>
      </c>
      <c r="DB22" s="129"/>
      <c r="DC22" s="133">
        <v>285679</v>
      </c>
      <c r="DD22" s="138">
        <v>2236</v>
      </c>
      <c r="DE22" s="129">
        <v>32</v>
      </c>
      <c r="DF22" s="129">
        <v>13612</v>
      </c>
      <c r="DG22" s="129">
        <v>628</v>
      </c>
      <c r="DH22" s="129">
        <v>66</v>
      </c>
      <c r="DI22" s="129">
        <v>14</v>
      </c>
      <c r="DJ22" s="129">
        <v>2</v>
      </c>
      <c r="DK22" s="139">
        <v>16590</v>
      </c>
      <c r="DL22" s="141"/>
      <c r="DM22" s="135"/>
      <c r="DN22" s="131">
        <v>0</v>
      </c>
      <c r="DO22" s="129"/>
      <c r="DP22" s="133">
        <v>0</v>
      </c>
      <c r="DQ22" s="135">
        <v>306</v>
      </c>
      <c r="DR22" s="131">
        <v>20</v>
      </c>
      <c r="DS22" s="129"/>
      <c r="DT22" s="133">
        <v>20</v>
      </c>
      <c r="DU22" s="138">
        <v>33</v>
      </c>
      <c r="DV22" s="129"/>
      <c r="DW22" s="139">
        <v>33</v>
      </c>
      <c r="DX22" s="141">
        <v>16</v>
      </c>
      <c r="DY22" s="135"/>
      <c r="DZ22" s="135">
        <v>274</v>
      </c>
      <c r="EA22" s="135"/>
      <c r="EB22" s="135"/>
      <c r="EC22" s="131">
        <v>28</v>
      </c>
      <c r="ED22" s="129">
        <v>37</v>
      </c>
      <c r="EE22" s="129">
        <v>2</v>
      </c>
      <c r="EF22" s="129">
        <v>1</v>
      </c>
      <c r="EG22" s="129"/>
      <c r="EH22" s="133">
        <v>68</v>
      </c>
      <c r="EI22" s="138">
        <v>895</v>
      </c>
      <c r="EJ22" s="129">
        <v>1295</v>
      </c>
      <c r="EK22" s="129">
        <v>358</v>
      </c>
      <c r="EL22" s="129">
        <v>731</v>
      </c>
      <c r="EM22" s="129">
        <v>1177</v>
      </c>
      <c r="EN22" s="129">
        <v>62</v>
      </c>
      <c r="EO22" s="129">
        <v>23</v>
      </c>
      <c r="EP22" s="129">
        <v>1259</v>
      </c>
      <c r="EQ22" s="129">
        <v>7</v>
      </c>
      <c r="ER22" s="129">
        <v>35</v>
      </c>
      <c r="ES22" s="129">
        <v>23</v>
      </c>
      <c r="ET22" s="129"/>
      <c r="EU22" s="129">
        <v>2</v>
      </c>
      <c r="EV22" s="139">
        <v>5867</v>
      </c>
      <c r="EW22" s="141"/>
      <c r="EX22" s="135">
        <v>3</v>
      </c>
      <c r="EY22" s="131">
        <v>0</v>
      </c>
      <c r="EZ22" s="129"/>
      <c r="FA22" s="129"/>
      <c r="FB22" s="133">
        <v>0</v>
      </c>
      <c r="FC22" s="138"/>
      <c r="FD22" s="129"/>
      <c r="FE22" s="139"/>
      <c r="FF22" s="141">
        <v>1</v>
      </c>
      <c r="FG22" s="138">
        <v>86</v>
      </c>
      <c r="FH22" s="129">
        <v>14</v>
      </c>
      <c r="FI22" s="129"/>
      <c r="FJ22" s="129">
        <v>2</v>
      </c>
      <c r="FK22" s="139">
        <v>102</v>
      </c>
      <c r="FL22" s="131">
        <v>0</v>
      </c>
      <c r="FM22" s="129">
        <v>0</v>
      </c>
      <c r="FN22" s="133">
        <v>0</v>
      </c>
      <c r="FO22" s="138">
        <v>68</v>
      </c>
      <c r="FP22" s="129"/>
      <c r="FQ22" s="139">
        <v>68</v>
      </c>
      <c r="FR22" s="141">
        <v>4</v>
      </c>
      <c r="FS22" s="135">
        <v>942</v>
      </c>
      <c r="FT22" s="131">
        <v>19</v>
      </c>
      <c r="FU22" s="129">
        <v>9</v>
      </c>
      <c r="FV22" s="129"/>
      <c r="FW22" s="129">
        <v>6</v>
      </c>
      <c r="FX22" s="129"/>
      <c r="FY22" s="133">
        <v>34</v>
      </c>
      <c r="FZ22" s="135"/>
      <c r="GA22" s="131">
        <v>417</v>
      </c>
      <c r="GB22" s="129"/>
      <c r="GC22" s="133">
        <v>417</v>
      </c>
      <c r="GD22" s="135"/>
      <c r="GE22" s="131">
        <v>10</v>
      </c>
      <c r="GF22" s="129">
        <v>1</v>
      </c>
      <c r="GG22" s="129"/>
      <c r="GH22" s="133">
        <v>11</v>
      </c>
      <c r="GI22" s="135">
        <v>18</v>
      </c>
      <c r="GJ22" s="131">
        <v>63</v>
      </c>
      <c r="GK22" s="129">
        <v>0</v>
      </c>
      <c r="GL22" s="129"/>
      <c r="GM22" s="129"/>
      <c r="GN22" s="133">
        <v>63</v>
      </c>
      <c r="GO22" s="135">
        <v>349717</v>
      </c>
      <c r="GP22" s="308">
        <f>349717/44564395</f>
        <v>7.8474531069029439E-3</v>
      </c>
    </row>
    <row r="23" spans="2:198" x14ac:dyDescent="0.2">
      <c r="B23" s="322" t="s">
        <v>37</v>
      </c>
      <c r="C23" s="321">
        <v>4</v>
      </c>
      <c r="D23" s="315"/>
      <c r="E23" s="315"/>
      <c r="F23" s="315"/>
      <c r="G23" s="320">
        <v>4</v>
      </c>
      <c r="H23" s="317"/>
      <c r="I23" s="319">
        <v>3</v>
      </c>
      <c r="J23" s="315"/>
      <c r="K23" s="318">
        <v>3</v>
      </c>
      <c r="L23" s="317"/>
      <c r="M23" s="313">
        <v>111</v>
      </c>
      <c r="N23" s="317">
        <v>5941</v>
      </c>
      <c r="O23" s="315"/>
      <c r="P23" s="315">
        <v>2</v>
      </c>
      <c r="Q23" s="315"/>
      <c r="R23" s="315"/>
      <c r="S23" s="315"/>
      <c r="T23" s="315"/>
      <c r="U23" s="315"/>
      <c r="V23" s="314">
        <v>5943</v>
      </c>
      <c r="W23" s="319">
        <v>1</v>
      </c>
      <c r="X23" s="315"/>
      <c r="Y23" s="318">
        <v>1</v>
      </c>
      <c r="Z23" s="316">
        <v>233</v>
      </c>
      <c r="AA23" s="315"/>
      <c r="AB23" s="315"/>
      <c r="AC23" s="314">
        <v>233</v>
      </c>
      <c r="AD23" s="319">
        <v>89</v>
      </c>
      <c r="AE23" s="315"/>
      <c r="AF23" s="318">
        <v>89</v>
      </c>
      <c r="AG23" s="316"/>
      <c r="AH23" s="315"/>
      <c r="AI23" s="315"/>
      <c r="AJ23" s="315"/>
      <c r="AK23" s="314"/>
      <c r="AL23" s="319"/>
      <c r="AM23" s="315"/>
      <c r="AN23" s="318"/>
      <c r="AO23" s="313"/>
      <c r="AP23" s="313"/>
      <c r="AQ23" s="316">
        <v>5</v>
      </c>
      <c r="AR23" s="315"/>
      <c r="AS23" s="314">
        <v>5</v>
      </c>
      <c r="AT23" s="319"/>
      <c r="AU23" s="315"/>
      <c r="AV23" s="315"/>
      <c r="AW23" s="315"/>
      <c r="AX23" s="315"/>
      <c r="AY23" s="315"/>
      <c r="AZ23" s="315"/>
      <c r="BA23" s="315"/>
      <c r="BB23" s="315"/>
      <c r="BC23" s="318"/>
      <c r="BD23" s="317"/>
      <c r="BE23" s="313">
        <v>4</v>
      </c>
      <c r="BF23" s="316"/>
      <c r="BG23" s="315">
        <v>9</v>
      </c>
      <c r="BH23" s="315">
        <v>5</v>
      </c>
      <c r="BI23" s="315"/>
      <c r="BJ23" s="315"/>
      <c r="BK23" s="314">
        <v>14</v>
      </c>
      <c r="BL23" s="313"/>
      <c r="BM23" s="313"/>
      <c r="BN23" s="313"/>
      <c r="BO23" s="313"/>
      <c r="BP23" s="316">
        <v>1</v>
      </c>
      <c r="BQ23" s="315"/>
      <c r="BR23" s="314">
        <v>1</v>
      </c>
      <c r="BS23" s="313"/>
      <c r="BT23" s="316"/>
      <c r="BU23" s="315"/>
      <c r="BV23" s="314"/>
      <c r="BW23" s="319">
        <v>1</v>
      </c>
      <c r="BX23" s="315"/>
      <c r="BY23" s="315"/>
      <c r="BZ23" s="315"/>
      <c r="CA23" s="315"/>
      <c r="CB23" s="315"/>
      <c r="CC23" s="315"/>
      <c r="CD23" s="315"/>
      <c r="CE23" s="315"/>
      <c r="CF23" s="315"/>
      <c r="CG23" s="315"/>
      <c r="CH23" s="315"/>
      <c r="CI23" s="315"/>
      <c r="CJ23" s="315"/>
      <c r="CK23" s="315"/>
      <c r="CL23" s="315"/>
      <c r="CM23" s="318">
        <v>1</v>
      </c>
      <c r="CN23" s="316"/>
      <c r="CO23" s="315"/>
      <c r="CP23" s="314"/>
      <c r="CQ23" s="313"/>
      <c r="CR23" s="316">
        <v>25</v>
      </c>
      <c r="CS23" s="315"/>
      <c r="CT23" s="315">
        <v>40336</v>
      </c>
      <c r="CU23" s="315">
        <v>244</v>
      </c>
      <c r="CV23" s="315">
        <v>28376</v>
      </c>
      <c r="CW23" s="315"/>
      <c r="CX23" s="315"/>
      <c r="CY23" s="315"/>
      <c r="CZ23" s="315"/>
      <c r="DA23" s="315"/>
      <c r="DB23" s="315"/>
      <c r="DC23" s="314">
        <v>68981</v>
      </c>
      <c r="DD23" s="319">
        <v>27</v>
      </c>
      <c r="DE23" s="315"/>
      <c r="DF23" s="315">
        <v>2</v>
      </c>
      <c r="DG23" s="315">
        <v>215</v>
      </c>
      <c r="DH23" s="315"/>
      <c r="DI23" s="315"/>
      <c r="DJ23" s="315"/>
      <c r="DK23" s="318">
        <v>244</v>
      </c>
      <c r="DL23" s="317"/>
      <c r="DM23" s="313"/>
      <c r="DN23" s="316"/>
      <c r="DO23" s="315"/>
      <c r="DP23" s="314"/>
      <c r="DQ23" s="313"/>
      <c r="DR23" s="316"/>
      <c r="DS23" s="315"/>
      <c r="DT23" s="314"/>
      <c r="DU23" s="319"/>
      <c r="DV23" s="315"/>
      <c r="DW23" s="318"/>
      <c r="DX23" s="317">
        <v>1</v>
      </c>
      <c r="DY23" s="313"/>
      <c r="DZ23" s="313">
        <v>2</v>
      </c>
      <c r="EA23" s="313"/>
      <c r="EB23" s="313">
        <v>2</v>
      </c>
      <c r="EC23" s="316">
        <v>2</v>
      </c>
      <c r="ED23" s="315"/>
      <c r="EE23" s="315"/>
      <c r="EF23" s="315"/>
      <c r="EG23" s="315"/>
      <c r="EH23" s="314">
        <v>2</v>
      </c>
      <c r="EI23" s="319">
        <v>14</v>
      </c>
      <c r="EJ23" s="315">
        <v>22</v>
      </c>
      <c r="EK23" s="315"/>
      <c r="EL23" s="315">
        <v>11</v>
      </c>
      <c r="EM23" s="315">
        <v>255</v>
      </c>
      <c r="EN23" s="315"/>
      <c r="EO23" s="315">
        <v>2</v>
      </c>
      <c r="EP23" s="315">
        <v>196</v>
      </c>
      <c r="EQ23" s="315"/>
      <c r="ER23" s="315"/>
      <c r="ES23" s="315">
        <v>0</v>
      </c>
      <c r="ET23" s="315"/>
      <c r="EU23" s="315"/>
      <c r="EV23" s="318">
        <v>500</v>
      </c>
      <c r="EW23" s="317"/>
      <c r="EX23" s="313"/>
      <c r="EY23" s="316">
        <v>0</v>
      </c>
      <c r="EZ23" s="315"/>
      <c r="FA23" s="315"/>
      <c r="FB23" s="314">
        <v>0</v>
      </c>
      <c r="FC23" s="319"/>
      <c r="FD23" s="315"/>
      <c r="FE23" s="318"/>
      <c r="FF23" s="317"/>
      <c r="FG23" s="319"/>
      <c r="FH23" s="315">
        <v>0</v>
      </c>
      <c r="FI23" s="315"/>
      <c r="FJ23" s="315"/>
      <c r="FK23" s="318">
        <v>0</v>
      </c>
      <c r="FL23" s="316"/>
      <c r="FM23" s="315"/>
      <c r="FN23" s="314"/>
      <c r="FO23" s="319"/>
      <c r="FP23" s="315"/>
      <c r="FQ23" s="318"/>
      <c r="FR23" s="317"/>
      <c r="FS23" s="313">
        <v>4</v>
      </c>
      <c r="FT23" s="316">
        <v>82</v>
      </c>
      <c r="FU23" s="315"/>
      <c r="FV23" s="315"/>
      <c r="FW23" s="315"/>
      <c r="FX23" s="315"/>
      <c r="FY23" s="314">
        <v>82</v>
      </c>
      <c r="FZ23" s="313"/>
      <c r="GA23" s="316">
        <v>21920</v>
      </c>
      <c r="GB23" s="315"/>
      <c r="GC23" s="314">
        <v>21920</v>
      </c>
      <c r="GD23" s="313"/>
      <c r="GE23" s="316"/>
      <c r="GF23" s="315"/>
      <c r="GG23" s="315"/>
      <c r="GH23" s="314"/>
      <c r="GI23" s="313"/>
      <c r="GJ23" s="316"/>
      <c r="GK23" s="315"/>
      <c r="GL23" s="315"/>
      <c r="GM23" s="315"/>
      <c r="GN23" s="314"/>
      <c r="GO23" s="313">
        <v>98147</v>
      </c>
      <c r="GP23" s="312">
        <f>98147/44564395</f>
        <v>2.2023635684945346E-3</v>
      </c>
    </row>
    <row r="24" spans="2:198" x14ac:dyDescent="0.2">
      <c r="B24" s="326" t="s">
        <v>49</v>
      </c>
      <c r="C24" s="325">
        <v>7</v>
      </c>
      <c r="D24" s="128"/>
      <c r="E24" s="128"/>
      <c r="F24" s="128"/>
      <c r="G24" s="324">
        <v>7</v>
      </c>
      <c r="H24" s="140"/>
      <c r="I24" s="136">
        <v>10</v>
      </c>
      <c r="J24" s="128"/>
      <c r="K24" s="137">
        <v>10</v>
      </c>
      <c r="L24" s="140"/>
      <c r="M24" s="134">
        <v>857</v>
      </c>
      <c r="N24" s="140">
        <v>2045</v>
      </c>
      <c r="O24" s="128"/>
      <c r="P24" s="128"/>
      <c r="Q24" s="128"/>
      <c r="R24" s="128"/>
      <c r="S24" s="128"/>
      <c r="T24" s="128"/>
      <c r="U24" s="128"/>
      <c r="V24" s="132">
        <v>2045</v>
      </c>
      <c r="W24" s="136"/>
      <c r="X24" s="128"/>
      <c r="Y24" s="137"/>
      <c r="Z24" s="130">
        <v>765</v>
      </c>
      <c r="AA24" s="128"/>
      <c r="AB24" s="128"/>
      <c r="AC24" s="132">
        <v>765</v>
      </c>
      <c r="AD24" s="136">
        <v>75</v>
      </c>
      <c r="AE24" s="128"/>
      <c r="AF24" s="137">
        <v>75</v>
      </c>
      <c r="AG24" s="130"/>
      <c r="AH24" s="128"/>
      <c r="AI24" s="128"/>
      <c r="AJ24" s="128"/>
      <c r="AK24" s="132"/>
      <c r="AL24" s="136"/>
      <c r="AM24" s="128"/>
      <c r="AN24" s="137"/>
      <c r="AO24" s="134"/>
      <c r="AP24" s="134"/>
      <c r="AQ24" s="130">
        <v>5</v>
      </c>
      <c r="AR24" s="128"/>
      <c r="AS24" s="132">
        <v>5</v>
      </c>
      <c r="AT24" s="136">
        <v>1</v>
      </c>
      <c r="AU24" s="128"/>
      <c r="AV24" s="128"/>
      <c r="AW24" s="128"/>
      <c r="AX24" s="128"/>
      <c r="AY24" s="128"/>
      <c r="AZ24" s="128"/>
      <c r="BA24" s="128"/>
      <c r="BB24" s="128"/>
      <c r="BC24" s="137">
        <v>1</v>
      </c>
      <c r="BD24" s="140"/>
      <c r="BE24" s="134"/>
      <c r="BF24" s="130">
        <v>2</v>
      </c>
      <c r="BG24" s="128">
        <v>7</v>
      </c>
      <c r="BH24" s="128">
        <v>28</v>
      </c>
      <c r="BI24" s="128">
        <v>1</v>
      </c>
      <c r="BJ24" s="128"/>
      <c r="BK24" s="132">
        <v>38</v>
      </c>
      <c r="BL24" s="134"/>
      <c r="BM24" s="134"/>
      <c r="BN24" s="134">
        <v>2</v>
      </c>
      <c r="BO24" s="134"/>
      <c r="BP24" s="130"/>
      <c r="BQ24" s="128"/>
      <c r="BR24" s="132"/>
      <c r="BS24" s="134"/>
      <c r="BT24" s="130"/>
      <c r="BU24" s="128"/>
      <c r="BV24" s="132"/>
      <c r="BW24" s="136"/>
      <c r="BX24" s="128"/>
      <c r="BY24" s="128"/>
      <c r="BZ24" s="128"/>
      <c r="CA24" s="128"/>
      <c r="CB24" s="128"/>
      <c r="CC24" s="128"/>
      <c r="CD24" s="128"/>
      <c r="CE24" s="128"/>
      <c r="CF24" s="128"/>
      <c r="CG24" s="128"/>
      <c r="CH24" s="128"/>
      <c r="CI24" s="128"/>
      <c r="CJ24" s="128"/>
      <c r="CK24" s="128"/>
      <c r="CL24" s="128"/>
      <c r="CM24" s="137"/>
      <c r="CN24" s="130">
        <v>1</v>
      </c>
      <c r="CO24" s="128"/>
      <c r="CP24" s="132">
        <v>1</v>
      </c>
      <c r="CQ24" s="134"/>
      <c r="CR24" s="130">
        <v>172</v>
      </c>
      <c r="CS24" s="128"/>
      <c r="CT24" s="128">
        <v>69689</v>
      </c>
      <c r="CU24" s="128">
        <v>120</v>
      </c>
      <c r="CV24" s="128">
        <v>25369</v>
      </c>
      <c r="CW24" s="128"/>
      <c r="CX24" s="128">
        <v>0</v>
      </c>
      <c r="CY24" s="128"/>
      <c r="CZ24" s="128"/>
      <c r="DA24" s="128"/>
      <c r="DB24" s="128"/>
      <c r="DC24" s="132">
        <v>95350</v>
      </c>
      <c r="DD24" s="136">
        <v>161</v>
      </c>
      <c r="DE24" s="128"/>
      <c r="DF24" s="128">
        <v>0</v>
      </c>
      <c r="DG24" s="128">
        <v>63</v>
      </c>
      <c r="DH24" s="128"/>
      <c r="DI24" s="128"/>
      <c r="DJ24" s="128"/>
      <c r="DK24" s="137">
        <v>224</v>
      </c>
      <c r="DL24" s="140">
        <v>3</v>
      </c>
      <c r="DM24" s="134"/>
      <c r="DN24" s="130"/>
      <c r="DO24" s="128"/>
      <c r="DP24" s="132"/>
      <c r="DQ24" s="134">
        <v>7</v>
      </c>
      <c r="DR24" s="130"/>
      <c r="DS24" s="128"/>
      <c r="DT24" s="132"/>
      <c r="DU24" s="136"/>
      <c r="DV24" s="128"/>
      <c r="DW24" s="137"/>
      <c r="DX24" s="140">
        <v>5</v>
      </c>
      <c r="DY24" s="134"/>
      <c r="DZ24" s="134">
        <v>1</v>
      </c>
      <c r="EA24" s="134"/>
      <c r="EB24" s="134"/>
      <c r="EC24" s="130"/>
      <c r="ED24" s="128"/>
      <c r="EE24" s="128"/>
      <c r="EF24" s="128"/>
      <c r="EG24" s="128"/>
      <c r="EH24" s="132"/>
      <c r="EI24" s="136">
        <v>20</v>
      </c>
      <c r="EJ24" s="128">
        <v>14</v>
      </c>
      <c r="EK24" s="128"/>
      <c r="EL24" s="128">
        <v>5</v>
      </c>
      <c r="EM24" s="128">
        <v>1140</v>
      </c>
      <c r="EN24" s="128">
        <v>1</v>
      </c>
      <c r="EO24" s="128">
        <v>4</v>
      </c>
      <c r="EP24" s="128">
        <v>70</v>
      </c>
      <c r="EQ24" s="128"/>
      <c r="ER24" s="128"/>
      <c r="ES24" s="128">
        <v>0</v>
      </c>
      <c r="ET24" s="128"/>
      <c r="EU24" s="128"/>
      <c r="EV24" s="137">
        <v>1254</v>
      </c>
      <c r="EW24" s="140"/>
      <c r="EX24" s="134"/>
      <c r="EY24" s="130">
        <v>0</v>
      </c>
      <c r="EZ24" s="128"/>
      <c r="FA24" s="128"/>
      <c r="FB24" s="132">
        <v>0</v>
      </c>
      <c r="FC24" s="136"/>
      <c r="FD24" s="128"/>
      <c r="FE24" s="137"/>
      <c r="FF24" s="140"/>
      <c r="FG24" s="136"/>
      <c r="FH24" s="128"/>
      <c r="FI24" s="128"/>
      <c r="FJ24" s="128"/>
      <c r="FK24" s="137"/>
      <c r="FL24" s="130">
        <v>0</v>
      </c>
      <c r="FM24" s="128"/>
      <c r="FN24" s="132">
        <v>0</v>
      </c>
      <c r="FO24" s="136"/>
      <c r="FP24" s="128"/>
      <c r="FQ24" s="137"/>
      <c r="FR24" s="140"/>
      <c r="FS24" s="134">
        <v>0</v>
      </c>
      <c r="FT24" s="130">
        <v>148</v>
      </c>
      <c r="FU24" s="128"/>
      <c r="FV24" s="128"/>
      <c r="FW24" s="128"/>
      <c r="FX24" s="128"/>
      <c r="FY24" s="132">
        <v>148</v>
      </c>
      <c r="FZ24" s="134"/>
      <c r="GA24" s="130">
        <v>45640</v>
      </c>
      <c r="GB24" s="128"/>
      <c r="GC24" s="132">
        <v>45640</v>
      </c>
      <c r="GD24" s="134"/>
      <c r="GE24" s="130"/>
      <c r="GF24" s="128"/>
      <c r="GG24" s="128"/>
      <c r="GH24" s="132"/>
      <c r="GI24" s="134"/>
      <c r="GJ24" s="130"/>
      <c r="GK24" s="128"/>
      <c r="GL24" s="128"/>
      <c r="GM24" s="128"/>
      <c r="GN24" s="132"/>
      <c r="GO24" s="134">
        <v>146438</v>
      </c>
      <c r="GP24" s="323">
        <f>146438/44564395</f>
        <v>3.285986492131218E-3</v>
      </c>
    </row>
    <row r="25" spans="2:198" x14ac:dyDescent="0.2">
      <c r="B25" s="326" t="s">
        <v>116</v>
      </c>
      <c r="C25" s="325">
        <v>518</v>
      </c>
      <c r="D25" s="128"/>
      <c r="E25" s="128"/>
      <c r="F25" s="128"/>
      <c r="G25" s="324">
        <v>518</v>
      </c>
      <c r="H25" s="140"/>
      <c r="I25" s="136">
        <v>93</v>
      </c>
      <c r="J25" s="128"/>
      <c r="K25" s="137">
        <v>93</v>
      </c>
      <c r="L25" s="140"/>
      <c r="M25" s="134">
        <v>54372</v>
      </c>
      <c r="N25" s="140">
        <v>41893</v>
      </c>
      <c r="O25" s="128">
        <v>25</v>
      </c>
      <c r="P25" s="128">
        <v>2</v>
      </c>
      <c r="Q25" s="128"/>
      <c r="R25" s="128"/>
      <c r="S25" s="128"/>
      <c r="T25" s="128"/>
      <c r="U25" s="128"/>
      <c r="V25" s="132">
        <v>41920</v>
      </c>
      <c r="W25" s="136">
        <v>1</v>
      </c>
      <c r="X25" s="128">
        <v>3</v>
      </c>
      <c r="Y25" s="137">
        <v>4</v>
      </c>
      <c r="Z25" s="130">
        <v>305</v>
      </c>
      <c r="AA25" s="128"/>
      <c r="AB25" s="128">
        <v>1</v>
      </c>
      <c r="AC25" s="132">
        <v>306</v>
      </c>
      <c r="AD25" s="136">
        <v>30</v>
      </c>
      <c r="AE25" s="128"/>
      <c r="AF25" s="137">
        <v>30</v>
      </c>
      <c r="AG25" s="130">
        <v>1</v>
      </c>
      <c r="AH25" s="128"/>
      <c r="AI25" s="128"/>
      <c r="AJ25" s="128"/>
      <c r="AK25" s="132">
        <v>1</v>
      </c>
      <c r="AL25" s="136">
        <v>1</v>
      </c>
      <c r="AM25" s="128"/>
      <c r="AN25" s="137">
        <v>1</v>
      </c>
      <c r="AO25" s="134"/>
      <c r="AP25" s="134"/>
      <c r="AQ25" s="130">
        <v>10</v>
      </c>
      <c r="AR25" s="128">
        <v>1</v>
      </c>
      <c r="AS25" s="132">
        <v>11</v>
      </c>
      <c r="AT25" s="136"/>
      <c r="AU25" s="128"/>
      <c r="AV25" s="128"/>
      <c r="AW25" s="128"/>
      <c r="AX25" s="128"/>
      <c r="AY25" s="128"/>
      <c r="AZ25" s="128"/>
      <c r="BA25" s="128"/>
      <c r="BB25" s="128"/>
      <c r="BC25" s="137"/>
      <c r="BD25" s="140">
        <v>6</v>
      </c>
      <c r="BE25" s="134">
        <v>545</v>
      </c>
      <c r="BF25" s="130">
        <v>328</v>
      </c>
      <c r="BG25" s="128">
        <v>741</v>
      </c>
      <c r="BH25" s="128">
        <v>4613</v>
      </c>
      <c r="BI25" s="128">
        <v>36</v>
      </c>
      <c r="BJ25" s="128">
        <v>17</v>
      </c>
      <c r="BK25" s="132">
        <v>5735</v>
      </c>
      <c r="BL25" s="134">
        <v>1</v>
      </c>
      <c r="BM25" s="134"/>
      <c r="BN25" s="134"/>
      <c r="BO25" s="134">
        <v>9</v>
      </c>
      <c r="BP25" s="130">
        <v>1247</v>
      </c>
      <c r="BQ25" s="128"/>
      <c r="BR25" s="132">
        <v>1247</v>
      </c>
      <c r="BS25" s="134"/>
      <c r="BT25" s="130">
        <v>295</v>
      </c>
      <c r="BU25" s="128">
        <v>48635</v>
      </c>
      <c r="BV25" s="132">
        <v>48930</v>
      </c>
      <c r="BW25" s="136">
        <v>7</v>
      </c>
      <c r="BX25" s="128"/>
      <c r="BY25" s="128"/>
      <c r="BZ25" s="128"/>
      <c r="CA25" s="128"/>
      <c r="CB25" s="128"/>
      <c r="CC25" s="128"/>
      <c r="CD25" s="128"/>
      <c r="CE25" s="128"/>
      <c r="CF25" s="128"/>
      <c r="CG25" s="128"/>
      <c r="CH25" s="128"/>
      <c r="CI25" s="128"/>
      <c r="CJ25" s="128"/>
      <c r="CK25" s="128"/>
      <c r="CL25" s="128"/>
      <c r="CM25" s="137">
        <v>7</v>
      </c>
      <c r="CN25" s="130">
        <v>3</v>
      </c>
      <c r="CO25" s="128"/>
      <c r="CP25" s="132">
        <v>3</v>
      </c>
      <c r="CQ25" s="134"/>
      <c r="CR25" s="130">
        <v>152</v>
      </c>
      <c r="CS25" s="128">
        <v>2</v>
      </c>
      <c r="CT25" s="128">
        <v>253610</v>
      </c>
      <c r="CU25" s="128"/>
      <c r="CV25" s="128">
        <v>170169</v>
      </c>
      <c r="CW25" s="128">
        <v>5</v>
      </c>
      <c r="CX25" s="128">
        <v>4</v>
      </c>
      <c r="CY25" s="128">
        <v>3</v>
      </c>
      <c r="CZ25" s="128"/>
      <c r="DA25" s="128"/>
      <c r="DB25" s="128"/>
      <c r="DC25" s="132">
        <v>423945</v>
      </c>
      <c r="DD25" s="136">
        <v>755</v>
      </c>
      <c r="DE25" s="128">
        <v>7</v>
      </c>
      <c r="DF25" s="128">
        <v>19</v>
      </c>
      <c r="DG25" s="128">
        <v>7</v>
      </c>
      <c r="DH25" s="128"/>
      <c r="DI25" s="128"/>
      <c r="DJ25" s="128"/>
      <c r="DK25" s="137">
        <v>788</v>
      </c>
      <c r="DL25" s="140"/>
      <c r="DM25" s="134"/>
      <c r="DN25" s="130"/>
      <c r="DO25" s="128"/>
      <c r="DP25" s="132"/>
      <c r="DQ25" s="134">
        <v>40</v>
      </c>
      <c r="DR25" s="130">
        <v>29</v>
      </c>
      <c r="DS25" s="128"/>
      <c r="DT25" s="132">
        <v>29</v>
      </c>
      <c r="DU25" s="136">
        <v>1</v>
      </c>
      <c r="DV25" s="128"/>
      <c r="DW25" s="137">
        <v>1</v>
      </c>
      <c r="DX25" s="140">
        <v>11</v>
      </c>
      <c r="DY25" s="134">
        <v>2</v>
      </c>
      <c r="DZ25" s="134">
        <v>69</v>
      </c>
      <c r="EA25" s="134">
        <v>1</v>
      </c>
      <c r="EB25" s="134"/>
      <c r="EC25" s="130">
        <v>470</v>
      </c>
      <c r="ED25" s="128">
        <v>29</v>
      </c>
      <c r="EE25" s="128"/>
      <c r="EF25" s="128"/>
      <c r="EG25" s="128"/>
      <c r="EH25" s="132">
        <v>499</v>
      </c>
      <c r="EI25" s="136">
        <v>13</v>
      </c>
      <c r="EJ25" s="128">
        <v>236</v>
      </c>
      <c r="EK25" s="128">
        <v>9</v>
      </c>
      <c r="EL25" s="128">
        <v>186</v>
      </c>
      <c r="EM25" s="128">
        <v>271</v>
      </c>
      <c r="EN25" s="128">
        <v>1</v>
      </c>
      <c r="EO25" s="128"/>
      <c r="EP25" s="128">
        <v>83</v>
      </c>
      <c r="EQ25" s="128"/>
      <c r="ER25" s="128"/>
      <c r="ES25" s="128"/>
      <c r="ET25" s="128"/>
      <c r="EU25" s="128"/>
      <c r="EV25" s="137">
        <v>799</v>
      </c>
      <c r="EW25" s="140"/>
      <c r="EX25" s="134"/>
      <c r="EY25" s="130">
        <v>258</v>
      </c>
      <c r="EZ25" s="128"/>
      <c r="FA25" s="128"/>
      <c r="FB25" s="132">
        <v>258</v>
      </c>
      <c r="FC25" s="136"/>
      <c r="FD25" s="128"/>
      <c r="FE25" s="137"/>
      <c r="FF25" s="140">
        <v>4</v>
      </c>
      <c r="FG25" s="136"/>
      <c r="FH25" s="128">
        <v>17373</v>
      </c>
      <c r="FI25" s="128"/>
      <c r="FJ25" s="128"/>
      <c r="FK25" s="137">
        <v>17373</v>
      </c>
      <c r="FL25" s="130"/>
      <c r="FM25" s="128">
        <v>275</v>
      </c>
      <c r="FN25" s="132">
        <v>275</v>
      </c>
      <c r="FO25" s="136"/>
      <c r="FP25" s="128"/>
      <c r="FQ25" s="137"/>
      <c r="FR25" s="140"/>
      <c r="FS25" s="134">
        <v>601430</v>
      </c>
      <c r="FT25" s="130">
        <v>6</v>
      </c>
      <c r="FU25" s="128"/>
      <c r="FV25" s="128"/>
      <c r="FW25" s="128"/>
      <c r="FX25" s="128"/>
      <c r="FY25" s="132">
        <v>6</v>
      </c>
      <c r="FZ25" s="134"/>
      <c r="GA25" s="130">
        <v>9437</v>
      </c>
      <c r="GB25" s="128"/>
      <c r="GC25" s="132">
        <v>9437</v>
      </c>
      <c r="GD25" s="134"/>
      <c r="GE25" s="130">
        <v>152</v>
      </c>
      <c r="GF25" s="128"/>
      <c r="GG25" s="128"/>
      <c r="GH25" s="132">
        <v>152</v>
      </c>
      <c r="GI25" s="134">
        <v>37</v>
      </c>
      <c r="GJ25" s="130">
        <v>0</v>
      </c>
      <c r="GK25" s="128">
        <v>0</v>
      </c>
      <c r="GL25" s="128"/>
      <c r="GM25" s="128"/>
      <c r="GN25" s="132">
        <v>0</v>
      </c>
      <c r="GO25" s="134">
        <v>1208895</v>
      </c>
      <c r="GP25" s="323">
        <f>1208895/44564395</f>
        <v>2.7126924981254654E-2</v>
      </c>
    </row>
    <row r="26" spans="2:198" x14ac:dyDescent="0.2">
      <c r="B26" s="326" t="s">
        <v>122</v>
      </c>
      <c r="C26" s="325">
        <v>44</v>
      </c>
      <c r="D26" s="128"/>
      <c r="E26" s="128"/>
      <c r="F26" s="128">
        <v>1</v>
      </c>
      <c r="G26" s="324">
        <v>45</v>
      </c>
      <c r="H26" s="140"/>
      <c r="I26" s="136"/>
      <c r="J26" s="128"/>
      <c r="K26" s="137"/>
      <c r="L26" s="140"/>
      <c r="M26" s="134">
        <v>422</v>
      </c>
      <c r="N26" s="140">
        <v>277721</v>
      </c>
      <c r="O26" s="128">
        <v>21</v>
      </c>
      <c r="P26" s="128">
        <v>267</v>
      </c>
      <c r="Q26" s="128">
        <v>32</v>
      </c>
      <c r="R26" s="128">
        <v>10</v>
      </c>
      <c r="S26" s="128">
        <v>183</v>
      </c>
      <c r="T26" s="128">
        <v>4</v>
      </c>
      <c r="U26" s="128">
        <v>109</v>
      </c>
      <c r="V26" s="132">
        <v>278347</v>
      </c>
      <c r="W26" s="136">
        <v>12</v>
      </c>
      <c r="X26" s="128">
        <v>2</v>
      </c>
      <c r="Y26" s="137">
        <v>14</v>
      </c>
      <c r="Z26" s="130">
        <v>6283</v>
      </c>
      <c r="AA26" s="128"/>
      <c r="AB26" s="128"/>
      <c r="AC26" s="132">
        <v>6283</v>
      </c>
      <c r="AD26" s="136">
        <v>24538</v>
      </c>
      <c r="AE26" s="128">
        <v>4</v>
      </c>
      <c r="AF26" s="137">
        <v>24542</v>
      </c>
      <c r="AG26" s="130">
        <v>87</v>
      </c>
      <c r="AH26" s="128">
        <v>1</v>
      </c>
      <c r="AI26" s="128"/>
      <c r="AJ26" s="128"/>
      <c r="AK26" s="132">
        <v>88</v>
      </c>
      <c r="AL26" s="136"/>
      <c r="AM26" s="128"/>
      <c r="AN26" s="137"/>
      <c r="AO26" s="134"/>
      <c r="AP26" s="134"/>
      <c r="AQ26" s="130"/>
      <c r="AR26" s="128"/>
      <c r="AS26" s="132"/>
      <c r="AT26" s="136">
        <v>14</v>
      </c>
      <c r="AU26" s="128"/>
      <c r="AV26" s="128"/>
      <c r="AW26" s="128">
        <v>1</v>
      </c>
      <c r="AX26" s="128">
        <v>2</v>
      </c>
      <c r="AY26" s="128"/>
      <c r="AZ26" s="128"/>
      <c r="BA26" s="128"/>
      <c r="BB26" s="128"/>
      <c r="BC26" s="137">
        <v>17</v>
      </c>
      <c r="BD26" s="140">
        <v>3</v>
      </c>
      <c r="BE26" s="134">
        <v>91</v>
      </c>
      <c r="BF26" s="130">
        <v>317</v>
      </c>
      <c r="BG26" s="128">
        <v>164</v>
      </c>
      <c r="BH26" s="128">
        <v>647</v>
      </c>
      <c r="BI26" s="128">
        <v>30</v>
      </c>
      <c r="BJ26" s="128">
        <v>11</v>
      </c>
      <c r="BK26" s="132">
        <v>1169</v>
      </c>
      <c r="BL26" s="134">
        <v>1</v>
      </c>
      <c r="BM26" s="134"/>
      <c r="BN26" s="134">
        <v>2</v>
      </c>
      <c r="BO26" s="134">
        <v>1</v>
      </c>
      <c r="BP26" s="130">
        <v>6</v>
      </c>
      <c r="BQ26" s="128"/>
      <c r="BR26" s="132">
        <v>6</v>
      </c>
      <c r="BS26" s="134"/>
      <c r="BT26" s="130"/>
      <c r="BU26" s="128"/>
      <c r="BV26" s="132"/>
      <c r="BW26" s="136">
        <v>10</v>
      </c>
      <c r="BX26" s="128"/>
      <c r="BY26" s="128"/>
      <c r="BZ26" s="128"/>
      <c r="CA26" s="128"/>
      <c r="CB26" s="128">
        <v>1</v>
      </c>
      <c r="CC26" s="128"/>
      <c r="CD26" s="128"/>
      <c r="CE26" s="128"/>
      <c r="CF26" s="128"/>
      <c r="CG26" s="128">
        <v>2</v>
      </c>
      <c r="CH26" s="128"/>
      <c r="CI26" s="128"/>
      <c r="CJ26" s="128"/>
      <c r="CK26" s="128"/>
      <c r="CL26" s="128"/>
      <c r="CM26" s="137">
        <v>13</v>
      </c>
      <c r="CN26" s="130"/>
      <c r="CO26" s="128"/>
      <c r="CP26" s="132"/>
      <c r="CQ26" s="134"/>
      <c r="CR26" s="130">
        <v>108</v>
      </c>
      <c r="CS26" s="128"/>
      <c r="CT26" s="128">
        <v>175015</v>
      </c>
      <c r="CU26" s="128">
        <v>1593</v>
      </c>
      <c r="CV26" s="128">
        <v>296843</v>
      </c>
      <c r="CW26" s="128">
        <v>1</v>
      </c>
      <c r="CX26" s="128"/>
      <c r="CY26" s="128">
        <v>1</v>
      </c>
      <c r="CZ26" s="128">
        <v>2</v>
      </c>
      <c r="DA26" s="128"/>
      <c r="DB26" s="128"/>
      <c r="DC26" s="132">
        <v>473563</v>
      </c>
      <c r="DD26" s="136">
        <v>8704</v>
      </c>
      <c r="DE26" s="128">
        <v>8</v>
      </c>
      <c r="DF26" s="128">
        <v>157</v>
      </c>
      <c r="DG26" s="128">
        <v>176</v>
      </c>
      <c r="DH26" s="128">
        <v>2</v>
      </c>
      <c r="DI26" s="128">
        <v>4</v>
      </c>
      <c r="DJ26" s="128"/>
      <c r="DK26" s="137">
        <v>9051</v>
      </c>
      <c r="DL26" s="140"/>
      <c r="DM26" s="134"/>
      <c r="DN26" s="130"/>
      <c r="DO26" s="128"/>
      <c r="DP26" s="132"/>
      <c r="DQ26" s="134">
        <v>24</v>
      </c>
      <c r="DR26" s="130"/>
      <c r="DS26" s="128"/>
      <c r="DT26" s="132"/>
      <c r="DU26" s="136"/>
      <c r="DV26" s="128"/>
      <c r="DW26" s="137"/>
      <c r="DX26" s="140">
        <v>1</v>
      </c>
      <c r="DY26" s="134"/>
      <c r="DZ26" s="134">
        <v>537</v>
      </c>
      <c r="EA26" s="134"/>
      <c r="EB26" s="134"/>
      <c r="EC26" s="130">
        <v>6</v>
      </c>
      <c r="ED26" s="128">
        <v>6</v>
      </c>
      <c r="EE26" s="128">
        <v>2</v>
      </c>
      <c r="EF26" s="128"/>
      <c r="EG26" s="128"/>
      <c r="EH26" s="132">
        <v>14</v>
      </c>
      <c r="EI26" s="136">
        <v>2753</v>
      </c>
      <c r="EJ26" s="128">
        <v>30838</v>
      </c>
      <c r="EK26" s="128">
        <v>218</v>
      </c>
      <c r="EL26" s="128">
        <v>5038</v>
      </c>
      <c r="EM26" s="128">
        <v>1987</v>
      </c>
      <c r="EN26" s="128">
        <v>69</v>
      </c>
      <c r="EO26" s="128">
        <v>35</v>
      </c>
      <c r="EP26" s="128">
        <v>2619</v>
      </c>
      <c r="EQ26" s="128">
        <v>155</v>
      </c>
      <c r="ER26" s="128">
        <v>31</v>
      </c>
      <c r="ES26" s="128">
        <v>53</v>
      </c>
      <c r="ET26" s="128"/>
      <c r="EU26" s="128">
        <v>3</v>
      </c>
      <c r="EV26" s="137">
        <v>43799</v>
      </c>
      <c r="EW26" s="140"/>
      <c r="EX26" s="134">
        <v>6</v>
      </c>
      <c r="EY26" s="130">
        <v>1</v>
      </c>
      <c r="EZ26" s="128"/>
      <c r="FA26" s="128"/>
      <c r="FB26" s="132">
        <v>1</v>
      </c>
      <c r="FC26" s="136"/>
      <c r="FD26" s="128"/>
      <c r="FE26" s="137"/>
      <c r="FF26" s="140">
        <v>0</v>
      </c>
      <c r="FG26" s="136"/>
      <c r="FH26" s="128">
        <v>1</v>
      </c>
      <c r="FI26" s="128"/>
      <c r="FJ26" s="128"/>
      <c r="FK26" s="137">
        <v>1</v>
      </c>
      <c r="FL26" s="130"/>
      <c r="FM26" s="128"/>
      <c r="FN26" s="132"/>
      <c r="FO26" s="136">
        <v>0</v>
      </c>
      <c r="FP26" s="128"/>
      <c r="FQ26" s="137">
        <v>0</v>
      </c>
      <c r="FR26" s="140">
        <v>10</v>
      </c>
      <c r="FS26" s="134">
        <v>49</v>
      </c>
      <c r="FT26" s="130">
        <v>21</v>
      </c>
      <c r="FU26" s="128"/>
      <c r="FV26" s="128"/>
      <c r="FW26" s="128"/>
      <c r="FX26" s="128"/>
      <c r="FY26" s="132">
        <v>21</v>
      </c>
      <c r="FZ26" s="134"/>
      <c r="GA26" s="130">
        <v>4905</v>
      </c>
      <c r="GB26" s="128"/>
      <c r="GC26" s="132">
        <v>4905</v>
      </c>
      <c r="GD26" s="134"/>
      <c r="GE26" s="130"/>
      <c r="GF26" s="128"/>
      <c r="GG26" s="128"/>
      <c r="GH26" s="132"/>
      <c r="GI26" s="134">
        <v>2</v>
      </c>
      <c r="GJ26" s="130"/>
      <c r="GK26" s="128">
        <v>0</v>
      </c>
      <c r="GL26" s="128"/>
      <c r="GM26" s="128"/>
      <c r="GN26" s="132">
        <v>0</v>
      </c>
      <c r="GO26" s="134">
        <v>843028</v>
      </c>
      <c r="GP26" s="323">
        <f>843028/44564395</f>
        <v>1.8917074942900045E-2</v>
      </c>
    </row>
    <row r="27" spans="2:198" x14ac:dyDescent="0.2">
      <c r="B27" s="326" t="s">
        <v>134</v>
      </c>
      <c r="C27" s="325">
        <v>86</v>
      </c>
      <c r="D27" s="128"/>
      <c r="E27" s="128"/>
      <c r="F27" s="128"/>
      <c r="G27" s="324">
        <v>86</v>
      </c>
      <c r="H27" s="140"/>
      <c r="I27" s="136">
        <v>7</v>
      </c>
      <c r="J27" s="128"/>
      <c r="K27" s="137">
        <v>7</v>
      </c>
      <c r="L27" s="140"/>
      <c r="M27" s="134">
        <v>2028</v>
      </c>
      <c r="N27" s="140">
        <v>3396</v>
      </c>
      <c r="O27" s="128">
        <v>0</v>
      </c>
      <c r="P27" s="128">
        <v>1</v>
      </c>
      <c r="Q27" s="128">
        <v>0</v>
      </c>
      <c r="R27" s="128"/>
      <c r="S27" s="128">
        <v>0</v>
      </c>
      <c r="T27" s="128"/>
      <c r="U27" s="128"/>
      <c r="V27" s="132">
        <v>3397</v>
      </c>
      <c r="W27" s="136"/>
      <c r="X27" s="128"/>
      <c r="Y27" s="137"/>
      <c r="Z27" s="130">
        <v>184</v>
      </c>
      <c r="AA27" s="128"/>
      <c r="AB27" s="128"/>
      <c r="AC27" s="132">
        <v>184</v>
      </c>
      <c r="AD27" s="136">
        <v>36</v>
      </c>
      <c r="AE27" s="128"/>
      <c r="AF27" s="137">
        <v>36</v>
      </c>
      <c r="AG27" s="130">
        <v>4</v>
      </c>
      <c r="AH27" s="128"/>
      <c r="AI27" s="128"/>
      <c r="AJ27" s="128"/>
      <c r="AK27" s="132">
        <v>4</v>
      </c>
      <c r="AL27" s="136"/>
      <c r="AM27" s="128"/>
      <c r="AN27" s="137"/>
      <c r="AO27" s="134"/>
      <c r="AP27" s="134"/>
      <c r="AQ27" s="130">
        <v>1</v>
      </c>
      <c r="AR27" s="128"/>
      <c r="AS27" s="132">
        <v>1</v>
      </c>
      <c r="AT27" s="136"/>
      <c r="AU27" s="128"/>
      <c r="AV27" s="128"/>
      <c r="AW27" s="128"/>
      <c r="AX27" s="128"/>
      <c r="AY27" s="128"/>
      <c r="AZ27" s="128"/>
      <c r="BA27" s="128"/>
      <c r="BB27" s="128"/>
      <c r="BC27" s="137"/>
      <c r="BD27" s="140"/>
      <c r="BE27" s="134"/>
      <c r="BF27" s="130">
        <v>1</v>
      </c>
      <c r="BG27" s="128">
        <v>14</v>
      </c>
      <c r="BH27" s="128">
        <v>41</v>
      </c>
      <c r="BI27" s="128"/>
      <c r="BJ27" s="128"/>
      <c r="BK27" s="132">
        <v>56</v>
      </c>
      <c r="BL27" s="134"/>
      <c r="BM27" s="134"/>
      <c r="BN27" s="134"/>
      <c r="BO27" s="134"/>
      <c r="BP27" s="130">
        <v>2</v>
      </c>
      <c r="BQ27" s="128"/>
      <c r="BR27" s="132">
        <v>2</v>
      </c>
      <c r="BS27" s="134"/>
      <c r="BT27" s="130"/>
      <c r="BU27" s="128"/>
      <c r="BV27" s="132"/>
      <c r="BW27" s="136"/>
      <c r="BX27" s="128"/>
      <c r="BY27" s="128"/>
      <c r="BZ27" s="128"/>
      <c r="CA27" s="128"/>
      <c r="CB27" s="128"/>
      <c r="CC27" s="128"/>
      <c r="CD27" s="128"/>
      <c r="CE27" s="128"/>
      <c r="CF27" s="128"/>
      <c r="CG27" s="128"/>
      <c r="CH27" s="128"/>
      <c r="CI27" s="128"/>
      <c r="CJ27" s="128"/>
      <c r="CK27" s="128"/>
      <c r="CL27" s="128"/>
      <c r="CM27" s="137"/>
      <c r="CN27" s="130"/>
      <c r="CO27" s="128"/>
      <c r="CP27" s="132"/>
      <c r="CQ27" s="134">
        <v>106</v>
      </c>
      <c r="CR27" s="130">
        <v>414</v>
      </c>
      <c r="CS27" s="128"/>
      <c r="CT27" s="128">
        <v>57575</v>
      </c>
      <c r="CU27" s="128">
        <v>22</v>
      </c>
      <c r="CV27" s="128">
        <v>23839</v>
      </c>
      <c r="CW27" s="128">
        <v>0</v>
      </c>
      <c r="CX27" s="128"/>
      <c r="CY27" s="128"/>
      <c r="CZ27" s="128">
        <v>0</v>
      </c>
      <c r="DA27" s="128"/>
      <c r="DB27" s="128"/>
      <c r="DC27" s="132">
        <v>81850</v>
      </c>
      <c r="DD27" s="136">
        <v>47</v>
      </c>
      <c r="DE27" s="128"/>
      <c r="DF27" s="128">
        <v>8</v>
      </c>
      <c r="DG27" s="128">
        <v>18</v>
      </c>
      <c r="DH27" s="128"/>
      <c r="DI27" s="128"/>
      <c r="DJ27" s="128"/>
      <c r="DK27" s="137">
        <v>73</v>
      </c>
      <c r="DL27" s="140"/>
      <c r="DM27" s="134"/>
      <c r="DN27" s="130"/>
      <c r="DO27" s="128"/>
      <c r="DP27" s="132"/>
      <c r="DQ27" s="134"/>
      <c r="DR27" s="130"/>
      <c r="DS27" s="128"/>
      <c r="DT27" s="132"/>
      <c r="DU27" s="136"/>
      <c r="DV27" s="128"/>
      <c r="DW27" s="137"/>
      <c r="DX27" s="140">
        <v>11</v>
      </c>
      <c r="DY27" s="134"/>
      <c r="DZ27" s="134">
        <v>3</v>
      </c>
      <c r="EA27" s="134"/>
      <c r="EB27" s="134"/>
      <c r="EC27" s="130"/>
      <c r="ED27" s="128"/>
      <c r="EE27" s="128"/>
      <c r="EF27" s="128"/>
      <c r="EG27" s="128"/>
      <c r="EH27" s="132"/>
      <c r="EI27" s="136">
        <v>3</v>
      </c>
      <c r="EJ27" s="128">
        <v>61</v>
      </c>
      <c r="EK27" s="128">
        <v>10</v>
      </c>
      <c r="EL27" s="128">
        <v>4</v>
      </c>
      <c r="EM27" s="128">
        <v>1529</v>
      </c>
      <c r="EN27" s="128"/>
      <c r="EO27" s="128">
        <v>0</v>
      </c>
      <c r="EP27" s="128">
        <v>28</v>
      </c>
      <c r="EQ27" s="128"/>
      <c r="ER27" s="128"/>
      <c r="ES27" s="128"/>
      <c r="ET27" s="128"/>
      <c r="EU27" s="128"/>
      <c r="EV27" s="137">
        <v>1635</v>
      </c>
      <c r="EW27" s="140"/>
      <c r="EX27" s="134"/>
      <c r="EY27" s="130"/>
      <c r="EZ27" s="128"/>
      <c r="FA27" s="128"/>
      <c r="FB27" s="132"/>
      <c r="FC27" s="136"/>
      <c r="FD27" s="128"/>
      <c r="FE27" s="137"/>
      <c r="FF27" s="140"/>
      <c r="FG27" s="136"/>
      <c r="FH27" s="128"/>
      <c r="FI27" s="128"/>
      <c r="FJ27" s="128"/>
      <c r="FK27" s="137"/>
      <c r="FL27" s="130"/>
      <c r="FM27" s="128"/>
      <c r="FN27" s="132"/>
      <c r="FO27" s="136"/>
      <c r="FP27" s="128"/>
      <c r="FQ27" s="137"/>
      <c r="FR27" s="140"/>
      <c r="FS27" s="134">
        <v>5</v>
      </c>
      <c r="FT27" s="130"/>
      <c r="FU27" s="128"/>
      <c r="FV27" s="128"/>
      <c r="FW27" s="128"/>
      <c r="FX27" s="128"/>
      <c r="FY27" s="132"/>
      <c r="FZ27" s="134"/>
      <c r="GA27" s="130">
        <v>2955</v>
      </c>
      <c r="GB27" s="128"/>
      <c r="GC27" s="132">
        <v>2955</v>
      </c>
      <c r="GD27" s="134"/>
      <c r="GE27" s="130"/>
      <c r="GF27" s="128"/>
      <c r="GG27" s="128"/>
      <c r="GH27" s="132"/>
      <c r="GI27" s="134"/>
      <c r="GJ27" s="130"/>
      <c r="GK27" s="128"/>
      <c r="GL27" s="128"/>
      <c r="GM27" s="128"/>
      <c r="GN27" s="132"/>
      <c r="GO27" s="134">
        <v>92439</v>
      </c>
      <c r="GP27" s="323">
        <f>92439/44564395</f>
        <v>2.0742792536508126E-3</v>
      </c>
    </row>
    <row r="28" spans="2:198" x14ac:dyDescent="0.2">
      <c r="B28" s="326" t="s">
        <v>145</v>
      </c>
      <c r="C28" s="325">
        <v>63</v>
      </c>
      <c r="D28" s="128"/>
      <c r="E28" s="128"/>
      <c r="F28" s="128"/>
      <c r="G28" s="324">
        <v>63</v>
      </c>
      <c r="H28" s="140"/>
      <c r="I28" s="136">
        <v>112</v>
      </c>
      <c r="J28" s="128"/>
      <c r="K28" s="137">
        <v>112</v>
      </c>
      <c r="L28" s="140"/>
      <c r="M28" s="134">
        <v>503</v>
      </c>
      <c r="N28" s="140">
        <v>18631</v>
      </c>
      <c r="O28" s="128"/>
      <c r="P28" s="128"/>
      <c r="Q28" s="128">
        <v>2</v>
      </c>
      <c r="R28" s="128"/>
      <c r="S28" s="128"/>
      <c r="T28" s="128"/>
      <c r="U28" s="128"/>
      <c r="V28" s="132">
        <v>18633</v>
      </c>
      <c r="W28" s="136">
        <v>7</v>
      </c>
      <c r="X28" s="128">
        <v>3</v>
      </c>
      <c r="Y28" s="137">
        <v>10</v>
      </c>
      <c r="Z28" s="130">
        <v>1167</v>
      </c>
      <c r="AA28" s="128"/>
      <c r="AB28" s="128">
        <v>3</v>
      </c>
      <c r="AC28" s="132">
        <v>1170</v>
      </c>
      <c r="AD28" s="136">
        <v>328</v>
      </c>
      <c r="AE28" s="128"/>
      <c r="AF28" s="137">
        <v>328</v>
      </c>
      <c r="AG28" s="130">
        <v>2</v>
      </c>
      <c r="AH28" s="128"/>
      <c r="AI28" s="128"/>
      <c r="AJ28" s="128"/>
      <c r="AK28" s="132">
        <v>2</v>
      </c>
      <c r="AL28" s="136"/>
      <c r="AM28" s="128"/>
      <c r="AN28" s="137"/>
      <c r="AO28" s="134"/>
      <c r="AP28" s="134"/>
      <c r="AQ28" s="130">
        <v>11</v>
      </c>
      <c r="AR28" s="128"/>
      <c r="AS28" s="132">
        <v>11</v>
      </c>
      <c r="AT28" s="136"/>
      <c r="AU28" s="128"/>
      <c r="AV28" s="128"/>
      <c r="AW28" s="128"/>
      <c r="AX28" s="128"/>
      <c r="AY28" s="128"/>
      <c r="AZ28" s="128"/>
      <c r="BA28" s="128"/>
      <c r="BB28" s="128"/>
      <c r="BC28" s="137"/>
      <c r="BD28" s="140"/>
      <c r="BE28" s="134">
        <v>0</v>
      </c>
      <c r="BF28" s="130">
        <v>12</v>
      </c>
      <c r="BG28" s="128">
        <v>37</v>
      </c>
      <c r="BH28" s="128">
        <v>64</v>
      </c>
      <c r="BI28" s="128">
        <v>0</v>
      </c>
      <c r="BJ28" s="128">
        <v>1</v>
      </c>
      <c r="BK28" s="132">
        <v>114</v>
      </c>
      <c r="BL28" s="134"/>
      <c r="BM28" s="134"/>
      <c r="BN28" s="134"/>
      <c r="BO28" s="134"/>
      <c r="BP28" s="130"/>
      <c r="BQ28" s="128"/>
      <c r="BR28" s="132"/>
      <c r="BS28" s="134"/>
      <c r="BT28" s="130">
        <v>1</v>
      </c>
      <c r="BU28" s="128"/>
      <c r="BV28" s="132">
        <v>1</v>
      </c>
      <c r="BW28" s="136">
        <v>10</v>
      </c>
      <c r="BX28" s="128"/>
      <c r="BY28" s="128"/>
      <c r="BZ28" s="128"/>
      <c r="CA28" s="128"/>
      <c r="CB28" s="128"/>
      <c r="CC28" s="128"/>
      <c r="CD28" s="128"/>
      <c r="CE28" s="128"/>
      <c r="CF28" s="128"/>
      <c r="CG28" s="128"/>
      <c r="CH28" s="128"/>
      <c r="CI28" s="128"/>
      <c r="CJ28" s="128"/>
      <c r="CK28" s="128"/>
      <c r="CL28" s="128"/>
      <c r="CM28" s="137">
        <v>10</v>
      </c>
      <c r="CN28" s="130"/>
      <c r="CO28" s="128"/>
      <c r="CP28" s="132"/>
      <c r="CQ28" s="134"/>
      <c r="CR28" s="130">
        <v>71</v>
      </c>
      <c r="CS28" s="128"/>
      <c r="CT28" s="128">
        <v>232883</v>
      </c>
      <c r="CU28" s="128">
        <v>362</v>
      </c>
      <c r="CV28" s="128">
        <v>155609</v>
      </c>
      <c r="CW28" s="128"/>
      <c r="CX28" s="128"/>
      <c r="CY28" s="128"/>
      <c r="CZ28" s="128">
        <v>1</v>
      </c>
      <c r="DA28" s="128"/>
      <c r="DB28" s="128"/>
      <c r="DC28" s="132">
        <v>388926</v>
      </c>
      <c r="DD28" s="136">
        <v>4329</v>
      </c>
      <c r="DE28" s="128"/>
      <c r="DF28" s="128">
        <v>13</v>
      </c>
      <c r="DG28" s="128">
        <v>249</v>
      </c>
      <c r="DH28" s="128"/>
      <c r="DI28" s="128"/>
      <c r="DJ28" s="128"/>
      <c r="DK28" s="137">
        <v>4591</v>
      </c>
      <c r="DL28" s="140"/>
      <c r="DM28" s="134"/>
      <c r="DN28" s="130"/>
      <c r="DO28" s="128"/>
      <c r="DP28" s="132"/>
      <c r="DQ28" s="134"/>
      <c r="DR28" s="130"/>
      <c r="DS28" s="128"/>
      <c r="DT28" s="132"/>
      <c r="DU28" s="136"/>
      <c r="DV28" s="128">
        <v>4</v>
      </c>
      <c r="DW28" s="137">
        <v>4</v>
      </c>
      <c r="DX28" s="140">
        <v>7</v>
      </c>
      <c r="DY28" s="134"/>
      <c r="DZ28" s="134">
        <v>125</v>
      </c>
      <c r="EA28" s="134"/>
      <c r="EB28" s="134"/>
      <c r="EC28" s="130">
        <v>1</v>
      </c>
      <c r="ED28" s="128"/>
      <c r="EE28" s="128"/>
      <c r="EF28" s="128"/>
      <c r="EG28" s="128"/>
      <c r="EH28" s="132">
        <v>1</v>
      </c>
      <c r="EI28" s="136">
        <v>27</v>
      </c>
      <c r="EJ28" s="128">
        <v>111</v>
      </c>
      <c r="EK28" s="128">
        <v>9</v>
      </c>
      <c r="EL28" s="128">
        <v>27</v>
      </c>
      <c r="EM28" s="128">
        <v>14175</v>
      </c>
      <c r="EN28" s="128">
        <v>15</v>
      </c>
      <c r="EO28" s="128">
        <v>11</v>
      </c>
      <c r="EP28" s="128">
        <v>355</v>
      </c>
      <c r="EQ28" s="128">
        <v>12</v>
      </c>
      <c r="ER28" s="128"/>
      <c r="ES28" s="128">
        <v>0</v>
      </c>
      <c r="ET28" s="128"/>
      <c r="EU28" s="128"/>
      <c r="EV28" s="137">
        <v>14742</v>
      </c>
      <c r="EW28" s="140"/>
      <c r="EX28" s="134"/>
      <c r="EY28" s="130"/>
      <c r="EZ28" s="128"/>
      <c r="FA28" s="128"/>
      <c r="FB28" s="132"/>
      <c r="FC28" s="136"/>
      <c r="FD28" s="128"/>
      <c r="FE28" s="137"/>
      <c r="FF28" s="140"/>
      <c r="FG28" s="136"/>
      <c r="FH28" s="128">
        <v>6</v>
      </c>
      <c r="FI28" s="128"/>
      <c r="FJ28" s="128"/>
      <c r="FK28" s="137">
        <v>6</v>
      </c>
      <c r="FL28" s="130"/>
      <c r="FM28" s="128"/>
      <c r="FN28" s="132"/>
      <c r="FO28" s="136"/>
      <c r="FP28" s="128"/>
      <c r="FQ28" s="137"/>
      <c r="FR28" s="140"/>
      <c r="FS28" s="134">
        <v>18</v>
      </c>
      <c r="FT28" s="130">
        <v>3</v>
      </c>
      <c r="FU28" s="128"/>
      <c r="FV28" s="128"/>
      <c r="FW28" s="128"/>
      <c r="FX28" s="128"/>
      <c r="FY28" s="132">
        <v>3</v>
      </c>
      <c r="FZ28" s="134"/>
      <c r="GA28" s="130">
        <v>50740</v>
      </c>
      <c r="GB28" s="128"/>
      <c r="GC28" s="132">
        <v>50740</v>
      </c>
      <c r="GD28" s="134"/>
      <c r="GE28" s="130">
        <v>3</v>
      </c>
      <c r="GF28" s="128"/>
      <c r="GG28" s="128"/>
      <c r="GH28" s="132">
        <v>3</v>
      </c>
      <c r="GI28" s="134"/>
      <c r="GJ28" s="130"/>
      <c r="GK28" s="128"/>
      <c r="GL28" s="128"/>
      <c r="GM28" s="128"/>
      <c r="GN28" s="132"/>
      <c r="GO28" s="134">
        <v>480123</v>
      </c>
      <c r="GP28" s="323">
        <f>480123/44564395</f>
        <v>1.0773690521323133E-2</v>
      </c>
    </row>
    <row r="29" spans="2:198" x14ac:dyDescent="0.2">
      <c r="B29" s="326" t="s">
        <v>146</v>
      </c>
      <c r="C29" s="325">
        <v>22289</v>
      </c>
      <c r="D29" s="128"/>
      <c r="E29" s="128"/>
      <c r="F29" s="128"/>
      <c r="G29" s="324">
        <v>22289</v>
      </c>
      <c r="H29" s="140"/>
      <c r="I29" s="136"/>
      <c r="J29" s="128"/>
      <c r="K29" s="137"/>
      <c r="L29" s="140"/>
      <c r="M29" s="134">
        <v>22159</v>
      </c>
      <c r="N29" s="140">
        <v>12270</v>
      </c>
      <c r="O29" s="128"/>
      <c r="P29" s="128">
        <v>22</v>
      </c>
      <c r="Q29" s="128">
        <v>110</v>
      </c>
      <c r="R29" s="128">
        <v>2</v>
      </c>
      <c r="S29" s="128">
        <v>7</v>
      </c>
      <c r="T29" s="128">
        <v>5</v>
      </c>
      <c r="U29" s="128">
        <v>10</v>
      </c>
      <c r="V29" s="132">
        <v>12426</v>
      </c>
      <c r="W29" s="136"/>
      <c r="X29" s="128">
        <v>0</v>
      </c>
      <c r="Y29" s="137">
        <v>0</v>
      </c>
      <c r="Z29" s="130">
        <v>300</v>
      </c>
      <c r="AA29" s="128"/>
      <c r="AB29" s="128">
        <v>2</v>
      </c>
      <c r="AC29" s="132">
        <v>302</v>
      </c>
      <c r="AD29" s="136">
        <v>48</v>
      </c>
      <c r="AE29" s="128"/>
      <c r="AF29" s="137">
        <v>48</v>
      </c>
      <c r="AG29" s="130">
        <v>9</v>
      </c>
      <c r="AH29" s="128"/>
      <c r="AI29" s="128"/>
      <c r="AJ29" s="128"/>
      <c r="AK29" s="132">
        <v>9</v>
      </c>
      <c r="AL29" s="136"/>
      <c r="AM29" s="128"/>
      <c r="AN29" s="137"/>
      <c r="AO29" s="134"/>
      <c r="AP29" s="134"/>
      <c r="AQ29" s="130"/>
      <c r="AR29" s="128"/>
      <c r="AS29" s="132"/>
      <c r="AT29" s="136"/>
      <c r="AU29" s="128"/>
      <c r="AV29" s="128">
        <v>2</v>
      </c>
      <c r="AW29" s="128"/>
      <c r="AX29" s="128"/>
      <c r="AY29" s="128"/>
      <c r="AZ29" s="128"/>
      <c r="BA29" s="128"/>
      <c r="BB29" s="128"/>
      <c r="BC29" s="137">
        <v>2</v>
      </c>
      <c r="BD29" s="140"/>
      <c r="BE29" s="134">
        <v>1043</v>
      </c>
      <c r="BF29" s="130">
        <v>21</v>
      </c>
      <c r="BG29" s="128">
        <v>150</v>
      </c>
      <c r="BH29" s="128">
        <v>668</v>
      </c>
      <c r="BI29" s="128">
        <v>3</v>
      </c>
      <c r="BJ29" s="128">
        <v>5</v>
      </c>
      <c r="BK29" s="132">
        <v>847</v>
      </c>
      <c r="BL29" s="134"/>
      <c r="BM29" s="134"/>
      <c r="BN29" s="134">
        <v>1</v>
      </c>
      <c r="BO29" s="134">
        <v>0</v>
      </c>
      <c r="BP29" s="130">
        <v>5331</v>
      </c>
      <c r="BQ29" s="128"/>
      <c r="BR29" s="132">
        <v>5331</v>
      </c>
      <c r="BS29" s="134"/>
      <c r="BT29" s="130"/>
      <c r="BU29" s="128"/>
      <c r="BV29" s="132"/>
      <c r="BW29" s="136">
        <v>6653</v>
      </c>
      <c r="BX29" s="128">
        <v>1292</v>
      </c>
      <c r="BY29" s="128"/>
      <c r="BZ29" s="128"/>
      <c r="CA29" s="128"/>
      <c r="CB29" s="128"/>
      <c r="CC29" s="128"/>
      <c r="CD29" s="128"/>
      <c r="CE29" s="128"/>
      <c r="CF29" s="128"/>
      <c r="CG29" s="128"/>
      <c r="CH29" s="128"/>
      <c r="CI29" s="128"/>
      <c r="CJ29" s="128"/>
      <c r="CK29" s="128"/>
      <c r="CL29" s="128"/>
      <c r="CM29" s="137">
        <v>7945</v>
      </c>
      <c r="CN29" s="130">
        <v>2</v>
      </c>
      <c r="CO29" s="128"/>
      <c r="CP29" s="132">
        <v>2</v>
      </c>
      <c r="CQ29" s="134"/>
      <c r="CR29" s="130">
        <v>36</v>
      </c>
      <c r="CS29" s="128"/>
      <c r="CT29" s="128">
        <v>19018</v>
      </c>
      <c r="CU29" s="128">
        <v>30</v>
      </c>
      <c r="CV29" s="128">
        <v>47252</v>
      </c>
      <c r="CW29" s="128">
        <v>0</v>
      </c>
      <c r="CX29" s="128"/>
      <c r="CY29" s="128"/>
      <c r="CZ29" s="128"/>
      <c r="DA29" s="128"/>
      <c r="DB29" s="128"/>
      <c r="DC29" s="132">
        <v>66336</v>
      </c>
      <c r="DD29" s="136">
        <v>11504</v>
      </c>
      <c r="DE29" s="128"/>
      <c r="DF29" s="128">
        <v>34</v>
      </c>
      <c r="DG29" s="128">
        <v>19</v>
      </c>
      <c r="DH29" s="128">
        <v>3</v>
      </c>
      <c r="DI29" s="128">
        <v>32</v>
      </c>
      <c r="DJ29" s="128"/>
      <c r="DK29" s="137">
        <v>11592</v>
      </c>
      <c r="DL29" s="140">
        <v>2</v>
      </c>
      <c r="DM29" s="134"/>
      <c r="DN29" s="130"/>
      <c r="DO29" s="128"/>
      <c r="DP29" s="132"/>
      <c r="DQ29" s="134">
        <v>1053</v>
      </c>
      <c r="DR29" s="130"/>
      <c r="DS29" s="128"/>
      <c r="DT29" s="132"/>
      <c r="DU29" s="136"/>
      <c r="DV29" s="128"/>
      <c r="DW29" s="137"/>
      <c r="DX29" s="140">
        <v>11</v>
      </c>
      <c r="DY29" s="134"/>
      <c r="DZ29" s="134">
        <v>27</v>
      </c>
      <c r="EA29" s="134"/>
      <c r="EB29" s="134"/>
      <c r="EC29" s="130">
        <v>15675</v>
      </c>
      <c r="ED29" s="128">
        <v>4065</v>
      </c>
      <c r="EE29" s="128">
        <v>1</v>
      </c>
      <c r="EF29" s="128">
        <v>2</v>
      </c>
      <c r="EG29" s="128">
        <v>53</v>
      </c>
      <c r="EH29" s="132">
        <v>19796</v>
      </c>
      <c r="EI29" s="136">
        <v>12</v>
      </c>
      <c r="EJ29" s="128">
        <v>111</v>
      </c>
      <c r="EK29" s="128">
        <v>6</v>
      </c>
      <c r="EL29" s="128">
        <v>63</v>
      </c>
      <c r="EM29" s="128">
        <v>26</v>
      </c>
      <c r="EN29" s="128">
        <v>5</v>
      </c>
      <c r="EO29" s="128">
        <v>0</v>
      </c>
      <c r="EP29" s="128">
        <v>76</v>
      </c>
      <c r="EQ29" s="128"/>
      <c r="ER29" s="128"/>
      <c r="ES29" s="128">
        <v>1</v>
      </c>
      <c r="ET29" s="128"/>
      <c r="EU29" s="128"/>
      <c r="EV29" s="137">
        <v>300</v>
      </c>
      <c r="EW29" s="140"/>
      <c r="EX29" s="134"/>
      <c r="EY29" s="130"/>
      <c r="EZ29" s="128"/>
      <c r="FA29" s="128"/>
      <c r="FB29" s="132"/>
      <c r="FC29" s="136"/>
      <c r="FD29" s="128"/>
      <c r="FE29" s="137"/>
      <c r="FF29" s="140"/>
      <c r="FG29" s="136"/>
      <c r="FH29" s="128"/>
      <c r="FI29" s="128"/>
      <c r="FJ29" s="128"/>
      <c r="FK29" s="137"/>
      <c r="FL29" s="130"/>
      <c r="FM29" s="128"/>
      <c r="FN29" s="132"/>
      <c r="FO29" s="136"/>
      <c r="FP29" s="128"/>
      <c r="FQ29" s="137"/>
      <c r="FR29" s="140"/>
      <c r="FS29" s="134">
        <v>59</v>
      </c>
      <c r="FT29" s="130"/>
      <c r="FU29" s="128"/>
      <c r="FV29" s="128"/>
      <c r="FW29" s="128"/>
      <c r="FX29" s="128"/>
      <c r="FY29" s="132"/>
      <c r="FZ29" s="134"/>
      <c r="GA29" s="130">
        <v>108</v>
      </c>
      <c r="GB29" s="128"/>
      <c r="GC29" s="132">
        <v>108</v>
      </c>
      <c r="GD29" s="134"/>
      <c r="GE29" s="130">
        <v>3</v>
      </c>
      <c r="GF29" s="128"/>
      <c r="GG29" s="128"/>
      <c r="GH29" s="132">
        <v>3</v>
      </c>
      <c r="GI29" s="134">
        <v>0</v>
      </c>
      <c r="GJ29" s="130"/>
      <c r="GK29" s="128">
        <v>0</v>
      </c>
      <c r="GL29" s="128"/>
      <c r="GM29" s="128"/>
      <c r="GN29" s="132">
        <v>0</v>
      </c>
      <c r="GO29" s="134">
        <v>171691</v>
      </c>
      <c r="GP29" s="323">
        <f>171691/44564395</f>
        <v>3.8526496320661369E-3</v>
      </c>
    </row>
    <row r="30" spans="2:198" x14ac:dyDescent="0.2">
      <c r="B30" s="326" t="s">
        <v>158</v>
      </c>
      <c r="C30" s="325">
        <v>11720</v>
      </c>
      <c r="D30" s="128">
        <v>0</v>
      </c>
      <c r="E30" s="128"/>
      <c r="F30" s="128">
        <v>1</v>
      </c>
      <c r="G30" s="324">
        <v>11721</v>
      </c>
      <c r="H30" s="140"/>
      <c r="I30" s="136">
        <v>5</v>
      </c>
      <c r="J30" s="128"/>
      <c r="K30" s="137">
        <v>5</v>
      </c>
      <c r="L30" s="140"/>
      <c r="M30" s="134">
        <v>363</v>
      </c>
      <c r="N30" s="140">
        <v>31305</v>
      </c>
      <c r="O30" s="128">
        <v>12</v>
      </c>
      <c r="P30" s="128">
        <v>117</v>
      </c>
      <c r="Q30" s="128">
        <v>11</v>
      </c>
      <c r="R30" s="128">
        <v>2</v>
      </c>
      <c r="S30" s="128">
        <v>20</v>
      </c>
      <c r="T30" s="128">
        <v>5</v>
      </c>
      <c r="U30" s="128"/>
      <c r="V30" s="132">
        <v>31472</v>
      </c>
      <c r="W30" s="136">
        <v>8</v>
      </c>
      <c r="X30" s="128">
        <v>1</v>
      </c>
      <c r="Y30" s="137">
        <v>9</v>
      </c>
      <c r="Z30" s="130">
        <v>403</v>
      </c>
      <c r="AA30" s="128">
        <v>8</v>
      </c>
      <c r="AB30" s="128"/>
      <c r="AC30" s="132">
        <v>411</v>
      </c>
      <c r="AD30" s="136">
        <v>99</v>
      </c>
      <c r="AE30" s="128">
        <v>20</v>
      </c>
      <c r="AF30" s="137">
        <v>119</v>
      </c>
      <c r="AG30" s="130">
        <v>5</v>
      </c>
      <c r="AH30" s="128"/>
      <c r="AI30" s="128">
        <v>1</v>
      </c>
      <c r="AJ30" s="128"/>
      <c r="AK30" s="132">
        <v>6</v>
      </c>
      <c r="AL30" s="136">
        <v>15</v>
      </c>
      <c r="AM30" s="128"/>
      <c r="AN30" s="137">
        <v>15</v>
      </c>
      <c r="AO30" s="134"/>
      <c r="AP30" s="134"/>
      <c r="AQ30" s="130">
        <v>1</v>
      </c>
      <c r="AR30" s="128">
        <v>4</v>
      </c>
      <c r="AS30" s="132">
        <v>5</v>
      </c>
      <c r="AT30" s="136">
        <v>1</v>
      </c>
      <c r="AU30" s="128"/>
      <c r="AV30" s="128"/>
      <c r="AW30" s="128"/>
      <c r="AX30" s="128"/>
      <c r="AY30" s="128"/>
      <c r="AZ30" s="128"/>
      <c r="BA30" s="128"/>
      <c r="BB30" s="128"/>
      <c r="BC30" s="137">
        <v>1</v>
      </c>
      <c r="BD30" s="140"/>
      <c r="BE30" s="134">
        <v>39</v>
      </c>
      <c r="BF30" s="130">
        <v>110</v>
      </c>
      <c r="BG30" s="128">
        <v>42</v>
      </c>
      <c r="BH30" s="128">
        <v>832</v>
      </c>
      <c r="BI30" s="128">
        <v>16</v>
      </c>
      <c r="BJ30" s="128">
        <v>11</v>
      </c>
      <c r="BK30" s="132">
        <v>1011</v>
      </c>
      <c r="BL30" s="134"/>
      <c r="BM30" s="134"/>
      <c r="BN30" s="134"/>
      <c r="BO30" s="134"/>
      <c r="BP30" s="130">
        <v>16</v>
      </c>
      <c r="BQ30" s="128"/>
      <c r="BR30" s="132">
        <v>16</v>
      </c>
      <c r="BS30" s="134">
        <v>1</v>
      </c>
      <c r="BT30" s="130">
        <v>9</v>
      </c>
      <c r="BU30" s="128">
        <v>5</v>
      </c>
      <c r="BV30" s="132">
        <v>14</v>
      </c>
      <c r="BW30" s="136">
        <v>14</v>
      </c>
      <c r="BX30" s="128">
        <v>0</v>
      </c>
      <c r="BY30" s="128">
        <v>10</v>
      </c>
      <c r="BZ30" s="128">
        <v>2</v>
      </c>
      <c r="CA30" s="128">
        <v>1</v>
      </c>
      <c r="CB30" s="128">
        <v>6</v>
      </c>
      <c r="CC30" s="128">
        <v>4</v>
      </c>
      <c r="CD30" s="128"/>
      <c r="CE30" s="128">
        <v>7</v>
      </c>
      <c r="CF30" s="128">
        <v>1</v>
      </c>
      <c r="CG30" s="128">
        <v>0</v>
      </c>
      <c r="CH30" s="128"/>
      <c r="CI30" s="128"/>
      <c r="CJ30" s="128">
        <v>1</v>
      </c>
      <c r="CK30" s="128"/>
      <c r="CL30" s="128"/>
      <c r="CM30" s="137">
        <v>46</v>
      </c>
      <c r="CN30" s="130">
        <v>5</v>
      </c>
      <c r="CO30" s="128"/>
      <c r="CP30" s="132">
        <v>5</v>
      </c>
      <c r="CQ30" s="134"/>
      <c r="CR30" s="130">
        <v>133</v>
      </c>
      <c r="CS30" s="128">
        <v>7</v>
      </c>
      <c r="CT30" s="128">
        <v>151066</v>
      </c>
      <c r="CU30" s="128">
        <v>93</v>
      </c>
      <c r="CV30" s="128">
        <v>48490</v>
      </c>
      <c r="CW30" s="128">
        <v>39</v>
      </c>
      <c r="CX30" s="128">
        <v>17</v>
      </c>
      <c r="CY30" s="128">
        <v>0</v>
      </c>
      <c r="CZ30" s="128">
        <v>0</v>
      </c>
      <c r="DA30" s="128"/>
      <c r="DB30" s="128"/>
      <c r="DC30" s="132">
        <v>199845</v>
      </c>
      <c r="DD30" s="136">
        <v>2918</v>
      </c>
      <c r="DE30" s="128">
        <v>18</v>
      </c>
      <c r="DF30" s="128">
        <v>31</v>
      </c>
      <c r="DG30" s="128">
        <v>73</v>
      </c>
      <c r="DH30" s="128">
        <v>6</v>
      </c>
      <c r="DI30" s="128">
        <v>1</v>
      </c>
      <c r="DJ30" s="128"/>
      <c r="DK30" s="137">
        <v>3047</v>
      </c>
      <c r="DL30" s="140"/>
      <c r="DM30" s="134"/>
      <c r="DN30" s="130"/>
      <c r="DO30" s="128"/>
      <c r="DP30" s="132"/>
      <c r="DQ30" s="134">
        <v>15</v>
      </c>
      <c r="DR30" s="130"/>
      <c r="DS30" s="128"/>
      <c r="DT30" s="132"/>
      <c r="DU30" s="136">
        <v>45</v>
      </c>
      <c r="DV30" s="128"/>
      <c r="DW30" s="137">
        <v>45</v>
      </c>
      <c r="DX30" s="140">
        <v>7</v>
      </c>
      <c r="DY30" s="134"/>
      <c r="DZ30" s="134">
        <v>140</v>
      </c>
      <c r="EA30" s="134"/>
      <c r="EB30" s="134"/>
      <c r="EC30" s="130">
        <v>1903</v>
      </c>
      <c r="ED30" s="128">
        <v>30</v>
      </c>
      <c r="EE30" s="128"/>
      <c r="EF30" s="128">
        <v>29</v>
      </c>
      <c r="EG30" s="128"/>
      <c r="EH30" s="132">
        <v>1962</v>
      </c>
      <c r="EI30" s="136">
        <v>64</v>
      </c>
      <c r="EJ30" s="128">
        <v>15088</v>
      </c>
      <c r="EK30" s="128">
        <v>91</v>
      </c>
      <c r="EL30" s="128">
        <v>161</v>
      </c>
      <c r="EM30" s="128">
        <v>5268</v>
      </c>
      <c r="EN30" s="128">
        <v>20</v>
      </c>
      <c r="EO30" s="128">
        <v>41</v>
      </c>
      <c r="EP30" s="128">
        <v>78</v>
      </c>
      <c r="EQ30" s="128">
        <v>34</v>
      </c>
      <c r="ER30" s="128">
        <v>7</v>
      </c>
      <c r="ES30" s="128">
        <v>96</v>
      </c>
      <c r="ET30" s="128"/>
      <c r="EU30" s="128"/>
      <c r="EV30" s="137">
        <v>20948</v>
      </c>
      <c r="EW30" s="140"/>
      <c r="EX30" s="134"/>
      <c r="EY30" s="130"/>
      <c r="EZ30" s="128">
        <v>4</v>
      </c>
      <c r="FA30" s="128"/>
      <c r="FB30" s="132">
        <v>4</v>
      </c>
      <c r="FC30" s="136"/>
      <c r="FD30" s="128"/>
      <c r="FE30" s="137"/>
      <c r="FF30" s="140"/>
      <c r="FG30" s="136">
        <v>26</v>
      </c>
      <c r="FH30" s="128">
        <v>3</v>
      </c>
      <c r="FI30" s="128">
        <v>3</v>
      </c>
      <c r="FJ30" s="128">
        <v>28</v>
      </c>
      <c r="FK30" s="137">
        <v>60</v>
      </c>
      <c r="FL30" s="130"/>
      <c r="FM30" s="128"/>
      <c r="FN30" s="132"/>
      <c r="FO30" s="136"/>
      <c r="FP30" s="128"/>
      <c r="FQ30" s="137"/>
      <c r="FR30" s="140"/>
      <c r="FS30" s="134">
        <v>845</v>
      </c>
      <c r="FT30" s="130">
        <v>57</v>
      </c>
      <c r="FU30" s="128">
        <v>10</v>
      </c>
      <c r="FV30" s="128">
        <v>0</v>
      </c>
      <c r="FW30" s="128"/>
      <c r="FX30" s="128"/>
      <c r="FY30" s="132">
        <v>67</v>
      </c>
      <c r="FZ30" s="134"/>
      <c r="GA30" s="130">
        <v>510</v>
      </c>
      <c r="GB30" s="128">
        <v>3</v>
      </c>
      <c r="GC30" s="132">
        <v>513</v>
      </c>
      <c r="GD30" s="134"/>
      <c r="GE30" s="130">
        <v>1</v>
      </c>
      <c r="GF30" s="128"/>
      <c r="GG30" s="128"/>
      <c r="GH30" s="132">
        <v>1</v>
      </c>
      <c r="GI30" s="134">
        <v>63</v>
      </c>
      <c r="GJ30" s="130"/>
      <c r="GK30" s="128">
        <v>3</v>
      </c>
      <c r="GL30" s="128">
        <v>20</v>
      </c>
      <c r="GM30" s="128"/>
      <c r="GN30" s="132">
        <v>23</v>
      </c>
      <c r="GO30" s="134">
        <v>272844</v>
      </c>
      <c r="GP30" s="323">
        <f>272844/44564395</f>
        <v>6.1224661526314899E-3</v>
      </c>
    </row>
    <row r="31" spans="2:198" x14ac:dyDescent="0.2">
      <c r="B31" s="326" t="s">
        <v>230</v>
      </c>
      <c r="C31" s="325">
        <v>70</v>
      </c>
      <c r="D31" s="128"/>
      <c r="E31" s="128"/>
      <c r="F31" s="128"/>
      <c r="G31" s="324">
        <v>70</v>
      </c>
      <c r="H31" s="140"/>
      <c r="I31" s="136">
        <v>3</v>
      </c>
      <c r="J31" s="128"/>
      <c r="K31" s="137">
        <v>3</v>
      </c>
      <c r="L31" s="140"/>
      <c r="M31" s="134">
        <v>2592</v>
      </c>
      <c r="N31" s="140">
        <v>5319</v>
      </c>
      <c r="O31" s="128">
        <v>0</v>
      </c>
      <c r="P31" s="128">
        <v>1</v>
      </c>
      <c r="Q31" s="128">
        <v>0</v>
      </c>
      <c r="R31" s="128"/>
      <c r="S31" s="128"/>
      <c r="T31" s="128"/>
      <c r="U31" s="128"/>
      <c r="V31" s="132">
        <v>5320</v>
      </c>
      <c r="W31" s="136"/>
      <c r="X31" s="128"/>
      <c r="Y31" s="137"/>
      <c r="Z31" s="130">
        <v>12647</v>
      </c>
      <c r="AA31" s="128"/>
      <c r="AB31" s="128"/>
      <c r="AC31" s="132">
        <v>12647</v>
      </c>
      <c r="AD31" s="136">
        <v>414</v>
      </c>
      <c r="AE31" s="128"/>
      <c r="AF31" s="137">
        <v>414</v>
      </c>
      <c r="AG31" s="130"/>
      <c r="AH31" s="128"/>
      <c r="AI31" s="128"/>
      <c r="AJ31" s="128"/>
      <c r="AK31" s="132"/>
      <c r="AL31" s="136"/>
      <c r="AM31" s="128"/>
      <c r="AN31" s="137"/>
      <c r="AO31" s="134"/>
      <c r="AP31" s="134"/>
      <c r="AQ31" s="130">
        <v>78</v>
      </c>
      <c r="AR31" s="128"/>
      <c r="AS31" s="132">
        <v>78</v>
      </c>
      <c r="AT31" s="136"/>
      <c r="AU31" s="128"/>
      <c r="AV31" s="128"/>
      <c r="AW31" s="128"/>
      <c r="AX31" s="128"/>
      <c r="AY31" s="128"/>
      <c r="AZ31" s="128"/>
      <c r="BA31" s="128"/>
      <c r="BB31" s="128"/>
      <c r="BC31" s="137"/>
      <c r="BD31" s="140"/>
      <c r="BE31" s="134"/>
      <c r="BF31" s="130">
        <v>1</v>
      </c>
      <c r="BG31" s="128">
        <v>12</v>
      </c>
      <c r="BH31" s="128">
        <v>112</v>
      </c>
      <c r="BI31" s="128">
        <v>3</v>
      </c>
      <c r="BJ31" s="128">
        <v>4</v>
      </c>
      <c r="BK31" s="132">
        <v>132</v>
      </c>
      <c r="BL31" s="134"/>
      <c r="BM31" s="134"/>
      <c r="BN31" s="134"/>
      <c r="BO31" s="134"/>
      <c r="BP31" s="130">
        <v>0</v>
      </c>
      <c r="BQ31" s="128">
        <v>2</v>
      </c>
      <c r="BR31" s="132">
        <v>2</v>
      </c>
      <c r="BS31" s="134"/>
      <c r="BT31" s="130"/>
      <c r="BU31" s="128"/>
      <c r="BV31" s="132"/>
      <c r="BW31" s="136">
        <v>860</v>
      </c>
      <c r="BX31" s="128">
        <v>0</v>
      </c>
      <c r="BY31" s="128"/>
      <c r="BZ31" s="128"/>
      <c r="CA31" s="128"/>
      <c r="CB31" s="128"/>
      <c r="CC31" s="128"/>
      <c r="CD31" s="128"/>
      <c r="CE31" s="128"/>
      <c r="CF31" s="128"/>
      <c r="CG31" s="128"/>
      <c r="CH31" s="128">
        <v>2</v>
      </c>
      <c r="CI31" s="128"/>
      <c r="CJ31" s="128"/>
      <c r="CK31" s="128"/>
      <c r="CL31" s="128"/>
      <c r="CM31" s="137">
        <v>862</v>
      </c>
      <c r="CN31" s="130"/>
      <c r="CO31" s="128"/>
      <c r="CP31" s="132"/>
      <c r="CQ31" s="134">
        <v>1</v>
      </c>
      <c r="CR31" s="130">
        <v>134</v>
      </c>
      <c r="CS31" s="128"/>
      <c r="CT31" s="128">
        <v>251224</v>
      </c>
      <c r="CU31" s="128">
        <v>54</v>
      </c>
      <c r="CV31" s="128">
        <v>138940</v>
      </c>
      <c r="CW31" s="128"/>
      <c r="CX31" s="128">
        <v>0</v>
      </c>
      <c r="CY31" s="128"/>
      <c r="CZ31" s="128">
        <v>1</v>
      </c>
      <c r="DA31" s="128"/>
      <c r="DB31" s="128"/>
      <c r="DC31" s="132">
        <v>390353</v>
      </c>
      <c r="DD31" s="136">
        <v>459</v>
      </c>
      <c r="DE31" s="128"/>
      <c r="DF31" s="128">
        <v>18</v>
      </c>
      <c r="DG31" s="128">
        <v>17</v>
      </c>
      <c r="DH31" s="128"/>
      <c r="DI31" s="128"/>
      <c r="DJ31" s="128"/>
      <c r="DK31" s="137">
        <v>494</v>
      </c>
      <c r="DL31" s="140"/>
      <c r="DM31" s="134"/>
      <c r="DN31" s="130"/>
      <c r="DO31" s="128"/>
      <c r="DP31" s="132"/>
      <c r="DQ31" s="134">
        <v>0</v>
      </c>
      <c r="DR31" s="130"/>
      <c r="DS31" s="128"/>
      <c r="DT31" s="132"/>
      <c r="DU31" s="136"/>
      <c r="DV31" s="128">
        <v>4</v>
      </c>
      <c r="DW31" s="137">
        <v>4</v>
      </c>
      <c r="DX31" s="140">
        <v>46</v>
      </c>
      <c r="DY31" s="134"/>
      <c r="DZ31" s="134">
        <v>12</v>
      </c>
      <c r="EA31" s="134"/>
      <c r="EB31" s="134"/>
      <c r="EC31" s="130">
        <v>4</v>
      </c>
      <c r="ED31" s="128"/>
      <c r="EE31" s="128"/>
      <c r="EF31" s="128"/>
      <c r="EG31" s="128"/>
      <c r="EH31" s="132">
        <v>4</v>
      </c>
      <c r="EI31" s="136">
        <v>49</v>
      </c>
      <c r="EJ31" s="128">
        <v>242</v>
      </c>
      <c r="EK31" s="128">
        <v>3</v>
      </c>
      <c r="EL31" s="128">
        <v>21</v>
      </c>
      <c r="EM31" s="128">
        <v>3754</v>
      </c>
      <c r="EN31" s="128">
        <v>6</v>
      </c>
      <c r="EO31" s="128">
        <v>5</v>
      </c>
      <c r="EP31" s="128">
        <v>49</v>
      </c>
      <c r="EQ31" s="128">
        <v>2</v>
      </c>
      <c r="ER31" s="128"/>
      <c r="ES31" s="128">
        <v>3</v>
      </c>
      <c r="ET31" s="128"/>
      <c r="EU31" s="128"/>
      <c r="EV31" s="137">
        <v>4134</v>
      </c>
      <c r="EW31" s="140"/>
      <c r="EX31" s="134"/>
      <c r="EY31" s="130"/>
      <c r="EZ31" s="128"/>
      <c r="FA31" s="128"/>
      <c r="FB31" s="132"/>
      <c r="FC31" s="136"/>
      <c r="FD31" s="128"/>
      <c r="FE31" s="137"/>
      <c r="FF31" s="140"/>
      <c r="FG31" s="136"/>
      <c r="FH31" s="128">
        <v>3</v>
      </c>
      <c r="FI31" s="128"/>
      <c r="FJ31" s="128"/>
      <c r="FK31" s="137">
        <v>3</v>
      </c>
      <c r="FL31" s="130"/>
      <c r="FM31" s="128"/>
      <c r="FN31" s="132"/>
      <c r="FO31" s="136"/>
      <c r="FP31" s="128"/>
      <c r="FQ31" s="137"/>
      <c r="FR31" s="140"/>
      <c r="FS31" s="134">
        <v>6</v>
      </c>
      <c r="FT31" s="130">
        <v>59</v>
      </c>
      <c r="FU31" s="128"/>
      <c r="FV31" s="128"/>
      <c r="FW31" s="128"/>
      <c r="FX31" s="128"/>
      <c r="FY31" s="132">
        <v>59</v>
      </c>
      <c r="FZ31" s="134"/>
      <c r="GA31" s="130">
        <v>80673</v>
      </c>
      <c r="GB31" s="128"/>
      <c r="GC31" s="132">
        <v>80673</v>
      </c>
      <c r="GD31" s="134"/>
      <c r="GE31" s="130"/>
      <c r="GF31" s="128">
        <v>5</v>
      </c>
      <c r="GG31" s="128"/>
      <c r="GH31" s="132">
        <v>5</v>
      </c>
      <c r="GI31" s="134"/>
      <c r="GJ31" s="130"/>
      <c r="GK31" s="128"/>
      <c r="GL31" s="128"/>
      <c r="GM31" s="128"/>
      <c r="GN31" s="132"/>
      <c r="GO31" s="134">
        <v>497914</v>
      </c>
      <c r="GP31" s="323">
        <f>497914/44564395</f>
        <v>1.1172910571320445E-2</v>
      </c>
    </row>
    <row r="32" spans="2:198" x14ac:dyDescent="0.2">
      <c r="B32" s="326" t="s">
        <v>250</v>
      </c>
      <c r="C32" s="325">
        <v>291</v>
      </c>
      <c r="D32" s="128">
        <v>1</v>
      </c>
      <c r="E32" s="128"/>
      <c r="F32" s="128">
        <v>1</v>
      </c>
      <c r="G32" s="324">
        <v>293</v>
      </c>
      <c r="H32" s="140"/>
      <c r="I32" s="136">
        <v>2</v>
      </c>
      <c r="J32" s="128"/>
      <c r="K32" s="137">
        <v>2</v>
      </c>
      <c r="L32" s="140"/>
      <c r="M32" s="134">
        <v>22213</v>
      </c>
      <c r="N32" s="140">
        <v>84851</v>
      </c>
      <c r="O32" s="128">
        <v>35</v>
      </c>
      <c r="P32" s="128">
        <v>13</v>
      </c>
      <c r="Q32" s="128">
        <v>6</v>
      </c>
      <c r="R32" s="128"/>
      <c r="S32" s="128"/>
      <c r="T32" s="128"/>
      <c r="U32" s="128"/>
      <c r="V32" s="132">
        <v>84905</v>
      </c>
      <c r="W32" s="136">
        <v>4</v>
      </c>
      <c r="X32" s="128">
        <v>1</v>
      </c>
      <c r="Y32" s="137">
        <v>5</v>
      </c>
      <c r="Z32" s="130">
        <v>9257</v>
      </c>
      <c r="AA32" s="128"/>
      <c r="AB32" s="128">
        <v>0</v>
      </c>
      <c r="AC32" s="132">
        <v>9257</v>
      </c>
      <c r="AD32" s="136">
        <v>66</v>
      </c>
      <c r="AE32" s="128"/>
      <c r="AF32" s="137">
        <v>66</v>
      </c>
      <c r="AG32" s="130">
        <v>4</v>
      </c>
      <c r="AH32" s="128"/>
      <c r="AI32" s="128">
        <v>1</v>
      </c>
      <c r="AJ32" s="128"/>
      <c r="AK32" s="132">
        <v>5</v>
      </c>
      <c r="AL32" s="136"/>
      <c r="AM32" s="128"/>
      <c r="AN32" s="137"/>
      <c r="AO32" s="134"/>
      <c r="AP32" s="134"/>
      <c r="AQ32" s="130">
        <v>19</v>
      </c>
      <c r="AR32" s="128">
        <v>0</v>
      </c>
      <c r="AS32" s="132">
        <v>19</v>
      </c>
      <c r="AT32" s="136"/>
      <c r="AU32" s="128"/>
      <c r="AV32" s="128"/>
      <c r="AW32" s="128"/>
      <c r="AX32" s="128"/>
      <c r="AY32" s="128">
        <v>57</v>
      </c>
      <c r="AZ32" s="128"/>
      <c r="BA32" s="128"/>
      <c r="BB32" s="128"/>
      <c r="BC32" s="137">
        <v>57</v>
      </c>
      <c r="BD32" s="140">
        <v>1</v>
      </c>
      <c r="BE32" s="134">
        <v>5</v>
      </c>
      <c r="BF32" s="130">
        <v>98</v>
      </c>
      <c r="BG32" s="128">
        <v>60</v>
      </c>
      <c r="BH32" s="128">
        <v>334</v>
      </c>
      <c r="BI32" s="128">
        <v>9</v>
      </c>
      <c r="BJ32" s="128">
        <v>3</v>
      </c>
      <c r="BK32" s="132">
        <v>504</v>
      </c>
      <c r="BL32" s="134"/>
      <c r="BM32" s="134"/>
      <c r="BN32" s="134">
        <v>1</v>
      </c>
      <c r="BO32" s="134"/>
      <c r="BP32" s="130">
        <v>26</v>
      </c>
      <c r="BQ32" s="128"/>
      <c r="BR32" s="132">
        <v>26</v>
      </c>
      <c r="BS32" s="134"/>
      <c r="BT32" s="130"/>
      <c r="BU32" s="128"/>
      <c r="BV32" s="132"/>
      <c r="BW32" s="136">
        <v>66</v>
      </c>
      <c r="BX32" s="128">
        <v>0</v>
      </c>
      <c r="BY32" s="128">
        <v>11</v>
      </c>
      <c r="BZ32" s="128">
        <v>19</v>
      </c>
      <c r="CA32" s="128"/>
      <c r="CB32" s="128">
        <v>0</v>
      </c>
      <c r="CC32" s="128"/>
      <c r="CD32" s="128"/>
      <c r="CE32" s="128"/>
      <c r="CF32" s="128">
        <v>1</v>
      </c>
      <c r="CG32" s="128">
        <v>29</v>
      </c>
      <c r="CH32" s="128"/>
      <c r="CI32" s="128"/>
      <c r="CJ32" s="128"/>
      <c r="CK32" s="128"/>
      <c r="CL32" s="128"/>
      <c r="CM32" s="137">
        <v>126</v>
      </c>
      <c r="CN32" s="130"/>
      <c r="CO32" s="128"/>
      <c r="CP32" s="132"/>
      <c r="CQ32" s="134"/>
      <c r="CR32" s="130">
        <v>61</v>
      </c>
      <c r="CS32" s="128">
        <v>14</v>
      </c>
      <c r="CT32" s="128">
        <v>275141</v>
      </c>
      <c r="CU32" s="128">
        <v>26</v>
      </c>
      <c r="CV32" s="128">
        <v>49363</v>
      </c>
      <c r="CW32" s="128">
        <v>82</v>
      </c>
      <c r="CX32" s="128">
        <v>17</v>
      </c>
      <c r="CY32" s="128">
        <v>1</v>
      </c>
      <c r="CZ32" s="128"/>
      <c r="DA32" s="128"/>
      <c r="DB32" s="128"/>
      <c r="DC32" s="132">
        <v>324705</v>
      </c>
      <c r="DD32" s="136">
        <v>5333</v>
      </c>
      <c r="DE32" s="128">
        <v>12</v>
      </c>
      <c r="DF32" s="128">
        <v>24</v>
      </c>
      <c r="DG32" s="128">
        <v>3</v>
      </c>
      <c r="DH32" s="128"/>
      <c r="DI32" s="128"/>
      <c r="DJ32" s="128"/>
      <c r="DK32" s="137">
        <v>5372</v>
      </c>
      <c r="DL32" s="140"/>
      <c r="DM32" s="134"/>
      <c r="DN32" s="130"/>
      <c r="DO32" s="128"/>
      <c r="DP32" s="132"/>
      <c r="DQ32" s="134">
        <v>18</v>
      </c>
      <c r="DR32" s="130"/>
      <c r="DS32" s="128">
        <v>1</v>
      </c>
      <c r="DT32" s="132">
        <v>1</v>
      </c>
      <c r="DU32" s="136"/>
      <c r="DV32" s="128"/>
      <c r="DW32" s="137"/>
      <c r="DX32" s="140">
        <v>72</v>
      </c>
      <c r="DY32" s="134">
        <v>1</v>
      </c>
      <c r="DZ32" s="134">
        <v>75</v>
      </c>
      <c r="EA32" s="134"/>
      <c r="EB32" s="134"/>
      <c r="EC32" s="130">
        <v>65</v>
      </c>
      <c r="ED32" s="128">
        <v>50</v>
      </c>
      <c r="EE32" s="128"/>
      <c r="EF32" s="128"/>
      <c r="EG32" s="128"/>
      <c r="EH32" s="132">
        <v>115</v>
      </c>
      <c r="EI32" s="136">
        <v>23</v>
      </c>
      <c r="EJ32" s="128">
        <v>9255</v>
      </c>
      <c r="EK32" s="128">
        <v>21</v>
      </c>
      <c r="EL32" s="128">
        <v>33</v>
      </c>
      <c r="EM32" s="128">
        <v>1053</v>
      </c>
      <c r="EN32" s="128">
        <v>3</v>
      </c>
      <c r="EO32" s="128">
        <v>2</v>
      </c>
      <c r="EP32" s="128">
        <v>45</v>
      </c>
      <c r="EQ32" s="128">
        <v>1</v>
      </c>
      <c r="ER32" s="128"/>
      <c r="ES32" s="128">
        <v>0</v>
      </c>
      <c r="ET32" s="128"/>
      <c r="EU32" s="128"/>
      <c r="EV32" s="137">
        <v>10436</v>
      </c>
      <c r="EW32" s="140"/>
      <c r="EX32" s="134"/>
      <c r="EY32" s="130">
        <v>0</v>
      </c>
      <c r="EZ32" s="128"/>
      <c r="FA32" s="128"/>
      <c r="FB32" s="132">
        <v>0</v>
      </c>
      <c r="FC32" s="136"/>
      <c r="FD32" s="128"/>
      <c r="FE32" s="137"/>
      <c r="FF32" s="140"/>
      <c r="FG32" s="136"/>
      <c r="FH32" s="128">
        <v>6</v>
      </c>
      <c r="FI32" s="128"/>
      <c r="FJ32" s="128">
        <v>2</v>
      </c>
      <c r="FK32" s="137">
        <v>8</v>
      </c>
      <c r="FL32" s="130"/>
      <c r="FM32" s="128"/>
      <c r="FN32" s="132"/>
      <c r="FO32" s="136"/>
      <c r="FP32" s="128"/>
      <c r="FQ32" s="137"/>
      <c r="FR32" s="140"/>
      <c r="FS32" s="134">
        <v>138</v>
      </c>
      <c r="FT32" s="130">
        <v>33</v>
      </c>
      <c r="FU32" s="128"/>
      <c r="FV32" s="128"/>
      <c r="FW32" s="128"/>
      <c r="FX32" s="128"/>
      <c r="FY32" s="132">
        <v>33</v>
      </c>
      <c r="FZ32" s="134"/>
      <c r="GA32" s="130">
        <v>36136</v>
      </c>
      <c r="GB32" s="128"/>
      <c r="GC32" s="132">
        <v>36136</v>
      </c>
      <c r="GD32" s="134"/>
      <c r="GE32" s="130"/>
      <c r="GF32" s="128"/>
      <c r="GG32" s="128"/>
      <c r="GH32" s="132"/>
      <c r="GI32" s="134">
        <v>34</v>
      </c>
      <c r="GJ32" s="130"/>
      <c r="GK32" s="128"/>
      <c r="GL32" s="128"/>
      <c r="GM32" s="128"/>
      <c r="GN32" s="132"/>
      <c r="GO32" s="134">
        <v>494629</v>
      </c>
      <c r="GP32" s="323">
        <f>494629/44564395</f>
        <v>1.1099197015913713E-2</v>
      </c>
    </row>
    <row r="33" spans="2:198" x14ac:dyDescent="0.2">
      <c r="B33" s="326" t="s">
        <v>257</v>
      </c>
      <c r="C33" s="325">
        <v>16</v>
      </c>
      <c r="D33" s="128"/>
      <c r="E33" s="128"/>
      <c r="F33" s="128"/>
      <c r="G33" s="324">
        <v>16</v>
      </c>
      <c r="H33" s="140"/>
      <c r="I33" s="136"/>
      <c r="J33" s="128"/>
      <c r="K33" s="137"/>
      <c r="L33" s="140"/>
      <c r="M33" s="134">
        <v>580</v>
      </c>
      <c r="N33" s="140">
        <v>501</v>
      </c>
      <c r="O33" s="128">
        <v>0</v>
      </c>
      <c r="P33" s="128"/>
      <c r="Q33" s="128"/>
      <c r="R33" s="128"/>
      <c r="S33" s="128"/>
      <c r="T33" s="128"/>
      <c r="U33" s="128"/>
      <c r="V33" s="132">
        <v>501</v>
      </c>
      <c r="W33" s="136"/>
      <c r="X33" s="128">
        <v>1</v>
      </c>
      <c r="Y33" s="137">
        <v>1</v>
      </c>
      <c r="Z33" s="130">
        <v>63</v>
      </c>
      <c r="AA33" s="128"/>
      <c r="AB33" s="128"/>
      <c r="AC33" s="132">
        <v>63</v>
      </c>
      <c r="AD33" s="136">
        <v>5</v>
      </c>
      <c r="AE33" s="128"/>
      <c r="AF33" s="137">
        <v>5</v>
      </c>
      <c r="AG33" s="130"/>
      <c r="AH33" s="128"/>
      <c r="AI33" s="128"/>
      <c r="AJ33" s="128"/>
      <c r="AK33" s="132"/>
      <c r="AL33" s="136"/>
      <c r="AM33" s="128"/>
      <c r="AN33" s="137"/>
      <c r="AO33" s="134"/>
      <c r="AP33" s="134"/>
      <c r="AQ33" s="130">
        <v>12</v>
      </c>
      <c r="AR33" s="128"/>
      <c r="AS33" s="132">
        <v>12</v>
      </c>
      <c r="AT33" s="136"/>
      <c r="AU33" s="128"/>
      <c r="AV33" s="128"/>
      <c r="AW33" s="128"/>
      <c r="AX33" s="128"/>
      <c r="AY33" s="128"/>
      <c r="AZ33" s="128"/>
      <c r="BA33" s="128"/>
      <c r="BB33" s="128"/>
      <c r="BC33" s="137"/>
      <c r="BD33" s="140"/>
      <c r="BE33" s="134"/>
      <c r="BF33" s="130">
        <v>3</v>
      </c>
      <c r="BG33" s="128">
        <v>5</v>
      </c>
      <c r="BH33" s="128">
        <v>36</v>
      </c>
      <c r="BI33" s="128">
        <v>0</v>
      </c>
      <c r="BJ33" s="128"/>
      <c r="BK33" s="132">
        <v>44</v>
      </c>
      <c r="BL33" s="134">
        <v>1</v>
      </c>
      <c r="BM33" s="134"/>
      <c r="BN33" s="134"/>
      <c r="BO33" s="134">
        <v>0</v>
      </c>
      <c r="BP33" s="130"/>
      <c r="BQ33" s="128">
        <v>3</v>
      </c>
      <c r="BR33" s="132">
        <v>3</v>
      </c>
      <c r="BS33" s="134"/>
      <c r="BT33" s="130">
        <v>1</v>
      </c>
      <c r="BU33" s="128">
        <v>1</v>
      </c>
      <c r="BV33" s="132">
        <v>2</v>
      </c>
      <c r="BW33" s="136">
        <v>13</v>
      </c>
      <c r="BX33" s="128"/>
      <c r="BY33" s="128">
        <v>1</v>
      </c>
      <c r="BZ33" s="128"/>
      <c r="CA33" s="128"/>
      <c r="CB33" s="128"/>
      <c r="CC33" s="128"/>
      <c r="CD33" s="128">
        <v>1</v>
      </c>
      <c r="CE33" s="128"/>
      <c r="CF33" s="128"/>
      <c r="CG33" s="128">
        <v>2</v>
      </c>
      <c r="CH33" s="128"/>
      <c r="CI33" s="128"/>
      <c r="CJ33" s="128"/>
      <c r="CK33" s="128"/>
      <c r="CL33" s="128"/>
      <c r="CM33" s="137">
        <v>17</v>
      </c>
      <c r="CN33" s="130"/>
      <c r="CO33" s="128"/>
      <c r="CP33" s="132"/>
      <c r="CQ33" s="134">
        <v>1</v>
      </c>
      <c r="CR33" s="130">
        <v>13</v>
      </c>
      <c r="CS33" s="128"/>
      <c r="CT33" s="128">
        <v>22906</v>
      </c>
      <c r="CU33" s="128">
        <v>1</v>
      </c>
      <c r="CV33" s="128">
        <v>9166</v>
      </c>
      <c r="CW33" s="128">
        <v>1</v>
      </c>
      <c r="CX33" s="128">
        <v>1</v>
      </c>
      <c r="CY33" s="128"/>
      <c r="CZ33" s="128"/>
      <c r="DA33" s="128"/>
      <c r="DB33" s="128"/>
      <c r="DC33" s="132">
        <v>32088</v>
      </c>
      <c r="DD33" s="136">
        <v>58</v>
      </c>
      <c r="DE33" s="128">
        <v>1</v>
      </c>
      <c r="DF33" s="128"/>
      <c r="DG33" s="128"/>
      <c r="DH33" s="128"/>
      <c r="DI33" s="128"/>
      <c r="DJ33" s="128"/>
      <c r="DK33" s="137">
        <v>59</v>
      </c>
      <c r="DL33" s="140"/>
      <c r="DM33" s="134"/>
      <c r="DN33" s="130"/>
      <c r="DO33" s="128"/>
      <c r="DP33" s="132"/>
      <c r="DQ33" s="134">
        <v>3</v>
      </c>
      <c r="DR33" s="130"/>
      <c r="DS33" s="128"/>
      <c r="DT33" s="132"/>
      <c r="DU33" s="136">
        <v>2</v>
      </c>
      <c r="DV33" s="128"/>
      <c r="DW33" s="137">
        <v>2</v>
      </c>
      <c r="DX33" s="140">
        <v>5</v>
      </c>
      <c r="DY33" s="134">
        <v>0</v>
      </c>
      <c r="DZ33" s="134">
        <v>3</v>
      </c>
      <c r="EA33" s="134"/>
      <c r="EB33" s="134"/>
      <c r="EC33" s="130">
        <v>3</v>
      </c>
      <c r="ED33" s="128">
        <v>2</v>
      </c>
      <c r="EE33" s="128"/>
      <c r="EF33" s="128"/>
      <c r="EG33" s="128"/>
      <c r="EH33" s="132">
        <v>5</v>
      </c>
      <c r="EI33" s="136"/>
      <c r="EJ33" s="128">
        <v>47</v>
      </c>
      <c r="EK33" s="128"/>
      <c r="EL33" s="128"/>
      <c r="EM33" s="128">
        <v>34</v>
      </c>
      <c r="EN33" s="128"/>
      <c r="EO33" s="128"/>
      <c r="EP33" s="128"/>
      <c r="EQ33" s="128"/>
      <c r="ER33" s="128"/>
      <c r="ES33" s="128"/>
      <c r="ET33" s="128"/>
      <c r="EU33" s="128"/>
      <c r="EV33" s="137">
        <v>81</v>
      </c>
      <c r="EW33" s="140"/>
      <c r="EX33" s="134"/>
      <c r="EY33" s="130"/>
      <c r="EZ33" s="128"/>
      <c r="FA33" s="128"/>
      <c r="FB33" s="132"/>
      <c r="FC33" s="136"/>
      <c r="FD33" s="128"/>
      <c r="FE33" s="137"/>
      <c r="FF33" s="140"/>
      <c r="FG33" s="136"/>
      <c r="FH33" s="128">
        <v>1</v>
      </c>
      <c r="FI33" s="128"/>
      <c r="FJ33" s="128"/>
      <c r="FK33" s="137">
        <v>1</v>
      </c>
      <c r="FL33" s="130"/>
      <c r="FM33" s="128"/>
      <c r="FN33" s="132"/>
      <c r="FO33" s="136"/>
      <c r="FP33" s="128"/>
      <c r="FQ33" s="137"/>
      <c r="FR33" s="140"/>
      <c r="FS33" s="134">
        <v>15</v>
      </c>
      <c r="FT33" s="130">
        <v>6</v>
      </c>
      <c r="FU33" s="128"/>
      <c r="FV33" s="128"/>
      <c r="FW33" s="128"/>
      <c r="FX33" s="128"/>
      <c r="FY33" s="132">
        <v>6</v>
      </c>
      <c r="FZ33" s="134"/>
      <c r="GA33" s="130">
        <v>1082</v>
      </c>
      <c r="GB33" s="128"/>
      <c r="GC33" s="132">
        <v>1082</v>
      </c>
      <c r="GD33" s="134"/>
      <c r="GE33" s="130"/>
      <c r="GF33" s="128"/>
      <c r="GG33" s="128"/>
      <c r="GH33" s="132"/>
      <c r="GI33" s="134"/>
      <c r="GJ33" s="130">
        <v>3</v>
      </c>
      <c r="GK33" s="128"/>
      <c r="GL33" s="128"/>
      <c r="GM33" s="128"/>
      <c r="GN33" s="132">
        <v>3</v>
      </c>
      <c r="GO33" s="134">
        <v>34599</v>
      </c>
      <c r="GP33" s="323">
        <f>34599/44564395</f>
        <v>7.7638213196880605E-4</v>
      </c>
    </row>
    <row r="34" spans="2:198" ht="12.75" thickBot="1" x14ac:dyDescent="0.25">
      <c r="B34" s="322" t="s">
        <v>556</v>
      </c>
      <c r="C34" s="321">
        <v>14159</v>
      </c>
      <c r="D34" s="315">
        <v>29</v>
      </c>
      <c r="E34" s="315"/>
      <c r="F34" s="315">
        <v>12</v>
      </c>
      <c r="G34" s="320">
        <v>14200</v>
      </c>
      <c r="H34" s="317"/>
      <c r="I34" s="319">
        <v>33</v>
      </c>
      <c r="J34" s="315"/>
      <c r="K34" s="318">
        <v>33</v>
      </c>
      <c r="L34" s="317"/>
      <c r="M34" s="313">
        <v>6819</v>
      </c>
      <c r="N34" s="317">
        <v>15968</v>
      </c>
      <c r="O34" s="315">
        <v>7</v>
      </c>
      <c r="P34" s="315">
        <v>1</v>
      </c>
      <c r="Q34" s="315">
        <v>204</v>
      </c>
      <c r="R34" s="315"/>
      <c r="S34" s="315">
        <v>1</v>
      </c>
      <c r="T34" s="315"/>
      <c r="U34" s="315">
        <v>1</v>
      </c>
      <c r="V34" s="314">
        <v>16182</v>
      </c>
      <c r="W34" s="319">
        <v>4</v>
      </c>
      <c r="X34" s="315">
        <v>0</v>
      </c>
      <c r="Y34" s="318">
        <v>4</v>
      </c>
      <c r="Z34" s="316">
        <v>1011</v>
      </c>
      <c r="AA34" s="315">
        <v>3</v>
      </c>
      <c r="AB34" s="315">
        <v>1</v>
      </c>
      <c r="AC34" s="314">
        <v>1015</v>
      </c>
      <c r="AD34" s="319">
        <v>31</v>
      </c>
      <c r="AE34" s="315">
        <v>1</v>
      </c>
      <c r="AF34" s="318">
        <v>32</v>
      </c>
      <c r="AG34" s="316">
        <v>1</v>
      </c>
      <c r="AH34" s="315">
        <v>1</v>
      </c>
      <c r="AI34" s="315">
        <v>22</v>
      </c>
      <c r="AJ34" s="315"/>
      <c r="AK34" s="314">
        <v>24</v>
      </c>
      <c r="AL34" s="319">
        <v>602</v>
      </c>
      <c r="AM34" s="315"/>
      <c r="AN34" s="318">
        <v>602</v>
      </c>
      <c r="AO34" s="313"/>
      <c r="AP34" s="313"/>
      <c r="AQ34" s="316">
        <v>4524</v>
      </c>
      <c r="AR34" s="315">
        <v>96</v>
      </c>
      <c r="AS34" s="314">
        <v>4620</v>
      </c>
      <c r="AT34" s="319">
        <v>1</v>
      </c>
      <c r="AU34" s="315"/>
      <c r="AV34" s="315"/>
      <c r="AW34" s="315">
        <v>7</v>
      </c>
      <c r="AX34" s="315"/>
      <c r="AY34" s="315"/>
      <c r="AZ34" s="315"/>
      <c r="BA34" s="315"/>
      <c r="BB34" s="315"/>
      <c r="BC34" s="318">
        <v>8</v>
      </c>
      <c r="BD34" s="317">
        <v>1</v>
      </c>
      <c r="BE34" s="313">
        <v>188</v>
      </c>
      <c r="BF34" s="316">
        <v>607</v>
      </c>
      <c r="BG34" s="315">
        <v>213</v>
      </c>
      <c r="BH34" s="315">
        <v>3985</v>
      </c>
      <c r="BI34" s="315">
        <v>12</v>
      </c>
      <c r="BJ34" s="315">
        <v>21</v>
      </c>
      <c r="BK34" s="314">
        <v>4838</v>
      </c>
      <c r="BL34" s="313">
        <v>24</v>
      </c>
      <c r="BM34" s="313"/>
      <c r="BN34" s="313"/>
      <c r="BO34" s="313">
        <v>1</v>
      </c>
      <c r="BP34" s="316">
        <v>3631</v>
      </c>
      <c r="BQ34" s="315">
        <v>30168</v>
      </c>
      <c r="BR34" s="314">
        <v>33799</v>
      </c>
      <c r="BS34" s="313">
        <v>2</v>
      </c>
      <c r="BT34" s="316">
        <v>15</v>
      </c>
      <c r="BU34" s="315">
        <v>16</v>
      </c>
      <c r="BV34" s="314">
        <v>31</v>
      </c>
      <c r="BW34" s="319">
        <v>4153</v>
      </c>
      <c r="BX34" s="315">
        <v>3</v>
      </c>
      <c r="BY34" s="315">
        <v>237</v>
      </c>
      <c r="BZ34" s="315">
        <v>29</v>
      </c>
      <c r="CA34" s="315">
        <v>28</v>
      </c>
      <c r="CB34" s="315">
        <v>142</v>
      </c>
      <c r="CC34" s="315">
        <v>47</v>
      </c>
      <c r="CD34" s="315">
        <v>18335</v>
      </c>
      <c r="CE34" s="315">
        <v>104</v>
      </c>
      <c r="CF34" s="315">
        <v>181</v>
      </c>
      <c r="CG34" s="315">
        <v>197</v>
      </c>
      <c r="CH34" s="315">
        <v>69249</v>
      </c>
      <c r="CI34" s="315">
        <v>518</v>
      </c>
      <c r="CJ34" s="315"/>
      <c r="CK34" s="315">
        <v>1</v>
      </c>
      <c r="CL34" s="315"/>
      <c r="CM34" s="318">
        <v>93224</v>
      </c>
      <c r="CN34" s="316">
        <v>2</v>
      </c>
      <c r="CO34" s="315"/>
      <c r="CP34" s="314">
        <v>2</v>
      </c>
      <c r="CQ34" s="313"/>
      <c r="CR34" s="316">
        <v>98</v>
      </c>
      <c r="CS34" s="315">
        <v>91</v>
      </c>
      <c r="CT34" s="315">
        <v>172526</v>
      </c>
      <c r="CU34" s="315">
        <v>35</v>
      </c>
      <c r="CV34" s="315">
        <v>110073</v>
      </c>
      <c r="CW34" s="315">
        <v>868</v>
      </c>
      <c r="CX34" s="315">
        <v>149</v>
      </c>
      <c r="CY34" s="315">
        <v>40</v>
      </c>
      <c r="CZ34" s="315"/>
      <c r="DA34" s="315"/>
      <c r="DB34" s="315">
        <v>13</v>
      </c>
      <c r="DC34" s="314">
        <v>283893</v>
      </c>
      <c r="DD34" s="319">
        <v>2193</v>
      </c>
      <c r="DE34" s="315">
        <v>62</v>
      </c>
      <c r="DF34" s="315">
        <v>5</v>
      </c>
      <c r="DG34" s="315">
        <v>55</v>
      </c>
      <c r="DH34" s="315">
        <v>4</v>
      </c>
      <c r="DI34" s="315"/>
      <c r="DJ34" s="315"/>
      <c r="DK34" s="318">
        <v>2319</v>
      </c>
      <c r="DL34" s="317"/>
      <c r="DM34" s="313"/>
      <c r="DN34" s="316"/>
      <c r="DO34" s="315"/>
      <c r="DP34" s="314"/>
      <c r="DQ34" s="313">
        <v>137</v>
      </c>
      <c r="DR34" s="316">
        <v>63254</v>
      </c>
      <c r="DS34" s="315">
        <v>1416</v>
      </c>
      <c r="DT34" s="314">
        <v>64670</v>
      </c>
      <c r="DU34" s="319">
        <v>396</v>
      </c>
      <c r="DV34" s="315">
        <v>1</v>
      </c>
      <c r="DW34" s="318">
        <v>397</v>
      </c>
      <c r="DX34" s="317">
        <v>62</v>
      </c>
      <c r="DY34" s="313">
        <v>1</v>
      </c>
      <c r="DZ34" s="313">
        <v>157</v>
      </c>
      <c r="EA34" s="313">
        <v>5</v>
      </c>
      <c r="EB34" s="313">
        <v>0</v>
      </c>
      <c r="EC34" s="316">
        <v>1250</v>
      </c>
      <c r="ED34" s="315">
        <v>1112</v>
      </c>
      <c r="EE34" s="315">
        <v>1</v>
      </c>
      <c r="EF34" s="315"/>
      <c r="EG34" s="315"/>
      <c r="EH34" s="314">
        <v>2363</v>
      </c>
      <c r="EI34" s="319">
        <v>4</v>
      </c>
      <c r="EJ34" s="315">
        <v>1520</v>
      </c>
      <c r="EK34" s="315">
        <v>9</v>
      </c>
      <c r="EL34" s="315">
        <v>43</v>
      </c>
      <c r="EM34" s="315">
        <v>537</v>
      </c>
      <c r="EN34" s="315">
        <v>1</v>
      </c>
      <c r="EO34" s="315"/>
      <c r="EP34" s="315">
        <v>23</v>
      </c>
      <c r="EQ34" s="315">
        <v>0</v>
      </c>
      <c r="ER34" s="315"/>
      <c r="ES34" s="315"/>
      <c r="ET34" s="315"/>
      <c r="EU34" s="315"/>
      <c r="EV34" s="318">
        <v>2137</v>
      </c>
      <c r="EW34" s="317"/>
      <c r="EX34" s="313">
        <v>1</v>
      </c>
      <c r="EY34" s="316">
        <v>1</v>
      </c>
      <c r="EZ34" s="315">
        <v>5</v>
      </c>
      <c r="FA34" s="315"/>
      <c r="FB34" s="314">
        <v>6</v>
      </c>
      <c r="FC34" s="319">
        <v>10</v>
      </c>
      <c r="FD34" s="315">
        <v>2</v>
      </c>
      <c r="FE34" s="318">
        <v>12</v>
      </c>
      <c r="FF34" s="317">
        <v>42</v>
      </c>
      <c r="FG34" s="319">
        <v>1964</v>
      </c>
      <c r="FH34" s="315">
        <v>198</v>
      </c>
      <c r="FI34" s="315">
        <v>121</v>
      </c>
      <c r="FJ34" s="315">
        <v>678</v>
      </c>
      <c r="FK34" s="318">
        <v>2961</v>
      </c>
      <c r="FL34" s="316"/>
      <c r="FM34" s="315">
        <v>57</v>
      </c>
      <c r="FN34" s="314">
        <v>57</v>
      </c>
      <c r="FO34" s="319">
        <v>19</v>
      </c>
      <c r="FP34" s="315"/>
      <c r="FQ34" s="318">
        <v>19</v>
      </c>
      <c r="FR34" s="317"/>
      <c r="FS34" s="313">
        <v>3333</v>
      </c>
      <c r="FT34" s="316">
        <v>80</v>
      </c>
      <c r="FU34" s="315">
        <v>219</v>
      </c>
      <c r="FV34" s="315">
        <v>2</v>
      </c>
      <c r="FW34" s="315">
        <v>10</v>
      </c>
      <c r="FX34" s="315"/>
      <c r="FY34" s="314">
        <v>311</v>
      </c>
      <c r="FZ34" s="313"/>
      <c r="GA34" s="316">
        <v>58374</v>
      </c>
      <c r="GB34" s="315">
        <v>21</v>
      </c>
      <c r="GC34" s="314">
        <v>58395</v>
      </c>
      <c r="GD34" s="313"/>
      <c r="GE34" s="316">
        <v>4</v>
      </c>
      <c r="GF34" s="315"/>
      <c r="GG34" s="315"/>
      <c r="GH34" s="314">
        <v>4</v>
      </c>
      <c r="GI34" s="313">
        <v>804</v>
      </c>
      <c r="GJ34" s="316">
        <v>2</v>
      </c>
      <c r="GK34" s="315">
        <v>1</v>
      </c>
      <c r="GL34" s="315">
        <v>308</v>
      </c>
      <c r="GM34" s="315">
        <v>2</v>
      </c>
      <c r="GN34" s="314">
        <v>313</v>
      </c>
      <c r="GO34" s="313">
        <v>598048</v>
      </c>
      <c r="GP34" s="312">
        <f>598048/44564395</f>
        <v>1.3419861304074699E-2</v>
      </c>
    </row>
    <row r="35" spans="2:198" ht="12.75" thickBot="1" x14ac:dyDescent="0.25">
      <c r="B35" s="311" t="s">
        <v>546</v>
      </c>
      <c r="C35" s="310">
        <v>49267</v>
      </c>
      <c r="D35" s="129">
        <v>30</v>
      </c>
      <c r="E35" s="129"/>
      <c r="F35" s="129">
        <v>15</v>
      </c>
      <c r="G35" s="309">
        <v>49312</v>
      </c>
      <c r="H35" s="141"/>
      <c r="I35" s="138">
        <v>268</v>
      </c>
      <c r="J35" s="129"/>
      <c r="K35" s="139">
        <v>268</v>
      </c>
      <c r="L35" s="141"/>
      <c r="M35" s="135">
        <v>113019</v>
      </c>
      <c r="N35" s="141">
        <v>499841</v>
      </c>
      <c r="O35" s="129">
        <v>100</v>
      </c>
      <c r="P35" s="129">
        <v>426</v>
      </c>
      <c r="Q35" s="129">
        <v>365</v>
      </c>
      <c r="R35" s="129">
        <v>14</v>
      </c>
      <c r="S35" s="129">
        <v>211</v>
      </c>
      <c r="T35" s="129">
        <v>14</v>
      </c>
      <c r="U35" s="129">
        <v>120</v>
      </c>
      <c r="V35" s="133">
        <v>501091</v>
      </c>
      <c r="W35" s="138">
        <v>37</v>
      </c>
      <c r="X35" s="129">
        <v>11</v>
      </c>
      <c r="Y35" s="139">
        <v>48</v>
      </c>
      <c r="Z35" s="131">
        <v>32618</v>
      </c>
      <c r="AA35" s="129">
        <v>11</v>
      </c>
      <c r="AB35" s="129">
        <v>7</v>
      </c>
      <c r="AC35" s="133">
        <v>32636</v>
      </c>
      <c r="AD35" s="138">
        <v>25759</v>
      </c>
      <c r="AE35" s="129">
        <v>25</v>
      </c>
      <c r="AF35" s="139">
        <v>25784</v>
      </c>
      <c r="AG35" s="131">
        <v>113</v>
      </c>
      <c r="AH35" s="129">
        <v>2</v>
      </c>
      <c r="AI35" s="129">
        <v>24</v>
      </c>
      <c r="AJ35" s="129"/>
      <c r="AK35" s="133">
        <v>139</v>
      </c>
      <c r="AL35" s="138">
        <v>618</v>
      </c>
      <c r="AM35" s="129"/>
      <c r="AN35" s="139">
        <v>618</v>
      </c>
      <c r="AO35" s="135"/>
      <c r="AP35" s="135"/>
      <c r="AQ35" s="131">
        <v>4666</v>
      </c>
      <c r="AR35" s="129">
        <v>101</v>
      </c>
      <c r="AS35" s="133">
        <v>4767</v>
      </c>
      <c r="AT35" s="138">
        <v>17</v>
      </c>
      <c r="AU35" s="129"/>
      <c r="AV35" s="129">
        <v>2</v>
      </c>
      <c r="AW35" s="129">
        <v>8</v>
      </c>
      <c r="AX35" s="129">
        <v>2</v>
      </c>
      <c r="AY35" s="129">
        <v>57</v>
      </c>
      <c r="AZ35" s="129"/>
      <c r="BA35" s="129"/>
      <c r="BB35" s="129"/>
      <c r="BC35" s="139">
        <v>86</v>
      </c>
      <c r="BD35" s="141">
        <v>11</v>
      </c>
      <c r="BE35" s="135">
        <v>1915</v>
      </c>
      <c r="BF35" s="131">
        <v>1500</v>
      </c>
      <c r="BG35" s="129">
        <v>1454</v>
      </c>
      <c r="BH35" s="129">
        <v>11365</v>
      </c>
      <c r="BI35" s="129">
        <v>110</v>
      </c>
      <c r="BJ35" s="129">
        <v>73</v>
      </c>
      <c r="BK35" s="133">
        <v>14502</v>
      </c>
      <c r="BL35" s="135">
        <v>27</v>
      </c>
      <c r="BM35" s="135"/>
      <c r="BN35" s="135">
        <v>6</v>
      </c>
      <c r="BO35" s="135">
        <v>11</v>
      </c>
      <c r="BP35" s="131">
        <v>10260</v>
      </c>
      <c r="BQ35" s="129">
        <v>30173</v>
      </c>
      <c r="BR35" s="133">
        <v>40433</v>
      </c>
      <c r="BS35" s="135">
        <v>3</v>
      </c>
      <c r="BT35" s="131">
        <v>321</v>
      </c>
      <c r="BU35" s="129">
        <v>48657</v>
      </c>
      <c r="BV35" s="133">
        <v>48978</v>
      </c>
      <c r="BW35" s="138">
        <v>11787</v>
      </c>
      <c r="BX35" s="129">
        <v>1295</v>
      </c>
      <c r="BY35" s="129">
        <v>259</v>
      </c>
      <c r="BZ35" s="129">
        <v>50</v>
      </c>
      <c r="CA35" s="129">
        <v>29</v>
      </c>
      <c r="CB35" s="129">
        <v>149</v>
      </c>
      <c r="CC35" s="129">
        <v>51</v>
      </c>
      <c r="CD35" s="129">
        <v>18336</v>
      </c>
      <c r="CE35" s="129">
        <v>111</v>
      </c>
      <c r="CF35" s="129">
        <v>183</v>
      </c>
      <c r="CG35" s="129">
        <v>230</v>
      </c>
      <c r="CH35" s="129">
        <v>69251</v>
      </c>
      <c r="CI35" s="129">
        <v>518</v>
      </c>
      <c r="CJ35" s="129">
        <v>1</v>
      </c>
      <c r="CK35" s="129">
        <v>1</v>
      </c>
      <c r="CL35" s="129"/>
      <c r="CM35" s="139">
        <v>102251</v>
      </c>
      <c r="CN35" s="131">
        <v>13</v>
      </c>
      <c r="CO35" s="129"/>
      <c r="CP35" s="133">
        <v>13</v>
      </c>
      <c r="CQ35" s="135">
        <v>108</v>
      </c>
      <c r="CR35" s="131">
        <v>1417</v>
      </c>
      <c r="CS35" s="129">
        <v>114</v>
      </c>
      <c r="CT35" s="129">
        <v>1720989</v>
      </c>
      <c r="CU35" s="129">
        <v>2580</v>
      </c>
      <c r="CV35" s="129">
        <v>1103489</v>
      </c>
      <c r="CW35" s="129">
        <v>996</v>
      </c>
      <c r="CX35" s="129">
        <v>188</v>
      </c>
      <c r="CY35" s="129">
        <v>45</v>
      </c>
      <c r="CZ35" s="129">
        <v>4</v>
      </c>
      <c r="DA35" s="129"/>
      <c r="DB35" s="129">
        <v>13</v>
      </c>
      <c r="DC35" s="133">
        <v>2829835</v>
      </c>
      <c r="DD35" s="138">
        <v>36488</v>
      </c>
      <c r="DE35" s="129">
        <v>108</v>
      </c>
      <c r="DF35" s="129">
        <v>311</v>
      </c>
      <c r="DG35" s="129">
        <v>895</v>
      </c>
      <c r="DH35" s="129">
        <v>15</v>
      </c>
      <c r="DI35" s="129">
        <v>37</v>
      </c>
      <c r="DJ35" s="129"/>
      <c r="DK35" s="139">
        <v>37854</v>
      </c>
      <c r="DL35" s="141">
        <v>5</v>
      </c>
      <c r="DM35" s="135"/>
      <c r="DN35" s="131"/>
      <c r="DO35" s="129"/>
      <c r="DP35" s="133"/>
      <c r="DQ35" s="135">
        <v>1297</v>
      </c>
      <c r="DR35" s="131">
        <v>63283</v>
      </c>
      <c r="DS35" s="129">
        <v>1417</v>
      </c>
      <c r="DT35" s="133">
        <v>64700</v>
      </c>
      <c r="DU35" s="138">
        <v>444</v>
      </c>
      <c r="DV35" s="129">
        <v>9</v>
      </c>
      <c r="DW35" s="139">
        <v>453</v>
      </c>
      <c r="DX35" s="141">
        <v>239</v>
      </c>
      <c r="DY35" s="135">
        <v>4</v>
      </c>
      <c r="DZ35" s="135">
        <v>1151</v>
      </c>
      <c r="EA35" s="135">
        <v>6</v>
      </c>
      <c r="EB35" s="135">
        <v>2</v>
      </c>
      <c r="EC35" s="131">
        <v>19379</v>
      </c>
      <c r="ED35" s="129">
        <v>5294</v>
      </c>
      <c r="EE35" s="129">
        <v>4</v>
      </c>
      <c r="EF35" s="129">
        <v>31</v>
      </c>
      <c r="EG35" s="129">
        <v>53</v>
      </c>
      <c r="EH35" s="133">
        <v>24761</v>
      </c>
      <c r="EI35" s="138">
        <v>2982</v>
      </c>
      <c r="EJ35" s="129">
        <v>57545</v>
      </c>
      <c r="EK35" s="129">
        <v>376</v>
      </c>
      <c r="EL35" s="129">
        <v>5592</v>
      </c>
      <c r="EM35" s="129">
        <v>30029</v>
      </c>
      <c r="EN35" s="129">
        <v>121</v>
      </c>
      <c r="EO35" s="129">
        <v>100</v>
      </c>
      <c r="EP35" s="129">
        <v>3622</v>
      </c>
      <c r="EQ35" s="129">
        <v>204</v>
      </c>
      <c r="ER35" s="129">
        <v>38</v>
      </c>
      <c r="ES35" s="129">
        <v>153</v>
      </c>
      <c r="ET35" s="129"/>
      <c r="EU35" s="129">
        <v>3</v>
      </c>
      <c r="EV35" s="139">
        <v>100765</v>
      </c>
      <c r="EW35" s="141"/>
      <c r="EX35" s="135">
        <v>7</v>
      </c>
      <c r="EY35" s="131">
        <v>260</v>
      </c>
      <c r="EZ35" s="129">
        <v>9</v>
      </c>
      <c r="FA35" s="129"/>
      <c r="FB35" s="133">
        <v>269</v>
      </c>
      <c r="FC35" s="138">
        <v>10</v>
      </c>
      <c r="FD35" s="129">
        <v>2</v>
      </c>
      <c r="FE35" s="139">
        <v>12</v>
      </c>
      <c r="FF35" s="141">
        <v>46</v>
      </c>
      <c r="FG35" s="138">
        <v>1990</v>
      </c>
      <c r="FH35" s="129">
        <v>17591</v>
      </c>
      <c r="FI35" s="129">
        <v>124</v>
      </c>
      <c r="FJ35" s="129">
        <v>708</v>
      </c>
      <c r="FK35" s="139">
        <v>20413</v>
      </c>
      <c r="FL35" s="131">
        <v>0</v>
      </c>
      <c r="FM35" s="129">
        <v>332</v>
      </c>
      <c r="FN35" s="133">
        <v>332</v>
      </c>
      <c r="FO35" s="138">
        <v>19</v>
      </c>
      <c r="FP35" s="129"/>
      <c r="FQ35" s="139">
        <v>19</v>
      </c>
      <c r="FR35" s="141">
        <v>10</v>
      </c>
      <c r="FS35" s="135">
        <v>605902</v>
      </c>
      <c r="FT35" s="131">
        <v>495</v>
      </c>
      <c r="FU35" s="129">
        <v>229</v>
      </c>
      <c r="FV35" s="129">
        <v>2</v>
      </c>
      <c r="FW35" s="129">
        <v>10</v>
      </c>
      <c r="FX35" s="129"/>
      <c r="FY35" s="133">
        <v>736</v>
      </c>
      <c r="FZ35" s="135"/>
      <c r="GA35" s="131">
        <v>312480</v>
      </c>
      <c r="GB35" s="129">
        <v>24</v>
      </c>
      <c r="GC35" s="133">
        <v>312504</v>
      </c>
      <c r="GD35" s="135"/>
      <c r="GE35" s="131">
        <v>163</v>
      </c>
      <c r="GF35" s="129">
        <v>5</v>
      </c>
      <c r="GG35" s="129"/>
      <c r="GH35" s="133">
        <v>168</v>
      </c>
      <c r="GI35" s="135">
        <v>940</v>
      </c>
      <c r="GJ35" s="131">
        <v>5</v>
      </c>
      <c r="GK35" s="129">
        <v>4</v>
      </c>
      <c r="GL35" s="129">
        <v>328</v>
      </c>
      <c r="GM35" s="129">
        <v>2</v>
      </c>
      <c r="GN35" s="133">
        <v>339</v>
      </c>
      <c r="GO35" s="135">
        <v>4938795</v>
      </c>
      <c r="GP35" s="308">
        <f>4938795/44564395</f>
        <v>0.11082378656772969</v>
      </c>
    </row>
    <row r="36" spans="2:198" x14ac:dyDescent="0.2">
      <c r="B36" s="322" t="s">
        <v>38</v>
      </c>
      <c r="C36" s="321">
        <v>1</v>
      </c>
      <c r="D36" s="315"/>
      <c r="E36" s="315">
        <v>2</v>
      </c>
      <c r="F36" s="315"/>
      <c r="G36" s="320">
        <v>3</v>
      </c>
      <c r="H36" s="317"/>
      <c r="I36" s="319"/>
      <c r="J36" s="315"/>
      <c r="K36" s="318"/>
      <c r="L36" s="317"/>
      <c r="M36" s="313">
        <v>156</v>
      </c>
      <c r="N36" s="317">
        <v>1009</v>
      </c>
      <c r="O36" s="315">
        <v>2</v>
      </c>
      <c r="P36" s="315">
        <v>2</v>
      </c>
      <c r="Q36" s="315">
        <v>6</v>
      </c>
      <c r="R36" s="315"/>
      <c r="S36" s="315"/>
      <c r="T36" s="315"/>
      <c r="U36" s="315"/>
      <c r="V36" s="314">
        <v>1019</v>
      </c>
      <c r="W36" s="319"/>
      <c r="X36" s="315"/>
      <c r="Y36" s="318"/>
      <c r="Z36" s="316">
        <v>20</v>
      </c>
      <c r="AA36" s="315"/>
      <c r="AB36" s="315"/>
      <c r="AC36" s="314">
        <v>20</v>
      </c>
      <c r="AD36" s="319">
        <v>24</v>
      </c>
      <c r="AE36" s="315"/>
      <c r="AF36" s="318">
        <v>24</v>
      </c>
      <c r="AG36" s="316">
        <v>0</v>
      </c>
      <c r="AH36" s="315"/>
      <c r="AI36" s="315"/>
      <c r="AJ36" s="315"/>
      <c r="AK36" s="314">
        <v>0</v>
      </c>
      <c r="AL36" s="319"/>
      <c r="AM36" s="315"/>
      <c r="AN36" s="318"/>
      <c r="AO36" s="313"/>
      <c r="AP36" s="313"/>
      <c r="AQ36" s="316">
        <v>4</v>
      </c>
      <c r="AR36" s="315">
        <v>7</v>
      </c>
      <c r="AS36" s="314">
        <v>11</v>
      </c>
      <c r="AT36" s="319">
        <v>9</v>
      </c>
      <c r="AU36" s="315"/>
      <c r="AV36" s="315"/>
      <c r="AW36" s="315"/>
      <c r="AX36" s="315"/>
      <c r="AY36" s="315"/>
      <c r="AZ36" s="315">
        <v>0</v>
      </c>
      <c r="BA36" s="315"/>
      <c r="BB36" s="315"/>
      <c r="BC36" s="318">
        <v>9</v>
      </c>
      <c r="BD36" s="317"/>
      <c r="BE36" s="313"/>
      <c r="BF36" s="316">
        <v>5</v>
      </c>
      <c r="BG36" s="315">
        <v>3</v>
      </c>
      <c r="BH36" s="315">
        <v>15</v>
      </c>
      <c r="BI36" s="315">
        <v>3</v>
      </c>
      <c r="BJ36" s="315"/>
      <c r="BK36" s="314">
        <v>26</v>
      </c>
      <c r="BL36" s="313"/>
      <c r="BM36" s="313"/>
      <c r="BN36" s="313"/>
      <c r="BO36" s="313"/>
      <c r="BP36" s="316">
        <v>3</v>
      </c>
      <c r="BQ36" s="315"/>
      <c r="BR36" s="314">
        <v>3</v>
      </c>
      <c r="BS36" s="313"/>
      <c r="BT36" s="316"/>
      <c r="BU36" s="315"/>
      <c r="BV36" s="314"/>
      <c r="BW36" s="319">
        <v>2</v>
      </c>
      <c r="BX36" s="315"/>
      <c r="BY36" s="315">
        <v>25</v>
      </c>
      <c r="BZ36" s="315">
        <v>8</v>
      </c>
      <c r="CA36" s="315"/>
      <c r="CB36" s="315">
        <v>29</v>
      </c>
      <c r="CC36" s="315"/>
      <c r="CD36" s="315"/>
      <c r="CE36" s="315"/>
      <c r="CF36" s="315">
        <v>2</v>
      </c>
      <c r="CG36" s="315"/>
      <c r="CH36" s="315"/>
      <c r="CI36" s="315"/>
      <c r="CJ36" s="315"/>
      <c r="CK36" s="315">
        <v>1</v>
      </c>
      <c r="CL36" s="315">
        <v>1</v>
      </c>
      <c r="CM36" s="318">
        <v>68</v>
      </c>
      <c r="CN36" s="316"/>
      <c r="CO36" s="315"/>
      <c r="CP36" s="314"/>
      <c r="CQ36" s="313"/>
      <c r="CR36" s="316">
        <v>11</v>
      </c>
      <c r="CS36" s="315">
        <v>1</v>
      </c>
      <c r="CT36" s="315">
        <v>19186</v>
      </c>
      <c r="CU36" s="315">
        <v>9</v>
      </c>
      <c r="CV36" s="315">
        <v>2866</v>
      </c>
      <c r="CW36" s="315">
        <v>65</v>
      </c>
      <c r="CX36" s="315">
        <v>19</v>
      </c>
      <c r="CY36" s="315">
        <v>6</v>
      </c>
      <c r="CZ36" s="315"/>
      <c r="DA36" s="315"/>
      <c r="DB36" s="315"/>
      <c r="DC36" s="314">
        <v>22163</v>
      </c>
      <c r="DD36" s="319">
        <v>93</v>
      </c>
      <c r="DE36" s="315">
        <v>35</v>
      </c>
      <c r="DF36" s="315">
        <v>2</v>
      </c>
      <c r="DG36" s="315"/>
      <c r="DH36" s="315"/>
      <c r="DI36" s="315">
        <v>1</v>
      </c>
      <c r="DJ36" s="315"/>
      <c r="DK36" s="318">
        <v>131</v>
      </c>
      <c r="DL36" s="317"/>
      <c r="DM36" s="313"/>
      <c r="DN36" s="316"/>
      <c r="DO36" s="315"/>
      <c r="DP36" s="314"/>
      <c r="DQ36" s="313">
        <v>15</v>
      </c>
      <c r="DR36" s="316"/>
      <c r="DS36" s="315"/>
      <c r="DT36" s="314"/>
      <c r="DU36" s="319">
        <v>121</v>
      </c>
      <c r="DV36" s="315"/>
      <c r="DW36" s="318">
        <v>121</v>
      </c>
      <c r="DX36" s="317">
        <v>3</v>
      </c>
      <c r="DY36" s="313"/>
      <c r="DZ36" s="313">
        <v>1</v>
      </c>
      <c r="EA36" s="313"/>
      <c r="EB36" s="313"/>
      <c r="EC36" s="316">
        <v>3</v>
      </c>
      <c r="ED36" s="315">
        <v>71</v>
      </c>
      <c r="EE36" s="315">
        <v>1</v>
      </c>
      <c r="EF36" s="315"/>
      <c r="EG36" s="315"/>
      <c r="EH36" s="314">
        <v>75</v>
      </c>
      <c r="EI36" s="319"/>
      <c r="EJ36" s="315">
        <v>210</v>
      </c>
      <c r="EK36" s="315"/>
      <c r="EL36" s="315">
        <v>6</v>
      </c>
      <c r="EM36" s="315">
        <v>86</v>
      </c>
      <c r="EN36" s="315"/>
      <c r="EO36" s="315"/>
      <c r="EP36" s="315"/>
      <c r="EQ36" s="315"/>
      <c r="ER36" s="315"/>
      <c r="ES36" s="315"/>
      <c r="ET36" s="315"/>
      <c r="EU36" s="315"/>
      <c r="EV36" s="318">
        <v>302</v>
      </c>
      <c r="EW36" s="317"/>
      <c r="EX36" s="313"/>
      <c r="EY36" s="316"/>
      <c r="EZ36" s="315"/>
      <c r="FA36" s="315"/>
      <c r="FB36" s="314"/>
      <c r="FC36" s="319"/>
      <c r="FD36" s="315"/>
      <c r="FE36" s="318"/>
      <c r="FF36" s="317"/>
      <c r="FG36" s="319">
        <v>54</v>
      </c>
      <c r="FH36" s="315"/>
      <c r="FI36" s="315"/>
      <c r="FJ36" s="315">
        <v>2</v>
      </c>
      <c r="FK36" s="318">
        <v>56</v>
      </c>
      <c r="FL36" s="316"/>
      <c r="FM36" s="315"/>
      <c r="FN36" s="314"/>
      <c r="FO36" s="319"/>
      <c r="FP36" s="315"/>
      <c r="FQ36" s="318"/>
      <c r="FR36" s="317"/>
      <c r="FS36" s="313">
        <v>1</v>
      </c>
      <c r="FT36" s="316"/>
      <c r="FU36" s="315">
        <v>5</v>
      </c>
      <c r="FV36" s="315">
        <v>3</v>
      </c>
      <c r="FW36" s="315"/>
      <c r="FX36" s="315"/>
      <c r="FY36" s="314">
        <v>8</v>
      </c>
      <c r="FZ36" s="313"/>
      <c r="GA36" s="316">
        <v>59</v>
      </c>
      <c r="GB36" s="315"/>
      <c r="GC36" s="314">
        <v>59</v>
      </c>
      <c r="GD36" s="313"/>
      <c r="GE36" s="316">
        <v>1</v>
      </c>
      <c r="GF36" s="315"/>
      <c r="GG36" s="315"/>
      <c r="GH36" s="314">
        <v>1</v>
      </c>
      <c r="GI36" s="313">
        <v>44</v>
      </c>
      <c r="GJ36" s="316">
        <v>2</v>
      </c>
      <c r="GK36" s="315"/>
      <c r="GL36" s="315">
        <v>14</v>
      </c>
      <c r="GM36" s="315"/>
      <c r="GN36" s="314">
        <v>16</v>
      </c>
      <c r="GO36" s="313">
        <v>24335</v>
      </c>
      <c r="GP36" s="312">
        <f>24335/44564395</f>
        <v>5.4606373541029782E-4</v>
      </c>
    </row>
    <row r="37" spans="2:198" x14ac:dyDescent="0.2">
      <c r="B37" s="326" t="s">
        <v>69</v>
      </c>
      <c r="C37" s="325">
        <v>180</v>
      </c>
      <c r="D37" s="128"/>
      <c r="E37" s="128">
        <v>2</v>
      </c>
      <c r="F37" s="128">
        <v>1</v>
      </c>
      <c r="G37" s="324">
        <v>183</v>
      </c>
      <c r="H37" s="140"/>
      <c r="I37" s="136">
        <v>26</v>
      </c>
      <c r="J37" s="128"/>
      <c r="K37" s="137">
        <v>26</v>
      </c>
      <c r="L37" s="140"/>
      <c r="M37" s="134">
        <v>788</v>
      </c>
      <c r="N37" s="140">
        <v>6008</v>
      </c>
      <c r="O37" s="128">
        <v>22</v>
      </c>
      <c r="P37" s="128">
        <v>25</v>
      </c>
      <c r="Q37" s="128">
        <v>101</v>
      </c>
      <c r="R37" s="128">
        <v>2</v>
      </c>
      <c r="S37" s="128"/>
      <c r="T37" s="128"/>
      <c r="U37" s="128"/>
      <c r="V37" s="132">
        <v>6158</v>
      </c>
      <c r="W37" s="136">
        <v>6</v>
      </c>
      <c r="X37" s="128">
        <v>4</v>
      </c>
      <c r="Y37" s="137">
        <v>10</v>
      </c>
      <c r="Z37" s="130">
        <v>347</v>
      </c>
      <c r="AA37" s="128"/>
      <c r="AB37" s="128"/>
      <c r="AC37" s="132">
        <v>347</v>
      </c>
      <c r="AD37" s="136">
        <v>672</v>
      </c>
      <c r="AE37" s="128">
        <v>1</v>
      </c>
      <c r="AF37" s="137">
        <v>673</v>
      </c>
      <c r="AG37" s="130">
        <v>1</v>
      </c>
      <c r="AH37" s="128"/>
      <c r="AI37" s="128">
        <v>4</v>
      </c>
      <c r="AJ37" s="128"/>
      <c r="AK37" s="132">
        <v>5</v>
      </c>
      <c r="AL37" s="136"/>
      <c r="AM37" s="128"/>
      <c r="AN37" s="137"/>
      <c r="AO37" s="134"/>
      <c r="AP37" s="134"/>
      <c r="AQ37" s="130">
        <v>1</v>
      </c>
      <c r="AR37" s="128">
        <v>46</v>
      </c>
      <c r="AS37" s="132">
        <v>47</v>
      </c>
      <c r="AT37" s="136">
        <v>27</v>
      </c>
      <c r="AU37" s="128"/>
      <c r="AV37" s="128"/>
      <c r="AW37" s="128">
        <v>2</v>
      </c>
      <c r="AX37" s="128"/>
      <c r="AY37" s="128"/>
      <c r="AZ37" s="128">
        <v>3</v>
      </c>
      <c r="BA37" s="128"/>
      <c r="BB37" s="128"/>
      <c r="BC37" s="137">
        <v>32</v>
      </c>
      <c r="BD37" s="140"/>
      <c r="BE37" s="134">
        <v>5</v>
      </c>
      <c r="BF37" s="130">
        <v>131</v>
      </c>
      <c r="BG37" s="128">
        <v>129</v>
      </c>
      <c r="BH37" s="128">
        <v>400</v>
      </c>
      <c r="BI37" s="128">
        <v>45</v>
      </c>
      <c r="BJ37" s="128">
        <v>4</v>
      </c>
      <c r="BK37" s="132">
        <v>709</v>
      </c>
      <c r="BL37" s="134"/>
      <c r="BM37" s="134"/>
      <c r="BN37" s="134">
        <v>4</v>
      </c>
      <c r="BO37" s="134">
        <v>2</v>
      </c>
      <c r="BP37" s="130">
        <v>4</v>
      </c>
      <c r="BQ37" s="128"/>
      <c r="BR37" s="132">
        <v>4</v>
      </c>
      <c r="BS37" s="134"/>
      <c r="BT37" s="130">
        <v>10</v>
      </c>
      <c r="BU37" s="128">
        <v>0</v>
      </c>
      <c r="BV37" s="132">
        <v>10</v>
      </c>
      <c r="BW37" s="136">
        <v>1</v>
      </c>
      <c r="BX37" s="128"/>
      <c r="BY37" s="128">
        <v>9</v>
      </c>
      <c r="BZ37" s="128">
        <v>17</v>
      </c>
      <c r="CA37" s="128">
        <v>25</v>
      </c>
      <c r="CB37" s="128">
        <v>1</v>
      </c>
      <c r="CC37" s="128">
        <v>18</v>
      </c>
      <c r="CD37" s="128"/>
      <c r="CE37" s="128"/>
      <c r="CF37" s="128">
        <v>7</v>
      </c>
      <c r="CG37" s="128"/>
      <c r="CH37" s="128"/>
      <c r="CI37" s="128"/>
      <c r="CJ37" s="128"/>
      <c r="CK37" s="128"/>
      <c r="CL37" s="128"/>
      <c r="CM37" s="137">
        <v>78</v>
      </c>
      <c r="CN37" s="130">
        <v>3</v>
      </c>
      <c r="CO37" s="128"/>
      <c r="CP37" s="132">
        <v>3</v>
      </c>
      <c r="CQ37" s="134"/>
      <c r="CR37" s="130">
        <v>51</v>
      </c>
      <c r="CS37" s="128"/>
      <c r="CT37" s="128">
        <v>54057</v>
      </c>
      <c r="CU37" s="128">
        <v>156</v>
      </c>
      <c r="CV37" s="128">
        <v>17664</v>
      </c>
      <c r="CW37" s="128">
        <v>94</v>
      </c>
      <c r="CX37" s="128">
        <v>30</v>
      </c>
      <c r="CY37" s="128">
        <v>1</v>
      </c>
      <c r="CZ37" s="128">
        <v>8</v>
      </c>
      <c r="DA37" s="128"/>
      <c r="DB37" s="128"/>
      <c r="DC37" s="132">
        <v>72061</v>
      </c>
      <c r="DD37" s="136">
        <v>1199</v>
      </c>
      <c r="DE37" s="128">
        <v>60</v>
      </c>
      <c r="DF37" s="128">
        <v>34</v>
      </c>
      <c r="DG37" s="128">
        <v>49</v>
      </c>
      <c r="DH37" s="128">
        <v>2</v>
      </c>
      <c r="DI37" s="128"/>
      <c r="DJ37" s="128">
        <v>1</v>
      </c>
      <c r="DK37" s="137">
        <v>1345</v>
      </c>
      <c r="DL37" s="140"/>
      <c r="DM37" s="134"/>
      <c r="DN37" s="130"/>
      <c r="DO37" s="128"/>
      <c r="DP37" s="132"/>
      <c r="DQ37" s="134">
        <v>145</v>
      </c>
      <c r="DR37" s="130"/>
      <c r="DS37" s="128"/>
      <c r="DT37" s="132"/>
      <c r="DU37" s="136">
        <v>112</v>
      </c>
      <c r="DV37" s="128"/>
      <c r="DW37" s="137">
        <v>112</v>
      </c>
      <c r="DX37" s="140">
        <v>0</v>
      </c>
      <c r="DY37" s="134">
        <v>1</v>
      </c>
      <c r="DZ37" s="134">
        <v>60</v>
      </c>
      <c r="EA37" s="134"/>
      <c r="EB37" s="134"/>
      <c r="EC37" s="130">
        <v>25</v>
      </c>
      <c r="ED37" s="128">
        <v>81</v>
      </c>
      <c r="EE37" s="128"/>
      <c r="EF37" s="128"/>
      <c r="EG37" s="128"/>
      <c r="EH37" s="132">
        <v>106</v>
      </c>
      <c r="EI37" s="136">
        <v>128</v>
      </c>
      <c r="EJ37" s="128">
        <v>5414</v>
      </c>
      <c r="EK37" s="128">
        <v>34</v>
      </c>
      <c r="EL37" s="128">
        <v>37</v>
      </c>
      <c r="EM37" s="128">
        <v>549</v>
      </c>
      <c r="EN37" s="128">
        <v>4</v>
      </c>
      <c r="EO37" s="128">
        <v>2</v>
      </c>
      <c r="EP37" s="128">
        <v>116</v>
      </c>
      <c r="EQ37" s="128">
        <v>0</v>
      </c>
      <c r="ER37" s="128"/>
      <c r="ES37" s="128"/>
      <c r="ET37" s="128">
        <v>2</v>
      </c>
      <c r="EU37" s="128"/>
      <c r="EV37" s="137">
        <v>6286</v>
      </c>
      <c r="EW37" s="140"/>
      <c r="EX37" s="134">
        <v>5</v>
      </c>
      <c r="EY37" s="130"/>
      <c r="EZ37" s="128"/>
      <c r="FA37" s="128"/>
      <c r="FB37" s="132"/>
      <c r="FC37" s="136">
        <v>8</v>
      </c>
      <c r="FD37" s="128"/>
      <c r="FE37" s="137">
        <v>8</v>
      </c>
      <c r="FF37" s="140"/>
      <c r="FG37" s="136"/>
      <c r="FH37" s="128">
        <v>6</v>
      </c>
      <c r="FI37" s="128"/>
      <c r="FJ37" s="128">
        <v>62</v>
      </c>
      <c r="FK37" s="137">
        <v>68</v>
      </c>
      <c r="FL37" s="130"/>
      <c r="FM37" s="128"/>
      <c r="FN37" s="132"/>
      <c r="FO37" s="136"/>
      <c r="FP37" s="128"/>
      <c r="FQ37" s="137"/>
      <c r="FR37" s="140"/>
      <c r="FS37" s="134">
        <v>37</v>
      </c>
      <c r="FT37" s="130">
        <v>5</v>
      </c>
      <c r="FU37" s="128">
        <v>12</v>
      </c>
      <c r="FV37" s="128">
        <v>2</v>
      </c>
      <c r="FW37" s="128">
        <v>3</v>
      </c>
      <c r="FX37" s="128"/>
      <c r="FY37" s="132">
        <v>22</v>
      </c>
      <c r="FZ37" s="134"/>
      <c r="GA37" s="130">
        <v>30</v>
      </c>
      <c r="GB37" s="128"/>
      <c r="GC37" s="132">
        <v>30</v>
      </c>
      <c r="GD37" s="134"/>
      <c r="GE37" s="130">
        <v>22</v>
      </c>
      <c r="GF37" s="128"/>
      <c r="GG37" s="128"/>
      <c r="GH37" s="132">
        <v>22</v>
      </c>
      <c r="GI37" s="134">
        <v>61</v>
      </c>
      <c r="GJ37" s="130">
        <v>54</v>
      </c>
      <c r="GK37" s="128">
        <v>3</v>
      </c>
      <c r="GL37" s="128">
        <v>5</v>
      </c>
      <c r="GM37" s="128"/>
      <c r="GN37" s="132">
        <v>62</v>
      </c>
      <c r="GO37" s="134">
        <v>89515</v>
      </c>
      <c r="GP37" s="323">
        <f>89515/44564395</f>
        <v>2.0086663355353526E-3</v>
      </c>
    </row>
    <row r="38" spans="2:198" x14ac:dyDescent="0.2">
      <c r="B38" s="326" t="s">
        <v>78</v>
      </c>
      <c r="C38" s="325">
        <v>41</v>
      </c>
      <c r="D38" s="128">
        <v>1</v>
      </c>
      <c r="E38" s="128">
        <v>5</v>
      </c>
      <c r="F38" s="128">
        <v>3</v>
      </c>
      <c r="G38" s="324">
        <v>50</v>
      </c>
      <c r="H38" s="140"/>
      <c r="I38" s="136">
        <v>0</v>
      </c>
      <c r="J38" s="128"/>
      <c r="K38" s="137">
        <v>0</v>
      </c>
      <c r="L38" s="140"/>
      <c r="M38" s="134">
        <v>608</v>
      </c>
      <c r="N38" s="140">
        <v>839</v>
      </c>
      <c r="O38" s="128">
        <v>4</v>
      </c>
      <c r="P38" s="128">
        <v>24</v>
      </c>
      <c r="Q38" s="128">
        <v>2840</v>
      </c>
      <c r="R38" s="128">
        <v>17</v>
      </c>
      <c r="S38" s="128">
        <v>10</v>
      </c>
      <c r="T38" s="128"/>
      <c r="U38" s="128"/>
      <c r="V38" s="132">
        <v>3734</v>
      </c>
      <c r="W38" s="136">
        <v>4</v>
      </c>
      <c r="X38" s="128">
        <v>1</v>
      </c>
      <c r="Y38" s="137">
        <v>5</v>
      </c>
      <c r="Z38" s="130">
        <v>137</v>
      </c>
      <c r="AA38" s="128"/>
      <c r="AB38" s="128">
        <v>0</v>
      </c>
      <c r="AC38" s="132">
        <v>137</v>
      </c>
      <c r="AD38" s="136">
        <v>707</v>
      </c>
      <c r="AE38" s="128"/>
      <c r="AF38" s="137">
        <v>707</v>
      </c>
      <c r="AG38" s="130">
        <v>2</v>
      </c>
      <c r="AH38" s="128">
        <v>1</v>
      </c>
      <c r="AI38" s="128">
        <v>2</v>
      </c>
      <c r="AJ38" s="128"/>
      <c r="AK38" s="132">
        <v>5</v>
      </c>
      <c r="AL38" s="136"/>
      <c r="AM38" s="128"/>
      <c r="AN38" s="137"/>
      <c r="AO38" s="134"/>
      <c r="AP38" s="134"/>
      <c r="AQ38" s="130">
        <v>2</v>
      </c>
      <c r="AR38" s="128">
        <v>22</v>
      </c>
      <c r="AS38" s="132">
        <v>24</v>
      </c>
      <c r="AT38" s="136">
        <v>22</v>
      </c>
      <c r="AU38" s="128"/>
      <c r="AV38" s="128">
        <v>23</v>
      </c>
      <c r="AW38" s="128">
        <v>0</v>
      </c>
      <c r="AX38" s="128"/>
      <c r="AY38" s="128"/>
      <c r="AZ38" s="128"/>
      <c r="BA38" s="128"/>
      <c r="BB38" s="128"/>
      <c r="BC38" s="137">
        <v>45</v>
      </c>
      <c r="BD38" s="140">
        <v>0</v>
      </c>
      <c r="BE38" s="134"/>
      <c r="BF38" s="130">
        <v>18</v>
      </c>
      <c r="BG38" s="128">
        <v>12</v>
      </c>
      <c r="BH38" s="128">
        <v>133</v>
      </c>
      <c r="BI38" s="128">
        <v>18</v>
      </c>
      <c r="BJ38" s="128">
        <v>1</v>
      </c>
      <c r="BK38" s="132">
        <v>182</v>
      </c>
      <c r="BL38" s="134"/>
      <c r="BM38" s="134"/>
      <c r="BN38" s="134"/>
      <c r="BO38" s="134">
        <v>0</v>
      </c>
      <c r="BP38" s="130">
        <v>10</v>
      </c>
      <c r="BQ38" s="128"/>
      <c r="BR38" s="132">
        <v>10</v>
      </c>
      <c r="BS38" s="134"/>
      <c r="BT38" s="130"/>
      <c r="BU38" s="128">
        <v>1</v>
      </c>
      <c r="BV38" s="132">
        <v>1</v>
      </c>
      <c r="BW38" s="136">
        <v>5</v>
      </c>
      <c r="BX38" s="128"/>
      <c r="BY38" s="128">
        <v>0</v>
      </c>
      <c r="BZ38" s="128">
        <v>7</v>
      </c>
      <c r="CA38" s="128">
        <v>8</v>
      </c>
      <c r="CB38" s="128"/>
      <c r="CC38" s="128">
        <v>2</v>
      </c>
      <c r="CD38" s="128"/>
      <c r="CE38" s="128"/>
      <c r="CF38" s="128">
        <v>1</v>
      </c>
      <c r="CG38" s="128">
        <v>1</v>
      </c>
      <c r="CH38" s="128"/>
      <c r="CI38" s="128"/>
      <c r="CJ38" s="128"/>
      <c r="CK38" s="128">
        <v>5</v>
      </c>
      <c r="CL38" s="128">
        <v>5</v>
      </c>
      <c r="CM38" s="137">
        <v>34</v>
      </c>
      <c r="CN38" s="130">
        <v>3</v>
      </c>
      <c r="CO38" s="128"/>
      <c r="CP38" s="132">
        <v>3</v>
      </c>
      <c r="CQ38" s="134"/>
      <c r="CR38" s="130">
        <v>236</v>
      </c>
      <c r="CS38" s="128">
        <v>284</v>
      </c>
      <c r="CT38" s="128">
        <v>134244</v>
      </c>
      <c r="CU38" s="128">
        <v>392</v>
      </c>
      <c r="CV38" s="128">
        <v>7949</v>
      </c>
      <c r="CW38" s="128">
        <v>145</v>
      </c>
      <c r="CX38" s="128">
        <v>112</v>
      </c>
      <c r="CY38" s="128">
        <v>62</v>
      </c>
      <c r="CZ38" s="128">
        <v>46</v>
      </c>
      <c r="DA38" s="128">
        <v>0</v>
      </c>
      <c r="DB38" s="128"/>
      <c r="DC38" s="132">
        <v>143470</v>
      </c>
      <c r="DD38" s="136">
        <v>193</v>
      </c>
      <c r="DE38" s="128">
        <v>102</v>
      </c>
      <c r="DF38" s="128">
        <v>235</v>
      </c>
      <c r="DG38" s="128">
        <v>20</v>
      </c>
      <c r="DH38" s="128">
        <v>95</v>
      </c>
      <c r="DI38" s="128"/>
      <c r="DJ38" s="128"/>
      <c r="DK38" s="137">
        <v>645</v>
      </c>
      <c r="DL38" s="140"/>
      <c r="DM38" s="134"/>
      <c r="DN38" s="130">
        <v>4</v>
      </c>
      <c r="DO38" s="128"/>
      <c r="DP38" s="132">
        <v>4</v>
      </c>
      <c r="DQ38" s="134">
        <v>55</v>
      </c>
      <c r="DR38" s="130"/>
      <c r="DS38" s="128"/>
      <c r="DT38" s="132"/>
      <c r="DU38" s="136">
        <v>179</v>
      </c>
      <c r="DV38" s="128"/>
      <c r="DW38" s="137">
        <v>179</v>
      </c>
      <c r="DX38" s="140">
        <v>1</v>
      </c>
      <c r="DY38" s="134"/>
      <c r="DZ38" s="134">
        <v>18</v>
      </c>
      <c r="EA38" s="134"/>
      <c r="EB38" s="134"/>
      <c r="EC38" s="130">
        <v>45</v>
      </c>
      <c r="ED38" s="128">
        <v>164</v>
      </c>
      <c r="EE38" s="128"/>
      <c r="EF38" s="128"/>
      <c r="EG38" s="128"/>
      <c r="EH38" s="132">
        <v>209</v>
      </c>
      <c r="EI38" s="136">
        <v>42</v>
      </c>
      <c r="EJ38" s="128">
        <v>67</v>
      </c>
      <c r="EK38" s="128">
        <v>96</v>
      </c>
      <c r="EL38" s="128">
        <v>422</v>
      </c>
      <c r="EM38" s="128">
        <v>115</v>
      </c>
      <c r="EN38" s="128">
        <v>1</v>
      </c>
      <c r="EO38" s="128">
        <v>6</v>
      </c>
      <c r="EP38" s="128">
        <v>364</v>
      </c>
      <c r="EQ38" s="128">
        <v>8</v>
      </c>
      <c r="ER38" s="128">
        <v>0</v>
      </c>
      <c r="ES38" s="128">
        <v>2</v>
      </c>
      <c r="ET38" s="128">
        <v>1</v>
      </c>
      <c r="EU38" s="128"/>
      <c r="EV38" s="137">
        <v>1124</v>
      </c>
      <c r="EW38" s="140"/>
      <c r="EX38" s="134">
        <v>1</v>
      </c>
      <c r="EY38" s="130"/>
      <c r="EZ38" s="128"/>
      <c r="FA38" s="128">
        <v>9</v>
      </c>
      <c r="FB38" s="132">
        <v>9</v>
      </c>
      <c r="FC38" s="136">
        <v>17</v>
      </c>
      <c r="FD38" s="128"/>
      <c r="FE38" s="137">
        <v>17</v>
      </c>
      <c r="FF38" s="140"/>
      <c r="FG38" s="136"/>
      <c r="FH38" s="128">
        <v>2</v>
      </c>
      <c r="FI38" s="128"/>
      <c r="FJ38" s="128">
        <v>25</v>
      </c>
      <c r="FK38" s="137">
        <v>27</v>
      </c>
      <c r="FL38" s="130"/>
      <c r="FM38" s="128"/>
      <c r="FN38" s="132"/>
      <c r="FO38" s="136">
        <v>961</v>
      </c>
      <c r="FP38" s="128"/>
      <c r="FQ38" s="137">
        <v>961</v>
      </c>
      <c r="FR38" s="140"/>
      <c r="FS38" s="134">
        <v>135</v>
      </c>
      <c r="FT38" s="130">
        <v>3</v>
      </c>
      <c r="FU38" s="128">
        <v>55</v>
      </c>
      <c r="FV38" s="128">
        <v>69</v>
      </c>
      <c r="FW38" s="128">
        <v>42</v>
      </c>
      <c r="FX38" s="128"/>
      <c r="FY38" s="132">
        <v>169</v>
      </c>
      <c r="FZ38" s="134"/>
      <c r="GA38" s="130">
        <v>225</v>
      </c>
      <c r="GB38" s="128"/>
      <c r="GC38" s="132">
        <v>225</v>
      </c>
      <c r="GD38" s="134"/>
      <c r="GE38" s="130">
        <v>1</v>
      </c>
      <c r="GF38" s="128"/>
      <c r="GG38" s="128"/>
      <c r="GH38" s="132">
        <v>1</v>
      </c>
      <c r="GI38" s="134">
        <v>110</v>
      </c>
      <c r="GJ38" s="130">
        <v>75</v>
      </c>
      <c r="GK38" s="128">
        <v>1</v>
      </c>
      <c r="GL38" s="128">
        <v>14</v>
      </c>
      <c r="GM38" s="128"/>
      <c r="GN38" s="132">
        <v>90</v>
      </c>
      <c r="GO38" s="134">
        <v>152995</v>
      </c>
      <c r="GP38" s="323">
        <f>152995/44564395</f>
        <v>3.4331218902444427E-3</v>
      </c>
    </row>
    <row r="39" spans="2:198" x14ac:dyDescent="0.2">
      <c r="B39" s="326" t="s">
        <v>88</v>
      </c>
      <c r="C39" s="325">
        <v>75</v>
      </c>
      <c r="D39" s="128">
        <v>175</v>
      </c>
      <c r="E39" s="128">
        <v>324</v>
      </c>
      <c r="F39" s="128">
        <v>170</v>
      </c>
      <c r="G39" s="324">
        <v>744</v>
      </c>
      <c r="H39" s="140"/>
      <c r="I39" s="136"/>
      <c r="J39" s="128"/>
      <c r="K39" s="137"/>
      <c r="L39" s="140"/>
      <c r="M39" s="134">
        <v>414</v>
      </c>
      <c r="N39" s="140">
        <v>2241</v>
      </c>
      <c r="O39" s="128">
        <v>22</v>
      </c>
      <c r="P39" s="128">
        <v>163</v>
      </c>
      <c r="Q39" s="128">
        <v>5553</v>
      </c>
      <c r="R39" s="128">
        <v>167</v>
      </c>
      <c r="S39" s="128"/>
      <c r="T39" s="128"/>
      <c r="U39" s="128">
        <v>2</v>
      </c>
      <c r="V39" s="132">
        <v>8148</v>
      </c>
      <c r="W39" s="136"/>
      <c r="X39" s="128"/>
      <c r="Y39" s="137"/>
      <c r="Z39" s="130">
        <v>42</v>
      </c>
      <c r="AA39" s="128"/>
      <c r="AB39" s="128"/>
      <c r="AC39" s="132">
        <v>42</v>
      </c>
      <c r="AD39" s="136">
        <v>1954</v>
      </c>
      <c r="AE39" s="128">
        <v>12</v>
      </c>
      <c r="AF39" s="137">
        <v>1966</v>
      </c>
      <c r="AG39" s="130">
        <v>10</v>
      </c>
      <c r="AH39" s="128">
        <v>1</v>
      </c>
      <c r="AI39" s="128">
        <v>112</v>
      </c>
      <c r="AJ39" s="128">
        <v>4</v>
      </c>
      <c r="AK39" s="132">
        <v>127</v>
      </c>
      <c r="AL39" s="136">
        <v>38</v>
      </c>
      <c r="AM39" s="128"/>
      <c r="AN39" s="137">
        <v>38</v>
      </c>
      <c r="AO39" s="134"/>
      <c r="AP39" s="134"/>
      <c r="AQ39" s="130">
        <v>11</v>
      </c>
      <c r="AR39" s="128">
        <v>542</v>
      </c>
      <c r="AS39" s="132">
        <v>553</v>
      </c>
      <c r="AT39" s="136">
        <v>320</v>
      </c>
      <c r="AU39" s="128"/>
      <c r="AV39" s="128">
        <v>1755</v>
      </c>
      <c r="AW39" s="128">
        <v>172</v>
      </c>
      <c r="AX39" s="128"/>
      <c r="AY39" s="128"/>
      <c r="AZ39" s="128">
        <v>53</v>
      </c>
      <c r="BA39" s="128">
        <v>66</v>
      </c>
      <c r="BB39" s="128"/>
      <c r="BC39" s="137">
        <v>2366</v>
      </c>
      <c r="BD39" s="140"/>
      <c r="BE39" s="134">
        <v>1</v>
      </c>
      <c r="BF39" s="130">
        <v>13</v>
      </c>
      <c r="BG39" s="128">
        <v>54</v>
      </c>
      <c r="BH39" s="128">
        <v>62</v>
      </c>
      <c r="BI39" s="128">
        <v>5</v>
      </c>
      <c r="BJ39" s="128">
        <v>1</v>
      </c>
      <c r="BK39" s="132">
        <v>135</v>
      </c>
      <c r="BL39" s="134"/>
      <c r="BM39" s="134"/>
      <c r="BN39" s="134">
        <v>2</v>
      </c>
      <c r="BO39" s="134">
        <v>3</v>
      </c>
      <c r="BP39" s="130">
        <v>4</v>
      </c>
      <c r="BQ39" s="128"/>
      <c r="BR39" s="132">
        <v>4</v>
      </c>
      <c r="BS39" s="134">
        <v>24</v>
      </c>
      <c r="BT39" s="130"/>
      <c r="BU39" s="128">
        <v>0</v>
      </c>
      <c r="BV39" s="132">
        <v>0</v>
      </c>
      <c r="BW39" s="136">
        <v>10</v>
      </c>
      <c r="BX39" s="128"/>
      <c r="BY39" s="128">
        <v>455</v>
      </c>
      <c r="BZ39" s="128">
        <v>294</v>
      </c>
      <c r="CA39" s="128">
        <v>234</v>
      </c>
      <c r="CB39" s="128">
        <v>60</v>
      </c>
      <c r="CC39" s="128">
        <v>288</v>
      </c>
      <c r="CD39" s="128"/>
      <c r="CE39" s="128">
        <v>113</v>
      </c>
      <c r="CF39" s="128">
        <v>353</v>
      </c>
      <c r="CG39" s="128">
        <v>311</v>
      </c>
      <c r="CH39" s="128"/>
      <c r="CI39" s="128"/>
      <c r="CJ39" s="128">
        <v>153</v>
      </c>
      <c r="CK39" s="128">
        <v>52</v>
      </c>
      <c r="CL39" s="128">
        <v>9</v>
      </c>
      <c r="CM39" s="137">
        <v>2332</v>
      </c>
      <c r="CN39" s="130">
        <v>0</v>
      </c>
      <c r="CO39" s="128"/>
      <c r="CP39" s="132">
        <v>0</v>
      </c>
      <c r="CQ39" s="134"/>
      <c r="CR39" s="130">
        <v>269</v>
      </c>
      <c r="CS39" s="128">
        <v>96</v>
      </c>
      <c r="CT39" s="128">
        <v>43072</v>
      </c>
      <c r="CU39" s="128">
        <v>1080</v>
      </c>
      <c r="CV39" s="128">
        <v>7683</v>
      </c>
      <c r="CW39" s="128">
        <v>4577</v>
      </c>
      <c r="CX39" s="128">
        <v>3320</v>
      </c>
      <c r="CY39" s="128">
        <v>605</v>
      </c>
      <c r="CZ39" s="128">
        <v>149</v>
      </c>
      <c r="DA39" s="128">
        <v>1</v>
      </c>
      <c r="DB39" s="128">
        <v>1</v>
      </c>
      <c r="DC39" s="132">
        <v>60853</v>
      </c>
      <c r="DD39" s="136">
        <v>643</v>
      </c>
      <c r="DE39" s="128">
        <v>2880</v>
      </c>
      <c r="DF39" s="128">
        <v>38</v>
      </c>
      <c r="DG39" s="128">
        <v>551</v>
      </c>
      <c r="DH39" s="128">
        <v>354</v>
      </c>
      <c r="DI39" s="128">
        <v>1</v>
      </c>
      <c r="DJ39" s="128"/>
      <c r="DK39" s="137">
        <v>4467</v>
      </c>
      <c r="DL39" s="140"/>
      <c r="DM39" s="134"/>
      <c r="DN39" s="130">
        <v>4</v>
      </c>
      <c r="DO39" s="128"/>
      <c r="DP39" s="132">
        <v>4</v>
      </c>
      <c r="DQ39" s="134">
        <v>42</v>
      </c>
      <c r="DR39" s="130"/>
      <c r="DS39" s="128"/>
      <c r="DT39" s="132"/>
      <c r="DU39" s="136">
        <v>3972</v>
      </c>
      <c r="DV39" s="128">
        <v>1</v>
      </c>
      <c r="DW39" s="137">
        <v>3973</v>
      </c>
      <c r="DX39" s="140"/>
      <c r="DY39" s="134">
        <v>1</v>
      </c>
      <c r="DZ39" s="134">
        <v>13</v>
      </c>
      <c r="EA39" s="134"/>
      <c r="EB39" s="134"/>
      <c r="EC39" s="130">
        <v>47</v>
      </c>
      <c r="ED39" s="128">
        <v>2460</v>
      </c>
      <c r="EE39" s="128">
        <v>324</v>
      </c>
      <c r="EF39" s="128"/>
      <c r="EG39" s="128"/>
      <c r="EH39" s="132">
        <v>2831</v>
      </c>
      <c r="EI39" s="136">
        <v>119</v>
      </c>
      <c r="EJ39" s="128">
        <v>318</v>
      </c>
      <c r="EK39" s="128">
        <v>702</v>
      </c>
      <c r="EL39" s="128">
        <v>605</v>
      </c>
      <c r="EM39" s="128">
        <v>757</v>
      </c>
      <c r="EN39" s="128">
        <v>15</v>
      </c>
      <c r="EO39" s="128">
        <v>89</v>
      </c>
      <c r="EP39" s="128">
        <v>132</v>
      </c>
      <c r="EQ39" s="128">
        <v>28</v>
      </c>
      <c r="ER39" s="128">
        <v>6</v>
      </c>
      <c r="ES39" s="128">
        <v>54</v>
      </c>
      <c r="ET39" s="128">
        <v>33</v>
      </c>
      <c r="EU39" s="128">
        <v>1</v>
      </c>
      <c r="EV39" s="137">
        <v>2859</v>
      </c>
      <c r="EW39" s="140"/>
      <c r="EX39" s="134"/>
      <c r="EY39" s="130"/>
      <c r="EZ39" s="128"/>
      <c r="FA39" s="128">
        <v>44</v>
      </c>
      <c r="FB39" s="132">
        <v>44</v>
      </c>
      <c r="FC39" s="136">
        <v>24</v>
      </c>
      <c r="FD39" s="128"/>
      <c r="FE39" s="137">
        <v>24</v>
      </c>
      <c r="FF39" s="140">
        <v>19</v>
      </c>
      <c r="FG39" s="136">
        <v>547</v>
      </c>
      <c r="FH39" s="128">
        <v>2</v>
      </c>
      <c r="FI39" s="128">
        <v>157</v>
      </c>
      <c r="FJ39" s="128">
        <v>470</v>
      </c>
      <c r="FK39" s="137">
        <v>1176</v>
      </c>
      <c r="FL39" s="130"/>
      <c r="FM39" s="128"/>
      <c r="FN39" s="132"/>
      <c r="FO39" s="136">
        <v>23</v>
      </c>
      <c r="FP39" s="128"/>
      <c r="FQ39" s="137">
        <v>23</v>
      </c>
      <c r="FR39" s="140"/>
      <c r="FS39" s="134">
        <v>9</v>
      </c>
      <c r="FT39" s="130">
        <v>7</v>
      </c>
      <c r="FU39" s="128">
        <v>568</v>
      </c>
      <c r="FV39" s="128">
        <v>108</v>
      </c>
      <c r="FW39" s="128">
        <v>35</v>
      </c>
      <c r="FX39" s="128"/>
      <c r="FY39" s="132">
        <v>718</v>
      </c>
      <c r="FZ39" s="134"/>
      <c r="GA39" s="130">
        <v>1007</v>
      </c>
      <c r="GB39" s="128">
        <v>34</v>
      </c>
      <c r="GC39" s="132">
        <v>1041</v>
      </c>
      <c r="GD39" s="134"/>
      <c r="GE39" s="130"/>
      <c r="GF39" s="128"/>
      <c r="GG39" s="128"/>
      <c r="GH39" s="132"/>
      <c r="GI39" s="134">
        <v>1384</v>
      </c>
      <c r="GJ39" s="130">
        <v>796</v>
      </c>
      <c r="GK39" s="128"/>
      <c r="GL39" s="128">
        <v>771</v>
      </c>
      <c r="GM39" s="128">
        <v>7</v>
      </c>
      <c r="GN39" s="132">
        <v>1574</v>
      </c>
      <c r="GO39" s="134">
        <v>97954</v>
      </c>
      <c r="GP39" s="323">
        <f>97954/44564395</f>
        <v>2.1980327568678986E-3</v>
      </c>
    </row>
    <row r="40" spans="2:198" x14ac:dyDescent="0.2">
      <c r="B40" s="326" t="s">
        <v>112</v>
      </c>
      <c r="C40" s="325">
        <v>84</v>
      </c>
      <c r="D40" s="128">
        <v>60</v>
      </c>
      <c r="E40" s="128">
        <v>275</v>
      </c>
      <c r="F40" s="128">
        <v>30</v>
      </c>
      <c r="G40" s="324">
        <v>449</v>
      </c>
      <c r="H40" s="140"/>
      <c r="I40" s="136">
        <v>8</v>
      </c>
      <c r="J40" s="128"/>
      <c r="K40" s="137">
        <v>8</v>
      </c>
      <c r="L40" s="140"/>
      <c r="M40" s="134">
        <v>1264</v>
      </c>
      <c r="N40" s="140">
        <v>8979</v>
      </c>
      <c r="O40" s="128">
        <v>9</v>
      </c>
      <c r="P40" s="128">
        <v>24</v>
      </c>
      <c r="Q40" s="128">
        <v>2104</v>
      </c>
      <c r="R40" s="128">
        <v>20</v>
      </c>
      <c r="S40" s="128">
        <v>1</v>
      </c>
      <c r="T40" s="128"/>
      <c r="U40" s="128">
        <v>1</v>
      </c>
      <c r="V40" s="132">
        <v>11138</v>
      </c>
      <c r="W40" s="136">
        <v>0</v>
      </c>
      <c r="X40" s="128">
        <v>2</v>
      </c>
      <c r="Y40" s="137">
        <v>2</v>
      </c>
      <c r="Z40" s="130">
        <v>77</v>
      </c>
      <c r="AA40" s="128">
        <v>12</v>
      </c>
      <c r="AB40" s="128"/>
      <c r="AC40" s="132">
        <v>89</v>
      </c>
      <c r="AD40" s="136">
        <v>1822</v>
      </c>
      <c r="AE40" s="128">
        <v>0</v>
      </c>
      <c r="AF40" s="137">
        <v>1822</v>
      </c>
      <c r="AG40" s="130">
        <v>2</v>
      </c>
      <c r="AH40" s="128"/>
      <c r="AI40" s="128">
        <v>36</v>
      </c>
      <c r="AJ40" s="128">
        <v>10</v>
      </c>
      <c r="AK40" s="132">
        <v>48</v>
      </c>
      <c r="AL40" s="136">
        <v>47</v>
      </c>
      <c r="AM40" s="128"/>
      <c r="AN40" s="137">
        <v>47</v>
      </c>
      <c r="AO40" s="134"/>
      <c r="AP40" s="134"/>
      <c r="AQ40" s="130">
        <v>34</v>
      </c>
      <c r="AR40" s="128">
        <v>161</v>
      </c>
      <c r="AS40" s="132">
        <v>195</v>
      </c>
      <c r="AT40" s="136">
        <v>185</v>
      </c>
      <c r="AU40" s="128"/>
      <c r="AV40" s="128">
        <v>244</v>
      </c>
      <c r="AW40" s="128">
        <v>51</v>
      </c>
      <c r="AX40" s="128"/>
      <c r="AY40" s="128"/>
      <c r="AZ40" s="128">
        <v>2</v>
      </c>
      <c r="BA40" s="128">
        <v>7</v>
      </c>
      <c r="BB40" s="128"/>
      <c r="BC40" s="137">
        <v>489</v>
      </c>
      <c r="BD40" s="140"/>
      <c r="BE40" s="134">
        <v>3</v>
      </c>
      <c r="BF40" s="130">
        <v>12</v>
      </c>
      <c r="BG40" s="128">
        <v>76</v>
      </c>
      <c r="BH40" s="128">
        <v>169</v>
      </c>
      <c r="BI40" s="128">
        <v>10</v>
      </c>
      <c r="BJ40" s="128">
        <v>1</v>
      </c>
      <c r="BK40" s="132">
        <v>268</v>
      </c>
      <c r="BL40" s="134"/>
      <c r="BM40" s="134"/>
      <c r="BN40" s="134">
        <v>3</v>
      </c>
      <c r="BO40" s="134">
        <v>2</v>
      </c>
      <c r="BP40" s="130">
        <v>4</v>
      </c>
      <c r="BQ40" s="128"/>
      <c r="BR40" s="132">
        <v>4</v>
      </c>
      <c r="BS40" s="134">
        <v>40</v>
      </c>
      <c r="BT40" s="130">
        <v>0</v>
      </c>
      <c r="BU40" s="128"/>
      <c r="BV40" s="132">
        <v>0</v>
      </c>
      <c r="BW40" s="136">
        <v>4</v>
      </c>
      <c r="BX40" s="128"/>
      <c r="BY40" s="128">
        <v>215</v>
      </c>
      <c r="BZ40" s="128">
        <v>81</v>
      </c>
      <c r="CA40" s="128">
        <v>30</v>
      </c>
      <c r="CB40" s="128">
        <v>85</v>
      </c>
      <c r="CC40" s="128">
        <v>81</v>
      </c>
      <c r="CD40" s="128"/>
      <c r="CE40" s="128">
        <v>87</v>
      </c>
      <c r="CF40" s="128">
        <v>104</v>
      </c>
      <c r="CG40" s="128">
        <v>187</v>
      </c>
      <c r="CH40" s="128"/>
      <c r="CI40" s="128"/>
      <c r="CJ40" s="128">
        <v>75</v>
      </c>
      <c r="CK40" s="128">
        <v>76</v>
      </c>
      <c r="CL40" s="128">
        <v>18</v>
      </c>
      <c r="CM40" s="137">
        <v>1043</v>
      </c>
      <c r="CN40" s="130">
        <v>2</v>
      </c>
      <c r="CO40" s="128"/>
      <c r="CP40" s="132">
        <v>2</v>
      </c>
      <c r="CQ40" s="134"/>
      <c r="CR40" s="130">
        <v>295</v>
      </c>
      <c r="CS40" s="128">
        <v>496</v>
      </c>
      <c r="CT40" s="128">
        <v>165201</v>
      </c>
      <c r="CU40" s="128">
        <v>1128</v>
      </c>
      <c r="CV40" s="128">
        <v>28765</v>
      </c>
      <c r="CW40" s="128">
        <v>2934</v>
      </c>
      <c r="CX40" s="128">
        <v>1459</v>
      </c>
      <c r="CY40" s="128">
        <v>231</v>
      </c>
      <c r="CZ40" s="128">
        <v>32</v>
      </c>
      <c r="DA40" s="128">
        <v>1</v>
      </c>
      <c r="DB40" s="128">
        <v>2</v>
      </c>
      <c r="DC40" s="132">
        <v>200544</v>
      </c>
      <c r="DD40" s="136">
        <v>1005</v>
      </c>
      <c r="DE40" s="128">
        <v>1255</v>
      </c>
      <c r="DF40" s="128">
        <v>13</v>
      </c>
      <c r="DG40" s="128">
        <v>205</v>
      </c>
      <c r="DH40" s="128">
        <v>212</v>
      </c>
      <c r="DI40" s="128"/>
      <c r="DJ40" s="128"/>
      <c r="DK40" s="137">
        <v>2690</v>
      </c>
      <c r="DL40" s="140"/>
      <c r="DM40" s="134"/>
      <c r="DN40" s="130">
        <v>1</v>
      </c>
      <c r="DO40" s="128"/>
      <c r="DP40" s="132">
        <v>1</v>
      </c>
      <c r="DQ40" s="134">
        <v>120</v>
      </c>
      <c r="DR40" s="130"/>
      <c r="DS40" s="128"/>
      <c r="DT40" s="132"/>
      <c r="DU40" s="136">
        <v>2391</v>
      </c>
      <c r="DV40" s="128"/>
      <c r="DW40" s="137">
        <v>2391</v>
      </c>
      <c r="DX40" s="140">
        <v>8</v>
      </c>
      <c r="DY40" s="134">
        <v>0</v>
      </c>
      <c r="DZ40" s="134">
        <v>20</v>
      </c>
      <c r="EA40" s="134"/>
      <c r="EB40" s="134"/>
      <c r="EC40" s="130">
        <v>89</v>
      </c>
      <c r="ED40" s="128">
        <v>946</v>
      </c>
      <c r="EE40" s="128">
        <v>82</v>
      </c>
      <c r="EF40" s="128"/>
      <c r="EG40" s="128"/>
      <c r="EH40" s="132">
        <v>1117</v>
      </c>
      <c r="EI40" s="136">
        <v>84</v>
      </c>
      <c r="EJ40" s="128">
        <v>1399</v>
      </c>
      <c r="EK40" s="128">
        <v>81</v>
      </c>
      <c r="EL40" s="128">
        <v>213</v>
      </c>
      <c r="EM40" s="128">
        <v>1607</v>
      </c>
      <c r="EN40" s="128">
        <v>5</v>
      </c>
      <c r="EO40" s="128">
        <v>16</v>
      </c>
      <c r="EP40" s="128">
        <v>136</v>
      </c>
      <c r="EQ40" s="128">
        <v>6</v>
      </c>
      <c r="ER40" s="128">
        <v>8</v>
      </c>
      <c r="ES40" s="128">
        <v>3</v>
      </c>
      <c r="ET40" s="128">
        <v>6</v>
      </c>
      <c r="EU40" s="128"/>
      <c r="EV40" s="137">
        <v>3564</v>
      </c>
      <c r="EW40" s="140"/>
      <c r="EX40" s="134">
        <v>13</v>
      </c>
      <c r="EY40" s="130">
        <v>2</v>
      </c>
      <c r="EZ40" s="128">
        <v>20</v>
      </c>
      <c r="FA40" s="128">
        <v>6</v>
      </c>
      <c r="FB40" s="132">
        <v>28</v>
      </c>
      <c r="FC40" s="136">
        <v>2</v>
      </c>
      <c r="FD40" s="128"/>
      <c r="FE40" s="137">
        <v>2</v>
      </c>
      <c r="FF40" s="140">
        <v>31</v>
      </c>
      <c r="FG40" s="136">
        <v>329</v>
      </c>
      <c r="FH40" s="128">
        <v>0</v>
      </c>
      <c r="FI40" s="128">
        <v>167</v>
      </c>
      <c r="FJ40" s="128">
        <v>257</v>
      </c>
      <c r="FK40" s="137">
        <v>753</v>
      </c>
      <c r="FL40" s="130">
        <v>0</v>
      </c>
      <c r="FM40" s="128"/>
      <c r="FN40" s="132">
        <v>0</v>
      </c>
      <c r="FO40" s="136">
        <v>684</v>
      </c>
      <c r="FP40" s="128"/>
      <c r="FQ40" s="137">
        <v>684</v>
      </c>
      <c r="FR40" s="140"/>
      <c r="FS40" s="134">
        <v>20</v>
      </c>
      <c r="FT40" s="130">
        <v>2</v>
      </c>
      <c r="FU40" s="128">
        <v>538</v>
      </c>
      <c r="FV40" s="128">
        <v>279</v>
      </c>
      <c r="FW40" s="128">
        <v>4</v>
      </c>
      <c r="FX40" s="128"/>
      <c r="FY40" s="132">
        <v>823</v>
      </c>
      <c r="FZ40" s="134"/>
      <c r="GA40" s="130">
        <v>582</v>
      </c>
      <c r="GB40" s="128">
        <v>12</v>
      </c>
      <c r="GC40" s="132">
        <v>594</v>
      </c>
      <c r="GD40" s="134"/>
      <c r="GE40" s="130">
        <v>21</v>
      </c>
      <c r="GF40" s="128"/>
      <c r="GG40" s="128"/>
      <c r="GH40" s="132">
        <v>21</v>
      </c>
      <c r="GI40" s="134">
        <v>689</v>
      </c>
      <c r="GJ40" s="130">
        <v>173</v>
      </c>
      <c r="GK40" s="128"/>
      <c r="GL40" s="128">
        <v>269</v>
      </c>
      <c r="GM40" s="128">
        <v>108</v>
      </c>
      <c r="GN40" s="132">
        <v>550</v>
      </c>
      <c r="GO40" s="134">
        <v>231579</v>
      </c>
      <c r="GP40" s="323">
        <f>231579/44564395</f>
        <v>5.1965027237551413E-3</v>
      </c>
    </row>
    <row r="41" spans="2:198" x14ac:dyDescent="0.2">
      <c r="B41" s="326" t="s">
        <v>119</v>
      </c>
      <c r="C41" s="325">
        <v>1083</v>
      </c>
      <c r="D41" s="128"/>
      <c r="E41" s="128"/>
      <c r="F41" s="128"/>
      <c r="G41" s="324">
        <v>1083</v>
      </c>
      <c r="H41" s="140"/>
      <c r="I41" s="136">
        <v>308145</v>
      </c>
      <c r="J41" s="128"/>
      <c r="K41" s="137">
        <v>308145</v>
      </c>
      <c r="L41" s="140"/>
      <c r="M41" s="134">
        <v>45337</v>
      </c>
      <c r="N41" s="140">
        <v>125868</v>
      </c>
      <c r="O41" s="128">
        <v>10213</v>
      </c>
      <c r="P41" s="128">
        <v>6</v>
      </c>
      <c r="Q41" s="128"/>
      <c r="R41" s="128">
        <v>1</v>
      </c>
      <c r="S41" s="128"/>
      <c r="T41" s="128"/>
      <c r="U41" s="128"/>
      <c r="V41" s="132">
        <v>136088</v>
      </c>
      <c r="W41" s="136">
        <v>5829</v>
      </c>
      <c r="X41" s="128">
        <v>2388</v>
      </c>
      <c r="Y41" s="137">
        <v>8217</v>
      </c>
      <c r="Z41" s="130">
        <v>22725</v>
      </c>
      <c r="AA41" s="128"/>
      <c r="AB41" s="128">
        <v>5</v>
      </c>
      <c r="AC41" s="132">
        <v>22730</v>
      </c>
      <c r="AD41" s="136">
        <v>120</v>
      </c>
      <c r="AE41" s="128"/>
      <c r="AF41" s="137">
        <v>120</v>
      </c>
      <c r="AG41" s="130">
        <v>13</v>
      </c>
      <c r="AH41" s="128"/>
      <c r="AI41" s="128"/>
      <c r="AJ41" s="128"/>
      <c r="AK41" s="132">
        <v>13</v>
      </c>
      <c r="AL41" s="136"/>
      <c r="AM41" s="128"/>
      <c r="AN41" s="137"/>
      <c r="AO41" s="134"/>
      <c r="AP41" s="134"/>
      <c r="AQ41" s="130">
        <v>142</v>
      </c>
      <c r="AR41" s="128"/>
      <c r="AS41" s="132">
        <v>142</v>
      </c>
      <c r="AT41" s="136">
        <v>3</v>
      </c>
      <c r="AU41" s="128"/>
      <c r="AV41" s="128"/>
      <c r="AW41" s="128">
        <v>2</v>
      </c>
      <c r="AX41" s="128"/>
      <c r="AY41" s="128"/>
      <c r="AZ41" s="128"/>
      <c r="BA41" s="128"/>
      <c r="BB41" s="128"/>
      <c r="BC41" s="137">
        <v>5</v>
      </c>
      <c r="BD41" s="140">
        <v>24204</v>
      </c>
      <c r="BE41" s="134">
        <v>30</v>
      </c>
      <c r="BF41" s="130">
        <v>2187</v>
      </c>
      <c r="BG41" s="128">
        <v>2332</v>
      </c>
      <c r="BH41" s="128">
        <v>11480</v>
      </c>
      <c r="BI41" s="128">
        <v>35</v>
      </c>
      <c r="BJ41" s="128">
        <v>21</v>
      </c>
      <c r="BK41" s="132">
        <v>16055</v>
      </c>
      <c r="BL41" s="134">
        <v>0</v>
      </c>
      <c r="BM41" s="134"/>
      <c r="BN41" s="134">
        <v>33</v>
      </c>
      <c r="BO41" s="134">
        <v>9</v>
      </c>
      <c r="BP41" s="130">
        <v>44</v>
      </c>
      <c r="BQ41" s="128"/>
      <c r="BR41" s="132">
        <v>44</v>
      </c>
      <c r="BS41" s="134"/>
      <c r="BT41" s="130">
        <v>99946</v>
      </c>
      <c r="BU41" s="128">
        <v>405</v>
      </c>
      <c r="BV41" s="132">
        <v>100351</v>
      </c>
      <c r="BW41" s="136">
        <v>19</v>
      </c>
      <c r="BX41" s="128">
        <v>5</v>
      </c>
      <c r="BY41" s="128"/>
      <c r="BZ41" s="128"/>
      <c r="CA41" s="128"/>
      <c r="CB41" s="128">
        <v>1</v>
      </c>
      <c r="CC41" s="128"/>
      <c r="CD41" s="128"/>
      <c r="CE41" s="128">
        <v>0</v>
      </c>
      <c r="CF41" s="128"/>
      <c r="CG41" s="128"/>
      <c r="CH41" s="128"/>
      <c r="CI41" s="128"/>
      <c r="CJ41" s="128"/>
      <c r="CK41" s="128"/>
      <c r="CL41" s="128"/>
      <c r="CM41" s="137">
        <v>25</v>
      </c>
      <c r="CN41" s="130">
        <v>29179</v>
      </c>
      <c r="CO41" s="128"/>
      <c r="CP41" s="132">
        <v>29179</v>
      </c>
      <c r="CQ41" s="134">
        <v>12346</v>
      </c>
      <c r="CR41" s="130">
        <v>50</v>
      </c>
      <c r="CS41" s="128">
        <v>787</v>
      </c>
      <c r="CT41" s="128">
        <v>988931</v>
      </c>
      <c r="CU41" s="128">
        <v>20</v>
      </c>
      <c r="CV41" s="128">
        <v>107661</v>
      </c>
      <c r="CW41" s="128">
        <v>79</v>
      </c>
      <c r="CX41" s="128">
        <v>6</v>
      </c>
      <c r="CY41" s="128">
        <v>19</v>
      </c>
      <c r="CZ41" s="128">
        <v>7</v>
      </c>
      <c r="DA41" s="128"/>
      <c r="DB41" s="128">
        <v>433</v>
      </c>
      <c r="DC41" s="132">
        <v>1097993</v>
      </c>
      <c r="DD41" s="136">
        <v>61558</v>
      </c>
      <c r="DE41" s="128"/>
      <c r="DF41" s="128">
        <v>63</v>
      </c>
      <c r="DG41" s="128">
        <v>3</v>
      </c>
      <c r="DH41" s="128"/>
      <c r="DI41" s="128">
        <v>2</v>
      </c>
      <c r="DJ41" s="128"/>
      <c r="DK41" s="137">
        <v>61626</v>
      </c>
      <c r="DL41" s="140"/>
      <c r="DM41" s="134"/>
      <c r="DN41" s="130"/>
      <c r="DO41" s="128"/>
      <c r="DP41" s="132"/>
      <c r="DQ41" s="134">
        <v>114</v>
      </c>
      <c r="DR41" s="130"/>
      <c r="DS41" s="128"/>
      <c r="DT41" s="132"/>
      <c r="DU41" s="136">
        <v>7</v>
      </c>
      <c r="DV41" s="128"/>
      <c r="DW41" s="137">
        <v>7</v>
      </c>
      <c r="DX41" s="140">
        <v>226</v>
      </c>
      <c r="DY41" s="134">
        <v>3</v>
      </c>
      <c r="DZ41" s="134">
        <v>262</v>
      </c>
      <c r="EA41" s="134">
        <v>1</v>
      </c>
      <c r="EB41" s="134"/>
      <c r="EC41" s="130">
        <v>695</v>
      </c>
      <c r="ED41" s="128">
        <v>185</v>
      </c>
      <c r="EE41" s="128"/>
      <c r="EF41" s="128"/>
      <c r="EG41" s="128"/>
      <c r="EH41" s="132">
        <v>880</v>
      </c>
      <c r="EI41" s="136">
        <v>73</v>
      </c>
      <c r="EJ41" s="128">
        <v>13510</v>
      </c>
      <c r="EK41" s="128">
        <v>24</v>
      </c>
      <c r="EL41" s="128">
        <v>46</v>
      </c>
      <c r="EM41" s="128">
        <v>3885</v>
      </c>
      <c r="EN41" s="128">
        <v>3</v>
      </c>
      <c r="EO41" s="128"/>
      <c r="EP41" s="128">
        <v>101</v>
      </c>
      <c r="EQ41" s="128">
        <v>1</v>
      </c>
      <c r="ER41" s="128"/>
      <c r="ES41" s="128"/>
      <c r="ET41" s="128"/>
      <c r="EU41" s="128"/>
      <c r="EV41" s="137">
        <v>17643</v>
      </c>
      <c r="EW41" s="140"/>
      <c r="EX41" s="134">
        <v>0</v>
      </c>
      <c r="EY41" s="130">
        <v>2</v>
      </c>
      <c r="EZ41" s="128"/>
      <c r="FA41" s="128"/>
      <c r="FB41" s="132">
        <v>2</v>
      </c>
      <c r="FC41" s="136"/>
      <c r="FD41" s="128"/>
      <c r="FE41" s="137"/>
      <c r="FF41" s="140">
        <v>7</v>
      </c>
      <c r="FG41" s="136">
        <v>2</v>
      </c>
      <c r="FH41" s="128">
        <v>19</v>
      </c>
      <c r="FI41" s="128"/>
      <c r="FJ41" s="128"/>
      <c r="FK41" s="137">
        <v>21</v>
      </c>
      <c r="FL41" s="130"/>
      <c r="FM41" s="128"/>
      <c r="FN41" s="132"/>
      <c r="FO41" s="136"/>
      <c r="FP41" s="128"/>
      <c r="FQ41" s="137"/>
      <c r="FR41" s="140"/>
      <c r="FS41" s="134">
        <v>11682</v>
      </c>
      <c r="FT41" s="130">
        <v>36</v>
      </c>
      <c r="FU41" s="128">
        <v>0</v>
      </c>
      <c r="FV41" s="128">
        <v>0</v>
      </c>
      <c r="FW41" s="128"/>
      <c r="FX41" s="128"/>
      <c r="FY41" s="132">
        <v>36</v>
      </c>
      <c r="FZ41" s="134"/>
      <c r="GA41" s="130">
        <v>960</v>
      </c>
      <c r="GB41" s="128"/>
      <c r="GC41" s="132">
        <v>960</v>
      </c>
      <c r="GD41" s="134"/>
      <c r="GE41" s="130">
        <v>435045</v>
      </c>
      <c r="GF41" s="128">
        <v>104</v>
      </c>
      <c r="GG41" s="128">
        <v>133</v>
      </c>
      <c r="GH41" s="132">
        <v>435282</v>
      </c>
      <c r="GI41" s="134">
        <v>158</v>
      </c>
      <c r="GJ41" s="130"/>
      <c r="GK41" s="128"/>
      <c r="GL41" s="128"/>
      <c r="GM41" s="128">
        <v>17</v>
      </c>
      <c r="GN41" s="132">
        <v>17</v>
      </c>
      <c r="GO41" s="134">
        <v>2331076</v>
      </c>
      <c r="GP41" s="323">
        <f>2331076/44564395</f>
        <v>5.2308036494156378E-2</v>
      </c>
    </row>
    <row r="42" spans="2:198" x14ac:dyDescent="0.2">
      <c r="B42" s="326" t="s">
        <v>165</v>
      </c>
      <c r="C42" s="325">
        <v>21</v>
      </c>
      <c r="D42" s="128"/>
      <c r="E42" s="128"/>
      <c r="F42" s="128"/>
      <c r="G42" s="324">
        <v>21</v>
      </c>
      <c r="H42" s="140"/>
      <c r="I42" s="136">
        <v>3</v>
      </c>
      <c r="J42" s="128"/>
      <c r="K42" s="137">
        <v>3</v>
      </c>
      <c r="L42" s="140"/>
      <c r="M42" s="134">
        <v>556</v>
      </c>
      <c r="N42" s="140">
        <v>453</v>
      </c>
      <c r="O42" s="128">
        <v>1</v>
      </c>
      <c r="P42" s="128">
        <v>8</v>
      </c>
      <c r="Q42" s="128">
        <v>22</v>
      </c>
      <c r="R42" s="128"/>
      <c r="S42" s="128"/>
      <c r="T42" s="128"/>
      <c r="U42" s="128"/>
      <c r="V42" s="132">
        <v>484</v>
      </c>
      <c r="W42" s="136">
        <v>1</v>
      </c>
      <c r="X42" s="128">
        <v>7</v>
      </c>
      <c r="Y42" s="137">
        <v>8</v>
      </c>
      <c r="Z42" s="130">
        <v>151</v>
      </c>
      <c r="AA42" s="128"/>
      <c r="AB42" s="128"/>
      <c r="AC42" s="132">
        <v>151</v>
      </c>
      <c r="AD42" s="136">
        <v>322</v>
      </c>
      <c r="AE42" s="128">
        <v>1</v>
      </c>
      <c r="AF42" s="137">
        <v>323</v>
      </c>
      <c r="AG42" s="130">
        <v>2</v>
      </c>
      <c r="AH42" s="128"/>
      <c r="AI42" s="128"/>
      <c r="AJ42" s="128"/>
      <c r="AK42" s="132">
        <v>2</v>
      </c>
      <c r="AL42" s="136"/>
      <c r="AM42" s="128"/>
      <c r="AN42" s="137"/>
      <c r="AO42" s="134"/>
      <c r="AP42" s="134"/>
      <c r="AQ42" s="130"/>
      <c r="AR42" s="128">
        <v>0</v>
      </c>
      <c r="AS42" s="132">
        <v>0</v>
      </c>
      <c r="AT42" s="136">
        <v>8</v>
      </c>
      <c r="AU42" s="128">
        <v>0</v>
      </c>
      <c r="AV42" s="128"/>
      <c r="AW42" s="128"/>
      <c r="AX42" s="128"/>
      <c r="AY42" s="128"/>
      <c r="AZ42" s="128"/>
      <c r="BA42" s="128"/>
      <c r="BB42" s="128"/>
      <c r="BC42" s="137">
        <v>8</v>
      </c>
      <c r="BD42" s="140"/>
      <c r="BE42" s="134"/>
      <c r="BF42" s="130">
        <v>13</v>
      </c>
      <c r="BG42" s="128">
        <v>232</v>
      </c>
      <c r="BH42" s="128">
        <v>2812</v>
      </c>
      <c r="BI42" s="128">
        <v>84</v>
      </c>
      <c r="BJ42" s="128">
        <v>3</v>
      </c>
      <c r="BK42" s="132">
        <v>3144</v>
      </c>
      <c r="BL42" s="134"/>
      <c r="BM42" s="134"/>
      <c r="BN42" s="134"/>
      <c r="BO42" s="134"/>
      <c r="BP42" s="130">
        <v>5</v>
      </c>
      <c r="BQ42" s="128"/>
      <c r="BR42" s="132">
        <v>5</v>
      </c>
      <c r="BS42" s="134"/>
      <c r="BT42" s="130">
        <v>2</v>
      </c>
      <c r="BU42" s="128"/>
      <c r="BV42" s="132">
        <v>2</v>
      </c>
      <c r="BW42" s="136">
        <v>0</v>
      </c>
      <c r="BX42" s="128"/>
      <c r="BY42" s="128"/>
      <c r="BZ42" s="128"/>
      <c r="CA42" s="128"/>
      <c r="CB42" s="128"/>
      <c r="CC42" s="128"/>
      <c r="CD42" s="128">
        <v>10</v>
      </c>
      <c r="CE42" s="128"/>
      <c r="CF42" s="128"/>
      <c r="CG42" s="128"/>
      <c r="CH42" s="128"/>
      <c r="CI42" s="128"/>
      <c r="CJ42" s="128"/>
      <c r="CK42" s="128">
        <v>12</v>
      </c>
      <c r="CL42" s="128"/>
      <c r="CM42" s="137">
        <v>22</v>
      </c>
      <c r="CN42" s="130">
        <v>1</v>
      </c>
      <c r="CO42" s="128"/>
      <c r="CP42" s="132">
        <v>1</v>
      </c>
      <c r="CQ42" s="134"/>
      <c r="CR42" s="130">
        <v>233</v>
      </c>
      <c r="CS42" s="128">
        <v>4</v>
      </c>
      <c r="CT42" s="128">
        <v>78719</v>
      </c>
      <c r="CU42" s="128">
        <v>650</v>
      </c>
      <c r="CV42" s="128">
        <v>4318</v>
      </c>
      <c r="CW42" s="128">
        <v>11</v>
      </c>
      <c r="CX42" s="128">
        <v>0</v>
      </c>
      <c r="CY42" s="128">
        <v>1</v>
      </c>
      <c r="CZ42" s="128">
        <v>20</v>
      </c>
      <c r="DA42" s="128"/>
      <c r="DB42" s="128"/>
      <c r="DC42" s="132">
        <v>83956</v>
      </c>
      <c r="DD42" s="136">
        <v>191</v>
      </c>
      <c r="DE42" s="128">
        <v>46</v>
      </c>
      <c r="DF42" s="128">
        <v>53</v>
      </c>
      <c r="DG42" s="128">
        <v>10</v>
      </c>
      <c r="DH42" s="128">
        <v>5</v>
      </c>
      <c r="DI42" s="128"/>
      <c r="DJ42" s="128"/>
      <c r="DK42" s="137">
        <v>305</v>
      </c>
      <c r="DL42" s="140"/>
      <c r="DM42" s="134"/>
      <c r="DN42" s="130"/>
      <c r="DO42" s="128"/>
      <c r="DP42" s="132"/>
      <c r="DQ42" s="134">
        <v>20</v>
      </c>
      <c r="DR42" s="130"/>
      <c r="DS42" s="128"/>
      <c r="DT42" s="132"/>
      <c r="DU42" s="136">
        <v>5</v>
      </c>
      <c r="DV42" s="128">
        <v>1</v>
      </c>
      <c r="DW42" s="137">
        <v>6</v>
      </c>
      <c r="DX42" s="140">
        <v>0</v>
      </c>
      <c r="DY42" s="134"/>
      <c r="DZ42" s="134">
        <v>19</v>
      </c>
      <c r="EA42" s="134"/>
      <c r="EB42" s="134"/>
      <c r="EC42" s="130">
        <v>15</v>
      </c>
      <c r="ED42" s="128">
        <v>0</v>
      </c>
      <c r="EE42" s="128"/>
      <c r="EF42" s="128"/>
      <c r="EG42" s="128"/>
      <c r="EH42" s="132">
        <v>15</v>
      </c>
      <c r="EI42" s="136">
        <v>33</v>
      </c>
      <c r="EJ42" s="128">
        <v>174</v>
      </c>
      <c r="EK42" s="128">
        <v>39</v>
      </c>
      <c r="EL42" s="128">
        <v>21</v>
      </c>
      <c r="EM42" s="128">
        <v>102</v>
      </c>
      <c r="EN42" s="128">
        <v>6</v>
      </c>
      <c r="EO42" s="128">
        <v>13</v>
      </c>
      <c r="EP42" s="128">
        <v>60</v>
      </c>
      <c r="EQ42" s="128">
        <v>21</v>
      </c>
      <c r="ER42" s="128">
        <v>2</v>
      </c>
      <c r="ES42" s="128">
        <v>1</v>
      </c>
      <c r="ET42" s="128"/>
      <c r="EU42" s="128"/>
      <c r="EV42" s="137">
        <v>472</v>
      </c>
      <c r="EW42" s="140"/>
      <c r="EX42" s="134"/>
      <c r="EY42" s="130"/>
      <c r="EZ42" s="128"/>
      <c r="FA42" s="128"/>
      <c r="FB42" s="132"/>
      <c r="FC42" s="136"/>
      <c r="FD42" s="128">
        <v>0</v>
      </c>
      <c r="FE42" s="137">
        <v>0</v>
      </c>
      <c r="FF42" s="140"/>
      <c r="FG42" s="136"/>
      <c r="FH42" s="128"/>
      <c r="FI42" s="128"/>
      <c r="FJ42" s="128"/>
      <c r="FK42" s="137"/>
      <c r="FL42" s="130">
        <v>0</v>
      </c>
      <c r="FM42" s="128"/>
      <c r="FN42" s="132">
        <v>0</v>
      </c>
      <c r="FO42" s="136"/>
      <c r="FP42" s="128"/>
      <c r="FQ42" s="137"/>
      <c r="FR42" s="140"/>
      <c r="FS42" s="134">
        <v>8</v>
      </c>
      <c r="FT42" s="130">
        <v>1</v>
      </c>
      <c r="FU42" s="128"/>
      <c r="FV42" s="128"/>
      <c r="FW42" s="128">
        <v>11</v>
      </c>
      <c r="FX42" s="128"/>
      <c r="FY42" s="132">
        <v>12</v>
      </c>
      <c r="FZ42" s="134"/>
      <c r="GA42" s="130">
        <v>26</v>
      </c>
      <c r="GB42" s="128"/>
      <c r="GC42" s="132">
        <v>26</v>
      </c>
      <c r="GD42" s="134"/>
      <c r="GE42" s="130">
        <v>3</v>
      </c>
      <c r="GF42" s="128"/>
      <c r="GG42" s="128"/>
      <c r="GH42" s="132">
        <v>3</v>
      </c>
      <c r="GI42" s="134">
        <v>3</v>
      </c>
      <c r="GJ42" s="130">
        <v>189</v>
      </c>
      <c r="GK42" s="128"/>
      <c r="GL42" s="128"/>
      <c r="GM42" s="128">
        <v>2</v>
      </c>
      <c r="GN42" s="132">
        <v>191</v>
      </c>
      <c r="GO42" s="134">
        <v>89766</v>
      </c>
      <c r="GP42" s="323">
        <f>89766/44564395</f>
        <v>2.0142986345938274E-3</v>
      </c>
    </row>
    <row r="43" spans="2:198" x14ac:dyDescent="0.2">
      <c r="B43" s="326" t="s">
        <v>194</v>
      </c>
      <c r="C43" s="325">
        <v>27</v>
      </c>
      <c r="D43" s="128">
        <v>1</v>
      </c>
      <c r="E43" s="128"/>
      <c r="F43" s="128">
        <v>17</v>
      </c>
      <c r="G43" s="324">
        <v>45</v>
      </c>
      <c r="H43" s="140"/>
      <c r="I43" s="136">
        <v>153</v>
      </c>
      <c r="J43" s="128"/>
      <c r="K43" s="137">
        <v>153</v>
      </c>
      <c r="L43" s="140"/>
      <c r="M43" s="134">
        <v>2412</v>
      </c>
      <c r="N43" s="140">
        <v>5561</v>
      </c>
      <c r="O43" s="128">
        <v>46</v>
      </c>
      <c r="P43" s="128">
        <v>2</v>
      </c>
      <c r="Q43" s="128">
        <v>147</v>
      </c>
      <c r="R43" s="128"/>
      <c r="S43" s="128"/>
      <c r="T43" s="128"/>
      <c r="U43" s="128"/>
      <c r="V43" s="132">
        <v>5756</v>
      </c>
      <c r="W43" s="136"/>
      <c r="X43" s="128">
        <v>0</v>
      </c>
      <c r="Y43" s="137">
        <v>0</v>
      </c>
      <c r="Z43" s="130">
        <v>80</v>
      </c>
      <c r="AA43" s="128">
        <v>5</v>
      </c>
      <c r="AB43" s="128"/>
      <c r="AC43" s="132">
        <v>85</v>
      </c>
      <c r="AD43" s="136">
        <v>45</v>
      </c>
      <c r="AE43" s="128"/>
      <c r="AF43" s="137">
        <v>45</v>
      </c>
      <c r="AG43" s="130">
        <v>5</v>
      </c>
      <c r="AH43" s="128"/>
      <c r="AI43" s="128">
        <v>4</v>
      </c>
      <c r="AJ43" s="128"/>
      <c r="AK43" s="132">
        <v>9</v>
      </c>
      <c r="AL43" s="136"/>
      <c r="AM43" s="128"/>
      <c r="AN43" s="137"/>
      <c r="AO43" s="134"/>
      <c r="AP43" s="134"/>
      <c r="AQ43" s="130">
        <v>23</v>
      </c>
      <c r="AR43" s="128"/>
      <c r="AS43" s="132">
        <v>23</v>
      </c>
      <c r="AT43" s="136">
        <v>5</v>
      </c>
      <c r="AU43" s="128"/>
      <c r="AV43" s="128">
        <v>4</v>
      </c>
      <c r="AW43" s="128">
        <v>1</v>
      </c>
      <c r="AX43" s="128"/>
      <c r="AY43" s="128"/>
      <c r="AZ43" s="128"/>
      <c r="BA43" s="128"/>
      <c r="BB43" s="128"/>
      <c r="BC43" s="137">
        <v>10</v>
      </c>
      <c r="BD43" s="140"/>
      <c r="BE43" s="134">
        <v>2</v>
      </c>
      <c r="BF43" s="130">
        <v>25</v>
      </c>
      <c r="BG43" s="128">
        <v>52</v>
      </c>
      <c r="BH43" s="128">
        <v>239</v>
      </c>
      <c r="BI43" s="128">
        <v>6</v>
      </c>
      <c r="BJ43" s="128">
        <v>4</v>
      </c>
      <c r="BK43" s="132">
        <v>326</v>
      </c>
      <c r="BL43" s="134">
        <v>4</v>
      </c>
      <c r="BM43" s="134"/>
      <c r="BN43" s="134">
        <v>0</v>
      </c>
      <c r="BO43" s="134">
        <v>1</v>
      </c>
      <c r="BP43" s="130">
        <v>12</v>
      </c>
      <c r="BQ43" s="128"/>
      <c r="BR43" s="132">
        <v>12</v>
      </c>
      <c r="BS43" s="134"/>
      <c r="BT43" s="130">
        <v>41</v>
      </c>
      <c r="BU43" s="128"/>
      <c r="BV43" s="132">
        <v>41</v>
      </c>
      <c r="BW43" s="136">
        <v>2</v>
      </c>
      <c r="BX43" s="128"/>
      <c r="BY43" s="128">
        <v>6</v>
      </c>
      <c r="BZ43" s="128">
        <v>20</v>
      </c>
      <c r="CA43" s="128">
        <v>9</v>
      </c>
      <c r="CB43" s="128"/>
      <c r="CC43" s="128">
        <v>4</v>
      </c>
      <c r="CD43" s="128"/>
      <c r="CE43" s="128">
        <v>1</v>
      </c>
      <c r="CF43" s="128">
        <v>16</v>
      </c>
      <c r="CG43" s="128">
        <v>1</v>
      </c>
      <c r="CH43" s="128">
        <v>2</v>
      </c>
      <c r="CI43" s="128"/>
      <c r="CJ43" s="128"/>
      <c r="CK43" s="128"/>
      <c r="CL43" s="128">
        <v>1</v>
      </c>
      <c r="CM43" s="137">
        <v>62</v>
      </c>
      <c r="CN43" s="130">
        <v>55</v>
      </c>
      <c r="CO43" s="128"/>
      <c r="CP43" s="132">
        <v>55</v>
      </c>
      <c r="CQ43" s="134">
        <v>1</v>
      </c>
      <c r="CR43" s="130">
        <v>255</v>
      </c>
      <c r="CS43" s="128">
        <v>1</v>
      </c>
      <c r="CT43" s="128">
        <v>128475</v>
      </c>
      <c r="CU43" s="128">
        <v>2</v>
      </c>
      <c r="CV43" s="128">
        <v>32432</v>
      </c>
      <c r="CW43" s="128">
        <v>83</v>
      </c>
      <c r="CX43" s="128">
        <v>33</v>
      </c>
      <c r="CY43" s="128">
        <v>4</v>
      </c>
      <c r="CZ43" s="128"/>
      <c r="DA43" s="128"/>
      <c r="DB43" s="128"/>
      <c r="DC43" s="132">
        <v>161285</v>
      </c>
      <c r="DD43" s="136">
        <v>672</v>
      </c>
      <c r="DE43" s="128">
        <v>29</v>
      </c>
      <c r="DF43" s="128">
        <v>4</v>
      </c>
      <c r="DG43" s="128">
        <v>4</v>
      </c>
      <c r="DH43" s="128"/>
      <c r="DI43" s="128"/>
      <c r="DJ43" s="128"/>
      <c r="DK43" s="137">
        <v>709</v>
      </c>
      <c r="DL43" s="140"/>
      <c r="DM43" s="134"/>
      <c r="DN43" s="130"/>
      <c r="DO43" s="128"/>
      <c r="DP43" s="132"/>
      <c r="DQ43" s="134">
        <v>20</v>
      </c>
      <c r="DR43" s="130"/>
      <c r="DS43" s="128"/>
      <c r="DT43" s="132"/>
      <c r="DU43" s="136">
        <v>26</v>
      </c>
      <c r="DV43" s="128"/>
      <c r="DW43" s="137">
        <v>26</v>
      </c>
      <c r="DX43" s="140">
        <v>186</v>
      </c>
      <c r="DY43" s="134">
        <v>0</v>
      </c>
      <c r="DZ43" s="134">
        <v>13</v>
      </c>
      <c r="EA43" s="134">
        <v>0</v>
      </c>
      <c r="EB43" s="134"/>
      <c r="EC43" s="130">
        <v>10</v>
      </c>
      <c r="ED43" s="128">
        <v>87</v>
      </c>
      <c r="EE43" s="128"/>
      <c r="EF43" s="128"/>
      <c r="EG43" s="128"/>
      <c r="EH43" s="132">
        <v>97</v>
      </c>
      <c r="EI43" s="136">
        <v>11</v>
      </c>
      <c r="EJ43" s="128">
        <v>962</v>
      </c>
      <c r="EK43" s="128">
        <v>10</v>
      </c>
      <c r="EL43" s="128">
        <v>8</v>
      </c>
      <c r="EM43" s="128">
        <v>550</v>
      </c>
      <c r="EN43" s="128"/>
      <c r="EO43" s="128">
        <v>1</v>
      </c>
      <c r="EP43" s="128">
        <v>5</v>
      </c>
      <c r="EQ43" s="128"/>
      <c r="ER43" s="128"/>
      <c r="ES43" s="128"/>
      <c r="ET43" s="128"/>
      <c r="EU43" s="128"/>
      <c r="EV43" s="137">
        <v>1547</v>
      </c>
      <c r="EW43" s="140"/>
      <c r="EX43" s="134"/>
      <c r="EY43" s="130">
        <v>0</v>
      </c>
      <c r="EZ43" s="128"/>
      <c r="FA43" s="128"/>
      <c r="FB43" s="132">
        <v>0</v>
      </c>
      <c r="FC43" s="136"/>
      <c r="FD43" s="128"/>
      <c r="FE43" s="137"/>
      <c r="FF43" s="140">
        <v>1</v>
      </c>
      <c r="FG43" s="136"/>
      <c r="FH43" s="128">
        <v>4</v>
      </c>
      <c r="FI43" s="128"/>
      <c r="FJ43" s="128"/>
      <c r="FK43" s="137">
        <v>4</v>
      </c>
      <c r="FL43" s="130"/>
      <c r="FM43" s="128"/>
      <c r="FN43" s="132"/>
      <c r="FO43" s="136"/>
      <c r="FP43" s="128"/>
      <c r="FQ43" s="137"/>
      <c r="FR43" s="140"/>
      <c r="FS43" s="134">
        <v>16</v>
      </c>
      <c r="FT43" s="130">
        <v>201</v>
      </c>
      <c r="FU43" s="128">
        <v>13</v>
      </c>
      <c r="FV43" s="128">
        <v>10</v>
      </c>
      <c r="FW43" s="128">
        <v>0</v>
      </c>
      <c r="FX43" s="128"/>
      <c r="FY43" s="132">
        <v>224</v>
      </c>
      <c r="FZ43" s="134"/>
      <c r="GA43" s="130">
        <v>380</v>
      </c>
      <c r="GB43" s="128"/>
      <c r="GC43" s="132">
        <v>380</v>
      </c>
      <c r="GD43" s="134"/>
      <c r="GE43" s="130">
        <v>32</v>
      </c>
      <c r="GF43" s="128"/>
      <c r="GG43" s="128"/>
      <c r="GH43" s="132">
        <v>32</v>
      </c>
      <c r="GI43" s="134">
        <v>36</v>
      </c>
      <c r="GJ43" s="130"/>
      <c r="GK43" s="128"/>
      <c r="GL43" s="128">
        <v>3</v>
      </c>
      <c r="GM43" s="128"/>
      <c r="GN43" s="132">
        <v>3</v>
      </c>
      <c r="GO43" s="134">
        <v>173621</v>
      </c>
      <c r="GP43" s="323">
        <f>173621/44564395</f>
        <v>3.8959577483324973E-3</v>
      </c>
    </row>
    <row r="44" spans="2:198" x14ac:dyDescent="0.2">
      <c r="B44" s="326" t="s">
        <v>220</v>
      </c>
      <c r="C44" s="325">
        <v>6</v>
      </c>
      <c r="D44" s="128"/>
      <c r="E44" s="128"/>
      <c r="F44" s="128"/>
      <c r="G44" s="324">
        <v>6</v>
      </c>
      <c r="H44" s="140"/>
      <c r="I44" s="136"/>
      <c r="J44" s="128"/>
      <c r="K44" s="137"/>
      <c r="L44" s="140"/>
      <c r="M44" s="134">
        <v>245</v>
      </c>
      <c r="N44" s="140">
        <v>203</v>
      </c>
      <c r="O44" s="128">
        <v>0</v>
      </c>
      <c r="P44" s="128">
        <v>19</v>
      </c>
      <c r="Q44" s="128">
        <v>22</v>
      </c>
      <c r="R44" s="128"/>
      <c r="S44" s="128"/>
      <c r="T44" s="128"/>
      <c r="U44" s="128"/>
      <c r="V44" s="132">
        <v>244</v>
      </c>
      <c r="W44" s="136">
        <v>0</v>
      </c>
      <c r="X44" s="128">
        <v>0</v>
      </c>
      <c r="Y44" s="137">
        <v>0</v>
      </c>
      <c r="Z44" s="130">
        <v>13</v>
      </c>
      <c r="AA44" s="128"/>
      <c r="AB44" s="128"/>
      <c r="AC44" s="132">
        <v>13</v>
      </c>
      <c r="AD44" s="136">
        <v>344</v>
      </c>
      <c r="AE44" s="128"/>
      <c r="AF44" s="137">
        <v>344</v>
      </c>
      <c r="AG44" s="130">
        <v>3</v>
      </c>
      <c r="AH44" s="128"/>
      <c r="AI44" s="128"/>
      <c r="AJ44" s="128"/>
      <c r="AK44" s="132">
        <v>3</v>
      </c>
      <c r="AL44" s="136"/>
      <c r="AM44" s="128"/>
      <c r="AN44" s="137"/>
      <c r="AO44" s="134"/>
      <c r="AP44" s="134"/>
      <c r="AQ44" s="130"/>
      <c r="AR44" s="128">
        <v>1</v>
      </c>
      <c r="AS44" s="132">
        <v>1</v>
      </c>
      <c r="AT44" s="136">
        <v>4</v>
      </c>
      <c r="AU44" s="128"/>
      <c r="AV44" s="128"/>
      <c r="AW44" s="128"/>
      <c r="AX44" s="128"/>
      <c r="AY44" s="128"/>
      <c r="AZ44" s="128"/>
      <c r="BA44" s="128"/>
      <c r="BB44" s="128"/>
      <c r="BC44" s="137">
        <v>4</v>
      </c>
      <c r="BD44" s="140"/>
      <c r="BE44" s="134"/>
      <c r="BF44" s="130">
        <v>1</v>
      </c>
      <c r="BG44" s="128">
        <v>24</v>
      </c>
      <c r="BH44" s="128">
        <v>47</v>
      </c>
      <c r="BI44" s="128">
        <v>14</v>
      </c>
      <c r="BJ44" s="128">
        <v>1</v>
      </c>
      <c r="BK44" s="132">
        <v>87</v>
      </c>
      <c r="BL44" s="134"/>
      <c r="BM44" s="134"/>
      <c r="BN44" s="134"/>
      <c r="BO44" s="134"/>
      <c r="BP44" s="130">
        <v>1</v>
      </c>
      <c r="BQ44" s="128"/>
      <c r="BR44" s="132">
        <v>1</v>
      </c>
      <c r="BS44" s="134"/>
      <c r="BT44" s="130"/>
      <c r="BU44" s="128"/>
      <c r="BV44" s="132"/>
      <c r="BW44" s="136"/>
      <c r="BX44" s="128"/>
      <c r="BY44" s="128">
        <v>0</v>
      </c>
      <c r="BZ44" s="128"/>
      <c r="CA44" s="128"/>
      <c r="CB44" s="128"/>
      <c r="CC44" s="128"/>
      <c r="CD44" s="128"/>
      <c r="CE44" s="128"/>
      <c r="CF44" s="128"/>
      <c r="CG44" s="128">
        <v>1</v>
      </c>
      <c r="CH44" s="128"/>
      <c r="CI44" s="128"/>
      <c r="CJ44" s="128"/>
      <c r="CK44" s="128"/>
      <c r="CL44" s="128"/>
      <c r="CM44" s="137">
        <v>1</v>
      </c>
      <c r="CN44" s="130"/>
      <c r="CO44" s="128"/>
      <c r="CP44" s="132"/>
      <c r="CQ44" s="134"/>
      <c r="CR44" s="130">
        <v>29</v>
      </c>
      <c r="CS44" s="128"/>
      <c r="CT44" s="128">
        <v>28092</v>
      </c>
      <c r="CU44" s="128">
        <v>68</v>
      </c>
      <c r="CV44" s="128">
        <v>978</v>
      </c>
      <c r="CW44" s="128">
        <v>1</v>
      </c>
      <c r="CX44" s="128">
        <v>1</v>
      </c>
      <c r="CY44" s="128">
        <v>1</v>
      </c>
      <c r="CZ44" s="128">
        <v>6</v>
      </c>
      <c r="DA44" s="128"/>
      <c r="DB44" s="128"/>
      <c r="DC44" s="132">
        <v>29176</v>
      </c>
      <c r="DD44" s="136">
        <v>104</v>
      </c>
      <c r="DE44" s="128">
        <v>2</v>
      </c>
      <c r="DF44" s="128">
        <v>16</v>
      </c>
      <c r="DG44" s="128">
        <v>3</v>
      </c>
      <c r="DH44" s="128">
        <v>2</v>
      </c>
      <c r="DI44" s="128"/>
      <c r="DJ44" s="128"/>
      <c r="DK44" s="137">
        <v>127</v>
      </c>
      <c r="DL44" s="140"/>
      <c r="DM44" s="134"/>
      <c r="DN44" s="130"/>
      <c r="DO44" s="128"/>
      <c r="DP44" s="132"/>
      <c r="DQ44" s="134">
        <v>12</v>
      </c>
      <c r="DR44" s="130"/>
      <c r="DS44" s="128"/>
      <c r="DT44" s="132"/>
      <c r="DU44" s="136">
        <v>1</v>
      </c>
      <c r="DV44" s="128"/>
      <c r="DW44" s="137">
        <v>1</v>
      </c>
      <c r="DX44" s="140"/>
      <c r="DY44" s="134">
        <v>1</v>
      </c>
      <c r="DZ44" s="134">
        <v>7</v>
      </c>
      <c r="EA44" s="134"/>
      <c r="EB44" s="134"/>
      <c r="EC44" s="130">
        <v>16</v>
      </c>
      <c r="ED44" s="128">
        <v>3</v>
      </c>
      <c r="EE44" s="128"/>
      <c r="EF44" s="128"/>
      <c r="EG44" s="128"/>
      <c r="EH44" s="132">
        <v>19</v>
      </c>
      <c r="EI44" s="136">
        <v>16</v>
      </c>
      <c r="EJ44" s="128">
        <v>59</v>
      </c>
      <c r="EK44" s="128">
        <v>15</v>
      </c>
      <c r="EL44" s="128">
        <v>15</v>
      </c>
      <c r="EM44" s="128">
        <v>70</v>
      </c>
      <c r="EN44" s="128">
        <v>1</v>
      </c>
      <c r="EO44" s="128">
        <v>1</v>
      </c>
      <c r="EP44" s="128">
        <v>46</v>
      </c>
      <c r="EQ44" s="128">
        <v>14</v>
      </c>
      <c r="ER44" s="128">
        <v>13</v>
      </c>
      <c r="ES44" s="128">
        <v>1</v>
      </c>
      <c r="ET44" s="128"/>
      <c r="EU44" s="128"/>
      <c r="EV44" s="137">
        <v>251</v>
      </c>
      <c r="EW44" s="140"/>
      <c r="EX44" s="134">
        <v>8</v>
      </c>
      <c r="EY44" s="130"/>
      <c r="EZ44" s="128"/>
      <c r="FA44" s="128"/>
      <c r="FB44" s="132"/>
      <c r="FC44" s="136"/>
      <c r="FD44" s="128"/>
      <c r="FE44" s="137"/>
      <c r="FF44" s="140"/>
      <c r="FG44" s="136"/>
      <c r="FH44" s="128"/>
      <c r="FI44" s="128"/>
      <c r="FJ44" s="128"/>
      <c r="FK44" s="137"/>
      <c r="FL44" s="130"/>
      <c r="FM44" s="128"/>
      <c r="FN44" s="132"/>
      <c r="FO44" s="136"/>
      <c r="FP44" s="128"/>
      <c r="FQ44" s="137"/>
      <c r="FR44" s="140"/>
      <c r="FS44" s="134">
        <v>3</v>
      </c>
      <c r="FT44" s="130"/>
      <c r="FU44" s="128">
        <v>2</v>
      </c>
      <c r="FV44" s="128"/>
      <c r="FW44" s="128">
        <v>2</v>
      </c>
      <c r="FX44" s="128"/>
      <c r="FY44" s="132">
        <v>4</v>
      </c>
      <c r="FZ44" s="134"/>
      <c r="GA44" s="130">
        <v>8</v>
      </c>
      <c r="GB44" s="128"/>
      <c r="GC44" s="132">
        <v>8</v>
      </c>
      <c r="GD44" s="134"/>
      <c r="GE44" s="130"/>
      <c r="GF44" s="128"/>
      <c r="GG44" s="128"/>
      <c r="GH44" s="132"/>
      <c r="GI44" s="134">
        <v>2</v>
      </c>
      <c r="GJ44" s="130">
        <v>34</v>
      </c>
      <c r="GK44" s="128"/>
      <c r="GL44" s="128"/>
      <c r="GM44" s="128"/>
      <c r="GN44" s="132">
        <v>34</v>
      </c>
      <c r="GO44" s="134">
        <v>30602</v>
      </c>
      <c r="GP44" s="323">
        <f>30602/44564395</f>
        <v>6.8669169636432852E-4</v>
      </c>
    </row>
    <row r="45" spans="2:198" x14ac:dyDescent="0.2">
      <c r="B45" s="326" t="s">
        <v>237</v>
      </c>
      <c r="C45" s="325">
        <v>10</v>
      </c>
      <c r="D45" s="128">
        <v>14</v>
      </c>
      <c r="E45" s="128"/>
      <c r="F45" s="128">
        <v>5</v>
      </c>
      <c r="G45" s="324">
        <v>29</v>
      </c>
      <c r="H45" s="140"/>
      <c r="I45" s="136">
        <v>0</v>
      </c>
      <c r="J45" s="128"/>
      <c r="K45" s="137">
        <v>0</v>
      </c>
      <c r="L45" s="140"/>
      <c r="M45" s="134">
        <v>266</v>
      </c>
      <c r="N45" s="140">
        <v>1485</v>
      </c>
      <c r="O45" s="128">
        <v>21</v>
      </c>
      <c r="P45" s="128">
        <v>5</v>
      </c>
      <c r="Q45" s="128">
        <v>36</v>
      </c>
      <c r="R45" s="128">
        <v>2</v>
      </c>
      <c r="S45" s="128"/>
      <c r="T45" s="128"/>
      <c r="U45" s="128"/>
      <c r="V45" s="132">
        <v>1549</v>
      </c>
      <c r="W45" s="136">
        <v>4</v>
      </c>
      <c r="X45" s="128">
        <v>0</v>
      </c>
      <c r="Y45" s="137">
        <v>4</v>
      </c>
      <c r="Z45" s="130">
        <v>265</v>
      </c>
      <c r="AA45" s="128"/>
      <c r="AB45" s="128"/>
      <c r="AC45" s="132">
        <v>265</v>
      </c>
      <c r="AD45" s="136">
        <v>143</v>
      </c>
      <c r="AE45" s="128"/>
      <c r="AF45" s="137">
        <v>143</v>
      </c>
      <c r="AG45" s="130"/>
      <c r="AH45" s="128"/>
      <c r="AI45" s="128"/>
      <c r="AJ45" s="128"/>
      <c r="AK45" s="132"/>
      <c r="AL45" s="136"/>
      <c r="AM45" s="128"/>
      <c r="AN45" s="137"/>
      <c r="AO45" s="134"/>
      <c r="AP45" s="134"/>
      <c r="AQ45" s="130">
        <v>1</v>
      </c>
      <c r="AR45" s="128">
        <v>2</v>
      </c>
      <c r="AS45" s="132">
        <v>3</v>
      </c>
      <c r="AT45" s="136">
        <v>4</v>
      </c>
      <c r="AU45" s="128"/>
      <c r="AV45" s="128"/>
      <c r="AW45" s="128">
        <v>32</v>
      </c>
      <c r="AX45" s="128"/>
      <c r="AY45" s="128"/>
      <c r="AZ45" s="128"/>
      <c r="BA45" s="128"/>
      <c r="BB45" s="128"/>
      <c r="BC45" s="137">
        <v>36</v>
      </c>
      <c r="BD45" s="140"/>
      <c r="BE45" s="134">
        <v>1</v>
      </c>
      <c r="BF45" s="130">
        <v>6</v>
      </c>
      <c r="BG45" s="128">
        <v>14</v>
      </c>
      <c r="BH45" s="128">
        <v>43</v>
      </c>
      <c r="BI45" s="128">
        <v>3</v>
      </c>
      <c r="BJ45" s="128">
        <v>1</v>
      </c>
      <c r="BK45" s="132">
        <v>67</v>
      </c>
      <c r="BL45" s="134">
        <v>2</v>
      </c>
      <c r="BM45" s="134"/>
      <c r="BN45" s="134">
        <v>24</v>
      </c>
      <c r="BO45" s="134">
        <v>2</v>
      </c>
      <c r="BP45" s="130">
        <v>3</v>
      </c>
      <c r="BQ45" s="128"/>
      <c r="BR45" s="132">
        <v>3</v>
      </c>
      <c r="BS45" s="134"/>
      <c r="BT45" s="130"/>
      <c r="BU45" s="128"/>
      <c r="BV45" s="132"/>
      <c r="BW45" s="136">
        <v>2</v>
      </c>
      <c r="BX45" s="128"/>
      <c r="BY45" s="128">
        <v>0</v>
      </c>
      <c r="BZ45" s="128"/>
      <c r="CA45" s="128">
        <v>4</v>
      </c>
      <c r="CB45" s="128"/>
      <c r="CC45" s="128"/>
      <c r="CD45" s="128"/>
      <c r="CE45" s="128"/>
      <c r="CF45" s="128"/>
      <c r="CG45" s="128">
        <v>5</v>
      </c>
      <c r="CH45" s="128"/>
      <c r="CI45" s="128"/>
      <c r="CJ45" s="128"/>
      <c r="CK45" s="128">
        <v>3</v>
      </c>
      <c r="CL45" s="128"/>
      <c r="CM45" s="137">
        <v>14</v>
      </c>
      <c r="CN45" s="130"/>
      <c r="CO45" s="128"/>
      <c r="CP45" s="132"/>
      <c r="CQ45" s="134"/>
      <c r="CR45" s="130">
        <v>30</v>
      </c>
      <c r="CS45" s="128">
        <v>34</v>
      </c>
      <c r="CT45" s="128">
        <v>23654</v>
      </c>
      <c r="CU45" s="128">
        <v>84</v>
      </c>
      <c r="CV45" s="128">
        <v>2501</v>
      </c>
      <c r="CW45" s="128">
        <v>7</v>
      </c>
      <c r="CX45" s="128">
        <v>18</v>
      </c>
      <c r="CY45" s="128"/>
      <c r="CZ45" s="128">
        <v>4</v>
      </c>
      <c r="DA45" s="128"/>
      <c r="DB45" s="128"/>
      <c r="DC45" s="132">
        <v>26332</v>
      </c>
      <c r="DD45" s="136">
        <v>194</v>
      </c>
      <c r="DE45" s="128">
        <v>16</v>
      </c>
      <c r="DF45" s="128">
        <v>10</v>
      </c>
      <c r="DG45" s="128">
        <v>2</v>
      </c>
      <c r="DH45" s="128">
        <v>3</v>
      </c>
      <c r="DI45" s="128"/>
      <c r="DJ45" s="128"/>
      <c r="DK45" s="137">
        <v>225</v>
      </c>
      <c r="DL45" s="140"/>
      <c r="DM45" s="134"/>
      <c r="DN45" s="130"/>
      <c r="DO45" s="128"/>
      <c r="DP45" s="132"/>
      <c r="DQ45" s="134">
        <v>14</v>
      </c>
      <c r="DR45" s="130"/>
      <c r="DS45" s="128"/>
      <c r="DT45" s="132"/>
      <c r="DU45" s="136">
        <v>46</v>
      </c>
      <c r="DV45" s="128"/>
      <c r="DW45" s="137">
        <v>46</v>
      </c>
      <c r="DX45" s="140">
        <v>2</v>
      </c>
      <c r="DY45" s="134"/>
      <c r="DZ45" s="134">
        <v>7</v>
      </c>
      <c r="EA45" s="134"/>
      <c r="EB45" s="134"/>
      <c r="EC45" s="130">
        <v>5</v>
      </c>
      <c r="ED45" s="128">
        <v>12</v>
      </c>
      <c r="EE45" s="128">
        <v>9</v>
      </c>
      <c r="EF45" s="128"/>
      <c r="EG45" s="128"/>
      <c r="EH45" s="132">
        <v>26</v>
      </c>
      <c r="EI45" s="136">
        <v>29</v>
      </c>
      <c r="EJ45" s="128">
        <v>281</v>
      </c>
      <c r="EK45" s="128">
        <v>9</v>
      </c>
      <c r="EL45" s="128">
        <v>38</v>
      </c>
      <c r="EM45" s="128">
        <v>161</v>
      </c>
      <c r="EN45" s="128">
        <v>3</v>
      </c>
      <c r="EO45" s="128">
        <v>20</v>
      </c>
      <c r="EP45" s="128">
        <v>22</v>
      </c>
      <c r="EQ45" s="128">
        <v>3</v>
      </c>
      <c r="ER45" s="128"/>
      <c r="ES45" s="128">
        <v>2</v>
      </c>
      <c r="ET45" s="128"/>
      <c r="EU45" s="128"/>
      <c r="EV45" s="137">
        <v>568</v>
      </c>
      <c r="EW45" s="140"/>
      <c r="EX45" s="134">
        <v>14</v>
      </c>
      <c r="EY45" s="130">
        <v>0</v>
      </c>
      <c r="EZ45" s="128"/>
      <c r="FA45" s="128">
        <v>9</v>
      </c>
      <c r="FB45" s="132">
        <v>9</v>
      </c>
      <c r="FC45" s="136"/>
      <c r="FD45" s="128"/>
      <c r="FE45" s="137"/>
      <c r="FF45" s="140"/>
      <c r="FG45" s="136">
        <v>9</v>
      </c>
      <c r="FH45" s="128">
        <v>2</v>
      </c>
      <c r="FI45" s="128"/>
      <c r="FJ45" s="128"/>
      <c r="FK45" s="137">
        <v>11</v>
      </c>
      <c r="FL45" s="130"/>
      <c r="FM45" s="128"/>
      <c r="FN45" s="132"/>
      <c r="FO45" s="136"/>
      <c r="FP45" s="128"/>
      <c r="FQ45" s="137"/>
      <c r="FR45" s="140"/>
      <c r="FS45" s="134">
        <v>3</v>
      </c>
      <c r="FT45" s="130"/>
      <c r="FU45" s="128"/>
      <c r="FV45" s="128"/>
      <c r="FW45" s="128">
        <v>6</v>
      </c>
      <c r="FX45" s="128"/>
      <c r="FY45" s="132">
        <v>6</v>
      </c>
      <c r="FZ45" s="134"/>
      <c r="GA45" s="130">
        <v>13</v>
      </c>
      <c r="GB45" s="128"/>
      <c r="GC45" s="132">
        <v>13</v>
      </c>
      <c r="GD45" s="134"/>
      <c r="GE45" s="130">
        <v>0</v>
      </c>
      <c r="GF45" s="128"/>
      <c r="GG45" s="128"/>
      <c r="GH45" s="132">
        <v>0</v>
      </c>
      <c r="GI45" s="134">
        <v>33</v>
      </c>
      <c r="GJ45" s="130">
        <v>73</v>
      </c>
      <c r="GK45" s="128"/>
      <c r="GL45" s="128">
        <v>24</v>
      </c>
      <c r="GM45" s="128"/>
      <c r="GN45" s="132">
        <v>97</v>
      </c>
      <c r="GO45" s="134">
        <v>29814</v>
      </c>
      <c r="GP45" s="323">
        <f>29814/44564395</f>
        <v>6.690094188421048E-4</v>
      </c>
    </row>
    <row r="46" spans="2:198" ht="12.75" thickBot="1" x14ac:dyDescent="0.25">
      <c r="B46" s="322" t="s">
        <v>556</v>
      </c>
      <c r="C46" s="321">
        <v>44</v>
      </c>
      <c r="D46" s="315">
        <v>4</v>
      </c>
      <c r="E46" s="315">
        <v>4</v>
      </c>
      <c r="F46" s="315">
        <v>8</v>
      </c>
      <c r="G46" s="320">
        <v>60</v>
      </c>
      <c r="H46" s="317"/>
      <c r="I46" s="319">
        <v>997</v>
      </c>
      <c r="J46" s="315">
        <v>120</v>
      </c>
      <c r="K46" s="318">
        <v>1117</v>
      </c>
      <c r="L46" s="317"/>
      <c r="M46" s="313">
        <v>5423</v>
      </c>
      <c r="N46" s="317">
        <v>12331</v>
      </c>
      <c r="O46" s="315">
        <v>26</v>
      </c>
      <c r="P46" s="315">
        <v>15</v>
      </c>
      <c r="Q46" s="315">
        <v>179</v>
      </c>
      <c r="R46" s="315">
        <v>4</v>
      </c>
      <c r="S46" s="315">
        <v>0</v>
      </c>
      <c r="T46" s="315"/>
      <c r="U46" s="315">
        <v>2</v>
      </c>
      <c r="V46" s="314">
        <v>12557</v>
      </c>
      <c r="W46" s="319">
        <v>20</v>
      </c>
      <c r="X46" s="315">
        <v>17</v>
      </c>
      <c r="Y46" s="318">
        <v>37</v>
      </c>
      <c r="Z46" s="316">
        <v>243</v>
      </c>
      <c r="AA46" s="315"/>
      <c r="AB46" s="315">
        <v>3</v>
      </c>
      <c r="AC46" s="314">
        <v>246</v>
      </c>
      <c r="AD46" s="319">
        <v>429</v>
      </c>
      <c r="AE46" s="315"/>
      <c r="AF46" s="318">
        <v>429</v>
      </c>
      <c r="AG46" s="316">
        <v>12</v>
      </c>
      <c r="AH46" s="315">
        <v>3</v>
      </c>
      <c r="AI46" s="315"/>
      <c r="AJ46" s="315"/>
      <c r="AK46" s="314">
        <v>15</v>
      </c>
      <c r="AL46" s="319">
        <v>12</v>
      </c>
      <c r="AM46" s="315"/>
      <c r="AN46" s="318">
        <v>12</v>
      </c>
      <c r="AO46" s="313"/>
      <c r="AP46" s="313"/>
      <c r="AQ46" s="316">
        <v>10</v>
      </c>
      <c r="AR46" s="315">
        <v>17</v>
      </c>
      <c r="AS46" s="314">
        <v>27</v>
      </c>
      <c r="AT46" s="319">
        <v>15</v>
      </c>
      <c r="AU46" s="315"/>
      <c r="AV46" s="315">
        <v>1</v>
      </c>
      <c r="AW46" s="315">
        <v>15</v>
      </c>
      <c r="AX46" s="315">
        <v>2</v>
      </c>
      <c r="AY46" s="315">
        <v>0</v>
      </c>
      <c r="AZ46" s="315">
        <v>5</v>
      </c>
      <c r="BA46" s="315"/>
      <c r="BB46" s="315"/>
      <c r="BC46" s="318">
        <v>38</v>
      </c>
      <c r="BD46" s="317">
        <v>62</v>
      </c>
      <c r="BE46" s="313">
        <v>3</v>
      </c>
      <c r="BF46" s="316">
        <v>57</v>
      </c>
      <c r="BG46" s="315">
        <v>111</v>
      </c>
      <c r="BH46" s="315">
        <v>1308</v>
      </c>
      <c r="BI46" s="315">
        <v>33</v>
      </c>
      <c r="BJ46" s="315">
        <v>12</v>
      </c>
      <c r="BK46" s="314">
        <v>1521</v>
      </c>
      <c r="BL46" s="313">
        <v>3</v>
      </c>
      <c r="BM46" s="313"/>
      <c r="BN46" s="313">
        <v>87</v>
      </c>
      <c r="BO46" s="313">
        <v>5</v>
      </c>
      <c r="BP46" s="316">
        <v>21</v>
      </c>
      <c r="BQ46" s="315">
        <v>0</v>
      </c>
      <c r="BR46" s="314">
        <v>21</v>
      </c>
      <c r="BS46" s="313"/>
      <c r="BT46" s="316">
        <v>71</v>
      </c>
      <c r="BU46" s="315"/>
      <c r="BV46" s="314">
        <v>71</v>
      </c>
      <c r="BW46" s="319">
        <v>14</v>
      </c>
      <c r="BX46" s="315">
        <v>1</v>
      </c>
      <c r="BY46" s="315">
        <v>9</v>
      </c>
      <c r="BZ46" s="315">
        <v>4</v>
      </c>
      <c r="CA46" s="315">
        <v>25</v>
      </c>
      <c r="CB46" s="315"/>
      <c r="CC46" s="315">
        <v>9</v>
      </c>
      <c r="CD46" s="315"/>
      <c r="CE46" s="315">
        <v>3</v>
      </c>
      <c r="CF46" s="315">
        <v>30</v>
      </c>
      <c r="CG46" s="315">
        <v>6</v>
      </c>
      <c r="CH46" s="315">
        <v>28</v>
      </c>
      <c r="CI46" s="315"/>
      <c r="CJ46" s="315"/>
      <c r="CK46" s="315">
        <v>6</v>
      </c>
      <c r="CL46" s="315"/>
      <c r="CM46" s="318">
        <v>135</v>
      </c>
      <c r="CN46" s="316">
        <v>3</v>
      </c>
      <c r="CO46" s="315">
        <v>280</v>
      </c>
      <c r="CP46" s="314">
        <v>283</v>
      </c>
      <c r="CQ46" s="313">
        <v>2</v>
      </c>
      <c r="CR46" s="316">
        <v>52</v>
      </c>
      <c r="CS46" s="315">
        <v>7</v>
      </c>
      <c r="CT46" s="315">
        <v>97745</v>
      </c>
      <c r="CU46" s="315">
        <v>275</v>
      </c>
      <c r="CV46" s="315">
        <v>17538</v>
      </c>
      <c r="CW46" s="315">
        <v>331</v>
      </c>
      <c r="CX46" s="315">
        <v>19</v>
      </c>
      <c r="CY46" s="315">
        <v>16</v>
      </c>
      <c r="CZ46" s="315">
        <v>2</v>
      </c>
      <c r="DA46" s="315"/>
      <c r="DB46" s="315"/>
      <c r="DC46" s="314">
        <v>115985</v>
      </c>
      <c r="DD46" s="319">
        <v>1179</v>
      </c>
      <c r="DE46" s="315">
        <v>167</v>
      </c>
      <c r="DF46" s="315">
        <v>55</v>
      </c>
      <c r="DG46" s="315">
        <v>222</v>
      </c>
      <c r="DH46" s="315">
        <v>9</v>
      </c>
      <c r="DI46" s="315">
        <v>1</v>
      </c>
      <c r="DJ46" s="315"/>
      <c r="DK46" s="318">
        <v>1633</v>
      </c>
      <c r="DL46" s="317"/>
      <c r="DM46" s="313"/>
      <c r="DN46" s="316"/>
      <c r="DO46" s="315">
        <v>1</v>
      </c>
      <c r="DP46" s="314">
        <v>1</v>
      </c>
      <c r="DQ46" s="313">
        <v>199</v>
      </c>
      <c r="DR46" s="316"/>
      <c r="DS46" s="315"/>
      <c r="DT46" s="314"/>
      <c r="DU46" s="319">
        <v>183</v>
      </c>
      <c r="DV46" s="315">
        <v>68</v>
      </c>
      <c r="DW46" s="318">
        <v>251</v>
      </c>
      <c r="DX46" s="317">
        <v>26</v>
      </c>
      <c r="DY46" s="313">
        <v>1</v>
      </c>
      <c r="DZ46" s="313">
        <v>42</v>
      </c>
      <c r="EA46" s="313">
        <v>61</v>
      </c>
      <c r="EB46" s="313"/>
      <c r="EC46" s="316">
        <v>26</v>
      </c>
      <c r="ED46" s="315">
        <v>309</v>
      </c>
      <c r="EE46" s="315">
        <v>8</v>
      </c>
      <c r="EF46" s="315"/>
      <c r="EG46" s="315"/>
      <c r="EH46" s="314">
        <v>343</v>
      </c>
      <c r="EI46" s="319">
        <v>93</v>
      </c>
      <c r="EJ46" s="315">
        <v>512</v>
      </c>
      <c r="EK46" s="315">
        <v>51</v>
      </c>
      <c r="EL46" s="315">
        <v>51</v>
      </c>
      <c r="EM46" s="315">
        <v>422</v>
      </c>
      <c r="EN46" s="315">
        <v>5</v>
      </c>
      <c r="EO46" s="315">
        <v>8</v>
      </c>
      <c r="EP46" s="315">
        <v>110</v>
      </c>
      <c r="EQ46" s="315"/>
      <c r="ER46" s="315"/>
      <c r="ES46" s="315">
        <v>11</v>
      </c>
      <c r="ET46" s="315"/>
      <c r="EU46" s="315"/>
      <c r="EV46" s="318">
        <v>1263</v>
      </c>
      <c r="EW46" s="317"/>
      <c r="EX46" s="313">
        <v>3</v>
      </c>
      <c r="EY46" s="316">
        <v>1</v>
      </c>
      <c r="EZ46" s="315"/>
      <c r="FA46" s="315"/>
      <c r="FB46" s="314">
        <v>1</v>
      </c>
      <c r="FC46" s="319">
        <v>18</v>
      </c>
      <c r="FD46" s="315"/>
      <c r="FE46" s="318">
        <v>18</v>
      </c>
      <c r="FF46" s="317">
        <v>10</v>
      </c>
      <c r="FG46" s="319">
        <v>18</v>
      </c>
      <c r="FH46" s="315">
        <v>22</v>
      </c>
      <c r="FI46" s="315">
        <v>0</v>
      </c>
      <c r="FJ46" s="315">
        <v>10</v>
      </c>
      <c r="FK46" s="318">
        <v>50</v>
      </c>
      <c r="FL46" s="316">
        <v>0</v>
      </c>
      <c r="FM46" s="315"/>
      <c r="FN46" s="314">
        <v>0</v>
      </c>
      <c r="FO46" s="319"/>
      <c r="FP46" s="315"/>
      <c r="FQ46" s="318"/>
      <c r="FR46" s="317"/>
      <c r="FS46" s="313">
        <v>35</v>
      </c>
      <c r="FT46" s="316">
        <v>12</v>
      </c>
      <c r="FU46" s="315">
        <v>43</v>
      </c>
      <c r="FV46" s="315">
        <v>6</v>
      </c>
      <c r="FW46" s="315">
        <v>8</v>
      </c>
      <c r="FX46" s="315"/>
      <c r="FY46" s="314">
        <v>69</v>
      </c>
      <c r="FZ46" s="313"/>
      <c r="GA46" s="316">
        <v>313</v>
      </c>
      <c r="GB46" s="315"/>
      <c r="GC46" s="314">
        <v>313</v>
      </c>
      <c r="GD46" s="313"/>
      <c r="GE46" s="316">
        <v>127</v>
      </c>
      <c r="GF46" s="315">
        <v>50</v>
      </c>
      <c r="GG46" s="315"/>
      <c r="GH46" s="314">
        <v>177</v>
      </c>
      <c r="GI46" s="313">
        <v>106</v>
      </c>
      <c r="GJ46" s="316">
        <v>1</v>
      </c>
      <c r="GK46" s="315">
        <v>1</v>
      </c>
      <c r="GL46" s="315">
        <v>42</v>
      </c>
      <c r="GM46" s="315"/>
      <c r="GN46" s="314">
        <v>44</v>
      </c>
      <c r="GO46" s="313">
        <v>142785</v>
      </c>
      <c r="GP46" s="312">
        <f>142785/44564395</f>
        <v>3.2040152233638536E-3</v>
      </c>
    </row>
    <row r="47" spans="2:198" ht="12.75" thickBot="1" x14ac:dyDescent="0.25">
      <c r="B47" s="311" t="s">
        <v>547</v>
      </c>
      <c r="C47" s="310">
        <v>1572</v>
      </c>
      <c r="D47" s="129">
        <v>255</v>
      </c>
      <c r="E47" s="129">
        <v>612</v>
      </c>
      <c r="F47" s="129">
        <v>234</v>
      </c>
      <c r="G47" s="309">
        <v>2673</v>
      </c>
      <c r="H47" s="141"/>
      <c r="I47" s="138">
        <v>309332</v>
      </c>
      <c r="J47" s="129">
        <v>120</v>
      </c>
      <c r="K47" s="139">
        <v>309452</v>
      </c>
      <c r="L47" s="141"/>
      <c r="M47" s="135">
        <v>57469</v>
      </c>
      <c r="N47" s="141">
        <v>164977</v>
      </c>
      <c r="O47" s="129">
        <v>10366</v>
      </c>
      <c r="P47" s="129">
        <v>293</v>
      </c>
      <c r="Q47" s="129">
        <v>11010</v>
      </c>
      <c r="R47" s="129">
        <v>213</v>
      </c>
      <c r="S47" s="129">
        <v>11</v>
      </c>
      <c r="T47" s="129"/>
      <c r="U47" s="129">
        <v>5</v>
      </c>
      <c r="V47" s="133">
        <v>186875</v>
      </c>
      <c r="W47" s="138">
        <v>5864</v>
      </c>
      <c r="X47" s="129">
        <v>2419</v>
      </c>
      <c r="Y47" s="139">
        <v>8283</v>
      </c>
      <c r="Z47" s="131">
        <v>24100</v>
      </c>
      <c r="AA47" s="129">
        <v>17</v>
      </c>
      <c r="AB47" s="129">
        <v>8</v>
      </c>
      <c r="AC47" s="133">
        <v>24125</v>
      </c>
      <c r="AD47" s="138">
        <v>6582</v>
      </c>
      <c r="AE47" s="129">
        <v>14</v>
      </c>
      <c r="AF47" s="139">
        <v>6596</v>
      </c>
      <c r="AG47" s="131">
        <v>50</v>
      </c>
      <c r="AH47" s="129">
        <v>5</v>
      </c>
      <c r="AI47" s="129">
        <v>158</v>
      </c>
      <c r="AJ47" s="129">
        <v>14</v>
      </c>
      <c r="AK47" s="133">
        <v>227</v>
      </c>
      <c r="AL47" s="138">
        <v>97</v>
      </c>
      <c r="AM47" s="129"/>
      <c r="AN47" s="139">
        <v>97</v>
      </c>
      <c r="AO47" s="135"/>
      <c r="AP47" s="135"/>
      <c r="AQ47" s="131">
        <v>228</v>
      </c>
      <c r="AR47" s="129">
        <v>798</v>
      </c>
      <c r="AS47" s="133">
        <v>1026</v>
      </c>
      <c r="AT47" s="138">
        <v>602</v>
      </c>
      <c r="AU47" s="129">
        <v>0</v>
      </c>
      <c r="AV47" s="129">
        <v>2027</v>
      </c>
      <c r="AW47" s="129">
        <v>275</v>
      </c>
      <c r="AX47" s="129">
        <v>2</v>
      </c>
      <c r="AY47" s="129">
        <v>0</v>
      </c>
      <c r="AZ47" s="129">
        <v>63</v>
      </c>
      <c r="BA47" s="129">
        <v>73</v>
      </c>
      <c r="BB47" s="129"/>
      <c r="BC47" s="139">
        <v>3042</v>
      </c>
      <c r="BD47" s="141">
        <v>24266</v>
      </c>
      <c r="BE47" s="135">
        <v>45</v>
      </c>
      <c r="BF47" s="131">
        <v>2468</v>
      </c>
      <c r="BG47" s="129">
        <v>3039</v>
      </c>
      <c r="BH47" s="129">
        <v>16708</v>
      </c>
      <c r="BI47" s="129">
        <v>256</v>
      </c>
      <c r="BJ47" s="129">
        <v>49</v>
      </c>
      <c r="BK47" s="133">
        <v>22520</v>
      </c>
      <c r="BL47" s="135">
        <v>9</v>
      </c>
      <c r="BM47" s="135"/>
      <c r="BN47" s="135">
        <v>153</v>
      </c>
      <c r="BO47" s="135">
        <v>24</v>
      </c>
      <c r="BP47" s="131">
        <v>111</v>
      </c>
      <c r="BQ47" s="129">
        <v>0</v>
      </c>
      <c r="BR47" s="133">
        <v>111</v>
      </c>
      <c r="BS47" s="135">
        <v>64</v>
      </c>
      <c r="BT47" s="131">
        <v>100070</v>
      </c>
      <c r="BU47" s="129">
        <v>406</v>
      </c>
      <c r="BV47" s="133">
        <v>100476</v>
      </c>
      <c r="BW47" s="138">
        <v>59</v>
      </c>
      <c r="BX47" s="129">
        <v>6</v>
      </c>
      <c r="BY47" s="129">
        <v>719</v>
      </c>
      <c r="BZ47" s="129">
        <v>431</v>
      </c>
      <c r="CA47" s="129">
        <v>335</v>
      </c>
      <c r="CB47" s="129">
        <v>176</v>
      </c>
      <c r="CC47" s="129">
        <v>402</v>
      </c>
      <c r="CD47" s="129">
        <v>10</v>
      </c>
      <c r="CE47" s="129">
        <v>204</v>
      </c>
      <c r="CF47" s="129">
        <v>513</v>
      </c>
      <c r="CG47" s="129">
        <v>512</v>
      </c>
      <c r="CH47" s="129">
        <v>30</v>
      </c>
      <c r="CI47" s="129"/>
      <c r="CJ47" s="129">
        <v>228</v>
      </c>
      <c r="CK47" s="129">
        <v>155</v>
      </c>
      <c r="CL47" s="129">
        <v>34</v>
      </c>
      <c r="CM47" s="139">
        <v>3814</v>
      </c>
      <c r="CN47" s="131">
        <v>29246</v>
      </c>
      <c r="CO47" s="129">
        <v>280</v>
      </c>
      <c r="CP47" s="133">
        <v>29526</v>
      </c>
      <c r="CQ47" s="135">
        <v>12349</v>
      </c>
      <c r="CR47" s="131">
        <v>1511</v>
      </c>
      <c r="CS47" s="129">
        <v>1710</v>
      </c>
      <c r="CT47" s="129">
        <v>1761376</v>
      </c>
      <c r="CU47" s="129">
        <v>3864</v>
      </c>
      <c r="CV47" s="129">
        <v>230355</v>
      </c>
      <c r="CW47" s="129">
        <v>8327</v>
      </c>
      <c r="CX47" s="129">
        <v>5017</v>
      </c>
      <c r="CY47" s="129">
        <v>946</v>
      </c>
      <c r="CZ47" s="129">
        <v>274</v>
      </c>
      <c r="DA47" s="129">
        <v>2</v>
      </c>
      <c r="DB47" s="129">
        <v>436</v>
      </c>
      <c r="DC47" s="133">
        <v>2013818</v>
      </c>
      <c r="DD47" s="138">
        <v>67031</v>
      </c>
      <c r="DE47" s="129">
        <v>4592</v>
      </c>
      <c r="DF47" s="129">
        <v>523</v>
      </c>
      <c r="DG47" s="129">
        <v>1069</v>
      </c>
      <c r="DH47" s="129">
        <v>682</v>
      </c>
      <c r="DI47" s="129">
        <v>5</v>
      </c>
      <c r="DJ47" s="129">
        <v>1</v>
      </c>
      <c r="DK47" s="139">
        <v>73903</v>
      </c>
      <c r="DL47" s="141"/>
      <c r="DM47" s="135"/>
      <c r="DN47" s="131">
        <v>9</v>
      </c>
      <c r="DO47" s="129">
        <v>1</v>
      </c>
      <c r="DP47" s="133">
        <v>10</v>
      </c>
      <c r="DQ47" s="135">
        <v>756</v>
      </c>
      <c r="DR47" s="131"/>
      <c r="DS47" s="129"/>
      <c r="DT47" s="133"/>
      <c r="DU47" s="138">
        <v>7043</v>
      </c>
      <c r="DV47" s="129">
        <v>70</v>
      </c>
      <c r="DW47" s="139">
        <v>7113</v>
      </c>
      <c r="DX47" s="141">
        <v>452</v>
      </c>
      <c r="DY47" s="135">
        <v>7</v>
      </c>
      <c r="DZ47" s="135">
        <v>462</v>
      </c>
      <c r="EA47" s="135">
        <v>62</v>
      </c>
      <c r="EB47" s="135"/>
      <c r="EC47" s="131">
        <v>976</v>
      </c>
      <c r="ED47" s="129">
        <v>4318</v>
      </c>
      <c r="EE47" s="129">
        <v>424</v>
      </c>
      <c r="EF47" s="129"/>
      <c r="EG47" s="129"/>
      <c r="EH47" s="133">
        <v>5718</v>
      </c>
      <c r="EI47" s="138">
        <v>628</v>
      </c>
      <c r="EJ47" s="129">
        <v>22906</v>
      </c>
      <c r="EK47" s="129">
        <v>1061</v>
      </c>
      <c r="EL47" s="129">
        <v>1462</v>
      </c>
      <c r="EM47" s="129">
        <v>8304</v>
      </c>
      <c r="EN47" s="129">
        <v>43</v>
      </c>
      <c r="EO47" s="129">
        <v>156</v>
      </c>
      <c r="EP47" s="129">
        <v>1092</v>
      </c>
      <c r="EQ47" s="129">
        <v>81</v>
      </c>
      <c r="ER47" s="129">
        <v>29</v>
      </c>
      <c r="ES47" s="129">
        <v>74</v>
      </c>
      <c r="ET47" s="129">
        <v>42</v>
      </c>
      <c r="EU47" s="129">
        <v>1</v>
      </c>
      <c r="EV47" s="139">
        <v>35879</v>
      </c>
      <c r="EW47" s="141"/>
      <c r="EX47" s="135">
        <v>44</v>
      </c>
      <c r="EY47" s="131">
        <v>5</v>
      </c>
      <c r="EZ47" s="129">
        <v>20</v>
      </c>
      <c r="FA47" s="129">
        <v>68</v>
      </c>
      <c r="FB47" s="133">
        <v>93</v>
      </c>
      <c r="FC47" s="138">
        <v>69</v>
      </c>
      <c r="FD47" s="129">
        <v>0</v>
      </c>
      <c r="FE47" s="139">
        <v>69</v>
      </c>
      <c r="FF47" s="141">
        <v>68</v>
      </c>
      <c r="FG47" s="138">
        <v>959</v>
      </c>
      <c r="FH47" s="129">
        <v>57</v>
      </c>
      <c r="FI47" s="129">
        <v>324</v>
      </c>
      <c r="FJ47" s="129">
        <v>826</v>
      </c>
      <c r="FK47" s="139">
        <v>2166</v>
      </c>
      <c r="FL47" s="131">
        <v>0</v>
      </c>
      <c r="FM47" s="129"/>
      <c r="FN47" s="133">
        <v>0</v>
      </c>
      <c r="FO47" s="138">
        <v>1668</v>
      </c>
      <c r="FP47" s="129"/>
      <c r="FQ47" s="139">
        <v>1668</v>
      </c>
      <c r="FR47" s="141"/>
      <c r="FS47" s="135">
        <v>11949</v>
      </c>
      <c r="FT47" s="131">
        <v>267</v>
      </c>
      <c r="FU47" s="129">
        <v>1236</v>
      </c>
      <c r="FV47" s="129">
        <v>477</v>
      </c>
      <c r="FW47" s="129">
        <v>111</v>
      </c>
      <c r="FX47" s="129"/>
      <c r="FY47" s="133">
        <v>2091</v>
      </c>
      <c r="FZ47" s="135"/>
      <c r="GA47" s="131">
        <v>3603</v>
      </c>
      <c r="GB47" s="129">
        <v>46</v>
      </c>
      <c r="GC47" s="133">
        <v>3649</v>
      </c>
      <c r="GD47" s="135"/>
      <c r="GE47" s="131">
        <v>435252</v>
      </c>
      <c r="GF47" s="129">
        <v>154</v>
      </c>
      <c r="GG47" s="129">
        <v>133</v>
      </c>
      <c r="GH47" s="133">
        <v>435539</v>
      </c>
      <c r="GI47" s="135">
        <v>2626</v>
      </c>
      <c r="GJ47" s="131">
        <v>1397</v>
      </c>
      <c r="GK47" s="129">
        <v>5</v>
      </c>
      <c r="GL47" s="129">
        <v>1142</v>
      </c>
      <c r="GM47" s="129">
        <v>134</v>
      </c>
      <c r="GN47" s="133">
        <v>2678</v>
      </c>
      <c r="GO47" s="135">
        <v>3394042</v>
      </c>
      <c r="GP47" s="308">
        <f>3394042/44564395</f>
        <v>7.6160396657466128E-2</v>
      </c>
    </row>
    <row r="48" spans="2:198" ht="12.75" thickBot="1" x14ac:dyDescent="0.25">
      <c r="B48" s="311" t="s">
        <v>548</v>
      </c>
      <c r="C48" s="310">
        <v>50839</v>
      </c>
      <c r="D48" s="129">
        <v>285</v>
      </c>
      <c r="E48" s="129">
        <v>612</v>
      </c>
      <c r="F48" s="129">
        <v>249</v>
      </c>
      <c r="G48" s="309">
        <v>51985</v>
      </c>
      <c r="H48" s="141"/>
      <c r="I48" s="138">
        <v>309600</v>
      </c>
      <c r="J48" s="129">
        <v>120</v>
      </c>
      <c r="K48" s="139">
        <v>309720</v>
      </c>
      <c r="L48" s="141"/>
      <c r="M48" s="135">
        <v>170488</v>
      </c>
      <c r="N48" s="141">
        <v>664818</v>
      </c>
      <c r="O48" s="129">
        <v>10466</v>
      </c>
      <c r="P48" s="129">
        <v>719</v>
      </c>
      <c r="Q48" s="129">
        <v>11375</v>
      </c>
      <c r="R48" s="129">
        <v>227</v>
      </c>
      <c r="S48" s="129">
        <v>222</v>
      </c>
      <c r="T48" s="129">
        <v>14</v>
      </c>
      <c r="U48" s="129">
        <v>125</v>
      </c>
      <c r="V48" s="133">
        <v>687966</v>
      </c>
      <c r="W48" s="138">
        <v>5901</v>
      </c>
      <c r="X48" s="129">
        <v>2430</v>
      </c>
      <c r="Y48" s="139">
        <v>8331</v>
      </c>
      <c r="Z48" s="131">
        <v>56718</v>
      </c>
      <c r="AA48" s="129">
        <v>28</v>
      </c>
      <c r="AB48" s="129">
        <v>15</v>
      </c>
      <c r="AC48" s="133">
        <v>56761</v>
      </c>
      <c r="AD48" s="138">
        <v>32341</v>
      </c>
      <c r="AE48" s="129">
        <v>39</v>
      </c>
      <c r="AF48" s="139">
        <v>32380</v>
      </c>
      <c r="AG48" s="131">
        <v>163</v>
      </c>
      <c r="AH48" s="129">
        <v>7</v>
      </c>
      <c r="AI48" s="129">
        <v>182</v>
      </c>
      <c r="AJ48" s="129">
        <v>14</v>
      </c>
      <c r="AK48" s="133">
        <v>366</v>
      </c>
      <c r="AL48" s="138">
        <v>715</v>
      </c>
      <c r="AM48" s="129"/>
      <c r="AN48" s="139">
        <v>715</v>
      </c>
      <c r="AO48" s="135"/>
      <c r="AP48" s="135"/>
      <c r="AQ48" s="131">
        <v>4894</v>
      </c>
      <c r="AR48" s="129">
        <v>899</v>
      </c>
      <c r="AS48" s="133">
        <v>5793</v>
      </c>
      <c r="AT48" s="138">
        <v>619</v>
      </c>
      <c r="AU48" s="129">
        <v>0</v>
      </c>
      <c r="AV48" s="129">
        <v>2029</v>
      </c>
      <c r="AW48" s="129">
        <v>283</v>
      </c>
      <c r="AX48" s="129">
        <v>4</v>
      </c>
      <c r="AY48" s="129">
        <v>57</v>
      </c>
      <c r="AZ48" s="129">
        <v>63</v>
      </c>
      <c r="BA48" s="129">
        <v>73</v>
      </c>
      <c r="BB48" s="129"/>
      <c r="BC48" s="139">
        <v>3128</v>
      </c>
      <c r="BD48" s="141">
        <v>24277</v>
      </c>
      <c r="BE48" s="135">
        <v>1960</v>
      </c>
      <c r="BF48" s="131">
        <v>3968</v>
      </c>
      <c r="BG48" s="129">
        <v>4493</v>
      </c>
      <c r="BH48" s="129">
        <v>28073</v>
      </c>
      <c r="BI48" s="129">
        <v>366</v>
      </c>
      <c r="BJ48" s="129">
        <v>122</v>
      </c>
      <c r="BK48" s="133">
        <v>37022</v>
      </c>
      <c r="BL48" s="135">
        <v>36</v>
      </c>
      <c r="BM48" s="135"/>
      <c r="BN48" s="135">
        <v>159</v>
      </c>
      <c r="BO48" s="135">
        <v>35</v>
      </c>
      <c r="BP48" s="131">
        <v>10371</v>
      </c>
      <c r="BQ48" s="129">
        <v>30173</v>
      </c>
      <c r="BR48" s="133">
        <v>40544</v>
      </c>
      <c r="BS48" s="135">
        <v>67</v>
      </c>
      <c r="BT48" s="131">
        <v>100391</v>
      </c>
      <c r="BU48" s="129">
        <v>49063</v>
      </c>
      <c r="BV48" s="133">
        <v>149454</v>
      </c>
      <c r="BW48" s="138">
        <v>11846</v>
      </c>
      <c r="BX48" s="129">
        <v>1301</v>
      </c>
      <c r="BY48" s="129">
        <v>978</v>
      </c>
      <c r="BZ48" s="129">
        <v>481</v>
      </c>
      <c r="CA48" s="129">
        <v>364</v>
      </c>
      <c r="CB48" s="129">
        <v>325</v>
      </c>
      <c r="CC48" s="129">
        <v>453</v>
      </c>
      <c r="CD48" s="129">
        <v>18346</v>
      </c>
      <c r="CE48" s="129">
        <v>315</v>
      </c>
      <c r="CF48" s="129">
        <v>696</v>
      </c>
      <c r="CG48" s="129">
        <v>742</v>
      </c>
      <c r="CH48" s="129">
        <v>69281</v>
      </c>
      <c r="CI48" s="129">
        <v>518</v>
      </c>
      <c r="CJ48" s="129">
        <v>229</v>
      </c>
      <c r="CK48" s="129">
        <v>156</v>
      </c>
      <c r="CL48" s="129">
        <v>34</v>
      </c>
      <c r="CM48" s="139">
        <v>106065</v>
      </c>
      <c r="CN48" s="131">
        <v>29259</v>
      </c>
      <c r="CO48" s="129">
        <v>280</v>
      </c>
      <c r="CP48" s="133">
        <v>29539</v>
      </c>
      <c r="CQ48" s="135">
        <v>12457</v>
      </c>
      <c r="CR48" s="131">
        <v>2928</v>
      </c>
      <c r="CS48" s="129">
        <v>1824</v>
      </c>
      <c r="CT48" s="129">
        <v>3482365</v>
      </c>
      <c r="CU48" s="129">
        <v>6444</v>
      </c>
      <c r="CV48" s="129">
        <v>1333844</v>
      </c>
      <c r="CW48" s="129">
        <v>9323</v>
      </c>
      <c r="CX48" s="129">
        <v>5205</v>
      </c>
      <c r="CY48" s="129">
        <v>991</v>
      </c>
      <c r="CZ48" s="129">
        <v>278</v>
      </c>
      <c r="DA48" s="129">
        <v>2</v>
      </c>
      <c r="DB48" s="129">
        <v>449</v>
      </c>
      <c r="DC48" s="133">
        <v>4843653</v>
      </c>
      <c r="DD48" s="138">
        <v>103519</v>
      </c>
      <c r="DE48" s="129">
        <v>4700</v>
      </c>
      <c r="DF48" s="129">
        <v>834</v>
      </c>
      <c r="DG48" s="129">
        <v>1964</v>
      </c>
      <c r="DH48" s="129">
        <v>697</v>
      </c>
      <c r="DI48" s="129">
        <v>42</v>
      </c>
      <c r="DJ48" s="129">
        <v>1</v>
      </c>
      <c r="DK48" s="139">
        <v>111757</v>
      </c>
      <c r="DL48" s="141">
        <v>5</v>
      </c>
      <c r="DM48" s="135"/>
      <c r="DN48" s="131">
        <v>9</v>
      </c>
      <c r="DO48" s="129">
        <v>1</v>
      </c>
      <c r="DP48" s="133">
        <v>10</v>
      </c>
      <c r="DQ48" s="135">
        <v>2053</v>
      </c>
      <c r="DR48" s="131">
        <v>63283</v>
      </c>
      <c r="DS48" s="129">
        <v>1417</v>
      </c>
      <c r="DT48" s="133">
        <v>64700</v>
      </c>
      <c r="DU48" s="138">
        <v>7487</v>
      </c>
      <c r="DV48" s="129">
        <v>79</v>
      </c>
      <c r="DW48" s="139">
        <v>7566</v>
      </c>
      <c r="DX48" s="141">
        <v>691</v>
      </c>
      <c r="DY48" s="135">
        <v>11</v>
      </c>
      <c r="DZ48" s="135">
        <v>1613</v>
      </c>
      <c r="EA48" s="135">
        <v>68</v>
      </c>
      <c r="EB48" s="135">
        <v>2</v>
      </c>
      <c r="EC48" s="131">
        <v>20355</v>
      </c>
      <c r="ED48" s="129">
        <v>9612</v>
      </c>
      <c r="EE48" s="129">
        <v>428</v>
      </c>
      <c r="EF48" s="129">
        <v>31</v>
      </c>
      <c r="EG48" s="129">
        <v>53</v>
      </c>
      <c r="EH48" s="133">
        <v>30479</v>
      </c>
      <c r="EI48" s="138">
        <v>3610</v>
      </c>
      <c r="EJ48" s="129">
        <v>80451</v>
      </c>
      <c r="EK48" s="129">
        <v>1437</v>
      </c>
      <c r="EL48" s="129">
        <v>7054</v>
      </c>
      <c r="EM48" s="129">
        <v>38333</v>
      </c>
      <c r="EN48" s="129">
        <v>164</v>
      </c>
      <c r="EO48" s="129">
        <v>256</v>
      </c>
      <c r="EP48" s="129">
        <v>4714</v>
      </c>
      <c r="EQ48" s="129">
        <v>285</v>
      </c>
      <c r="ER48" s="129">
        <v>67</v>
      </c>
      <c r="ES48" s="129">
        <v>227</v>
      </c>
      <c r="ET48" s="129">
        <v>42</v>
      </c>
      <c r="EU48" s="129">
        <v>4</v>
      </c>
      <c r="EV48" s="139">
        <v>136644</v>
      </c>
      <c r="EW48" s="141"/>
      <c r="EX48" s="135">
        <v>51</v>
      </c>
      <c r="EY48" s="131">
        <v>265</v>
      </c>
      <c r="EZ48" s="129">
        <v>29</v>
      </c>
      <c r="FA48" s="129">
        <v>68</v>
      </c>
      <c r="FB48" s="133">
        <v>362</v>
      </c>
      <c r="FC48" s="138">
        <v>79</v>
      </c>
      <c r="FD48" s="129">
        <v>2</v>
      </c>
      <c r="FE48" s="139">
        <v>81</v>
      </c>
      <c r="FF48" s="141">
        <v>114</v>
      </c>
      <c r="FG48" s="138">
        <v>2949</v>
      </c>
      <c r="FH48" s="129">
        <v>17648</v>
      </c>
      <c r="FI48" s="129">
        <v>448</v>
      </c>
      <c r="FJ48" s="129">
        <v>1534</v>
      </c>
      <c r="FK48" s="139">
        <v>22579</v>
      </c>
      <c r="FL48" s="131">
        <v>0</v>
      </c>
      <c r="FM48" s="129">
        <v>332</v>
      </c>
      <c r="FN48" s="133">
        <v>332</v>
      </c>
      <c r="FO48" s="138">
        <v>1687</v>
      </c>
      <c r="FP48" s="129"/>
      <c r="FQ48" s="139">
        <v>1687</v>
      </c>
      <c r="FR48" s="141">
        <v>10</v>
      </c>
      <c r="FS48" s="135">
        <v>617851</v>
      </c>
      <c r="FT48" s="131">
        <v>762</v>
      </c>
      <c r="FU48" s="129">
        <v>1465</v>
      </c>
      <c r="FV48" s="129">
        <v>479</v>
      </c>
      <c r="FW48" s="129">
        <v>121</v>
      </c>
      <c r="FX48" s="129"/>
      <c r="FY48" s="133">
        <v>2827</v>
      </c>
      <c r="FZ48" s="135"/>
      <c r="GA48" s="131">
        <v>316083</v>
      </c>
      <c r="GB48" s="129">
        <v>70</v>
      </c>
      <c r="GC48" s="133">
        <v>316153</v>
      </c>
      <c r="GD48" s="135"/>
      <c r="GE48" s="131">
        <v>435415</v>
      </c>
      <c r="GF48" s="129">
        <v>159</v>
      </c>
      <c r="GG48" s="129">
        <v>133</v>
      </c>
      <c r="GH48" s="133">
        <v>435707</v>
      </c>
      <c r="GI48" s="135">
        <v>3566</v>
      </c>
      <c r="GJ48" s="131">
        <v>1402</v>
      </c>
      <c r="GK48" s="129">
        <v>9</v>
      </c>
      <c r="GL48" s="129">
        <v>1470</v>
      </c>
      <c r="GM48" s="129">
        <v>136</v>
      </c>
      <c r="GN48" s="133">
        <v>3017</v>
      </c>
      <c r="GO48" s="135">
        <v>8332837</v>
      </c>
      <c r="GP48" s="308">
        <f>8332837/44564395</f>
        <v>0.1869841832251958</v>
      </c>
    </row>
    <row r="49" spans="2:198" x14ac:dyDescent="0.2">
      <c r="B49" s="322" t="s">
        <v>22</v>
      </c>
      <c r="C49" s="321">
        <v>59878</v>
      </c>
      <c r="D49" s="315">
        <v>0</v>
      </c>
      <c r="E49" s="315"/>
      <c r="F49" s="315"/>
      <c r="G49" s="320">
        <v>59878</v>
      </c>
      <c r="H49" s="317"/>
      <c r="I49" s="319">
        <v>314</v>
      </c>
      <c r="J49" s="315"/>
      <c r="K49" s="318">
        <v>314</v>
      </c>
      <c r="L49" s="317">
        <v>0</v>
      </c>
      <c r="M49" s="313">
        <v>112178</v>
      </c>
      <c r="N49" s="317">
        <v>2807613</v>
      </c>
      <c r="O49" s="315">
        <v>1323</v>
      </c>
      <c r="P49" s="315">
        <v>2035</v>
      </c>
      <c r="Q49" s="315">
        <v>11325</v>
      </c>
      <c r="R49" s="315">
        <v>114</v>
      </c>
      <c r="S49" s="315">
        <v>20</v>
      </c>
      <c r="T49" s="315">
        <v>1</v>
      </c>
      <c r="U49" s="315">
        <v>20</v>
      </c>
      <c r="V49" s="314">
        <v>2822451</v>
      </c>
      <c r="W49" s="319">
        <v>533</v>
      </c>
      <c r="X49" s="315">
        <v>267</v>
      </c>
      <c r="Y49" s="318">
        <v>800</v>
      </c>
      <c r="Z49" s="316">
        <v>5741</v>
      </c>
      <c r="AA49" s="315"/>
      <c r="AB49" s="315">
        <v>6</v>
      </c>
      <c r="AC49" s="314">
        <v>5747</v>
      </c>
      <c r="AD49" s="319">
        <v>35718</v>
      </c>
      <c r="AE49" s="315">
        <v>65</v>
      </c>
      <c r="AF49" s="318">
        <v>35783</v>
      </c>
      <c r="AG49" s="316">
        <v>1738</v>
      </c>
      <c r="AH49" s="315">
        <v>3810</v>
      </c>
      <c r="AI49" s="315"/>
      <c r="AJ49" s="315"/>
      <c r="AK49" s="314">
        <v>5548</v>
      </c>
      <c r="AL49" s="319">
        <v>1</v>
      </c>
      <c r="AM49" s="315"/>
      <c r="AN49" s="318">
        <v>1</v>
      </c>
      <c r="AO49" s="313"/>
      <c r="AP49" s="313">
        <v>3</v>
      </c>
      <c r="AQ49" s="316">
        <v>156</v>
      </c>
      <c r="AR49" s="315">
        <v>11</v>
      </c>
      <c r="AS49" s="314">
        <v>167</v>
      </c>
      <c r="AT49" s="319">
        <v>503</v>
      </c>
      <c r="AU49" s="315">
        <v>12</v>
      </c>
      <c r="AV49" s="315">
        <v>218</v>
      </c>
      <c r="AW49" s="315"/>
      <c r="AX49" s="315">
        <v>15</v>
      </c>
      <c r="AY49" s="315">
        <v>5</v>
      </c>
      <c r="AZ49" s="315"/>
      <c r="BA49" s="315"/>
      <c r="BB49" s="315"/>
      <c r="BC49" s="318">
        <v>753</v>
      </c>
      <c r="BD49" s="317">
        <v>15</v>
      </c>
      <c r="BE49" s="313">
        <v>26550</v>
      </c>
      <c r="BF49" s="316">
        <v>8934</v>
      </c>
      <c r="BG49" s="315">
        <v>39309</v>
      </c>
      <c r="BH49" s="315">
        <v>298111</v>
      </c>
      <c r="BI49" s="315">
        <v>2583</v>
      </c>
      <c r="BJ49" s="315">
        <v>3397</v>
      </c>
      <c r="BK49" s="314">
        <v>352334</v>
      </c>
      <c r="BL49" s="313">
        <v>13180</v>
      </c>
      <c r="BM49" s="313"/>
      <c r="BN49" s="313">
        <v>91</v>
      </c>
      <c r="BO49" s="313">
        <v>489</v>
      </c>
      <c r="BP49" s="316">
        <v>39375</v>
      </c>
      <c r="BQ49" s="315">
        <v>2</v>
      </c>
      <c r="BR49" s="314">
        <v>39377</v>
      </c>
      <c r="BS49" s="313"/>
      <c r="BT49" s="316">
        <v>127</v>
      </c>
      <c r="BU49" s="315">
        <v>88</v>
      </c>
      <c r="BV49" s="314">
        <v>215</v>
      </c>
      <c r="BW49" s="319">
        <v>2800</v>
      </c>
      <c r="BX49" s="315">
        <v>14</v>
      </c>
      <c r="BY49" s="315">
        <v>18</v>
      </c>
      <c r="BZ49" s="315"/>
      <c r="CA49" s="315">
        <v>1</v>
      </c>
      <c r="CB49" s="315"/>
      <c r="CC49" s="315"/>
      <c r="CD49" s="315"/>
      <c r="CE49" s="315"/>
      <c r="CF49" s="315"/>
      <c r="CG49" s="315"/>
      <c r="CH49" s="315"/>
      <c r="CI49" s="315">
        <v>2</v>
      </c>
      <c r="CJ49" s="315"/>
      <c r="CK49" s="315"/>
      <c r="CL49" s="315">
        <v>1</v>
      </c>
      <c r="CM49" s="318">
        <v>2836</v>
      </c>
      <c r="CN49" s="316">
        <v>34</v>
      </c>
      <c r="CO49" s="315"/>
      <c r="CP49" s="314">
        <v>34</v>
      </c>
      <c r="CQ49" s="313">
        <v>9</v>
      </c>
      <c r="CR49" s="316">
        <v>1020</v>
      </c>
      <c r="CS49" s="315">
        <v>9</v>
      </c>
      <c r="CT49" s="315">
        <v>619673</v>
      </c>
      <c r="CU49" s="315">
        <v>21028</v>
      </c>
      <c r="CV49" s="315">
        <v>594923</v>
      </c>
      <c r="CW49" s="315">
        <v>7</v>
      </c>
      <c r="CX49" s="315">
        <v>13</v>
      </c>
      <c r="CY49" s="315">
        <v>59</v>
      </c>
      <c r="CZ49" s="315">
        <v>570</v>
      </c>
      <c r="DA49" s="315">
        <v>6</v>
      </c>
      <c r="DB49" s="315">
        <v>6</v>
      </c>
      <c r="DC49" s="314">
        <v>1237314</v>
      </c>
      <c r="DD49" s="319">
        <v>520111</v>
      </c>
      <c r="DE49" s="315">
        <v>29</v>
      </c>
      <c r="DF49" s="315">
        <v>4905</v>
      </c>
      <c r="DG49" s="315">
        <v>4729</v>
      </c>
      <c r="DH49" s="315">
        <v>121</v>
      </c>
      <c r="DI49" s="315">
        <v>220</v>
      </c>
      <c r="DJ49" s="315">
        <v>2</v>
      </c>
      <c r="DK49" s="318">
        <v>530117</v>
      </c>
      <c r="DL49" s="317">
        <v>8</v>
      </c>
      <c r="DM49" s="313">
        <v>2</v>
      </c>
      <c r="DN49" s="316"/>
      <c r="DO49" s="315">
        <v>1</v>
      </c>
      <c r="DP49" s="314">
        <v>1</v>
      </c>
      <c r="DQ49" s="313">
        <v>71448</v>
      </c>
      <c r="DR49" s="316"/>
      <c r="DS49" s="315"/>
      <c r="DT49" s="314"/>
      <c r="DU49" s="319">
        <v>27</v>
      </c>
      <c r="DV49" s="315">
        <v>1</v>
      </c>
      <c r="DW49" s="318">
        <v>28</v>
      </c>
      <c r="DX49" s="317">
        <v>3781</v>
      </c>
      <c r="DY49" s="313">
        <v>4310</v>
      </c>
      <c r="DZ49" s="313">
        <v>5155</v>
      </c>
      <c r="EA49" s="313">
        <v>2935</v>
      </c>
      <c r="EB49" s="313"/>
      <c r="EC49" s="316">
        <v>740</v>
      </c>
      <c r="ED49" s="315">
        <v>113</v>
      </c>
      <c r="EE49" s="315">
        <v>1</v>
      </c>
      <c r="EF49" s="315">
        <v>1</v>
      </c>
      <c r="EG49" s="315"/>
      <c r="EH49" s="314">
        <v>855</v>
      </c>
      <c r="EI49" s="319">
        <v>42393</v>
      </c>
      <c r="EJ49" s="315">
        <v>85639</v>
      </c>
      <c r="EK49" s="315">
        <v>2396</v>
      </c>
      <c r="EL49" s="315">
        <v>12350</v>
      </c>
      <c r="EM49" s="315">
        <v>84185</v>
      </c>
      <c r="EN49" s="315">
        <v>2139</v>
      </c>
      <c r="EO49" s="315">
        <v>68</v>
      </c>
      <c r="EP49" s="315">
        <v>37461</v>
      </c>
      <c r="EQ49" s="315">
        <v>154</v>
      </c>
      <c r="ER49" s="315">
        <v>229</v>
      </c>
      <c r="ES49" s="315">
        <v>43</v>
      </c>
      <c r="ET49" s="315">
        <v>1</v>
      </c>
      <c r="EU49" s="315">
        <v>1</v>
      </c>
      <c r="EV49" s="318">
        <v>267059</v>
      </c>
      <c r="EW49" s="317">
        <v>1</v>
      </c>
      <c r="EX49" s="313">
        <v>75</v>
      </c>
      <c r="EY49" s="316">
        <v>3424</v>
      </c>
      <c r="EZ49" s="315"/>
      <c r="FA49" s="315"/>
      <c r="FB49" s="314">
        <v>3424</v>
      </c>
      <c r="FC49" s="319"/>
      <c r="FD49" s="315"/>
      <c r="FE49" s="318"/>
      <c r="FF49" s="317">
        <v>2</v>
      </c>
      <c r="FG49" s="319">
        <v>1</v>
      </c>
      <c r="FH49" s="315">
        <v>26968</v>
      </c>
      <c r="FI49" s="315"/>
      <c r="FJ49" s="315">
        <v>1</v>
      </c>
      <c r="FK49" s="318">
        <v>26970</v>
      </c>
      <c r="FL49" s="316">
        <v>2</v>
      </c>
      <c r="FM49" s="315"/>
      <c r="FN49" s="314">
        <v>2</v>
      </c>
      <c r="FO49" s="319">
        <v>22</v>
      </c>
      <c r="FP49" s="315"/>
      <c r="FQ49" s="318">
        <v>22</v>
      </c>
      <c r="FR49" s="317">
        <v>13</v>
      </c>
      <c r="FS49" s="313">
        <v>8179</v>
      </c>
      <c r="FT49" s="316">
        <v>22</v>
      </c>
      <c r="FU49" s="315">
        <v>2</v>
      </c>
      <c r="FV49" s="315">
        <v>0</v>
      </c>
      <c r="FW49" s="315">
        <v>0</v>
      </c>
      <c r="FX49" s="315"/>
      <c r="FY49" s="314">
        <v>24</v>
      </c>
      <c r="FZ49" s="313"/>
      <c r="GA49" s="316">
        <v>19358</v>
      </c>
      <c r="GB49" s="315"/>
      <c r="GC49" s="314">
        <v>19358</v>
      </c>
      <c r="GD49" s="313">
        <v>9</v>
      </c>
      <c r="GE49" s="316">
        <v>107</v>
      </c>
      <c r="GF49" s="315">
        <v>16</v>
      </c>
      <c r="GG49" s="315"/>
      <c r="GH49" s="314">
        <v>123</v>
      </c>
      <c r="GI49" s="313">
        <v>15</v>
      </c>
      <c r="GJ49" s="316">
        <v>4</v>
      </c>
      <c r="GK49" s="315">
        <v>19207</v>
      </c>
      <c r="GL49" s="315"/>
      <c r="GM49" s="315"/>
      <c r="GN49" s="314">
        <v>19211</v>
      </c>
      <c r="GO49" s="313">
        <v>5679194</v>
      </c>
      <c r="GP49" s="312">
        <f>5679194/44564395</f>
        <v>0.12743792437886792</v>
      </c>
    </row>
    <row r="50" spans="2:198" x14ac:dyDescent="0.2">
      <c r="B50" s="326" t="s">
        <v>34</v>
      </c>
      <c r="C50" s="325">
        <v>399</v>
      </c>
      <c r="D50" s="128"/>
      <c r="E50" s="128"/>
      <c r="F50" s="128"/>
      <c r="G50" s="324">
        <v>399</v>
      </c>
      <c r="H50" s="140"/>
      <c r="I50" s="136">
        <v>26</v>
      </c>
      <c r="J50" s="128"/>
      <c r="K50" s="137">
        <v>26</v>
      </c>
      <c r="L50" s="140"/>
      <c r="M50" s="134">
        <v>23751</v>
      </c>
      <c r="N50" s="140">
        <v>129469</v>
      </c>
      <c r="O50" s="128">
        <v>25</v>
      </c>
      <c r="P50" s="128">
        <v>122</v>
      </c>
      <c r="Q50" s="128">
        <v>293</v>
      </c>
      <c r="R50" s="128">
        <v>21</v>
      </c>
      <c r="S50" s="128">
        <v>2</v>
      </c>
      <c r="T50" s="128"/>
      <c r="U50" s="128">
        <v>0</v>
      </c>
      <c r="V50" s="132">
        <v>129932</v>
      </c>
      <c r="W50" s="136">
        <v>40</v>
      </c>
      <c r="X50" s="128">
        <v>36</v>
      </c>
      <c r="Y50" s="137">
        <v>76</v>
      </c>
      <c r="Z50" s="130">
        <v>710</v>
      </c>
      <c r="AA50" s="128"/>
      <c r="AB50" s="128"/>
      <c r="AC50" s="132">
        <v>710</v>
      </c>
      <c r="AD50" s="136">
        <v>1510</v>
      </c>
      <c r="AE50" s="128">
        <v>32</v>
      </c>
      <c r="AF50" s="137">
        <v>1542</v>
      </c>
      <c r="AG50" s="130">
        <v>124</v>
      </c>
      <c r="AH50" s="128">
        <v>2</v>
      </c>
      <c r="AI50" s="128"/>
      <c r="AJ50" s="128"/>
      <c r="AK50" s="132">
        <v>126</v>
      </c>
      <c r="AL50" s="136"/>
      <c r="AM50" s="128"/>
      <c r="AN50" s="137"/>
      <c r="AO50" s="134"/>
      <c r="AP50" s="134"/>
      <c r="AQ50" s="130">
        <v>3</v>
      </c>
      <c r="AR50" s="128"/>
      <c r="AS50" s="132">
        <v>3</v>
      </c>
      <c r="AT50" s="136">
        <v>22</v>
      </c>
      <c r="AU50" s="128">
        <v>0</v>
      </c>
      <c r="AV50" s="128">
        <v>4</v>
      </c>
      <c r="AW50" s="128"/>
      <c r="AX50" s="128"/>
      <c r="AY50" s="128">
        <v>6</v>
      </c>
      <c r="AZ50" s="128"/>
      <c r="BA50" s="128"/>
      <c r="BB50" s="128"/>
      <c r="BC50" s="137">
        <v>32</v>
      </c>
      <c r="BD50" s="140">
        <v>2</v>
      </c>
      <c r="BE50" s="134">
        <v>33</v>
      </c>
      <c r="BF50" s="130">
        <v>1085</v>
      </c>
      <c r="BG50" s="128">
        <v>2930</v>
      </c>
      <c r="BH50" s="128">
        <v>72206</v>
      </c>
      <c r="BI50" s="128">
        <v>460</v>
      </c>
      <c r="BJ50" s="128">
        <v>460</v>
      </c>
      <c r="BK50" s="132">
        <v>77141</v>
      </c>
      <c r="BL50" s="134">
        <v>60</v>
      </c>
      <c r="BM50" s="134"/>
      <c r="BN50" s="134">
        <v>2</v>
      </c>
      <c r="BO50" s="134">
        <v>7</v>
      </c>
      <c r="BP50" s="130">
        <v>363</v>
      </c>
      <c r="BQ50" s="128"/>
      <c r="BR50" s="132">
        <v>363</v>
      </c>
      <c r="BS50" s="134"/>
      <c r="BT50" s="130">
        <v>11</v>
      </c>
      <c r="BU50" s="128">
        <v>2</v>
      </c>
      <c r="BV50" s="132">
        <v>13</v>
      </c>
      <c r="BW50" s="136">
        <v>35</v>
      </c>
      <c r="BX50" s="128">
        <v>0</v>
      </c>
      <c r="BY50" s="128"/>
      <c r="BZ50" s="128"/>
      <c r="CA50" s="128"/>
      <c r="CB50" s="128"/>
      <c r="CC50" s="128"/>
      <c r="CD50" s="128"/>
      <c r="CE50" s="128"/>
      <c r="CF50" s="128"/>
      <c r="CG50" s="128"/>
      <c r="CH50" s="128"/>
      <c r="CI50" s="128"/>
      <c r="CJ50" s="128"/>
      <c r="CK50" s="128"/>
      <c r="CL50" s="128"/>
      <c r="CM50" s="137">
        <v>35</v>
      </c>
      <c r="CN50" s="130">
        <v>3</v>
      </c>
      <c r="CO50" s="128"/>
      <c r="CP50" s="132">
        <v>3</v>
      </c>
      <c r="CQ50" s="134">
        <v>4</v>
      </c>
      <c r="CR50" s="130">
        <v>273</v>
      </c>
      <c r="CS50" s="128">
        <v>3</v>
      </c>
      <c r="CT50" s="128">
        <v>79806</v>
      </c>
      <c r="CU50" s="128">
        <v>1496</v>
      </c>
      <c r="CV50" s="128">
        <v>85081</v>
      </c>
      <c r="CW50" s="128">
        <v>1</v>
      </c>
      <c r="CX50" s="128">
        <v>8</v>
      </c>
      <c r="CY50" s="128"/>
      <c r="CZ50" s="128">
        <v>36</v>
      </c>
      <c r="DA50" s="128">
        <v>1</v>
      </c>
      <c r="DB50" s="128">
        <v>1</v>
      </c>
      <c r="DC50" s="132">
        <v>166706</v>
      </c>
      <c r="DD50" s="136">
        <v>27456</v>
      </c>
      <c r="DE50" s="128">
        <v>1</v>
      </c>
      <c r="DF50" s="128">
        <v>353</v>
      </c>
      <c r="DG50" s="128">
        <v>609</v>
      </c>
      <c r="DH50" s="128">
        <v>77</v>
      </c>
      <c r="DI50" s="128">
        <v>9</v>
      </c>
      <c r="DJ50" s="128"/>
      <c r="DK50" s="137">
        <v>28505</v>
      </c>
      <c r="DL50" s="140"/>
      <c r="DM50" s="134"/>
      <c r="DN50" s="130"/>
      <c r="DO50" s="128">
        <v>0</v>
      </c>
      <c r="DP50" s="132">
        <v>0</v>
      </c>
      <c r="DQ50" s="134">
        <v>8884</v>
      </c>
      <c r="DR50" s="130"/>
      <c r="DS50" s="128"/>
      <c r="DT50" s="132"/>
      <c r="DU50" s="136"/>
      <c r="DV50" s="128">
        <v>1</v>
      </c>
      <c r="DW50" s="137">
        <v>1</v>
      </c>
      <c r="DX50" s="140">
        <v>223</v>
      </c>
      <c r="DY50" s="134">
        <v>7</v>
      </c>
      <c r="DZ50" s="134">
        <v>499</v>
      </c>
      <c r="EA50" s="134">
        <v>3</v>
      </c>
      <c r="EB50" s="134"/>
      <c r="EC50" s="130">
        <v>51</v>
      </c>
      <c r="ED50" s="128">
        <v>4</v>
      </c>
      <c r="EE50" s="128"/>
      <c r="EF50" s="128"/>
      <c r="EG50" s="128"/>
      <c r="EH50" s="132">
        <v>55</v>
      </c>
      <c r="EI50" s="136">
        <v>2576</v>
      </c>
      <c r="EJ50" s="128">
        <v>3613</v>
      </c>
      <c r="EK50" s="128">
        <v>183</v>
      </c>
      <c r="EL50" s="128">
        <v>825</v>
      </c>
      <c r="EM50" s="128">
        <v>2850</v>
      </c>
      <c r="EN50" s="128">
        <v>118</v>
      </c>
      <c r="EO50" s="128">
        <v>12</v>
      </c>
      <c r="EP50" s="128">
        <v>1538</v>
      </c>
      <c r="EQ50" s="128">
        <v>77</v>
      </c>
      <c r="ER50" s="128">
        <v>98</v>
      </c>
      <c r="ES50" s="128">
        <v>5</v>
      </c>
      <c r="ET50" s="128"/>
      <c r="EU50" s="128">
        <v>0</v>
      </c>
      <c r="EV50" s="137">
        <v>11895</v>
      </c>
      <c r="EW50" s="140"/>
      <c r="EX50" s="134">
        <v>16</v>
      </c>
      <c r="EY50" s="130">
        <v>752</v>
      </c>
      <c r="EZ50" s="128"/>
      <c r="FA50" s="128"/>
      <c r="FB50" s="132">
        <v>752</v>
      </c>
      <c r="FC50" s="136"/>
      <c r="FD50" s="128"/>
      <c r="FE50" s="137"/>
      <c r="FF50" s="140"/>
      <c r="FG50" s="136"/>
      <c r="FH50" s="128">
        <v>1969</v>
      </c>
      <c r="FI50" s="128"/>
      <c r="FJ50" s="128"/>
      <c r="FK50" s="137">
        <v>1969</v>
      </c>
      <c r="FL50" s="130"/>
      <c r="FM50" s="128"/>
      <c r="FN50" s="132"/>
      <c r="FO50" s="136"/>
      <c r="FP50" s="128">
        <v>1</v>
      </c>
      <c r="FQ50" s="137">
        <v>1</v>
      </c>
      <c r="FR50" s="140">
        <v>1</v>
      </c>
      <c r="FS50" s="134">
        <v>147</v>
      </c>
      <c r="FT50" s="130">
        <v>75</v>
      </c>
      <c r="FU50" s="128"/>
      <c r="FV50" s="128"/>
      <c r="FW50" s="128"/>
      <c r="FX50" s="128"/>
      <c r="FY50" s="132">
        <v>75</v>
      </c>
      <c r="FZ50" s="134"/>
      <c r="GA50" s="130">
        <v>616</v>
      </c>
      <c r="GB50" s="128"/>
      <c r="GC50" s="132">
        <v>616</v>
      </c>
      <c r="GD50" s="134">
        <v>10</v>
      </c>
      <c r="GE50" s="130">
        <v>5</v>
      </c>
      <c r="GF50" s="128">
        <v>3</v>
      </c>
      <c r="GG50" s="128"/>
      <c r="GH50" s="132">
        <v>8</v>
      </c>
      <c r="GI50" s="134"/>
      <c r="GJ50" s="130"/>
      <c r="GK50" s="128">
        <v>5</v>
      </c>
      <c r="GL50" s="128"/>
      <c r="GM50" s="128"/>
      <c r="GN50" s="132">
        <v>5</v>
      </c>
      <c r="GO50" s="134">
        <v>454638</v>
      </c>
      <c r="GP50" s="323">
        <f>454638/44564395</f>
        <v>1.0201821431660858E-2</v>
      </c>
    </row>
    <row r="51" spans="2:198" x14ac:dyDescent="0.2">
      <c r="B51" s="326" t="s">
        <v>43</v>
      </c>
      <c r="C51" s="325">
        <v>4347</v>
      </c>
      <c r="D51" s="128"/>
      <c r="E51" s="128"/>
      <c r="F51" s="128"/>
      <c r="G51" s="324">
        <v>4347</v>
      </c>
      <c r="H51" s="140"/>
      <c r="I51" s="136">
        <v>28</v>
      </c>
      <c r="J51" s="128"/>
      <c r="K51" s="137">
        <v>28</v>
      </c>
      <c r="L51" s="140"/>
      <c r="M51" s="134">
        <v>8060</v>
      </c>
      <c r="N51" s="140">
        <v>190899</v>
      </c>
      <c r="O51" s="128">
        <v>239</v>
      </c>
      <c r="P51" s="128">
        <v>399</v>
      </c>
      <c r="Q51" s="128">
        <v>259</v>
      </c>
      <c r="R51" s="128">
        <v>14</v>
      </c>
      <c r="S51" s="128">
        <v>2</v>
      </c>
      <c r="T51" s="128"/>
      <c r="U51" s="128"/>
      <c r="V51" s="132">
        <v>191812</v>
      </c>
      <c r="W51" s="136">
        <v>39</v>
      </c>
      <c r="X51" s="128">
        <v>63</v>
      </c>
      <c r="Y51" s="137">
        <v>102</v>
      </c>
      <c r="Z51" s="130">
        <v>732</v>
      </c>
      <c r="AA51" s="128"/>
      <c r="AB51" s="128"/>
      <c r="AC51" s="132">
        <v>732</v>
      </c>
      <c r="AD51" s="136">
        <v>3545</v>
      </c>
      <c r="AE51" s="128">
        <v>10</v>
      </c>
      <c r="AF51" s="137">
        <v>3555</v>
      </c>
      <c r="AG51" s="130">
        <v>205</v>
      </c>
      <c r="AH51" s="128">
        <v>347</v>
      </c>
      <c r="AI51" s="128"/>
      <c r="AJ51" s="128"/>
      <c r="AK51" s="132">
        <v>552</v>
      </c>
      <c r="AL51" s="136"/>
      <c r="AM51" s="128"/>
      <c r="AN51" s="137"/>
      <c r="AO51" s="134">
        <v>1</v>
      </c>
      <c r="AP51" s="134"/>
      <c r="AQ51" s="130">
        <v>17</v>
      </c>
      <c r="AR51" s="128">
        <v>0</v>
      </c>
      <c r="AS51" s="132">
        <v>17</v>
      </c>
      <c r="AT51" s="136">
        <v>51</v>
      </c>
      <c r="AU51" s="128">
        <v>2</v>
      </c>
      <c r="AV51" s="128">
        <v>117</v>
      </c>
      <c r="AW51" s="128"/>
      <c r="AX51" s="128">
        <v>5</v>
      </c>
      <c r="AY51" s="128">
        <v>2</v>
      </c>
      <c r="AZ51" s="128"/>
      <c r="BA51" s="128"/>
      <c r="BB51" s="128"/>
      <c r="BC51" s="137">
        <v>177</v>
      </c>
      <c r="BD51" s="140">
        <v>2</v>
      </c>
      <c r="BE51" s="134">
        <v>1098</v>
      </c>
      <c r="BF51" s="130">
        <v>1654</v>
      </c>
      <c r="BG51" s="128">
        <v>5670</v>
      </c>
      <c r="BH51" s="128">
        <v>51523</v>
      </c>
      <c r="BI51" s="128">
        <v>208</v>
      </c>
      <c r="BJ51" s="128">
        <v>561</v>
      </c>
      <c r="BK51" s="132">
        <v>59616</v>
      </c>
      <c r="BL51" s="134">
        <v>731</v>
      </c>
      <c r="BM51" s="134"/>
      <c r="BN51" s="134">
        <v>19</v>
      </c>
      <c r="BO51" s="134">
        <v>35647</v>
      </c>
      <c r="BP51" s="130">
        <v>1446</v>
      </c>
      <c r="BQ51" s="128"/>
      <c r="BR51" s="132">
        <v>1446</v>
      </c>
      <c r="BS51" s="134"/>
      <c r="BT51" s="130">
        <v>7</v>
      </c>
      <c r="BU51" s="128">
        <v>10</v>
      </c>
      <c r="BV51" s="132">
        <v>17</v>
      </c>
      <c r="BW51" s="136">
        <v>54</v>
      </c>
      <c r="BX51" s="128"/>
      <c r="BY51" s="128"/>
      <c r="BZ51" s="128"/>
      <c r="CA51" s="128"/>
      <c r="CB51" s="128"/>
      <c r="CC51" s="128"/>
      <c r="CD51" s="128"/>
      <c r="CE51" s="128"/>
      <c r="CF51" s="128">
        <v>1</v>
      </c>
      <c r="CG51" s="128"/>
      <c r="CH51" s="128"/>
      <c r="CI51" s="128"/>
      <c r="CJ51" s="128"/>
      <c r="CK51" s="128"/>
      <c r="CL51" s="128"/>
      <c r="CM51" s="137">
        <v>55</v>
      </c>
      <c r="CN51" s="130">
        <v>2</v>
      </c>
      <c r="CO51" s="128"/>
      <c r="CP51" s="132">
        <v>2</v>
      </c>
      <c r="CQ51" s="134">
        <v>0</v>
      </c>
      <c r="CR51" s="130">
        <v>146</v>
      </c>
      <c r="CS51" s="128">
        <v>0</v>
      </c>
      <c r="CT51" s="128">
        <v>74240</v>
      </c>
      <c r="CU51" s="128">
        <v>1065</v>
      </c>
      <c r="CV51" s="128">
        <v>88693</v>
      </c>
      <c r="CW51" s="128">
        <v>155</v>
      </c>
      <c r="CX51" s="128">
        <v>3</v>
      </c>
      <c r="CY51" s="128">
        <v>2</v>
      </c>
      <c r="CZ51" s="128">
        <v>129</v>
      </c>
      <c r="DA51" s="128">
        <v>3</v>
      </c>
      <c r="DB51" s="128"/>
      <c r="DC51" s="132">
        <v>164436</v>
      </c>
      <c r="DD51" s="136">
        <v>43904</v>
      </c>
      <c r="DE51" s="128"/>
      <c r="DF51" s="128">
        <v>485</v>
      </c>
      <c r="DG51" s="128">
        <v>339</v>
      </c>
      <c r="DH51" s="128">
        <v>33</v>
      </c>
      <c r="DI51" s="128">
        <v>21</v>
      </c>
      <c r="DJ51" s="128"/>
      <c r="DK51" s="137">
        <v>44782</v>
      </c>
      <c r="DL51" s="140"/>
      <c r="DM51" s="134">
        <v>1</v>
      </c>
      <c r="DN51" s="130"/>
      <c r="DO51" s="128"/>
      <c r="DP51" s="132"/>
      <c r="DQ51" s="134">
        <v>13239</v>
      </c>
      <c r="DR51" s="130"/>
      <c r="DS51" s="128"/>
      <c r="DT51" s="132"/>
      <c r="DU51" s="136">
        <v>1</v>
      </c>
      <c r="DV51" s="128"/>
      <c r="DW51" s="137">
        <v>1</v>
      </c>
      <c r="DX51" s="140">
        <v>1162</v>
      </c>
      <c r="DY51" s="134">
        <v>2679</v>
      </c>
      <c r="DZ51" s="134">
        <v>639</v>
      </c>
      <c r="EA51" s="134">
        <v>83</v>
      </c>
      <c r="EB51" s="134"/>
      <c r="EC51" s="130">
        <v>60</v>
      </c>
      <c r="ED51" s="128">
        <v>5</v>
      </c>
      <c r="EE51" s="128"/>
      <c r="EF51" s="128"/>
      <c r="EG51" s="128"/>
      <c r="EH51" s="132">
        <v>65</v>
      </c>
      <c r="EI51" s="136">
        <v>7767</v>
      </c>
      <c r="EJ51" s="128">
        <v>9742</v>
      </c>
      <c r="EK51" s="128">
        <v>632</v>
      </c>
      <c r="EL51" s="128">
        <v>1883</v>
      </c>
      <c r="EM51" s="128">
        <v>30625</v>
      </c>
      <c r="EN51" s="128">
        <v>418</v>
      </c>
      <c r="EO51" s="128">
        <v>17</v>
      </c>
      <c r="EP51" s="128">
        <v>3178</v>
      </c>
      <c r="EQ51" s="128">
        <v>35</v>
      </c>
      <c r="ER51" s="128">
        <v>48</v>
      </c>
      <c r="ES51" s="128">
        <v>16</v>
      </c>
      <c r="ET51" s="128"/>
      <c r="EU51" s="128"/>
      <c r="EV51" s="137">
        <v>54361</v>
      </c>
      <c r="EW51" s="140">
        <v>1</v>
      </c>
      <c r="EX51" s="134">
        <v>4</v>
      </c>
      <c r="EY51" s="130">
        <v>378</v>
      </c>
      <c r="EZ51" s="128"/>
      <c r="FA51" s="128"/>
      <c r="FB51" s="132">
        <v>378</v>
      </c>
      <c r="FC51" s="136"/>
      <c r="FD51" s="128"/>
      <c r="FE51" s="137"/>
      <c r="FF51" s="140"/>
      <c r="FG51" s="136">
        <v>1</v>
      </c>
      <c r="FH51" s="128">
        <v>1518</v>
      </c>
      <c r="FI51" s="128"/>
      <c r="FJ51" s="128"/>
      <c r="FK51" s="137">
        <v>1519</v>
      </c>
      <c r="FL51" s="130">
        <v>1</v>
      </c>
      <c r="FM51" s="128"/>
      <c r="FN51" s="132">
        <v>1</v>
      </c>
      <c r="FO51" s="136"/>
      <c r="FP51" s="128"/>
      <c r="FQ51" s="137"/>
      <c r="FR51" s="140">
        <v>0</v>
      </c>
      <c r="FS51" s="134">
        <v>1069</v>
      </c>
      <c r="FT51" s="130">
        <v>4</v>
      </c>
      <c r="FU51" s="128"/>
      <c r="FV51" s="128"/>
      <c r="FW51" s="128"/>
      <c r="FX51" s="128"/>
      <c r="FY51" s="132">
        <v>4</v>
      </c>
      <c r="FZ51" s="134"/>
      <c r="GA51" s="130">
        <v>2505</v>
      </c>
      <c r="GB51" s="128"/>
      <c r="GC51" s="132">
        <v>2505</v>
      </c>
      <c r="GD51" s="134">
        <v>4</v>
      </c>
      <c r="GE51" s="130">
        <v>4</v>
      </c>
      <c r="GF51" s="128"/>
      <c r="GG51" s="128"/>
      <c r="GH51" s="132">
        <v>4</v>
      </c>
      <c r="GI51" s="134">
        <v>0</v>
      </c>
      <c r="GJ51" s="130">
        <v>22</v>
      </c>
      <c r="GK51" s="128">
        <v>1190</v>
      </c>
      <c r="GL51" s="128">
        <v>0</v>
      </c>
      <c r="GM51" s="128">
        <v>8</v>
      </c>
      <c r="GN51" s="132">
        <v>1220</v>
      </c>
      <c r="GO51" s="134">
        <v>596173</v>
      </c>
      <c r="GP51" s="323">
        <f>596173/44564395</f>
        <v>1.3377787356924738E-2</v>
      </c>
    </row>
    <row r="52" spans="2:198" x14ac:dyDescent="0.2">
      <c r="B52" s="326" t="s">
        <v>68</v>
      </c>
      <c r="C52" s="325">
        <v>22</v>
      </c>
      <c r="D52" s="128"/>
      <c r="E52" s="128"/>
      <c r="F52" s="128"/>
      <c r="G52" s="324">
        <v>22</v>
      </c>
      <c r="H52" s="140"/>
      <c r="I52" s="136">
        <v>26</v>
      </c>
      <c r="J52" s="128"/>
      <c r="K52" s="137">
        <v>26</v>
      </c>
      <c r="L52" s="140"/>
      <c r="M52" s="134">
        <v>418</v>
      </c>
      <c r="N52" s="140">
        <v>220907</v>
      </c>
      <c r="O52" s="128">
        <v>11</v>
      </c>
      <c r="P52" s="128">
        <v>56</v>
      </c>
      <c r="Q52" s="128">
        <v>13</v>
      </c>
      <c r="R52" s="128">
        <v>4</v>
      </c>
      <c r="S52" s="128"/>
      <c r="T52" s="128"/>
      <c r="U52" s="128"/>
      <c r="V52" s="132">
        <v>220991</v>
      </c>
      <c r="W52" s="136">
        <v>132</v>
      </c>
      <c r="X52" s="128">
        <v>46</v>
      </c>
      <c r="Y52" s="137">
        <v>178</v>
      </c>
      <c r="Z52" s="130">
        <v>401</v>
      </c>
      <c r="AA52" s="128"/>
      <c r="AB52" s="128"/>
      <c r="AC52" s="132">
        <v>401</v>
      </c>
      <c r="AD52" s="136">
        <v>606</v>
      </c>
      <c r="AE52" s="128">
        <v>36</v>
      </c>
      <c r="AF52" s="137">
        <v>642</v>
      </c>
      <c r="AG52" s="130">
        <v>29</v>
      </c>
      <c r="AH52" s="128">
        <v>1</v>
      </c>
      <c r="AI52" s="128"/>
      <c r="AJ52" s="128"/>
      <c r="AK52" s="132">
        <v>30</v>
      </c>
      <c r="AL52" s="136"/>
      <c r="AM52" s="128"/>
      <c r="AN52" s="137"/>
      <c r="AO52" s="134"/>
      <c r="AP52" s="134"/>
      <c r="AQ52" s="130">
        <v>3</v>
      </c>
      <c r="AR52" s="128"/>
      <c r="AS52" s="132">
        <v>3</v>
      </c>
      <c r="AT52" s="136">
        <v>0</v>
      </c>
      <c r="AU52" s="128">
        <v>0</v>
      </c>
      <c r="AV52" s="128"/>
      <c r="AW52" s="128"/>
      <c r="AX52" s="128"/>
      <c r="AY52" s="128"/>
      <c r="AZ52" s="128"/>
      <c r="BA52" s="128"/>
      <c r="BB52" s="128"/>
      <c r="BC52" s="137">
        <v>0</v>
      </c>
      <c r="BD52" s="140">
        <v>0</v>
      </c>
      <c r="BE52" s="134">
        <v>45</v>
      </c>
      <c r="BF52" s="130">
        <v>191</v>
      </c>
      <c r="BG52" s="128">
        <v>381</v>
      </c>
      <c r="BH52" s="128">
        <v>2729</v>
      </c>
      <c r="BI52" s="128">
        <v>83</v>
      </c>
      <c r="BJ52" s="128">
        <v>43</v>
      </c>
      <c r="BK52" s="132">
        <v>3427</v>
      </c>
      <c r="BL52" s="134"/>
      <c r="BM52" s="134"/>
      <c r="BN52" s="134"/>
      <c r="BO52" s="134">
        <v>4</v>
      </c>
      <c r="BP52" s="130">
        <v>126</v>
      </c>
      <c r="BQ52" s="128"/>
      <c r="BR52" s="132">
        <v>126</v>
      </c>
      <c r="BS52" s="134"/>
      <c r="BT52" s="130">
        <v>9</v>
      </c>
      <c r="BU52" s="128">
        <v>3</v>
      </c>
      <c r="BV52" s="132">
        <v>12</v>
      </c>
      <c r="BW52" s="136"/>
      <c r="BX52" s="128"/>
      <c r="BY52" s="128"/>
      <c r="BZ52" s="128"/>
      <c r="CA52" s="128"/>
      <c r="CB52" s="128"/>
      <c r="CC52" s="128"/>
      <c r="CD52" s="128"/>
      <c r="CE52" s="128"/>
      <c r="CF52" s="128"/>
      <c r="CG52" s="128"/>
      <c r="CH52" s="128"/>
      <c r="CI52" s="128"/>
      <c r="CJ52" s="128"/>
      <c r="CK52" s="128"/>
      <c r="CL52" s="128"/>
      <c r="CM52" s="137"/>
      <c r="CN52" s="130">
        <v>1</v>
      </c>
      <c r="CO52" s="128"/>
      <c r="CP52" s="132">
        <v>1</v>
      </c>
      <c r="CQ52" s="134">
        <v>0</v>
      </c>
      <c r="CR52" s="130">
        <v>76</v>
      </c>
      <c r="CS52" s="128">
        <v>2</v>
      </c>
      <c r="CT52" s="128">
        <v>21379</v>
      </c>
      <c r="CU52" s="128">
        <v>228</v>
      </c>
      <c r="CV52" s="128">
        <v>14886</v>
      </c>
      <c r="CW52" s="128"/>
      <c r="CX52" s="128">
        <v>4</v>
      </c>
      <c r="CY52" s="128"/>
      <c r="CZ52" s="128">
        <v>1</v>
      </c>
      <c r="DA52" s="128"/>
      <c r="DB52" s="128">
        <v>1</v>
      </c>
      <c r="DC52" s="132">
        <v>36577</v>
      </c>
      <c r="DD52" s="136">
        <v>8427</v>
      </c>
      <c r="DE52" s="128">
        <v>1</v>
      </c>
      <c r="DF52" s="128">
        <v>61</v>
      </c>
      <c r="DG52" s="128">
        <v>125</v>
      </c>
      <c r="DH52" s="128"/>
      <c r="DI52" s="128">
        <v>5</v>
      </c>
      <c r="DJ52" s="128"/>
      <c r="DK52" s="137">
        <v>8619</v>
      </c>
      <c r="DL52" s="140"/>
      <c r="DM52" s="134"/>
      <c r="DN52" s="130"/>
      <c r="DO52" s="128"/>
      <c r="DP52" s="132"/>
      <c r="DQ52" s="134">
        <v>80</v>
      </c>
      <c r="DR52" s="130"/>
      <c r="DS52" s="128"/>
      <c r="DT52" s="132"/>
      <c r="DU52" s="136">
        <v>2</v>
      </c>
      <c r="DV52" s="128">
        <v>1</v>
      </c>
      <c r="DW52" s="137">
        <v>3</v>
      </c>
      <c r="DX52" s="140">
        <v>13</v>
      </c>
      <c r="DY52" s="134"/>
      <c r="DZ52" s="134">
        <v>1377</v>
      </c>
      <c r="EA52" s="134">
        <v>7</v>
      </c>
      <c r="EB52" s="134"/>
      <c r="EC52" s="130">
        <v>9</v>
      </c>
      <c r="ED52" s="128">
        <v>3</v>
      </c>
      <c r="EE52" s="128"/>
      <c r="EF52" s="128"/>
      <c r="EG52" s="128"/>
      <c r="EH52" s="132">
        <v>12</v>
      </c>
      <c r="EI52" s="136">
        <v>2214</v>
      </c>
      <c r="EJ52" s="128">
        <v>2782</v>
      </c>
      <c r="EK52" s="128">
        <v>126</v>
      </c>
      <c r="EL52" s="128">
        <v>223</v>
      </c>
      <c r="EM52" s="128">
        <v>14921</v>
      </c>
      <c r="EN52" s="128">
        <v>399</v>
      </c>
      <c r="EO52" s="128">
        <v>4</v>
      </c>
      <c r="EP52" s="128">
        <v>1572</v>
      </c>
      <c r="EQ52" s="128">
        <v>2</v>
      </c>
      <c r="ER52" s="128">
        <v>5</v>
      </c>
      <c r="ES52" s="128"/>
      <c r="ET52" s="128"/>
      <c r="EU52" s="128"/>
      <c r="EV52" s="137">
        <v>22248</v>
      </c>
      <c r="EW52" s="140"/>
      <c r="EX52" s="134">
        <v>5</v>
      </c>
      <c r="EY52" s="130"/>
      <c r="EZ52" s="128"/>
      <c r="FA52" s="128"/>
      <c r="FB52" s="132"/>
      <c r="FC52" s="136">
        <v>0</v>
      </c>
      <c r="FD52" s="128"/>
      <c r="FE52" s="137">
        <v>0</v>
      </c>
      <c r="FF52" s="140"/>
      <c r="FG52" s="136"/>
      <c r="FH52" s="128">
        <v>21</v>
      </c>
      <c r="FI52" s="128"/>
      <c r="FJ52" s="128"/>
      <c r="FK52" s="137">
        <v>21</v>
      </c>
      <c r="FL52" s="130"/>
      <c r="FM52" s="128"/>
      <c r="FN52" s="132"/>
      <c r="FO52" s="136"/>
      <c r="FP52" s="128"/>
      <c r="FQ52" s="137"/>
      <c r="FR52" s="140">
        <v>71</v>
      </c>
      <c r="FS52" s="134">
        <v>50</v>
      </c>
      <c r="FT52" s="130">
        <v>14</v>
      </c>
      <c r="FU52" s="128"/>
      <c r="FV52" s="128"/>
      <c r="FW52" s="128"/>
      <c r="FX52" s="128"/>
      <c r="FY52" s="132">
        <v>14</v>
      </c>
      <c r="FZ52" s="134"/>
      <c r="GA52" s="130">
        <v>20</v>
      </c>
      <c r="GB52" s="128"/>
      <c r="GC52" s="132">
        <v>20</v>
      </c>
      <c r="GD52" s="134"/>
      <c r="GE52" s="130">
        <v>10</v>
      </c>
      <c r="GF52" s="128"/>
      <c r="GG52" s="128"/>
      <c r="GH52" s="132">
        <v>10</v>
      </c>
      <c r="GI52" s="134">
        <v>0</v>
      </c>
      <c r="GJ52" s="130"/>
      <c r="GK52" s="128">
        <v>1</v>
      </c>
      <c r="GL52" s="128"/>
      <c r="GM52" s="128"/>
      <c r="GN52" s="132">
        <v>1</v>
      </c>
      <c r="GO52" s="134">
        <v>295454</v>
      </c>
      <c r="GP52" s="323">
        <f>295454/44564395</f>
        <v>6.6298218566638234E-3</v>
      </c>
    </row>
    <row r="53" spans="2:198" x14ac:dyDescent="0.2">
      <c r="B53" s="326" t="s">
        <v>70</v>
      </c>
      <c r="C53" s="325">
        <v>45</v>
      </c>
      <c r="D53" s="128"/>
      <c r="E53" s="128"/>
      <c r="F53" s="128"/>
      <c r="G53" s="324">
        <v>45</v>
      </c>
      <c r="H53" s="140"/>
      <c r="I53" s="136">
        <v>19</v>
      </c>
      <c r="J53" s="128"/>
      <c r="K53" s="137">
        <v>19</v>
      </c>
      <c r="L53" s="140"/>
      <c r="M53" s="134">
        <v>3592</v>
      </c>
      <c r="N53" s="140">
        <v>189639</v>
      </c>
      <c r="O53" s="128">
        <v>21527</v>
      </c>
      <c r="P53" s="128">
        <v>212</v>
      </c>
      <c r="Q53" s="128">
        <v>28</v>
      </c>
      <c r="R53" s="128">
        <v>7</v>
      </c>
      <c r="S53" s="128">
        <v>1</v>
      </c>
      <c r="T53" s="128"/>
      <c r="U53" s="128">
        <v>0</v>
      </c>
      <c r="V53" s="132">
        <v>211414</v>
      </c>
      <c r="W53" s="136">
        <v>20</v>
      </c>
      <c r="X53" s="128">
        <v>2</v>
      </c>
      <c r="Y53" s="137">
        <v>22</v>
      </c>
      <c r="Z53" s="130">
        <v>154</v>
      </c>
      <c r="AA53" s="128"/>
      <c r="AB53" s="128"/>
      <c r="AC53" s="132">
        <v>154</v>
      </c>
      <c r="AD53" s="136">
        <v>2136</v>
      </c>
      <c r="AE53" s="128">
        <v>4</v>
      </c>
      <c r="AF53" s="137">
        <v>2140</v>
      </c>
      <c r="AG53" s="130">
        <v>31</v>
      </c>
      <c r="AH53" s="128">
        <v>1</v>
      </c>
      <c r="AI53" s="128"/>
      <c r="AJ53" s="128"/>
      <c r="AK53" s="132">
        <v>32</v>
      </c>
      <c r="AL53" s="136"/>
      <c r="AM53" s="128"/>
      <c r="AN53" s="137"/>
      <c r="AO53" s="134"/>
      <c r="AP53" s="134">
        <v>1</v>
      </c>
      <c r="AQ53" s="130"/>
      <c r="AR53" s="128"/>
      <c r="AS53" s="132"/>
      <c r="AT53" s="136">
        <v>28</v>
      </c>
      <c r="AU53" s="128"/>
      <c r="AV53" s="128"/>
      <c r="AW53" s="128">
        <v>4</v>
      </c>
      <c r="AX53" s="128">
        <v>2</v>
      </c>
      <c r="AY53" s="128"/>
      <c r="AZ53" s="128"/>
      <c r="BA53" s="128"/>
      <c r="BB53" s="128"/>
      <c r="BC53" s="137">
        <v>34</v>
      </c>
      <c r="BD53" s="140"/>
      <c r="BE53" s="134">
        <v>21</v>
      </c>
      <c r="BF53" s="130">
        <v>204</v>
      </c>
      <c r="BG53" s="128">
        <v>591</v>
      </c>
      <c r="BH53" s="128">
        <v>6591</v>
      </c>
      <c r="BI53" s="128">
        <v>181</v>
      </c>
      <c r="BJ53" s="128">
        <v>61</v>
      </c>
      <c r="BK53" s="132">
        <v>7628</v>
      </c>
      <c r="BL53" s="134">
        <v>6</v>
      </c>
      <c r="BM53" s="134"/>
      <c r="BN53" s="134">
        <v>1</v>
      </c>
      <c r="BO53" s="134">
        <v>12</v>
      </c>
      <c r="BP53" s="130">
        <v>36</v>
      </c>
      <c r="BQ53" s="128"/>
      <c r="BR53" s="132">
        <v>36</v>
      </c>
      <c r="BS53" s="134"/>
      <c r="BT53" s="130">
        <v>8</v>
      </c>
      <c r="BU53" s="128">
        <v>3</v>
      </c>
      <c r="BV53" s="132">
        <v>11</v>
      </c>
      <c r="BW53" s="136">
        <v>3</v>
      </c>
      <c r="BX53" s="128"/>
      <c r="BY53" s="128"/>
      <c r="BZ53" s="128"/>
      <c r="CA53" s="128">
        <v>1</v>
      </c>
      <c r="CB53" s="128"/>
      <c r="CC53" s="128"/>
      <c r="CD53" s="128"/>
      <c r="CE53" s="128"/>
      <c r="CF53" s="128"/>
      <c r="CG53" s="128"/>
      <c r="CH53" s="128"/>
      <c r="CI53" s="128"/>
      <c r="CJ53" s="128">
        <v>1</v>
      </c>
      <c r="CK53" s="128">
        <v>2</v>
      </c>
      <c r="CL53" s="128"/>
      <c r="CM53" s="137">
        <v>7</v>
      </c>
      <c r="CN53" s="130">
        <v>1</v>
      </c>
      <c r="CO53" s="128"/>
      <c r="CP53" s="132">
        <v>1</v>
      </c>
      <c r="CQ53" s="134"/>
      <c r="CR53" s="130">
        <v>95</v>
      </c>
      <c r="CS53" s="128">
        <v>0</v>
      </c>
      <c r="CT53" s="128">
        <v>33777</v>
      </c>
      <c r="CU53" s="128">
        <v>629</v>
      </c>
      <c r="CV53" s="128">
        <v>44200</v>
      </c>
      <c r="CW53" s="128">
        <v>3</v>
      </c>
      <c r="CX53" s="128">
        <v>9</v>
      </c>
      <c r="CY53" s="128">
        <v>9</v>
      </c>
      <c r="CZ53" s="128">
        <v>14</v>
      </c>
      <c r="DA53" s="128">
        <v>0</v>
      </c>
      <c r="DB53" s="128">
        <v>6</v>
      </c>
      <c r="DC53" s="132">
        <v>78742</v>
      </c>
      <c r="DD53" s="136">
        <v>10205</v>
      </c>
      <c r="DE53" s="128">
        <v>10</v>
      </c>
      <c r="DF53" s="128">
        <v>123</v>
      </c>
      <c r="DG53" s="128">
        <v>85</v>
      </c>
      <c r="DH53" s="128">
        <v>6</v>
      </c>
      <c r="DI53" s="128">
        <v>10</v>
      </c>
      <c r="DJ53" s="128"/>
      <c r="DK53" s="137">
        <v>10439</v>
      </c>
      <c r="DL53" s="140"/>
      <c r="DM53" s="134"/>
      <c r="DN53" s="130"/>
      <c r="DO53" s="128"/>
      <c r="DP53" s="132"/>
      <c r="DQ53" s="134">
        <v>1228</v>
      </c>
      <c r="DR53" s="130"/>
      <c r="DS53" s="128"/>
      <c r="DT53" s="132"/>
      <c r="DU53" s="136">
        <v>12</v>
      </c>
      <c r="DV53" s="128"/>
      <c r="DW53" s="137">
        <v>12</v>
      </c>
      <c r="DX53" s="140">
        <v>12873</v>
      </c>
      <c r="DY53" s="134">
        <v>2</v>
      </c>
      <c r="DZ53" s="134">
        <v>188</v>
      </c>
      <c r="EA53" s="134">
        <v>3</v>
      </c>
      <c r="EB53" s="134"/>
      <c r="EC53" s="130">
        <v>25</v>
      </c>
      <c r="ED53" s="128">
        <v>45</v>
      </c>
      <c r="EE53" s="128"/>
      <c r="EF53" s="128"/>
      <c r="EG53" s="128"/>
      <c r="EH53" s="132">
        <v>70</v>
      </c>
      <c r="EI53" s="136">
        <v>2053</v>
      </c>
      <c r="EJ53" s="128">
        <v>6040</v>
      </c>
      <c r="EK53" s="128">
        <v>122</v>
      </c>
      <c r="EL53" s="128">
        <v>2135</v>
      </c>
      <c r="EM53" s="128">
        <v>15388</v>
      </c>
      <c r="EN53" s="128">
        <v>67</v>
      </c>
      <c r="EO53" s="128">
        <v>7</v>
      </c>
      <c r="EP53" s="128">
        <v>908</v>
      </c>
      <c r="EQ53" s="128">
        <v>8</v>
      </c>
      <c r="ER53" s="128">
        <v>10</v>
      </c>
      <c r="ES53" s="128">
        <v>2</v>
      </c>
      <c r="ET53" s="128"/>
      <c r="EU53" s="128"/>
      <c r="EV53" s="137">
        <v>26740</v>
      </c>
      <c r="EW53" s="140"/>
      <c r="EX53" s="134">
        <v>3</v>
      </c>
      <c r="EY53" s="130">
        <v>14</v>
      </c>
      <c r="EZ53" s="128"/>
      <c r="FA53" s="128"/>
      <c r="FB53" s="132">
        <v>14</v>
      </c>
      <c r="FC53" s="136"/>
      <c r="FD53" s="128"/>
      <c r="FE53" s="137"/>
      <c r="FF53" s="140"/>
      <c r="FG53" s="136"/>
      <c r="FH53" s="128">
        <v>19</v>
      </c>
      <c r="FI53" s="128"/>
      <c r="FJ53" s="128"/>
      <c r="FK53" s="137">
        <v>19</v>
      </c>
      <c r="FL53" s="130"/>
      <c r="FM53" s="128"/>
      <c r="FN53" s="132"/>
      <c r="FO53" s="136"/>
      <c r="FP53" s="128"/>
      <c r="FQ53" s="137"/>
      <c r="FR53" s="140">
        <v>4</v>
      </c>
      <c r="FS53" s="134">
        <v>252</v>
      </c>
      <c r="FT53" s="130">
        <v>0</v>
      </c>
      <c r="FU53" s="128">
        <v>1</v>
      </c>
      <c r="FV53" s="128">
        <v>2</v>
      </c>
      <c r="FW53" s="128"/>
      <c r="FX53" s="128"/>
      <c r="FY53" s="132">
        <v>3</v>
      </c>
      <c r="FZ53" s="134"/>
      <c r="GA53" s="130">
        <v>281</v>
      </c>
      <c r="GB53" s="128"/>
      <c r="GC53" s="132">
        <v>281</v>
      </c>
      <c r="GD53" s="134">
        <v>0</v>
      </c>
      <c r="GE53" s="130">
        <v>3</v>
      </c>
      <c r="GF53" s="128"/>
      <c r="GG53" s="128"/>
      <c r="GH53" s="132">
        <v>3</v>
      </c>
      <c r="GI53" s="134">
        <v>30</v>
      </c>
      <c r="GJ53" s="130">
        <v>42</v>
      </c>
      <c r="GK53" s="128">
        <v>3</v>
      </c>
      <c r="GL53" s="128"/>
      <c r="GM53" s="128"/>
      <c r="GN53" s="132">
        <v>45</v>
      </c>
      <c r="GO53" s="134">
        <v>356127</v>
      </c>
      <c r="GP53" s="323">
        <f>356127/44564395</f>
        <v>7.9912899075596112E-3</v>
      </c>
    </row>
    <row r="54" spans="2:198" x14ac:dyDescent="0.2">
      <c r="B54" s="326" t="s">
        <v>90</v>
      </c>
      <c r="C54" s="325">
        <v>24</v>
      </c>
      <c r="D54" s="128"/>
      <c r="E54" s="128"/>
      <c r="F54" s="128"/>
      <c r="G54" s="324">
        <v>24</v>
      </c>
      <c r="H54" s="140"/>
      <c r="I54" s="136">
        <v>10</v>
      </c>
      <c r="J54" s="128"/>
      <c r="K54" s="137">
        <v>10</v>
      </c>
      <c r="L54" s="140"/>
      <c r="M54" s="134">
        <v>327</v>
      </c>
      <c r="N54" s="140">
        <v>50699</v>
      </c>
      <c r="O54" s="128">
        <v>23596</v>
      </c>
      <c r="P54" s="128">
        <v>93</v>
      </c>
      <c r="Q54" s="128">
        <v>32</v>
      </c>
      <c r="R54" s="128">
        <v>16</v>
      </c>
      <c r="S54" s="128">
        <v>3</v>
      </c>
      <c r="T54" s="128"/>
      <c r="U54" s="128"/>
      <c r="V54" s="132">
        <v>74439</v>
      </c>
      <c r="W54" s="136">
        <v>1</v>
      </c>
      <c r="X54" s="128">
        <v>7</v>
      </c>
      <c r="Y54" s="137">
        <v>8</v>
      </c>
      <c r="Z54" s="130">
        <v>73</v>
      </c>
      <c r="AA54" s="128"/>
      <c r="AB54" s="128"/>
      <c r="AC54" s="132">
        <v>73</v>
      </c>
      <c r="AD54" s="136">
        <v>772</v>
      </c>
      <c r="AE54" s="128">
        <v>0</v>
      </c>
      <c r="AF54" s="137">
        <v>772</v>
      </c>
      <c r="AG54" s="130">
        <v>25</v>
      </c>
      <c r="AH54" s="128"/>
      <c r="AI54" s="128"/>
      <c r="AJ54" s="128"/>
      <c r="AK54" s="132">
        <v>25</v>
      </c>
      <c r="AL54" s="136"/>
      <c r="AM54" s="128"/>
      <c r="AN54" s="137"/>
      <c r="AO54" s="134"/>
      <c r="AP54" s="134"/>
      <c r="AQ54" s="130">
        <v>4</v>
      </c>
      <c r="AR54" s="128">
        <v>3</v>
      </c>
      <c r="AS54" s="132">
        <v>7</v>
      </c>
      <c r="AT54" s="136">
        <v>3</v>
      </c>
      <c r="AU54" s="128"/>
      <c r="AV54" s="128">
        <v>61</v>
      </c>
      <c r="AW54" s="128"/>
      <c r="AX54" s="128"/>
      <c r="AY54" s="128"/>
      <c r="AZ54" s="128"/>
      <c r="BA54" s="128"/>
      <c r="BB54" s="128"/>
      <c r="BC54" s="137">
        <v>64</v>
      </c>
      <c r="BD54" s="140">
        <v>2</v>
      </c>
      <c r="BE54" s="134">
        <v>4</v>
      </c>
      <c r="BF54" s="130">
        <v>135</v>
      </c>
      <c r="BG54" s="128">
        <v>158</v>
      </c>
      <c r="BH54" s="128">
        <v>1644</v>
      </c>
      <c r="BI54" s="128">
        <v>62</v>
      </c>
      <c r="BJ54" s="128">
        <v>9</v>
      </c>
      <c r="BK54" s="132">
        <v>2008</v>
      </c>
      <c r="BL54" s="134">
        <v>1</v>
      </c>
      <c r="BM54" s="134"/>
      <c r="BN54" s="134"/>
      <c r="BO54" s="134">
        <v>3</v>
      </c>
      <c r="BP54" s="130">
        <v>10</v>
      </c>
      <c r="BQ54" s="128"/>
      <c r="BR54" s="132">
        <v>10</v>
      </c>
      <c r="BS54" s="134"/>
      <c r="BT54" s="130">
        <v>2</v>
      </c>
      <c r="BU54" s="128">
        <v>4</v>
      </c>
      <c r="BV54" s="132">
        <v>6</v>
      </c>
      <c r="BW54" s="136">
        <v>3</v>
      </c>
      <c r="BX54" s="128"/>
      <c r="BY54" s="128"/>
      <c r="BZ54" s="128"/>
      <c r="CA54" s="128"/>
      <c r="CB54" s="128"/>
      <c r="CC54" s="128"/>
      <c r="CD54" s="128"/>
      <c r="CE54" s="128"/>
      <c r="CF54" s="128"/>
      <c r="CG54" s="128"/>
      <c r="CH54" s="128"/>
      <c r="CI54" s="128"/>
      <c r="CJ54" s="128"/>
      <c r="CK54" s="128"/>
      <c r="CL54" s="128"/>
      <c r="CM54" s="137">
        <v>3</v>
      </c>
      <c r="CN54" s="130">
        <v>3</v>
      </c>
      <c r="CO54" s="128"/>
      <c r="CP54" s="132">
        <v>3</v>
      </c>
      <c r="CQ54" s="134"/>
      <c r="CR54" s="130">
        <v>18</v>
      </c>
      <c r="CS54" s="128"/>
      <c r="CT54" s="128">
        <v>17959</v>
      </c>
      <c r="CU54" s="128">
        <v>260</v>
      </c>
      <c r="CV54" s="128">
        <v>7651</v>
      </c>
      <c r="CW54" s="128"/>
      <c r="CX54" s="128"/>
      <c r="CY54" s="128">
        <v>2</v>
      </c>
      <c r="CZ54" s="128"/>
      <c r="DA54" s="128"/>
      <c r="DB54" s="128"/>
      <c r="DC54" s="132">
        <v>25890</v>
      </c>
      <c r="DD54" s="136">
        <v>3714</v>
      </c>
      <c r="DE54" s="128">
        <v>2</v>
      </c>
      <c r="DF54" s="128">
        <v>62</v>
      </c>
      <c r="DG54" s="128">
        <v>71</v>
      </c>
      <c r="DH54" s="128">
        <v>21</v>
      </c>
      <c r="DI54" s="128">
        <v>6</v>
      </c>
      <c r="DJ54" s="128"/>
      <c r="DK54" s="137">
        <v>3876</v>
      </c>
      <c r="DL54" s="140"/>
      <c r="DM54" s="134"/>
      <c r="DN54" s="130"/>
      <c r="DO54" s="128"/>
      <c r="DP54" s="132"/>
      <c r="DQ54" s="134">
        <v>13</v>
      </c>
      <c r="DR54" s="130"/>
      <c r="DS54" s="128"/>
      <c r="DT54" s="132"/>
      <c r="DU54" s="136"/>
      <c r="DV54" s="128"/>
      <c r="DW54" s="137"/>
      <c r="DX54" s="140">
        <v>25</v>
      </c>
      <c r="DY54" s="134"/>
      <c r="DZ54" s="134">
        <v>96</v>
      </c>
      <c r="EA54" s="134">
        <v>2</v>
      </c>
      <c r="EB54" s="134"/>
      <c r="EC54" s="130">
        <v>11</v>
      </c>
      <c r="ED54" s="128">
        <v>1</v>
      </c>
      <c r="EE54" s="128"/>
      <c r="EF54" s="128"/>
      <c r="EG54" s="128"/>
      <c r="EH54" s="132">
        <v>12</v>
      </c>
      <c r="EI54" s="136">
        <v>1015</v>
      </c>
      <c r="EJ54" s="128">
        <v>4626</v>
      </c>
      <c r="EK54" s="128">
        <v>124</v>
      </c>
      <c r="EL54" s="128">
        <v>2425</v>
      </c>
      <c r="EM54" s="128">
        <v>181</v>
      </c>
      <c r="EN54" s="128">
        <v>8</v>
      </c>
      <c r="EO54" s="128">
        <v>2</v>
      </c>
      <c r="EP54" s="128">
        <v>427</v>
      </c>
      <c r="EQ54" s="128">
        <v>4</v>
      </c>
      <c r="ER54" s="128">
        <v>3</v>
      </c>
      <c r="ES54" s="128">
        <v>3</v>
      </c>
      <c r="ET54" s="128"/>
      <c r="EU54" s="128"/>
      <c r="EV54" s="137">
        <v>8818</v>
      </c>
      <c r="EW54" s="140"/>
      <c r="EX54" s="134">
        <v>1</v>
      </c>
      <c r="EY54" s="130"/>
      <c r="EZ54" s="128"/>
      <c r="FA54" s="128">
        <v>1</v>
      </c>
      <c r="FB54" s="132">
        <v>1</v>
      </c>
      <c r="FC54" s="136"/>
      <c r="FD54" s="128"/>
      <c r="FE54" s="137"/>
      <c r="FF54" s="140"/>
      <c r="FG54" s="136"/>
      <c r="FH54" s="128">
        <v>4</v>
      </c>
      <c r="FI54" s="128"/>
      <c r="FJ54" s="128"/>
      <c r="FK54" s="137">
        <v>4</v>
      </c>
      <c r="FL54" s="130"/>
      <c r="FM54" s="128"/>
      <c r="FN54" s="132"/>
      <c r="FO54" s="136"/>
      <c r="FP54" s="128"/>
      <c r="FQ54" s="137"/>
      <c r="FR54" s="140">
        <v>1</v>
      </c>
      <c r="FS54" s="134">
        <v>729</v>
      </c>
      <c r="FT54" s="130"/>
      <c r="FU54" s="128"/>
      <c r="FV54" s="128"/>
      <c r="FW54" s="128"/>
      <c r="FX54" s="128"/>
      <c r="FY54" s="132"/>
      <c r="FZ54" s="134"/>
      <c r="GA54" s="130">
        <v>7</v>
      </c>
      <c r="GB54" s="128"/>
      <c r="GC54" s="132">
        <v>7</v>
      </c>
      <c r="GD54" s="134"/>
      <c r="GE54" s="130">
        <v>8</v>
      </c>
      <c r="GF54" s="128"/>
      <c r="GG54" s="128"/>
      <c r="GH54" s="132">
        <v>8</v>
      </c>
      <c r="GI54" s="134">
        <v>6</v>
      </c>
      <c r="GJ54" s="130">
        <v>2</v>
      </c>
      <c r="GK54" s="128">
        <v>1</v>
      </c>
      <c r="GL54" s="128"/>
      <c r="GM54" s="128"/>
      <c r="GN54" s="132">
        <v>3</v>
      </c>
      <c r="GO54" s="134">
        <v>117281</v>
      </c>
      <c r="GP54" s="323">
        <f>117281/44564395</f>
        <v>2.6317197843704599E-3</v>
      </c>
    </row>
    <row r="55" spans="2:198" x14ac:dyDescent="0.2">
      <c r="B55" s="326" t="s">
        <v>91</v>
      </c>
      <c r="C55" s="325">
        <v>1073</v>
      </c>
      <c r="D55" s="128"/>
      <c r="E55" s="128"/>
      <c r="F55" s="128"/>
      <c r="G55" s="324">
        <v>1073</v>
      </c>
      <c r="H55" s="140"/>
      <c r="I55" s="136">
        <v>88</v>
      </c>
      <c r="J55" s="128"/>
      <c r="K55" s="137">
        <v>88</v>
      </c>
      <c r="L55" s="140">
        <v>0</v>
      </c>
      <c r="M55" s="134">
        <v>13160</v>
      </c>
      <c r="N55" s="140">
        <v>148409</v>
      </c>
      <c r="O55" s="128">
        <v>153</v>
      </c>
      <c r="P55" s="128">
        <v>1334</v>
      </c>
      <c r="Q55" s="128">
        <v>578</v>
      </c>
      <c r="R55" s="128">
        <v>46</v>
      </c>
      <c r="S55" s="128">
        <v>21</v>
      </c>
      <c r="T55" s="128"/>
      <c r="U55" s="128">
        <v>4</v>
      </c>
      <c r="V55" s="132">
        <v>150545</v>
      </c>
      <c r="W55" s="136">
        <v>258</v>
      </c>
      <c r="X55" s="128">
        <v>100</v>
      </c>
      <c r="Y55" s="137">
        <v>358</v>
      </c>
      <c r="Z55" s="130">
        <v>1694</v>
      </c>
      <c r="AA55" s="128">
        <v>2</v>
      </c>
      <c r="AB55" s="128"/>
      <c r="AC55" s="132">
        <v>1696</v>
      </c>
      <c r="AD55" s="136">
        <v>8025</v>
      </c>
      <c r="AE55" s="128">
        <v>27</v>
      </c>
      <c r="AF55" s="137">
        <v>8052</v>
      </c>
      <c r="AG55" s="130">
        <v>459</v>
      </c>
      <c r="AH55" s="128">
        <v>33</v>
      </c>
      <c r="AI55" s="128">
        <v>1</v>
      </c>
      <c r="AJ55" s="128"/>
      <c r="AK55" s="132">
        <v>493</v>
      </c>
      <c r="AL55" s="136"/>
      <c r="AM55" s="128"/>
      <c r="AN55" s="137"/>
      <c r="AO55" s="134"/>
      <c r="AP55" s="134"/>
      <c r="AQ55" s="130">
        <v>1</v>
      </c>
      <c r="AR55" s="128"/>
      <c r="AS55" s="132">
        <v>1</v>
      </c>
      <c r="AT55" s="136">
        <v>68</v>
      </c>
      <c r="AU55" s="128">
        <v>10</v>
      </c>
      <c r="AV55" s="128">
        <v>53</v>
      </c>
      <c r="AW55" s="128"/>
      <c r="AX55" s="128">
        <v>1</v>
      </c>
      <c r="AY55" s="128"/>
      <c r="AZ55" s="128"/>
      <c r="BA55" s="128"/>
      <c r="BB55" s="128"/>
      <c r="BC55" s="137">
        <v>132</v>
      </c>
      <c r="BD55" s="140">
        <v>0</v>
      </c>
      <c r="BE55" s="134">
        <v>208</v>
      </c>
      <c r="BF55" s="130">
        <v>1501</v>
      </c>
      <c r="BG55" s="128">
        <v>24602</v>
      </c>
      <c r="BH55" s="128">
        <v>78869</v>
      </c>
      <c r="BI55" s="128">
        <v>848</v>
      </c>
      <c r="BJ55" s="128">
        <v>1025</v>
      </c>
      <c r="BK55" s="132">
        <v>106845</v>
      </c>
      <c r="BL55" s="134">
        <v>613</v>
      </c>
      <c r="BM55" s="134"/>
      <c r="BN55" s="134">
        <v>3</v>
      </c>
      <c r="BO55" s="134">
        <v>4282</v>
      </c>
      <c r="BP55" s="130">
        <v>1756</v>
      </c>
      <c r="BQ55" s="128"/>
      <c r="BR55" s="132">
        <v>1756</v>
      </c>
      <c r="BS55" s="134"/>
      <c r="BT55" s="130">
        <v>16</v>
      </c>
      <c r="BU55" s="128">
        <v>9</v>
      </c>
      <c r="BV55" s="132">
        <v>25</v>
      </c>
      <c r="BW55" s="136">
        <v>114</v>
      </c>
      <c r="BX55" s="128">
        <v>9</v>
      </c>
      <c r="BY55" s="128"/>
      <c r="BZ55" s="128"/>
      <c r="CA55" s="128"/>
      <c r="CB55" s="128"/>
      <c r="CC55" s="128"/>
      <c r="CD55" s="128">
        <v>3</v>
      </c>
      <c r="CE55" s="128"/>
      <c r="CF55" s="128"/>
      <c r="CG55" s="128"/>
      <c r="CH55" s="128"/>
      <c r="CI55" s="128"/>
      <c r="CJ55" s="128">
        <v>3</v>
      </c>
      <c r="CK55" s="128">
        <v>3</v>
      </c>
      <c r="CL55" s="128"/>
      <c r="CM55" s="137">
        <v>132</v>
      </c>
      <c r="CN55" s="130">
        <v>5</v>
      </c>
      <c r="CO55" s="128"/>
      <c r="CP55" s="132">
        <v>5</v>
      </c>
      <c r="CQ55" s="134"/>
      <c r="CR55" s="130">
        <v>600</v>
      </c>
      <c r="CS55" s="128">
        <v>7</v>
      </c>
      <c r="CT55" s="128">
        <v>297216</v>
      </c>
      <c r="CU55" s="128">
        <v>5401</v>
      </c>
      <c r="CV55" s="128">
        <v>263991</v>
      </c>
      <c r="CW55" s="128">
        <v>42</v>
      </c>
      <c r="CX55" s="128">
        <v>45</v>
      </c>
      <c r="CY55" s="128">
        <v>5</v>
      </c>
      <c r="CZ55" s="128">
        <v>163</v>
      </c>
      <c r="DA55" s="128">
        <v>5</v>
      </c>
      <c r="DB55" s="128">
        <v>0</v>
      </c>
      <c r="DC55" s="132">
        <v>567475</v>
      </c>
      <c r="DD55" s="136">
        <v>63762</v>
      </c>
      <c r="DE55" s="128">
        <v>10</v>
      </c>
      <c r="DF55" s="128">
        <v>1583</v>
      </c>
      <c r="DG55" s="128">
        <v>1837</v>
      </c>
      <c r="DH55" s="128">
        <v>30</v>
      </c>
      <c r="DI55" s="128">
        <v>81</v>
      </c>
      <c r="DJ55" s="128"/>
      <c r="DK55" s="137">
        <v>67303</v>
      </c>
      <c r="DL55" s="140">
        <v>2</v>
      </c>
      <c r="DM55" s="134">
        <v>1</v>
      </c>
      <c r="DN55" s="130"/>
      <c r="DO55" s="128">
        <v>1</v>
      </c>
      <c r="DP55" s="132">
        <v>1</v>
      </c>
      <c r="DQ55" s="134">
        <v>9686</v>
      </c>
      <c r="DR55" s="130"/>
      <c r="DS55" s="128"/>
      <c r="DT55" s="132"/>
      <c r="DU55" s="136">
        <v>4</v>
      </c>
      <c r="DV55" s="128">
        <v>4</v>
      </c>
      <c r="DW55" s="137">
        <v>8</v>
      </c>
      <c r="DX55" s="140">
        <v>953</v>
      </c>
      <c r="DY55" s="134">
        <v>250</v>
      </c>
      <c r="DZ55" s="134">
        <v>1214</v>
      </c>
      <c r="EA55" s="134">
        <v>118</v>
      </c>
      <c r="EB55" s="134">
        <v>1</v>
      </c>
      <c r="EC55" s="130">
        <v>226</v>
      </c>
      <c r="ED55" s="128">
        <v>21</v>
      </c>
      <c r="EE55" s="128"/>
      <c r="EF55" s="128"/>
      <c r="EG55" s="128"/>
      <c r="EH55" s="132">
        <v>247</v>
      </c>
      <c r="EI55" s="136">
        <v>12583</v>
      </c>
      <c r="EJ55" s="128">
        <v>3491</v>
      </c>
      <c r="EK55" s="128">
        <v>2390</v>
      </c>
      <c r="EL55" s="128">
        <v>2531</v>
      </c>
      <c r="EM55" s="128">
        <v>19402</v>
      </c>
      <c r="EN55" s="128">
        <v>1213</v>
      </c>
      <c r="EO55" s="128">
        <v>86</v>
      </c>
      <c r="EP55" s="128">
        <v>5522</v>
      </c>
      <c r="EQ55" s="128">
        <v>118</v>
      </c>
      <c r="ER55" s="128">
        <v>178</v>
      </c>
      <c r="ES55" s="128">
        <v>49</v>
      </c>
      <c r="ET55" s="128"/>
      <c r="EU55" s="128">
        <v>5</v>
      </c>
      <c r="EV55" s="137">
        <v>47568</v>
      </c>
      <c r="EW55" s="140"/>
      <c r="EX55" s="134">
        <v>29</v>
      </c>
      <c r="EY55" s="130">
        <v>18</v>
      </c>
      <c r="EZ55" s="128"/>
      <c r="FA55" s="128"/>
      <c r="FB55" s="132">
        <v>18</v>
      </c>
      <c r="FC55" s="136"/>
      <c r="FD55" s="128"/>
      <c r="FE55" s="137"/>
      <c r="FF55" s="140">
        <v>2</v>
      </c>
      <c r="FG55" s="136"/>
      <c r="FH55" s="128">
        <v>689</v>
      </c>
      <c r="FI55" s="128"/>
      <c r="FJ55" s="128"/>
      <c r="FK55" s="137">
        <v>689</v>
      </c>
      <c r="FL55" s="130">
        <v>0</v>
      </c>
      <c r="FM55" s="128"/>
      <c r="FN55" s="132">
        <v>0</v>
      </c>
      <c r="FO55" s="136">
        <v>0</v>
      </c>
      <c r="FP55" s="128"/>
      <c r="FQ55" s="137">
        <v>0</v>
      </c>
      <c r="FR55" s="140">
        <v>11</v>
      </c>
      <c r="FS55" s="134">
        <v>270</v>
      </c>
      <c r="FT55" s="130">
        <v>72</v>
      </c>
      <c r="FU55" s="128">
        <v>1</v>
      </c>
      <c r="FV55" s="128"/>
      <c r="FW55" s="128"/>
      <c r="FX55" s="128"/>
      <c r="FY55" s="132">
        <v>73</v>
      </c>
      <c r="FZ55" s="134"/>
      <c r="GA55" s="130">
        <v>568</v>
      </c>
      <c r="GB55" s="128"/>
      <c r="GC55" s="132">
        <v>568</v>
      </c>
      <c r="GD55" s="134"/>
      <c r="GE55" s="130">
        <v>35</v>
      </c>
      <c r="GF55" s="128">
        <v>2</v>
      </c>
      <c r="GG55" s="128"/>
      <c r="GH55" s="132">
        <v>37</v>
      </c>
      <c r="GI55" s="134">
        <v>4</v>
      </c>
      <c r="GJ55" s="130">
        <v>68</v>
      </c>
      <c r="GK55" s="128">
        <v>27</v>
      </c>
      <c r="GL55" s="128"/>
      <c r="GM55" s="128"/>
      <c r="GN55" s="132">
        <v>95</v>
      </c>
      <c r="GO55" s="134">
        <v>986090</v>
      </c>
      <c r="GP55" s="323">
        <f>986090/44564395</f>
        <v>2.2127305890722853E-2</v>
      </c>
    </row>
    <row r="56" spans="2:198" x14ac:dyDescent="0.2">
      <c r="B56" s="326" t="s">
        <v>113</v>
      </c>
      <c r="C56" s="325">
        <v>10257</v>
      </c>
      <c r="D56" s="128"/>
      <c r="E56" s="128"/>
      <c r="F56" s="128"/>
      <c r="G56" s="324">
        <v>10257</v>
      </c>
      <c r="H56" s="140"/>
      <c r="I56" s="136">
        <v>112</v>
      </c>
      <c r="J56" s="128"/>
      <c r="K56" s="137">
        <v>112</v>
      </c>
      <c r="L56" s="140">
        <v>1</v>
      </c>
      <c r="M56" s="134">
        <v>30022</v>
      </c>
      <c r="N56" s="140">
        <v>442642</v>
      </c>
      <c r="O56" s="128">
        <v>523</v>
      </c>
      <c r="P56" s="128">
        <v>522</v>
      </c>
      <c r="Q56" s="128">
        <v>104</v>
      </c>
      <c r="R56" s="128">
        <v>28</v>
      </c>
      <c r="S56" s="128">
        <v>5</v>
      </c>
      <c r="T56" s="128">
        <v>2</v>
      </c>
      <c r="U56" s="128">
        <v>7</v>
      </c>
      <c r="V56" s="132">
        <v>443833</v>
      </c>
      <c r="W56" s="136">
        <v>149</v>
      </c>
      <c r="X56" s="128">
        <v>135</v>
      </c>
      <c r="Y56" s="137">
        <v>284</v>
      </c>
      <c r="Z56" s="130">
        <v>1885</v>
      </c>
      <c r="AA56" s="128"/>
      <c r="AB56" s="128">
        <v>2</v>
      </c>
      <c r="AC56" s="132">
        <v>1887</v>
      </c>
      <c r="AD56" s="136">
        <v>7124</v>
      </c>
      <c r="AE56" s="128">
        <v>10</v>
      </c>
      <c r="AF56" s="137">
        <v>7134</v>
      </c>
      <c r="AG56" s="130">
        <v>468</v>
      </c>
      <c r="AH56" s="128">
        <v>292</v>
      </c>
      <c r="AI56" s="128">
        <v>5</v>
      </c>
      <c r="AJ56" s="128"/>
      <c r="AK56" s="132">
        <v>765</v>
      </c>
      <c r="AL56" s="136"/>
      <c r="AM56" s="128"/>
      <c r="AN56" s="137"/>
      <c r="AO56" s="134"/>
      <c r="AP56" s="134"/>
      <c r="AQ56" s="130">
        <v>4</v>
      </c>
      <c r="AR56" s="128">
        <v>19</v>
      </c>
      <c r="AS56" s="132">
        <v>23</v>
      </c>
      <c r="AT56" s="136">
        <v>35</v>
      </c>
      <c r="AU56" s="128">
        <v>0</v>
      </c>
      <c r="AV56" s="128">
        <v>57</v>
      </c>
      <c r="AW56" s="128"/>
      <c r="AX56" s="128">
        <v>1</v>
      </c>
      <c r="AY56" s="128">
        <v>3</v>
      </c>
      <c r="AZ56" s="128"/>
      <c r="BA56" s="128"/>
      <c r="BB56" s="128"/>
      <c r="BC56" s="137">
        <v>96</v>
      </c>
      <c r="BD56" s="140">
        <v>3</v>
      </c>
      <c r="BE56" s="134">
        <v>1865</v>
      </c>
      <c r="BF56" s="130">
        <v>2599</v>
      </c>
      <c r="BG56" s="128">
        <v>7041</v>
      </c>
      <c r="BH56" s="128">
        <v>79656</v>
      </c>
      <c r="BI56" s="128">
        <v>714</v>
      </c>
      <c r="BJ56" s="128">
        <v>876</v>
      </c>
      <c r="BK56" s="132">
        <v>90886</v>
      </c>
      <c r="BL56" s="134">
        <v>2755</v>
      </c>
      <c r="BM56" s="134"/>
      <c r="BN56" s="134">
        <v>35</v>
      </c>
      <c r="BO56" s="134">
        <v>3632</v>
      </c>
      <c r="BP56" s="130">
        <v>5182</v>
      </c>
      <c r="BQ56" s="128"/>
      <c r="BR56" s="132">
        <v>5182</v>
      </c>
      <c r="BS56" s="134"/>
      <c r="BT56" s="130">
        <v>28</v>
      </c>
      <c r="BU56" s="128">
        <v>34</v>
      </c>
      <c r="BV56" s="132">
        <v>62</v>
      </c>
      <c r="BW56" s="136">
        <v>629</v>
      </c>
      <c r="BX56" s="128">
        <v>2</v>
      </c>
      <c r="BY56" s="128">
        <v>4</v>
      </c>
      <c r="BZ56" s="128"/>
      <c r="CA56" s="128">
        <v>1</v>
      </c>
      <c r="CB56" s="128"/>
      <c r="CC56" s="128">
        <v>1</v>
      </c>
      <c r="CD56" s="128"/>
      <c r="CE56" s="128"/>
      <c r="CF56" s="128"/>
      <c r="CG56" s="128">
        <v>0</v>
      </c>
      <c r="CH56" s="128"/>
      <c r="CI56" s="128">
        <v>3</v>
      </c>
      <c r="CJ56" s="128"/>
      <c r="CK56" s="128"/>
      <c r="CL56" s="128"/>
      <c r="CM56" s="137">
        <v>640</v>
      </c>
      <c r="CN56" s="130">
        <v>10</v>
      </c>
      <c r="CO56" s="128"/>
      <c r="CP56" s="132">
        <v>10</v>
      </c>
      <c r="CQ56" s="134"/>
      <c r="CR56" s="130">
        <v>270</v>
      </c>
      <c r="CS56" s="128">
        <v>20</v>
      </c>
      <c r="CT56" s="128">
        <v>164172</v>
      </c>
      <c r="CU56" s="128">
        <v>3047</v>
      </c>
      <c r="CV56" s="128">
        <v>169319</v>
      </c>
      <c r="CW56" s="128">
        <v>139</v>
      </c>
      <c r="CX56" s="128">
        <v>23</v>
      </c>
      <c r="CY56" s="128">
        <v>2</v>
      </c>
      <c r="CZ56" s="128">
        <v>62</v>
      </c>
      <c r="DA56" s="128">
        <v>2</v>
      </c>
      <c r="DB56" s="128">
        <v>0</v>
      </c>
      <c r="DC56" s="132">
        <v>337056</v>
      </c>
      <c r="DD56" s="136">
        <v>97828</v>
      </c>
      <c r="DE56" s="128">
        <v>24</v>
      </c>
      <c r="DF56" s="128">
        <v>868</v>
      </c>
      <c r="DG56" s="128">
        <v>996</v>
      </c>
      <c r="DH56" s="128">
        <v>21</v>
      </c>
      <c r="DI56" s="128">
        <v>49</v>
      </c>
      <c r="DJ56" s="128"/>
      <c r="DK56" s="137">
        <v>99786</v>
      </c>
      <c r="DL56" s="140"/>
      <c r="DM56" s="134">
        <v>0</v>
      </c>
      <c r="DN56" s="130"/>
      <c r="DO56" s="128"/>
      <c r="DP56" s="132"/>
      <c r="DQ56" s="134">
        <v>47439</v>
      </c>
      <c r="DR56" s="130"/>
      <c r="DS56" s="128"/>
      <c r="DT56" s="132"/>
      <c r="DU56" s="136">
        <v>57</v>
      </c>
      <c r="DV56" s="128">
        <v>1</v>
      </c>
      <c r="DW56" s="137">
        <v>58</v>
      </c>
      <c r="DX56" s="140">
        <v>22127</v>
      </c>
      <c r="DY56" s="134">
        <v>495</v>
      </c>
      <c r="DZ56" s="134">
        <v>917</v>
      </c>
      <c r="EA56" s="134">
        <v>178</v>
      </c>
      <c r="EB56" s="134"/>
      <c r="EC56" s="130">
        <v>192</v>
      </c>
      <c r="ED56" s="128">
        <v>33</v>
      </c>
      <c r="EE56" s="128">
        <v>1</v>
      </c>
      <c r="EF56" s="128"/>
      <c r="EG56" s="128"/>
      <c r="EH56" s="132">
        <v>226</v>
      </c>
      <c r="EI56" s="136">
        <v>20601</v>
      </c>
      <c r="EJ56" s="128">
        <v>39541</v>
      </c>
      <c r="EK56" s="128">
        <v>676</v>
      </c>
      <c r="EL56" s="128">
        <v>6417</v>
      </c>
      <c r="EM56" s="128">
        <v>45501</v>
      </c>
      <c r="EN56" s="128">
        <v>436</v>
      </c>
      <c r="EO56" s="128">
        <v>72</v>
      </c>
      <c r="EP56" s="128">
        <v>7268</v>
      </c>
      <c r="EQ56" s="128">
        <v>53</v>
      </c>
      <c r="ER56" s="128">
        <v>90</v>
      </c>
      <c r="ES56" s="128">
        <v>15</v>
      </c>
      <c r="ET56" s="128">
        <v>3</v>
      </c>
      <c r="EU56" s="128">
        <v>1</v>
      </c>
      <c r="EV56" s="137">
        <v>120674</v>
      </c>
      <c r="EW56" s="140"/>
      <c r="EX56" s="134">
        <v>3</v>
      </c>
      <c r="EY56" s="130">
        <v>706</v>
      </c>
      <c r="EZ56" s="128"/>
      <c r="FA56" s="128">
        <v>6</v>
      </c>
      <c r="FB56" s="132">
        <v>712</v>
      </c>
      <c r="FC56" s="136"/>
      <c r="FD56" s="128"/>
      <c r="FE56" s="137"/>
      <c r="FF56" s="140"/>
      <c r="FG56" s="136"/>
      <c r="FH56" s="128">
        <v>5803</v>
      </c>
      <c r="FI56" s="128"/>
      <c r="FJ56" s="128"/>
      <c r="FK56" s="137">
        <v>5803</v>
      </c>
      <c r="FL56" s="130"/>
      <c r="FM56" s="128"/>
      <c r="FN56" s="132"/>
      <c r="FO56" s="136"/>
      <c r="FP56" s="128"/>
      <c r="FQ56" s="137"/>
      <c r="FR56" s="140">
        <v>2</v>
      </c>
      <c r="FS56" s="134">
        <v>3852</v>
      </c>
      <c r="FT56" s="130">
        <v>3</v>
      </c>
      <c r="FU56" s="128">
        <v>2</v>
      </c>
      <c r="FV56" s="128"/>
      <c r="FW56" s="128"/>
      <c r="FX56" s="128"/>
      <c r="FY56" s="132">
        <v>5</v>
      </c>
      <c r="FZ56" s="134"/>
      <c r="GA56" s="130">
        <v>5427</v>
      </c>
      <c r="GB56" s="128"/>
      <c r="GC56" s="132">
        <v>5427</v>
      </c>
      <c r="GD56" s="134"/>
      <c r="GE56" s="130">
        <v>22</v>
      </c>
      <c r="GF56" s="128">
        <v>1</v>
      </c>
      <c r="GG56" s="128"/>
      <c r="GH56" s="132">
        <v>23</v>
      </c>
      <c r="GI56" s="134">
        <v>30</v>
      </c>
      <c r="GJ56" s="130">
        <v>44</v>
      </c>
      <c r="GK56" s="128">
        <v>412</v>
      </c>
      <c r="GL56" s="128">
        <v>2</v>
      </c>
      <c r="GM56" s="128">
        <v>1</v>
      </c>
      <c r="GN56" s="132">
        <v>459</v>
      </c>
      <c r="GO56" s="134">
        <v>1244756</v>
      </c>
      <c r="GP56" s="323">
        <f>1244756/44564395</f>
        <v>2.7931625684585196E-2</v>
      </c>
    </row>
    <row r="57" spans="2:198" x14ac:dyDescent="0.2">
      <c r="B57" s="326" t="s">
        <v>118</v>
      </c>
      <c r="C57" s="325">
        <v>668</v>
      </c>
      <c r="D57" s="128">
        <v>0</v>
      </c>
      <c r="E57" s="128"/>
      <c r="F57" s="128"/>
      <c r="G57" s="324">
        <v>668</v>
      </c>
      <c r="H57" s="140"/>
      <c r="I57" s="136">
        <v>86</v>
      </c>
      <c r="J57" s="128"/>
      <c r="K57" s="137">
        <v>86</v>
      </c>
      <c r="L57" s="140"/>
      <c r="M57" s="134">
        <v>10531</v>
      </c>
      <c r="N57" s="140">
        <v>1138410</v>
      </c>
      <c r="O57" s="128">
        <v>721</v>
      </c>
      <c r="P57" s="128">
        <v>6235</v>
      </c>
      <c r="Q57" s="128">
        <v>1811</v>
      </c>
      <c r="R57" s="128">
        <v>158</v>
      </c>
      <c r="S57" s="128">
        <v>49</v>
      </c>
      <c r="T57" s="128">
        <v>1</v>
      </c>
      <c r="U57" s="128">
        <v>57</v>
      </c>
      <c r="V57" s="132">
        <v>1147442</v>
      </c>
      <c r="W57" s="136">
        <v>90</v>
      </c>
      <c r="X57" s="128">
        <v>68</v>
      </c>
      <c r="Y57" s="137">
        <v>158</v>
      </c>
      <c r="Z57" s="130">
        <v>918</v>
      </c>
      <c r="AA57" s="128">
        <v>6</v>
      </c>
      <c r="AB57" s="128">
        <v>2</v>
      </c>
      <c r="AC57" s="132">
        <v>926</v>
      </c>
      <c r="AD57" s="136">
        <v>71712</v>
      </c>
      <c r="AE57" s="128">
        <v>104</v>
      </c>
      <c r="AF57" s="137">
        <v>71816</v>
      </c>
      <c r="AG57" s="130">
        <v>541</v>
      </c>
      <c r="AH57" s="128">
        <v>6</v>
      </c>
      <c r="AI57" s="128"/>
      <c r="AJ57" s="128"/>
      <c r="AK57" s="132">
        <v>547</v>
      </c>
      <c r="AL57" s="136"/>
      <c r="AM57" s="128"/>
      <c r="AN57" s="137"/>
      <c r="AO57" s="134"/>
      <c r="AP57" s="134"/>
      <c r="AQ57" s="130">
        <v>10</v>
      </c>
      <c r="AR57" s="128">
        <v>0</v>
      </c>
      <c r="AS57" s="132">
        <v>10</v>
      </c>
      <c r="AT57" s="136">
        <v>3566</v>
      </c>
      <c r="AU57" s="128">
        <v>6</v>
      </c>
      <c r="AV57" s="128">
        <v>883</v>
      </c>
      <c r="AW57" s="128">
        <v>1</v>
      </c>
      <c r="AX57" s="128">
        <v>120</v>
      </c>
      <c r="AY57" s="128">
        <v>16</v>
      </c>
      <c r="AZ57" s="128"/>
      <c r="BA57" s="128">
        <v>0</v>
      </c>
      <c r="BB57" s="128"/>
      <c r="BC57" s="137">
        <v>4592</v>
      </c>
      <c r="BD57" s="140">
        <v>4</v>
      </c>
      <c r="BE57" s="134">
        <v>157</v>
      </c>
      <c r="BF57" s="130">
        <v>1679</v>
      </c>
      <c r="BG57" s="128">
        <v>5930</v>
      </c>
      <c r="BH57" s="128">
        <v>26033</v>
      </c>
      <c r="BI57" s="128">
        <v>1012</v>
      </c>
      <c r="BJ57" s="128">
        <v>319</v>
      </c>
      <c r="BK57" s="132">
        <v>34973</v>
      </c>
      <c r="BL57" s="134">
        <v>55</v>
      </c>
      <c r="BM57" s="134"/>
      <c r="BN57" s="134">
        <v>8</v>
      </c>
      <c r="BO57" s="134">
        <v>28</v>
      </c>
      <c r="BP57" s="130">
        <v>2973</v>
      </c>
      <c r="BQ57" s="128">
        <v>1</v>
      </c>
      <c r="BR57" s="132">
        <v>2974</v>
      </c>
      <c r="BS57" s="134"/>
      <c r="BT57" s="130">
        <v>4</v>
      </c>
      <c r="BU57" s="128">
        <v>61</v>
      </c>
      <c r="BV57" s="132">
        <v>65</v>
      </c>
      <c r="BW57" s="136">
        <v>92</v>
      </c>
      <c r="BX57" s="128">
        <v>2</v>
      </c>
      <c r="BY57" s="128">
        <v>11</v>
      </c>
      <c r="BZ57" s="128">
        <v>0</v>
      </c>
      <c r="CA57" s="128">
        <v>1</v>
      </c>
      <c r="CB57" s="128"/>
      <c r="CC57" s="128">
        <v>1</v>
      </c>
      <c r="CD57" s="128"/>
      <c r="CE57" s="128">
        <v>0</v>
      </c>
      <c r="CF57" s="128"/>
      <c r="CG57" s="128"/>
      <c r="CH57" s="128"/>
      <c r="CI57" s="128"/>
      <c r="CJ57" s="128">
        <v>2</v>
      </c>
      <c r="CK57" s="128">
        <v>1</v>
      </c>
      <c r="CL57" s="128"/>
      <c r="CM57" s="137">
        <v>110</v>
      </c>
      <c r="CN57" s="130">
        <v>14</v>
      </c>
      <c r="CO57" s="128"/>
      <c r="CP57" s="132">
        <v>14</v>
      </c>
      <c r="CQ57" s="134">
        <v>3</v>
      </c>
      <c r="CR57" s="130">
        <v>1726</v>
      </c>
      <c r="CS57" s="128">
        <v>42</v>
      </c>
      <c r="CT57" s="128">
        <v>395493</v>
      </c>
      <c r="CU57" s="128">
        <v>16086</v>
      </c>
      <c r="CV57" s="128">
        <v>197689</v>
      </c>
      <c r="CW57" s="128">
        <v>47</v>
      </c>
      <c r="CX57" s="128">
        <v>13</v>
      </c>
      <c r="CY57" s="128">
        <v>5</v>
      </c>
      <c r="CZ57" s="128">
        <v>2084</v>
      </c>
      <c r="DA57" s="128">
        <v>14</v>
      </c>
      <c r="DB57" s="128"/>
      <c r="DC57" s="132">
        <v>613199</v>
      </c>
      <c r="DD57" s="136">
        <v>154404</v>
      </c>
      <c r="DE57" s="128">
        <v>19</v>
      </c>
      <c r="DF57" s="128">
        <v>2226</v>
      </c>
      <c r="DG57" s="128">
        <v>952</v>
      </c>
      <c r="DH57" s="128">
        <v>945</v>
      </c>
      <c r="DI57" s="128">
        <v>64</v>
      </c>
      <c r="DJ57" s="128">
        <v>2</v>
      </c>
      <c r="DK57" s="137">
        <v>158612</v>
      </c>
      <c r="DL57" s="140"/>
      <c r="DM57" s="134"/>
      <c r="DN57" s="130"/>
      <c r="DO57" s="128"/>
      <c r="DP57" s="132"/>
      <c r="DQ57" s="134">
        <v>516</v>
      </c>
      <c r="DR57" s="130"/>
      <c r="DS57" s="128"/>
      <c r="DT57" s="132"/>
      <c r="DU57" s="136">
        <v>18</v>
      </c>
      <c r="DV57" s="128"/>
      <c r="DW57" s="137">
        <v>18</v>
      </c>
      <c r="DX57" s="140">
        <v>156</v>
      </c>
      <c r="DY57" s="134">
        <v>15</v>
      </c>
      <c r="DZ57" s="134">
        <v>1582</v>
      </c>
      <c r="EA57" s="134">
        <v>10</v>
      </c>
      <c r="EB57" s="134">
        <v>2</v>
      </c>
      <c r="EC57" s="130">
        <v>633</v>
      </c>
      <c r="ED57" s="128">
        <v>81</v>
      </c>
      <c r="EE57" s="128"/>
      <c r="EF57" s="128"/>
      <c r="EG57" s="128"/>
      <c r="EH57" s="132">
        <v>714</v>
      </c>
      <c r="EI57" s="136">
        <v>35578</v>
      </c>
      <c r="EJ57" s="128">
        <v>989102</v>
      </c>
      <c r="EK57" s="128">
        <v>7469</v>
      </c>
      <c r="EL57" s="128">
        <v>22469</v>
      </c>
      <c r="EM57" s="128">
        <v>240701</v>
      </c>
      <c r="EN57" s="128">
        <v>1857</v>
      </c>
      <c r="EO57" s="128">
        <v>384</v>
      </c>
      <c r="EP57" s="128">
        <v>12838</v>
      </c>
      <c r="EQ57" s="128">
        <v>235</v>
      </c>
      <c r="ER57" s="128">
        <v>324</v>
      </c>
      <c r="ES57" s="128">
        <v>282</v>
      </c>
      <c r="ET57" s="128"/>
      <c r="EU57" s="128">
        <v>9</v>
      </c>
      <c r="EV57" s="137">
        <v>1311248</v>
      </c>
      <c r="EW57" s="140"/>
      <c r="EX57" s="134">
        <v>44</v>
      </c>
      <c r="EY57" s="130">
        <v>3</v>
      </c>
      <c r="EZ57" s="128"/>
      <c r="FA57" s="128">
        <v>20</v>
      </c>
      <c r="FB57" s="132">
        <v>23</v>
      </c>
      <c r="FC57" s="136"/>
      <c r="FD57" s="128"/>
      <c r="FE57" s="137"/>
      <c r="FF57" s="140"/>
      <c r="FG57" s="136"/>
      <c r="FH57" s="128">
        <v>31</v>
      </c>
      <c r="FI57" s="128"/>
      <c r="FJ57" s="128"/>
      <c r="FK57" s="137">
        <v>31</v>
      </c>
      <c r="FL57" s="130">
        <v>0</v>
      </c>
      <c r="FM57" s="128"/>
      <c r="FN57" s="132">
        <v>0</v>
      </c>
      <c r="FO57" s="136"/>
      <c r="FP57" s="128"/>
      <c r="FQ57" s="137"/>
      <c r="FR57" s="140">
        <v>6</v>
      </c>
      <c r="FS57" s="134">
        <v>8092</v>
      </c>
      <c r="FT57" s="130">
        <v>34</v>
      </c>
      <c r="FU57" s="128">
        <v>3</v>
      </c>
      <c r="FV57" s="128"/>
      <c r="FW57" s="128">
        <v>13</v>
      </c>
      <c r="FX57" s="128"/>
      <c r="FY57" s="132">
        <v>50</v>
      </c>
      <c r="FZ57" s="134"/>
      <c r="GA57" s="130">
        <v>253</v>
      </c>
      <c r="GB57" s="128">
        <v>1</v>
      </c>
      <c r="GC57" s="132">
        <v>254</v>
      </c>
      <c r="GD57" s="134">
        <v>5</v>
      </c>
      <c r="GE57" s="130">
        <v>24</v>
      </c>
      <c r="GF57" s="128">
        <v>1</v>
      </c>
      <c r="GG57" s="128"/>
      <c r="GH57" s="132">
        <v>25</v>
      </c>
      <c r="GI57" s="134">
        <v>7</v>
      </c>
      <c r="GJ57" s="130">
        <v>944</v>
      </c>
      <c r="GK57" s="128">
        <v>18</v>
      </c>
      <c r="GL57" s="128">
        <v>1</v>
      </c>
      <c r="GM57" s="128"/>
      <c r="GN57" s="132">
        <v>963</v>
      </c>
      <c r="GO57" s="134">
        <v>3370739</v>
      </c>
      <c r="GP57" s="323">
        <f>3370739/44564395</f>
        <v>7.5637490422567163E-2</v>
      </c>
    </row>
    <row r="58" spans="2:198" x14ac:dyDescent="0.2">
      <c r="B58" s="326" t="s">
        <v>120</v>
      </c>
      <c r="C58" s="325">
        <v>19</v>
      </c>
      <c r="D58" s="128">
        <v>1</v>
      </c>
      <c r="E58" s="128"/>
      <c r="F58" s="128"/>
      <c r="G58" s="324">
        <v>20</v>
      </c>
      <c r="H58" s="140"/>
      <c r="I58" s="136">
        <v>1</v>
      </c>
      <c r="J58" s="128"/>
      <c r="K58" s="137">
        <v>1</v>
      </c>
      <c r="L58" s="140"/>
      <c r="M58" s="134">
        <v>245</v>
      </c>
      <c r="N58" s="140">
        <v>21498</v>
      </c>
      <c r="O58" s="128">
        <v>71</v>
      </c>
      <c r="P58" s="128">
        <v>267</v>
      </c>
      <c r="Q58" s="128">
        <v>57</v>
      </c>
      <c r="R58" s="128">
        <v>20</v>
      </c>
      <c r="S58" s="128">
        <v>3</v>
      </c>
      <c r="T58" s="128"/>
      <c r="U58" s="128">
        <v>1</v>
      </c>
      <c r="V58" s="132">
        <v>21917</v>
      </c>
      <c r="W58" s="136">
        <v>6</v>
      </c>
      <c r="X58" s="128">
        <v>4</v>
      </c>
      <c r="Y58" s="137">
        <v>10</v>
      </c>
      <c r="Z58" s="130">
        <v>90</v>
      </c>
      <c r="AA58" s="128"/>
      <c r="AB58" s="128">
        <v>1</v>
      </c>
      <c r="AC58" s="132">
        <v>91</v>
      </c>
      <c r="AD58" s="136">
        <v>5778</v>
      </c>
      <c r="AE58" s="128">
        <v>8</v>
      </c>
      <c r="AF58" s="137">
        <v>5786</v>
      </c>
      <c r="AG58" s="130">
        <v>50</v>
      </c>
      <c r="AH58" s="128">
        <v>2</v>
      </c>
      <c r="AI58" s="128"/>
      <c r="AJ58" s="128"/>
      <c r="AK58" s="132">
        <v>52</v>
      </c>
      <c r="AL58" s="136"/>
      <c r="AM58" s="128"/>
      <c r="AN58" s="137"/>
      <c r="AO58" s="134"/>
      <c r="AP58" s="134"/>
      <c r="AQ58" s="130"/>
      <c r="AR58" s="128"/>
      <c r="AS58" s="132"/>
      <c r="AT58" s="136">
        <v>84</v>
      </c>
      <c r="AU58" s="128">
        <v>0</v>
      </c>
      <c r="AV58" s="128">
        <v>2</v>
      </c>
      <c r="AW58" s="128"/>
      <c r="AX58" s="128">
        <v>11</v>
      </c>
      <c r="AY58" s="128"/>
      <c r="AZ58" s="128"/>
      <c r="BA58" s="128"/>
      <c r="BB58" s="128"/>
      <c r="BC58" s="137">
        <v>97</v>
      </c>
      <c r="BD58" s="140"/>
      <c r="BE58" s="134">
        <v>1</v>
      </c>
      <c r="BF58" s="130">
        <v>119</v>
      </c>
      <c r="BG58" s="128">
        <v>171</v>
      </c>
      <c r="BH58" s="128">
        <v>577</v>
      </c>
      <c r="BI58" s="128">
        <v>154</v>
      </c>
      <c r="BJ58" s="128">
        <v>12</v>
      </c>
      <c r="BK58" s="132">
        <v>1033</v>
      </c>
      <c r="BL58" s="134">
        <v>0</v>
      </c>
      <c r="BM58" s="134"/>
      <c r="BN58" s="134">
        <v>1</v>
      </c>
      <c r="BO58" s="134">
        <v>1</v>
      </c>
      <c r="BP58" s="130">
        <v>17</v>
      </c>
      <c r="BQ58" s="128"/>
      <c r="BR58" s="132">
        <v>17</v>
      </c>
      <c r="BS58" s="134"/>
      <c r="BT58" s="130">
        <v>2</v>
      </c>
      <c r="BU58" s="128"/>
      <c r="BV58" s="132">
        <v>2</v>
      </c>
      <c r="BW58" s="136">
        <v>9</v>
      </c>
      <c r="BX58" s="128"/>
      <c r="BY58" s="128"/>
      <c r="BZ58" s="128"/>
      <c r="CA58" s="128"/>
      <c r="CB58" s="128"/>
      <c r="CC58" s="128"/>
      <c r="CD58" s="128"/>
      <c r="CE58" s="128"/>
      <c r="CF58" s="128"/>
      <c r="CG58" s="128"/>
      <c r="CH58" s="128"/>
      <c r="CI58" s="128"/>
      <c r="CJ58" s="128"/>
      <c r="CK58" s="128">
        <v>0</v>
      </c>
      <c r="CL58" s="128"/>
      <c r="CM58" s="137">
        <v>9</v>
      </c>
      <c r="CN58" s="130">
        <v>0</v>
      </c>
      <c r="CO58" s="128"/>
      <c r="CP58" s="132">
        <v>0</v>
      </c>
      <c r="CQ58" s="134"/>
      <c r="CR58" s="130">
        <v>75</v>
      </c>
      <c r="CS58" s="128">
        <v>5</v>
      </c>
      <c r="CT58" s="128">
        <v>40396</v>
      </c>
      <c r="CU58" s="128">
        <v>1150</v>
      </c>
      <c r="CV58" s="128">
        <v>4863</v>
      </c>
      <c r="CW58" s="128">
        <v>5</v>
      </c>
      <c r="CX58" s="128">
        <v>2</v>
      </c>
      <c r="CY58" s="128">
        <v>1</v>
      </c>
      <c r="CZ58" s="128">
        <v>51</v>
      </c>
      <c r="DA58" s="128">
        <v>1</v>
      </c>
      <c r="DB58" s="128"/>
      <c r="DC58" s="132">
        <v>46549</v>
      </c>
      <c r="DD58" s="136">
        <v>24833</v>
      </c>
      <c r="DE58" s="128">
        <v>2</v>
      </c>
      <c r="DF58" s="128">
        <v>176</v>
      </c>
      <c r="DG58" s="128">
        <v>44</v>
      </c>
      <c r="DH58" s="128">
        <v>46</v>
      </c>
      <c r="DI58" s="128">
        <v>3</v>
      </c>
      <c r="DJ58" s="128"/>
      <c r="DK58" s="137">
        <v>25104</v>
      </c>
      <c r="DL58" s="140"/>
      <c r="DM58" s="134"/>
      <c r="DN58" s="130"/>
      <c r="DO58" s="128"/>
      <c r="DP58" s="132"/>
      <c r="DQ58" s="134">
        <v>55</v>
      </c>
      <c r="DR58" s="130"/>
      <c r="DS58" s="128"/>
      <c r="DT58" s="132"/>
      <c r="DU58" s="136"/>
      <c r="DV58" s="128"/>
      <c r="DW58" s="137"/>
      <c r="DX58" s="140">
        <v>8</v>
      </c>
      <c r="DY58" s="134">
        <v>0</v>
      </c>
      <c r="DZ58" s="134">
        <v>279</v>
      </c>
      <c r="EA58" s="134"/>
      <c r="EB58" s="134">
        <v>1</v>
      </c>
      <c r="EC58" s="130">
        <v>12</v>
      </c>
      <c r="ED58" s="128">
        <v>2</v>
      </c>
      <c r="EE58" s="128"/>
      <c r="EF58" s="128"/>
      <c r="EG58" s="128"/>
      <c r="EH58" s="132">
        <v>14</v>
      </c>
      <c r="EI58" s="136">
        <v>2016</v>
      </c>
      <c r="EJ58" s="128">
        <v>18261</v>
      </c>
      <c r="EK58" s="128">
        <v>287</v>
      </c>
      <c r="EL58" s="128">
        <v>1452</v>
      </c>
      <c r="EM58" s="128">
        <v>12239</v>
      </c>
      <c r="EN58" s="128">
        <v>94</v>
      </c>
      <c r="EO58" s="128">
        <v>21</v>
      </c>
      <c r="EP58" s="128">
        <v>742</v>
      </c>
      <c r="EQ58" s="128">
        <v>11</v>
      </c>
      <c r="ER58" s="128">
        <v>34</v>
      </c>
      <c r="ES58" s="128">
        <v>23</v>
      </c>
      <c r="ET58" s="128"/>
      <c r="EU58" s="128"/>
      <c r="EV58" s="137">
        <v>35180</v>
      </c>
      <c r="EW58" s="140"/>
      <c r="EX58" s="134">
        <v>7</v>
      </c>
      <c r="EY58" s="130"/>
      <c r="EZ58" s="128"/>
      <c r="FA58" s="128"/>
      <c r="FB58" s="132"/>
      <c r="FC58" s="136"/>
      <c r="FD58" s="128"/>
      <c r="FE58" s="137"/>
      <c r="FF58" s="140"/>
      <c r="FG58" s="136"/>
      <c r="FH58" s="128">
        <v>8</v>
      </c>
      <c r="FI58" s="128"/>
      <c r="FJ58" s="128"/>
      <c r="FK58" s="137">
        <v>8</v>
      </c>
      <c r="FL58" s="130"/>
      <c r="FM58" s="128"/>
      <c r="FN58" s="132"/>
      <c r="FO58" s="136"/>
      <c r="FP58" s="128"/>
      <c r="FQ58" s="137"/>
      <c r="FR58" s="140"/>
      <c r="FS58" s="134">
        <v>82</v>
      </c>
      <c r="FT58" s="130">
        <v>3</v>
      </c>
      <c r="FU58" s="128">
        <v>0</v>
      </c>
      <c r="FV58" s="128"/>
      <c r="FW58" s="128"/>
      <c r="FX58" s="128"/>
      <c r="FY58" s="132">
        <v>3</v>
      </c>
      <c r="FZ58" s="134"/>
      <c r="GA58" s="130">
        <v>10</v>
      </c>
      <c r="GB58" s="128"/>
      <c r="GC58" s="132">
        <v>10</v>
      </c>
      <c r="GD58" s="134"/>
      <c r="GE58" s="130">
        <v>4</v>
      </c>
      <c r="GF58" s="128"/>
      <c r="GG58" s="128"/>
      <c r="GH58" s="132">
        <v>4</v>
      </c>
      <c r="GI58" s="134">
        <v>1</v>
      </c>
      <c r="GJ58" s="130">
        <v>19</v>
      </c>
      <c r="GK58" s="128">
        <v>1</v>
      </c>
      <c r="GL58" s="128"/>
      <c r="GM58" s="128"/>
      <c r="GN58" s="132">
        <v>20</v>
      </c>
      <c r="GO58" s="134">
        <v>136608</v>
      </c>
      <c r="GP58" s="323">
        <f>136608/44564395</f>
        <v>3.0654068118730212E-3</v>
      </c>
    </row>
    <row r="59" spans="2:198" x14ac:dyDescent="0.2">
      <c r="B59" s="326" t="s">
        <v>121</v>
      </c>
      <c r="C59" s="325">
        <v>92</v>
      </c>
      <c r="D59" s="128"/>
      <c r="E59" s="128">
        <v>8</v>
      </c>
      <c r="F59" s="128">
        <v>0</v>
      </c>
      <c r="G59" s="324">
        <v>100</v>
      </c>
      <c r="H59" s="140"/>
      <c r="I59" s="136">
        <v>26</v>
      </c>
      <c r="J59" s="128"/>
      <c r="K59" s="137">
        <v>26</v>
      </c>
      <c r="L59" s="140"/>
      <c r="M59" s="134">
        <v>1137</v>
      </c>
      <c r="N59" s="140">
        <v>9872</v>
      </c>
      <c r="O59" s="128">
        <v>23</v>
      </c>
      <c r="P59" s="128">
        <v>302</v>
      </c>
      <c r="Q59" s="128">
        <v>97</v>
      </c>
      <c r="R59" s="128">
        <v>3</v>
      </c>
      <c r="S59" s="128"/>
      <c r="T59" s="128"/>
      <c r="U59" s="128">
        <v>2</v>
      </c>
      <c r="V59" s="132">
        <v>10299</v>
      </c>
      <c r="W59" s="136">
        <v>40</v>
      </c>
      <c r="X59" s="128">
        <v>22</v>
      </c>
      <c r="Y59" s="137">
        <v>62</v>
      </c>
      <c r="Z59" s="130">
        <v>258</v>
      </c>
      <c r="AA59" s="128">
        <v>2</v>
      </c>
      <c r="AB59" s="128">
        <v>1</v>
      </c>
      <c r="AC59" s="132">
        <v>261</v>
      </c>
      <c r="AD59" s="136">
        <v>21951</v>
      </c>
      <c r="AE59" s="128">
        <v>22</v>
      </c>
      <c r="AF59" s="137">
        <v>21973</v>
      </c>
      <c r="AG59" s="130">
        <v>166</v>
      </c>
      <c r="AH59" s="128">
        <v>2</v>
      </c>
      <c r="AI59" s="128">
        <v>1</v>
      </c>
      <c r="AJ59" s="128"/>
      <c r="AK59" s="132">
        <v>169</v>
      </c>
      <c r="AL59" s="136"/>
      <c r="AM59" s="128"/>
      <c r="AN59" s="137"/>
      <c r="AO59" s="134"/>
      <c r="AP59" s="134"/>
      <c r="AQ59" s="130">
        <v>22</v>
      </c>
      <c r="AR59" s="128">
        <v>6</v>
      </c>
      <c r="AS59" s="132">
        <v>28</v>
      </c>
      <c r="AT59" s="136">
        <v>116</v>
      </c>
      <c r="AU59" s="128">
        <v>10</v>
      </c>
      <c r="AV59" s="128">
        <v>33</v>
      </c>
      <c r="AW59" s="128"/>
      <c r="AX59" s="128">
        <v>8</v>
      </c>
      <c r="AY59" s="128">
        <v>2</v>
      </c>
      <c r="AZ59" s="128"/>
      <c r="BA59" s="128"/>
      <c r="BB59" s="128"/>
      <c r="BC59" s="137">
        <v>169</v>
      </c>
      <c r="BD59" s="140"/>
      <c r="BE59" s="134">
        <v>3</v>
      </c>
      <c r="BF59" s="130">
        <v>269</v>
      </c>
      <c r="BG59" s="128">
        <v>1177</v>
      </c>
      <c r="BH59" s="128">
        <v>3206</v>
      </c>
      <c r="BI59" s="128">
        <v>513</v>
      </c>
      <c r="BJ59" s="128">
        <v>59</v>
      </c>
      <c r="BK59" s="132">
        <v>5224</v>
      </c>
      <c r="BL59" s="134">
        <v>8</v>
      </c>
      <c r="BM59" s="134"/>
      <c r="BN59" s="134">
        <v>4</v>
      </c>
      <c r="BO59" s="134">
        <v>21</v>
      </c>
      <c r="BP59" s="130">
        <v>12</v>
      </c>
      <c r="BQ59" s="128"/>
      <c r="BR59" s="132">
        <v>12</v>
      </c>
      <c r="BS59" s="134"/>
      <c r="BT59" s="130">
        <v>16</v>
      </c>
      <c r="BU59" s="128"/>
      <c r="BV59" s="132">
        <v>16</v>
      </c>
      <c r="BW59" s="136">
        <v>6</v>
      </c>
      <c r="BX59" s="128"/>
      <c r="BY59" s="128">
        <v>2</v>
      </c>
      <c r="BZ59" s="128"/>
      <c r="CA59" s="128"/>
      <c r="CB59" s="128"/>
      <c r="CC59" s="128"/>
      <c r="CD59" s="128"/>
      <c r="CE59" s="128">
        <v>1</v>
      </c>
      <c r="CF59" s="128"/>
      <c r="CG59" s="128">
        <v>2</v>
      </c>
      <c r="CH59" s="128"/>
      <c r="CI59" s="128"/>
      <c r="CJ59" s="128">
        <v>1</v>
      </c>
      <c r="CK59" s="128"/>
      <c r="CL59" s="128"/>
      <c r="CM59" s="137">
        <v>12</v>
      </c>
      <c r="CN59" s="130"/>
      <c r="CO59" s="128"/>
      <c r="CP59" s="132"/>
      <c r="CQ59" s="134">
        <v>0</v>
      </c>
      <c r="CR59" s="130">
        <v>398</v>
      </c>
      <c r="CS59" s="128">
        <v>5</v>
      </c>
      <c r="CT59" s="128">
        <v>172008</v>
      </c>
      <c r="CU59" s="128">
        <v>10610</v>
      </c>
      <c r="CV59" s="128">
        <v>57554</v>
      </c>
      <c r="CW59" s="128">
        <v>16</v>
      </c>
      <c r="CX59" s="128">
        <v>6</v>
      </c>
      <c r="CY59" s="128"/>
      <c r="CZ59" s="128">
        <v>58</v>
      </c>
      <c r="DA59" s="128">
        <v>1</v>
      </c>
      <c r="DB59" s="128">
        <v>0</v>
      </c>
      <c r="DC59" s="132">
        <v>240656</v>
      </c>
      <c r="DD59" s="136">
        <v>3113</v>
      </c>
      <c r="DE59" s="128">
        <v>6</v>
      </c>
      <c r="DF59" s="128">
        <v>1584</v>
      </c>
      <c r="DG59" s="128">
        <v>3984</v>
      </c>
      <c r="DH59" s="128">
        <v>37</v>
      </c>
      <c r="DI59" s="128">
        <v>17</v>
      </c>
      <c r="DJ59" s="128">
        <v>0</v>
      </c>
      <c r="DK59" s="137">
        <v>8741</v>
      </c>
      <c r="DL59" s="140">
        <v>1</v>
      </c>
      <c r="DM59" s="134"/>
      <c r="DN59" s="130"/>
      <c r="DO59" s="128">
        <v>8</v>
      </c>
      <c r="DP59" s="132">
        <v>8</v>
      </c>
      <c r="DQ59" s="134">
        <v>404</v>
      </c>
      <c r="DR59" s="130"/>
      <c r="DS59" s="128"/>
      <c r="DT59" s="132"/>
      <c r="DU59" s="136">
        <v>9</v>
      </c>
      <c r="DV59" s="128"/>
      <c r="DW59" s="137">
        <v>9</v>
      </c>
      <c r="DX59" s="140">
        <v>46</v>
      </c>
      <c r="DY59" s="134">
        <v>0</v>
      </c>
      <c r="DZ59" s="134">
        <v>729</v>
      </c>
      <c r="EA59" s="134">
        <v>1</v>
      </c>
      <c r="EB59" s="134"/>
      <c r="EC59" s="130">
        <v>33</v>
      </c>
      <c r="ED59" s="128">
        <v>9</v>
      </c>
      <c r="EE59" s="128"/>
      <c r="EF59" s="128"/>
      <c r="EG59" s="128"/>
      <c r="EH59" s="132">
        <v>42</v>
      </c>
      <c r="EI59" s="136">
        <v>760</v>
      </c>
      <c r="EJ59" s="128">
        <v>1127</v>
      </c>
      <c r="EK59" s="128">
        <v>241</v>
      </c>
      <c r="EL59" s="128">
        <v>538</v>
      </c>
      <c r="EM59" s="128">
        <v>1204</v>
      </c>
      <c r="EN59" s="128">
        <v>105</v>
      </c>
      <c r="EO59" s="128">
        <v>103</v>
      </c>
      <c r="EP59" s="128">
        <v>3445</v>
      </c>
      <c r="EQ59" s="128">
        <v>102</v>
      </c>
      <c r="ER59" s="128">
        <v>59</v>
      </c>
      <c r="ES59" s="128">
        <v>31</v>
      </c>
      <c r="ET59" s="128"/>
      <c r="EU59" s="128">
        <v>4</v>
      </c>
      <c r="EV59" s="137">
        <v>7719</v>
      </c>
      <c r="EW59" s="140"/>
      <c r="EX59" s="134">
        <v>124</v>
      </c>
      <c r="EY59" s="130">
        <v>0</v>
      </c>
      <c r="EZ59" s="128"/>
      <c r="FA59" s="128">
        <v>10</v>
      </c>
      <c r="FB59" s="132">
        <v>10</v>
      </c>
      <c r="FC59" s="136"/>
      <c r="FD59" s="128"/>
      <c r="FE59" s="137"/>
      <c r="FF59" s="140"/>
      <c r="FG59" s="136"/>
      <c r="FH59" s="128">
        <v>8</v>
      </c>
      <c r="FI59" s="128"/>
      <c r="FJ59" s="128"/>
      <c r="FK59" s="137">
        <v>8</v>
      </c>
      <c r="FL59" s="130">
        <v>1</v>
      </c>
      <c r="FM59" s="128"/>
      <c r="FN59" s="132">
        <v>1</v>
      </c>
      <c r="FO59" s="136"/>
      <c r="FP59" s="128"/>
      <c r="FQ59" s="137"/>
      <c r="FR59" s="140">
        <v>1</v>
      </c>
      <c r="FS59" s="134">
        <v>30</v>
      </c>
      <c r="FT59" s="130">
        <v>4</v>
      </c>
      <c r="FU59" s="128">
        <v>32</v>
      </c>
      <c r="FV59" s="128"/>
      <c r="FW59" s="128">
        <v>4</v>
      </c>
      <c r="FX59" s="128"/>
      <c r="FY59" s="132">
        <v>40</v>
      </c>
      <c r="FZ59" s="134"/>
      <c r="GA59" s="130">
        <v>37</v>
      </c>
      <c r="GB59" s="128"/>
      <c r="GC59" s="132">
        <v>37</v>
      </c>
      <c r="GD59" s="134"/>
      <c r="GE59" s="130">
        <v>11</v>
      </c>
      <c r="GF59" s="128"/>
      <c r="GG59" s="128"/>
      <c r="GH59" s="132">
        <v>11</v>
      </c>
      <c r="GI59" s="134">
        <v>2</v>
      </c>
      <c r="GJ59" s="130">
        <v>18</v>
      </c>
      <c r="GK59" s="128">
        <v>3</v>
      </c>
      <c r="GL59" s="128">
        <v>0</v>
      </c>
      <c r="GM59" s="128"/>
      <c r="GN59" s="132">
        <v>21</v>
      </c>
      <c r="GO59" s="134">
        <v>298165</v>
      </c>
      <c r="GP59" s="323">
        <f>298165/44564395</f>
        <v>6.6906551743830473E-3</v>
      </c>
    </row>
    <row r="60" spans="2:198" x14ac:dyDescent="0.2">
      <c r="B60" s="326" t="s">
        <v>123</v>
      </c>
      <c r="C60" s="325">
        <v>324</v>
      </c>
      <c r="D60" s="128"/>
      <c r="E60" s="128"/>
      <c r="F60" s="128"/>
      <c r="G60" s="324">
        <v>324</v>
      </c>
      <c r="H60" s="140"/>
      <c r="I60" s="136">
        <v>67</v>
      </c>
      <c r="J60" s="128"/>
      <c r="K60" s="137">
        <v>67</v>
      </c>
      <c r="L60" s="140"/>
      <c r="M60" s="134">
        <v>5648</v>
      </c>
      <c r="N60" s="140">
        <v>179109</v>
      </c>
      <c r="O60" s="128">
        <v>8079</v>
      </c>
      <c r="P60" s="128">
        <v>215</v>
      </c>
      <c r="Q60" s="128">
        <v>39</v>
      </c>
      <c r="R60" s="128">
        <v>5</v>
      </c>
      <c r="S60" s="128">
        <v>3</v>
      </c>
      <c r="T60" s="128">
        <v>1</v>
      </c>
      <c r="U60" s="128">
        <v>6</v>
      </c>
      <c r="V60" s="132">
        <v>187457</v>
      </c>
      <c r="W60" s="136">
        <v>24</v>
      </c>
      <c r="X60" s="128">
        <v>4</v>
      </c>
      <c r="Y60" s="137">
        <v>28</v>
      </c>
      <c r="Z60" s="130">
        <v>299</v>
      </c>
      <c r="AA60" s="128"/>
      <c r="AB60" s="128">
        <v>1</v>
      </c>
      <c r="AC60" s="132">
        <v>300</v>
      </c>
      <c r="AD60" s="136">
        <v>1914</v>
      </c>
      <c r="AE60" s="128">
        <v>13</v>
      </c>
      <c r="AF60" s="137">
        <v>1927</v>
      </c>
      <c r="AG60" s="130">
        <v>139</v>
      </c>
      <c r="AH60" s="128"/>
      <c r="AI60" s="128"/>
      <c r="AJ60" s="128"/>
      <c r="AK60" s="132">
        <v>139</v>
      </c>
      <c r="AL60" s="136">
        <v>2</v>
      </c>
      <c r="AM60" s="128"/>
      <c r="AN60" s="137">
        <v>2</v>
      </c>
      <c r="AO60" s="134"/>
      <c r="AP60" s="134"/>
      <c r="AQ60" s="130">
        <v>3</v>
      </c>
      <c r="AR60" s="128">
        <v>1</v>
      </c>
      <c r="AS60" s="132">
        <v>4</v>
      </c>
      <c r="AT60" s="136">
        <v>15</v>
      </c>
      <c r="AU60" s="128">
        <v>4</v>
      </c>
      <c r="AV60" s="128">
        <v>33</v>
      </c>
      <c r="AW60" s="128"/>
      <c r="AX60" s="128"/>
      <c r="AY60" s="128"/>
      <c r="AZ60" s="128"/>
      <c r="BA60" s="128"/>
      <c r="BB60" s="128"/>
      <c r="BC60" s="137">
        <v>52</v>
      </c>
      <c r="BD60" s="140">
        <v>1</v>
      </c>
      <c r="BE60" s="134">
        <v>96</v>
      </c>
      <c r="BF60" s="130">
        <v>407</v>
      </c>
      <c r="BG60" s="128">
        <v>1564</v>
      </c>
      <c r="BH60" s="128">
        <v>14529</v>
      </c>
      <c r="BI60" s="128">
        <v>100</v>
      </c>
      <c r="BJ60" s="128">
        <v>117</v>
      </c>
      <c r="BK60" s="132">
        <v>16717</v>
      </c>
      <c r="BL60" s="134">
        <v>4</v>
      </c>
      <c r="BM60" s="134"/>
      <c r="BN60" s="134">
        <v>2</v>
      </c>
      <c r="BO60" s="134">
        <v>0</v>
      </c>
      <c r="BP60" s="130">
        <v>95</v>
      </c>
      <c r="BQ60" s="128"/>
      <c r="BR60" s="132">
        <v>95</v>
      </c>
      <c r="BS60" s="134"/>
      <c r="BT60" s="130">
        <v>18</v>
      </c>
      <c r="BU60" s="128">
        <v>43</v>
      </c>
      <c r="BV60" s="132">
        <v>61</v>
      </c>
      <c r="BW60" s="136">
        <v>18</v>
      </c>
      <c r="BX60" s="128">
        <v>0</v>
      </c>
      <c r="BY60" s="128">
        <v>2</v>
      </c>
      <c r="BZ60" s="128"/>
      <c r="CA60" s="128"/>
      <c r="CB60" s="128"/>
      <c r="CC60" s="128"/>
      <c r="CD60" s="128">
        <v>1</v>
      </c>
      <c r="CE60" s="128"/>
      <c r="CF60" s="128"/>
      <c r="CG60" s="128"/>
      <c r="CH60" s="128"/>
      <c r="CI60" s="128"/>
      <c r="CJ60" s="128"/>
      <c r="CK60" s="128"/>
      <c r="CL60" s="128"/>
      <c r="CM60" s="137">
        <v>21</v>
      </c>
      <c r="CN60" s="130">
        <v>5</v>
      </c>
      <c r="CO60" s="128"/>
      <c r="CP60" s="132">
        <v>5</v>
      </c>
      <c r="CQ60" s="134"/>
      <c r="CR60" s="130">
        <v>107</v>
      </c>
      <c r="CS60" s="128">
        <v>1</v>
      </c>
      <c r="CT60" s="128">
        <v>84080</v>
      </c>
      <c r="CU60" s="128">
        <v>271</v>
      </c>
      <c r="CV60" s="128">
        <v>76132</v>
      </c>
      <c r="CW60" s="128">
        <v>5</v>
      </c>
      <c r="CX60" s="128">
        <v>5</v>
      </c>
      <c r="CY60" s="128"/>
      <c r="CZ60" s="128">
        <v>20</v>
      </c>
      <c r="DA60" s="128"/>
      <c r="DB60" s="128">
        <v>0</v>
      </c>
      <c r="DC60" s="132">
        <v>160621</v>
      </c>
      <c r="DD60" s="136">
        <v>11510</v>
      </c>
      <c r="DE60" s="128">
        <v>8</v>
      </c>
      <c r="DF60" s="128">
        <v>244</v>
      </c>
      <c r="DG60" s="128">
        <v>104</v>
      </c>
      <c r="DH60" s="128">
        <v>6</v>
      </c>
      <c r="DI60" s="128">
        <v>5</v>
      </c>
      <c r="DJ60" s="128"/>
      <c r="DK60" s="137">
        <v>11877</v>
      </c>
      <c r="DL60" s="140"/>
      <c r="DM60" s="134"/>
      <c r="DN60" s="130"/>
      <c r="DO60" s="128"/>
      <c r="DP60" s="132"/>
      <c r="DQ60" s="134">
        <v>60</v>
      </c>
      <c r="DR60" s="130"/>
      <c r="DS60" s="128"/>
      <c r="DT60" s="132"/>
      <c r="DU60" s="136">
        <v>2</v>
      </c>
      <c r="DV60" s="128">
        <v>1</v>
      </c>
      <c r="DW60" s="137">
        <v>3</v>
      </c>
      <c r="DX60" s="140">
        <v>6707</v>
      </c>
      <c r="DY60" s="134">
        <v>3</v>
      </c>
      <c r="DZ60" s="134">
        <v>404</v>
      </c>
      <c r="EA60" s="134"/>
      <c r="EB60" s="134"/>
      <c r="EC60" s="130">
        <v>71</v>
      </c>
      <c r="ED60" s="128">
        <v>9</v>
      </c>
      <c r="EE60" s="128"/>
      <c r="EF60" s="128">
        <v>1</v>
      </c>
      <c r="EG60" s="128"/>
      <c r="EH60" s="132">
        <v>81</v>
      </c>
      <c r="EI60" s="136">
        <v>2127</v>
      </c>
      <c r="EJ60" s="128">
        <v>8053</v>
      </c>
      <c r="EK60" s="128">
        <v>206</v>
      </c>
      <c r="EL60" s="128">
        <v>1910</v>
      </c>
      <c r="EM60" s="128">
        <v>5010</v>
      </c>
      <c r="EN60" s="128">
        <v>118</v>
      </c>
      <c r="EO60" s="128">
        <v>25</v>
      </c>
      <c r="EP60" s="128">
        <v>951</v>
      </c>
      <c r="EQ60" s="128">
        <v>6</v>
      </c>
      <c r="ER60" s="128">
        <v>16</v>
      </c>
      <c r="ES60" s="128">
        <v>28</v>
      </c>
      <c r="ET60" s="128">
        <v>1</v>
      </c>
      <c r="EU60" s="128">
        <v>1</v>
      </c>
      <c r="EV60" s="137">
        <v>18452</v>
      </c>
      <c r="EW60" s="140"/>
      <c r="EX60" s="134">
        <v>0</v>
      </c>
      <c r="EY60" s="130">
        <v>1</v>
      </c>
      <c r="EZ60" s="128"/>
      <c r="FA60" s="128">
        <v>8</v>
      </c>
      <c r="FB60" s="132">
        <v>9</v>
      </c>
      <c r="FC60" s="136"/>
      <c r="FD60" s="128"/>
      <c r="FE60" s="137"/>
      <c r="FF60" s="140"/>
      <c r="FG60" s="136">
        <v>5</v>
      </c>
      <c r="FH60" s="128">
        <v>47</v>
      </c>
      <c r="FI60" s="128"/>
      <c r="FJ60" s="128"/>
      <c r="FK60" s="137">
        <v>52</v>
      </c>
      <c r="FL60" s="130"/>
      <c r="FM60" s="128"/>
      <c r="FN60" s="132"/>
      <c r="FO60" s="136"/>
      <c r="FP60" s="128"/>
      <c r="FQ60" s="137"/>
      <c r="FR60" s="140">
        <v>38</v>
      </c>
      <c r="FS60" s="134">
        <v>4323</v>
      </c>
      <c r="FT60" s="130">
        <v>1</v>
      </c>
      <c r="FU60" s="128">
        <v>3</v>
      </c>
      <c r="FV60" s="128"/>
      <c r="FW60" s="128"/>
      <c r="FX60" s="128"/>
      <c r="FY60" s="132">
        <v>4</v>
      </c>
      <c r="FZ60" s="134"/>
      <c r="GA60" s="130">
        <v>59</v>
      </c>
      <c r="GB60" s="128">
        <v>2</v>
      </c>
      <c r="GC60" s="132">
        <v>61</v>
      </c>
      <c r="GD60" s="134"/>
      <c r="GE60" s="130">
        <v>30</v>
      </c>
      <c r="GF60" s="128"/>
      <c r="GG60" s="128"/>
      <c r="GH60" s="132">
        <v>30</v>
      </c>
      <c r="GI60" s="134">
        <v>9</v>
      </c>
      <c r="GJ60" s="130">
        <v>12</v>
      </c>
      <c r="GK60" s="128"/>
      <c r="GL60" s="128"/>
      <c r="GM60" s="128"/>
      <c r="GN60" s="132">
        <v>12</v>
      </c>
      <c r="GO60" s="134">
        <v>415696</v>
      </c>
      <c r="GP60" s="323">
        <f>415696/44564395</f>
        <v>9.3279848183735019E-3</v>
      </c>
    </row>
    <row r="61" spans="2:198" x14ac:dyDescent="0.2">
      <c r="B61" s="326" t="s">
        <v>124</v>
      </c>
      <c r="C61" s="325">
        <v>144</v>
      </c>
      <c r="D61" s="128">
        <v>0</v>
      </c>
      <c r="E61" s="128"/>
      <c r="F61" s="128"/>
      <c r="G61" s="324">
        <v>144</v>
      </c>
      <c r="H61" s="140"/>
      <c r="I61" s="136">
        <v>102</v>
      </c>
      <c r="J61" s="128"/>
      <c r="K61" s="137">
        <v>102</v>
      </c>
      <c r="L61" s="140"/>
      <c r="M61" s="134">
        <v>1437</v>
      </c>
      <c r="N61" s="140">
        <v>160675</v>
      </c>
      <c r="O61" s="128">
        <v>13</v>
      </c>
      <c r="P61" s="128">
        <v>315</v>
      </c>
      <c r="Q61" s="128">
        <v>175</v>
      </c>
      <c r="R61" s="128">
        <v>8</v>
      </c>
      <c r="S61" s="128">
        <v>5</v>
      </c>
      <c r="T61" s="128"/>
      <c r="U61" s="128">
        <v>6</v>
      </c>
      <c r="V61" s="132">
        <v>161197</v>
      </c>
      <c r="W61" s="136">
        <v>110</v>
      </c>
      <c r="X61" s="128">
        <v>28</v>
      </c>
      <c r="Y61" s="137">
        <v>138</v>
      </c>
      <c r="Z61" s="130">
        <v>389</v>
      </c>
      <c r="AA61" s="128"/>
      <c r="AB61" s="128">
        <v>0</v>
      </c>
      <c r="AC61" s="132">
        <v>389</v>
      </c>
      <c r="AD61" s="136">
        <v>1885</v>
      </c>
      <c r="AE61" s="128">
        <v>51</v>
      </c>
      <c r="AF61" s="137">
        <v>1936</v>
      </c>
      <c r="AG61" s="130">
        <v>170</v>
      </c>
      <c r="AH61" s="128">
        <v>1</v>
      </c>
      <c r="AI61" s="128"/>
      <c r="AJ61" s="128"/>
      <c r="AK61" s="132">
        <v>171</v>
      </c>
      <c r="AL61" s="136"/>
      <c r="AM61" s="128"/>
      <c r="AN61" s="137"/>
      <c r="AO61" s="134"/>
      <c r="AP61" s="134"/>
      <c r="AQ61" s="130">
        <v>7</v>
      </c>
      <c r="AR61" s="128"/>
      <c r="AS61" s="132">
        <v>7</v>
      </c>
      <c r="AT61" s="136">
        <v>31</v>
      </c>
      <c r="AU61" s="128">
        <v>0</v>
      </c>
      <c r="AV61" s="128">
        <v>22</v>
      </c>
      <c r="AW61" s="128"/>
      <c r="AX61" s="128"/>
      <c r="AY61" s="128">
        <v>0</v>
      </c>
      <c r="AZ61" s="128"/>
      <c r="BA61" s="128"/>
      <c r="BB61" s="128"/>
      <c r="BC61" s="137">
        <v>53</v>
      </c>
      <c r="BD61" s="140">
        <v>1</v>
      </c>
      <c r="BE61" s="134">
        <v>74</v>
      </c>
      <c r="BF61" s="130">
        <v>218</v>
      </c>
      <c r="BG61" s="128">
        <v>3831</v>
      </c>
      <c r="BH61" s="128">
        <v>6166</v>
      </c>
      <c r="BI61" s="128">
        <v>312</v>
      </c>
      <c r="BJ61" s="128">
        <v>128</v>
      </c>
      <c r="BK61" s="132">
        <v>10655</v>
      </c>
      <c r="BL61" s="134">
        <v>29</v>
      </c>
      <c r="BM61" s="134"/>
      <c r="BN61" s="134">
        <v>1</v>
      </c>
      <c r="BO61" s="134">
        <v>4</v>
      </c>
      <c r="BP61" s="130">
        <v>2771</v>
      </c>
      <c r="BQ61" s="128"/>
      <c r="BR61" s="132">
        <v>2771</v>
      </c>
      <c r="BS61" s="134"/>
      <c r="BT61" s="130">
        <v>23</v>
      </c>
      <c r="BU61" s="128">
        <v>8</v>
      </c>
      <c r="BV61" s="132">
        <v>31</v>
      </c>
      <c r="BW61" s="136">
        <v>7</v>
      </c>
      <c r="BX61" s="128"/>
      <c r="BY61" s="128">
        <v>1</v>
      </c>
      <c r="BZ61" s="128"/>
      <c r="CA61" s="128"/>
      <c r="CB61" s="128"/>
      <c r="CC61" s="128"/>
      <c r="CD61" s="128"/>
      <c r="CE61" s="128"/>
      <c r="CF61" s="128"/>
      <c r="CG61" s="128"/>
      <c r="CH61" s="128"/>
      <c r="CI61" s="128"/>
      <c r="CJ61" s="128"/>
      <c r="CK61" s="128"/>
      <c r="CL61" s="128"/>
      <c r="CM61" s="137">
        <v>8</v>
      </c>
      <c r="CN61" s="130">
        <v>4</v>
      </c>
      <c r="CO61" s="128"/>
      <c r="CP61" s="132">
        <v>4</v>
      </c>
      <c r="CQ61" s="134">
        <v>1</v>
      </c>
      <c r="CR61" s="130">
        <v>219</v>
      </c>
      <c r="CS61" s="128">
        <v>0</v>
      </c>
      <c r="CT61" s="128">
        <v>78815</v>
      </c>
      <c r="CU61" s="128">
        <v>1683</v>
      </c>
      <c r="CV61" s="128">
        <v>71722</v>
      </c>
      <c r="CW61" s="128"/>
      <c r="CX61" s="128">
        <v>0</v>
      </c>
      <c r="CY61" s="128">
        <v>0</v>
      </c>
      <c r="CZ61" s="128">
        <v>58</v>
      </c>
      <c r="DA61" s="128"/>
      <c r="DB61" s="128"/>
      <c r="DC61" s="132">
        <v>152497</v>
      </c>
      <c r="DD61" s="136">
        <v>33472</v>
      </c>
      <c r="DE61" s="128">
        <v>2</v>
      </c>
      <c r="DF61" s="128">
        <v>526</v>
      </c>
      <c r="DG61" s="128">
        <v>441</v>
      </c>
      <c r="DH61" s="128">
        <v>20</v>
      </c>
      <c r="DI61" s="128">
        <v>25</v>
      </c>
      <c r="DJ61" s="128"/>
      <c r="DK61" s="137">
        <v>34486</v>
      </c>
      <c r="DL61" s="140"/>
      <c r="DM61" s="134"/>
      <c r="DN61" s="130"/>
      <c r="DO61" s="128">
        <v>3</v>
      </c>
      <c r="DP61" s="132">
        <v>3</v>
      </c>
      <c r="DQ61" s="134">
        <v>734</v>
      </c>
      <c r="DR61" s="130"/>
      <c r="DS61" s="128"/>
      <c r="DT61" s="132"/>
      <c r="DU61" s="136">
        <v>2</v>
      </c>
      <c r="DV61" s="128">
        <v>0</v>
      </c>
      <c r="DW61" s="137">
        <v>2</v>
      </c>
      <c r="DX61" s="140">
        <v>32</v>
      </c>
      <c r="DY61" s="134">
        <v>0</v>
      </c>
      <c r="DZ61" s="134">
        <v>275</v>
      </c>
      <c r="EA61" s="134">
        <v>1</v>
      </c>
      <c r="EB61" s="134"/>
      <c r="EC61" s="130">
        <v>45</v>
      </c>
      <c r="ED61" s="128">
        <v>4</v>
      </c>
      <c r="EE61" s="128"/>
      <c r="EF61" s="128"/>
      <c r="EG61" s="128"/>
      <c r="EH61" s="132">
        <v>49</v>
      </c>
      <c r="EI61" s="136">
        <v>3318</v>
      </c>
      <c r="EJ61" s="128">
        <v>2084</v>
      </c>
      <c r="EK61" s="128">
        <v>229</v>
      </c>
      <c r="EL61" s="128">
        <v>689</v>
      </c>
      <c r="EM61" s="128">
        <v>6433</v>
      </c>
      <c r="EN61" s="128">
        <v>194</v>
      </c>
      <c r="EO61" s="128">
        <v>27</v>
      </c>
      <c r="EP61" s="128">
        <v>1975</v>
      </c>
      <c r="EQ61" s="128">
        <v>105</v>
      </c>
      <c r="ER61" s="128">
        <v>48</v>
      </c>
      <c r="ES61" s="128">
        <v>14</v>
      </c>
      <c r="ET61" s="128"/>
      <c r="EU61" s="128">
        <v>4</v>
      </c>
      <c r="EV61" s="137">
        <v>15120</v>
      </c>
      <c r="EW61" s="140"/>
      <c r="EX61" s="134">
        <v>6</v>
      </c>
      <c r="EY61" s="130">
        <v>2</v>
      </c>
      <c r="EZ61" s="128"/>
      <c r="FA61" s="128"/>
      <c r="FB61" s="132">
        <v>2</v>
      </c>
      <c r="FC61" s="136"/>
      <c r="FD61" s="128"/>
      <c r="FE61" s="137"/>
      <c r="FF61" s="140"/>
      <c r="FG61" s="136">
        <v>1</v>
      </c>
      <c r="FH61" s="128">
        <v>56</v>
      </c>
      <c r="FI61" s="128"/>
      <c r="FJ61" s="128"/>
      <c r="FK61" s="137">
        <v>57</v>
      </c>
      <c r="FL61" s="130">
        <v>0</v>
      </c>
      <c r="FM61" s="128"/>
      <c r="FN61" s="132">
        <v>0</v>
      </c>
      <c r="FO61" s="136"/>
      <c r="FP61" s="128"/>
      <c r="FQ61" s="137"/>
      <c r="FR61" s="140">
        <v>13</v>
      </c>
      <c r="FS61" s="134">
        <v>305</v>
      </c>
      <c r="FT61" s="130">
        <v>15</v>
      </c>
      <c r="FU61" s="128"/>
      <c r="FV61" s="128"/>
      <c r="FW61" s="128"/>
      <c r="FX61" s="128"/>
      <c r="FY61" s="132">
        <v>15</v>
      </c>
      <c r="FZ61" s="134"/>
      <c r="GA61" s="130">
        <v>56</v>
      </c>
      <c r="GB61" s="128"/>
      <c r="GC61" s="132">
        <v>56</v>
      </c>
      <c r="GD61" s="134"/>
      <c r="GE61" s="130">
        <v>27</v>
      </c>
      <c r="GF61" s="128"/>
      <c r="GG61" s="128"/>
      <c r="GH61" s="132">
        <v>27</v>
      </c>
      <c r="GI61" s="134">
        <v>0</v>
      </c>
      <c r="GJ61" s="130"/>
      <c r="GK61" s="128">
        <v>2</v>
      </c>
      <c r="GL61" s="128"/>
      <c r="GM61" s="128"/>
      <c r="GN61" s="132">
        <v>2</v>
      </c>
      <c r="GO61" s="134">
        <v>382835</v>
      </c>
      <c r="GP61" s="323">
        <f>382835/44564395</f>
        <v>8.5906024304829003E-3</v>
      </c>
    </row>
    <row r="62" spans="2:198" x14ac:dyDescent="0.2">
      <c r="B62" s="326" t="s">
        <v>125</v>
      </c>
      <c r="C62" s="325">
        <v>277</v>
      </c>
      <c r="D62" s="128"/>
      <c r="E62" s="128">
        <v>21</v>
      </c>
      <c r="F62" s="128"/>
      <c r="G62" s="324">
        <v>298</v>
      </c>
      <c r="H62" s="140">
        <v>4</v>
      </c>
      <c r="I62" s="136">
        <v>65</v>
      </c>
      <c r="J62" s="128"/>
      <c r="K62" s="137">
        <v>65</v>
      </c>
      <c r="L62" s="140"/>
      <c r="M62" s="134">
        <v>1459</v>
      </c>
      <c r="N62" s="140">
        <v>28956</v>
      </c>
      <c r="O62" s="128">
        <v>27</v>
      </c>
      <c r="P62" s="128">
        <v>1443</v>
      </c>
      <c r="Q62" s="128">
        <v>221</v>
      </c>
      <c r="R62" s="128">
        <v>18</v>
      </c>
      <c r="S62" s="128">
        <v>6</v>
      </c>
      <c r="T62" s="128"/>
      <c r="U62" s="128">
        <v>8</v>
      </c>
      <c r="V62" s="132">
        <v>30679</v>
      </c>
      <c r="W62" s="136">
        <v>121</v>
      </c>
      <c r="X62" s="128">
        <v>52</v>
      </c>
      <c r="Y62" s="137">
        <v>173</v>
      </c>
      <c r="Z62" s="130">
        <v>389</v>
      </c>
      <c r="AA62" s="128"/>
      <c r="AB62" s="128">
        <v>0</v>
      </c>
      <c r="AC62" s="132">
        <v>389</v>
      </c>
      <c r="AD62" s="136">
        <v>18887</v>
      </c>
      <c r="AE62" s="128">
        <v>34</v>
      </c>
      <c r="AF62" s="137">
        <v>18921</v>
      </c>
      <c r="AG62" s="130">
        <v>302</v>
      </c>
      <c r="AH62" s="128">
        <v>8</v>
      </c>
      <c r="AI62" s="128"/>
      <c r="AJ62" s="128"/>
      <c r="AK62" s="132">
        <v>310</v>
      </c>
      <c r="AL62" s="136"/>
      <c r="AM62" s="128"/>
      <c r="AN62" s="137"/>
      <c r="AO62" s="134"/>
      <c r="AP62" s="134"/>
      <c r="AQ62" s="130">
        <v>30</v>
      </c>
      <c r="AR62" s="128">
        <v>13</v>
      </c>
      <c r="AS62" s="132">
        <v>43</v>
      </c>
      <c r="AT62" s="136">
        <v>110</v>
      </c>
      <c r="AU62" s="128">
        <v>9</v>
      </c>
      <c r="AV62" s="128">
        <v>12</v>
      </c>
      <c r="AW62" s="128">
        <v>0</v>
      </c>
      <c r="AX62" s="128">
        <v>3</v>
      </c>
      <c r="AY62" s="128"/>
      <c r="AZ62" s="128"/>
      <c r="BA62" s="128"/>
      <c r="BB62" s="128"/>
      <c r="BC62" s="137">
        <v>134</v>
      </c>
      <c r="BD62" s="140"/>
      <c r="BE62" s="134">
        <v>42</v>
      </c>
      <c r="BF62" s="130">
        <v>522</v>
      </c>
      <c r="BG62" s="128">
        <v>4579</v>
      </c>
      <c r="BH62" s="128">
        <v>5506</v>
      </c>
      <c r="BI62" s="128">
        <v>539</v>
      </c>
      <c r="BJ62" s="128">
        <v>216</v>
      </c>
      <c r="BK62" s="132">
        <v>11362</v>
      </c>
      <c r="BL62" s="134">
        <v>28</v>
      </c>
      <c r="BM62" s="134"/>
      <c r="BN62" s="134">
        <v>8</v>
      </c>
      <c r="BO62" s="134">
        <v>31</v>
      </c>
      <c r="BP62" s="130">
        <v>162</v>
      </c>
      <c r="BQ62" s="128"/>
      <c r="BR62" s="132">
        <v>162</v>
      </c>
      <c r="BS62" s="134"/>
      <c r="BT62" s="130">
        <v>23</v>
      </c>
      <c r="BU62" s="128">
        <v>1</v>
      </c>
      <c r="BV62" s="132">
        <v>24</v>
      </c>
      <c r="BW62" s="136">
        <v>28</v>
      </c>
      <c r="BX62" s="128">
        <v>0</v>
      </c>
      <c r="BY62" s="128">
        <v>13</v>
      </c>
      <c r="BZ62" s="128"/>
      <c r="CA62" s="128"/>
      <c r="CB62" s="128"/>
      <c r="CC62" s="128"/>
      <c r="CD62" s="128"/>
      <c r="CE62" s="128">
        <v>0</v>
      </c>
      <c r="CF62" s="128"/>
      <c r="CG62" s="128">
        <v>2</v>
      </c>
      <c r="CH62" s="128"/>
      <c r="CI62" s="128"/>
      <c r="CJ62" s="128"/>
      <c r="CK62" s="128"/>
      <c r="CL62" s="128">
        <v>1</v>
      </c>
      <c r="CM62" s="137">
        <v>44</v>
      </c>
      <c r="CN62" s="130">
        <v>3</v>
      </c>
      <c r="CO62" s="128"/>
      <c r="CP62" s="132">
        <v>3</v>
      </c>
      <c r="CQ62" s="134">
        <v>0</v>
      </c>
      <c r="CR62" s="130">
        <v>577</v>
      </c>
      <c r="CS62" s="128">
        <v>3</v>
      </c>
      <c r="CT62" s="128">
        <v>188517</v>
      </c>
      <c r="CU62" s="128">
        <v>19626</v>
      </c>
      <c r="CV62" s="128">
        <v>93162</v>
      </c>
      <c r="CW62" s="128">
        <v>225</v>
      </c>
      <c r="CX62" s="128">
        <v>60</v>
      </c>
      <c r="CY62" s="128">
        <v>12</v>
      </c>
      <c r="CZ62" s="128">
        <v>32</v>
      </c>
      <c r="DA62" s="128">
        <v>4</v>
      </c>
      <c r="DB62" s="128">
        <v>0</v>
      </c>
      <c r="DC62" s="132">
        <v>302218</v>
      </c>
      <c r="DD62" s="136">
        <v>9453</v>
      </c>
      <c r="DE62" s="128">
        <v>74</v>
      </c>
      <c r="DF62" s="128">
        <v>983</v>
      </c>
      <c r="DG62" s="128">
        <v>7828</v>
      </c>
      <c r="DH62" s="128">
        <v>44</v>
      </c>
      <c r="DI62" s="128">
        <v>29</v>
      </c>
      <c r="DJ62" s="128"/>
      <c r="DK62" s="137">
        <v>18411</v>
      </c>
      <c r="DL62" s="140"/>
      <c r="DM62" s="134"/>
      <c r="DN62" s="130"/>
      <c r="DO62" s="128"/>
      <c r="DP62" s="132"/>
      <c r="DQ62" s="134">
        <v>474</v>
      </c>
      <c r="DR62" s="130"/>
      <c r="DS62" s="128"/>
      <c r="DT62" s="132"/>
      <c r="DU62" s="136">
        <v>94</v>
      </c>
      <c r="DV62" s="128">
        <v>39</v>
      </c>
      <c r="DW62" s="137">
        <v>133</v>
      </c>
      <c r="DX62" s="140">
        <v>167</v>
      </c>
      <c r="DY62" s="134">
        <v>10</v>
      </c>
      <c r="DZ62" s="134">
        <v>668</v>
      </c>
      <c r="EA62" s="134">
        <v>10</v>
      </c>
      <c r="EB62" s="134"/>
      <c r="EC62" s="130">
        <v>54</v>
      </c>
      <c r="ED62" s="128">
        <v>39</v>
      </c>
      <c r="EE62" s="128">
        <v>4</v>
      </c>
      <c r="EF62" s="128"/>
      <c r="EG62" s="128"/>
      <c r="EH62" s="132">
        <v>97</v>
      </c>
      <c r="EI62" s="136">
        <v>15596</v>
      </c>
      <c r="EJ62" s="128">
        <v>1963</v>
      </c>
      <c r="EK62" s="128">
        <v>703</v>
      </c>
      <c r="EL62" s="128">
        <v>2466</v>
      </c>
      <c r="EM62" s="128">
        <v>2875</v>
      </c>
      <c r="EN62" s="128">
        <v>474</v>
      </c>
      <c r="EO62" s="128">
        <v>124</v>
      </c>
      <c r="EP62" s="128">
        <v>9050</v>
      </c>
      <c r="EQ62" s="128">
        <v>120</v>
      </c>
      <c r="ER62" s="128">
        <v>190</v>
      </c>
      <c r="ES62" s="128">
        <v>72</v>
      </c>
      <c r="ET62" s="128">
        <v>1</v>
      </c>
      <c r="EU62" s="128">
        <v>1</v>
      </c>
      <c r="EV62" s="137">
        <v>33635</v>
      </c>
      <c r="EW62" s="140"/>
      <c r="EX62" s="134">
        <v>6</v>
      </c>
      <c r="EY62" s="130">
        <v>5</v>
      </c>
      <c r="EZ62" s="128"/>
      <c r="FA62" s="128"/>
      <c r="FB62" s="132">
        <v>5</v>
      </c>
      <c r="FC62" s="136"/>
      <c r="FD62" s="128"/>
      <c r="FE62" s="137"/>
      <c r="FF62" s="140"/>
      <c r="FG62" s="136"/>
      <c r="FH62" s="128">
        <v>59</v>
      </c>
      <c r="FI62" s="128"/>
      <c r="FJ62" s="128"/>
      <c r="FK62" s="137">
        <v>59</v>
      </c>
      <c r="FL62" s="130"/>
      <c r="FM62" s="128"/>
      <c r="FN62" s="132"/>
      <c r="FO62" s="136">
        <v>15</v>
      </c>
      <c r="FP62" s="128"/>
      <c r="FQ62" s="137">
        <v>15</v>
      </c>
      <c r="FR62" s="140">
        <v>1</v>
      </c>
      <c r="FS62" s="134">
        <v>136</v>
      </c>
      <c r="FT62" s="130">
        <v>33</v>
      </c>
      <c r="FU62" s="128">
        <v>21</v>
      </c>
      <c r="FV62" s="128">
        <v>28</v>
      </c>
      <c r="FW62" s="128">
        <v>78</v>
      </c>
      <c r="FX62" s="128">
        <v>0</v>
      </c>
      <c r="FY62" s="132">
        <v>160</v>
      </c>
      <c r="FZ62" s="134"/>
      <c r="GA62" s="130">
        <v>54</v>
      </c>
      <c r="GB62" s="128">
        <v>2</v>
      </c>
      <c r="GC62" s="132">
        <v>56</v>
      </c>
      <c r="GD62" s="134"/>
      <c r="GE62" s="130">
        <v>11</v>
      </c>
      <c r="GF62" s="128"/>
      <c r="GG62" s="128"/>
      <c r="GH62" s="132">
        <v>11</v>
      </c>
      <c r="GI62" s="134">
        <v>131</v>
      </c>
      <c r="GJ62" s="130">
        <v>69</v>
      </c>
      <c r="GK62" s="128">
        <v>10</v>
      </c>
      <c r="GL62" s="128"/>
      <c r="GM62" s="128"/>
      <c r="GN62" s="132">
        <v>79</v>
      </c>
      <c r="GO62" s="134">
        <v>420661</v>
      </c>
      <c r="GP62" s="323">
        <f>420661/44564395</f>
        <v>9.439396630426599E-3</v>
      </c>
    </row>
    <row r="63" spans="2:198" x14ac:dyDescent="0.2">
      <c r="B63" s="326" t="s">
        <v>126</v>
      </c>
      <c r="C63" s="325">
        <v>14</v>
      </c>
      <c r="D63" s="128"/>
      <c r="E63" s="128"/>
      <c r="F63" s="128"/>
      <c r="G63" s="324">
        <v>14</v>
      </c>
      <c r="H63" s="140"/>
      <c r="I63" s="136"/>
      <c r="J63" s="128"/>
      <c r="K63" s="137"/>
      <c r="L63" s="140"/>
      <c r="M63" s="134">
        <v>33</v>
      </c>
      <c r="N63" s="140">
        <v>1362</v>
      </c>
      <c r="O63" s="128">
        <v>57</v>
      </c>
      <c r="P63" s="128">
        <v>13</v>
      </c>
      <c r="Q63" s="128">
        <v>1</v>
      </c>
      <c r="R63" s="128"/>
      <c r="S63" s="128"/>
      <c r="T63" s="128"/>
      <c r="U63" s="128"/>
      <c r="V63" s="132">
        <v>1433</v>
      </c>
      <c r="W63" s="136"/>
      <c r="X63" s="128"/>
      <c r="Y63" s="137"/>
      <c r="Z63" s="130">
        <v>4</v>
      </c>
      <c r="AA63" s="128"/>
      <c r="AB63" s="128"/>
      <c r="AC63" s="132">
        <v>4</v>
      </c>
      <c r="AD63" s="136">
        <v>220</v>
      </c>
      <c r="AE63" s="128"/>
      <c r="AF63" s="137">
        <v>220</v>
      </c>
      <c r="AG63" s="130">
        <v>1</v>
      </c>
      <c r="AH63" s="128"/>
      <c r="AI63" s="128"/>
      <c r="AJ63" s="128"/>
      <c r="AK63" s="132">
        <v>1</v>
      </c>
      <c r="AL63" s="136"/>
      <c r="AM63" s="128"/>
      <c r="AN63" s="137"/>
      <c r="AO63" s="134"/>
      <c r="AP63" s="134"/>
      <c r="AQ63" s="130"/>
      <c r="AR63" s="128"/>
      <c r="AS63" s="132"/>
      <c r="AT63" s="136">
        <v>5</v>
      </c>
      <c r="AU63" s="128"/>
      <c r="AV63" s="128"/>
      <c r="AW63" s="128"/>
      <c r="AX63" s="128">
        <v>4</v>
      </c>
      <c r="AY63" s="128"/>
      <c r="AZ63" s="128"/>
      <c r="BA63" s="128"/>
      <c r="BB63" s="128"/>
      <c r="BC63" s="137">
        <v>9</v>
      </c>
      <c r="BD63" s="140"/>
      <c r="BE63" s="134"/>
      <c r="BF63" s="130">
        <v>4</v>
      </c>
      <c r="BG63" s="128">
        <v>2</v>
      </c>
      <c r="BH63" s="128">
        <v>21</v>
      </c>
      <c r="BI63" s="128">
        <v>8</v>
      </c>
      <c r="BJ63" s="128"/>
      <c r="BK63" s="132">
        <v>35</v>
      </c>
      <c r="BL63" s="134"/>
      <c r="BM63" s="134"/>
      <c r="BN63" s="134"/>
      <c r="BO63" s="134">
        <v>1</v>
      </c>
      <c r="BP63" s="130">
        <v>4</v>
      </c>
      <c r="BQ63" s="128"/>
      <c r="BR63" s="132">
        <v>4</v>
      </c>
      <c r="BS63" s="134"/>
      <c r="BT63" s="130"/>
      <c r="BU63" s="128"/>
      <c r="BV63" s="132"/>
      <c r="BW63" s="136"/>
      <c r="BX63" s="128"/>
      <c r="BY63" s="128"/>
      <c r="BZ63" s="128"/>
      <c r="CA63" s="128"/>
      <c r="CB63" s="128"/>
      <c r="CC63" s="128"/>
      <c r="CD63" s="128"/>
      <c r="CE63" s="128"/>
      <c r="CF63" s="128"/>
      <c r="CG63" s="128"/>
      <c r="CH63" s="128"/>
      <c r="CI63" s="128"/>
      <c r="CJ63" s="128"/>
      <c r="CK63" s="128"/>
      <c r="CL63" s="128"/>
      <c r="CM63" s="137"/>
      <c r="CN63" s="130"/>
      <c r="CO63" s="128"/>
      <c r="CP63" s="132"/>
      <c r="CQ63" s="134"/>
      <c r="CR63" s="130"/>
      <c r="CS63" s="128"/>
      <c r="CT63" s="128">
        <v>1009</v>
      </c>
      <c r="CU63" s="128">
        <v>107</v>
      </c>
      <c r="CV63" s="128">
        <v>486</v>
      </c>
      <c r="CW63" s="128"/>
      <c r="CX63" s="128"/>
      <c r="CY63" s="128"/>
      <c r="CZ63" s="128">
        <v>1</v>
      </c>
      <c r="DA63" s="128"/>
      <c r="DB63" s="128"/>
      <c r="DC63" s="132">
        <v>1603</v>
      </c>
      <c r="DD63" s="136">
        <v>138</v>
      </c>
      <c r="DE63" s="128"/>
      <c r="DF63" s="128">
        <v>10</v>
      </c>
      <c r="DG63" s="128">
        <v>13</v>
      </c>
      <c r="DH63" s="128"/>
      <c r="DI63" s="128"/>
      <c r="DJ63" s="128"/>
      <c r="DK63" s="137">
        <v>161</v>
      </c>
      <c r="DL63" s="140"/>
      <c r="DM63" s="134"/>
      <c r="DN63" s="130"/>
      <c r="DO63" s="128"/>
      <c r="DP63" s="132"/>
      <c r="DQ63" s="134">
        <v>1</v>
      </c>
      <c r="DR63" s="130"/>
      <c r="DS63" s="128"/>
      <c r="DT63" s="132"/>
      <c r="DU63" s="136"/>
      <c r="DV63" s="128"/>
      <c r="DW63" s="137"/>
      <c r="DX63" s="140">
        <v>6</v>
      </c>
      <c r="DY63" s="134">
        <v>1</v>
      </c>
      <c r="DZ63" s="134">
        <v>4</v>
      </c>
      <c r="EA63" s="134"/>
      <c r="EB63" s="134"/>
      <c r="EC63" s="130">
        <v>0</v>
      </c>
      <c r="ED63" s="128"/>
      <c r="EE63" s="128"/>
      <c r="EF63" s="128"/>
      <c r="EG63" s="128"/>
      <c r="EH63" s="132">
        <v>0</v>
      </c>
      <c r="EI63" s="136">
        <v>56</v>
      </c>
      <c r="EJ63" s="128">
        <v>253</v>
      </c>
      <c r="EK63" s="128">
        <v>12</v>
      </c>
      <c r="EL63" s="128">
        <v>28</v>
      </c>
      <c r="EM63" s="128">
        <v>137</v>
      </c>
      <c r="EN63" s="128">
        <v>2</v>
      </c>
      <c r="EO63" s="128"/>
      <c r="EP63" s="128">
        <v>29</v>
      </c>
      <c r="EQ63" s="128">
        <v>15</v>
      </c>
      <c r="ER63" s="128"/>
      <c r="ES63" s="128">
        <v>2</v>
      </c>
      <c r="ET63" s="128"/>
      <c r="EU63" s="128"/>
      <c r="EV63" s="137">
        <v>534</v>
      </c>
      <c r="EW63" s="140"/>
      <c r="EX63" s="134">
        <v>0</v>
      </c>
      <c r="EY63" s="130"/>
      <c r="EZ63" s="128"/>
      <c r="FA63" s="128"/>
      <c r="FB63" s="132"/>
      <c r="FC63" s="136"/>
      <c r="FD63" s="128"/>
      <c r="FE63" s="137"/>
      <c r="FF63" s="140"/>
      <c r="FG63" s="136"/>
      <c r="FH63" s="128"/>
      <c r="FI63" s="128"/>
      <c r="FJ63" s="128"/>
      <c r="FK63" s="137"/>
      <c r="FL63" s="130"/>
      <c r="FM63" s="128"/>
      <c r="FN63" s="132"/>
      <c r="FO63" s="136"/>
      <c r="FP63" s="128"/>
      <c r="FQ63" s="137"/>
      <c r="FR63" s="140"/>
      <c r="FS63" s="134">
        <v>1</v>
      </c>
      <c r="FT63" s="130"/>
      <c r="FU63" s="128"/>
      <c r="FV63" s="128"/>
      <c r="FW63" s="128"/>
      <c r="FX63" s="128"/>
      <c r="FY63" s="132"/>
      <c r="FZ63" s="134"/>
      <c r="GA63" s="130">
        <v>4</v>
      </c>
      <c r="GB63" s="128"/>
      <c r="GC63" s="132">
        <v>4</v>
      </c>
      <c r="GD63" s="134"/>
      <c r="GE63" s="130"/>
      <c r="GF63" s="128"/>
      <c r="GG63" s="128"/>
      <c r="GH63" s="132"/>
      <c r="GI63" s="134"/>
      <c r="GJ63" s="130">
        <v>1</v>
      </c>
      <c r="GK63" s="128"/>
      <c r="GL63" s="128"/>
      <c r="GM63" s="128"/>
      <c r="GN63" s="132">
        <v>1</v>
      </c>
      <c r="GO63" s="134">
        <v>4070</v>
      </c>
      <c r="GP63" s="323">
        <f>4070/44564395</f>
        <v>9.1328514613516016E-5</v>
      </c>
    </row>
    <row r="64" spans="2:198" x14ac:dyDescent="0.2">
      <c r="B64" s="326" t="s">
        <v>159</v>
      </c>
      <c r="C64" s="325">
        <v>23</v>
      </c>
      <c r="D64" s="128"/>
      <c r="E64" s="128"/>
      <c r="F64" s="128"/>
      <c r="G64" s="324">
        <v>23</v>
      </c>
      <c r="H64" s="140"/>
      <c r="I64" s="136">
        <v>4</v>
      </c>
      <c r="J64" s="128"/>
      <c r="K64" s="137">
        <v>4</v>
      </c>
      <c r="L64" s="140"/>
      <c r="M64" s="134">
        <v>52</v>
      </c>
      <c r="N64" s="140">
        <v>7401</v>
      </c>
      <c r="O64" s="128">
        <v>2</v>
      </c>
      <c r="P64" s="128">
        <v>13</v>
      </c>
      <c r="Q64" s="128">
        <v>10</v>
      </c>
      <c r="R64" s="128"/>
      <c r="S64" s="128"/>
      <c r="T64" s="128"/>
      <c r="U64" s="128"/>
      <c r="V64" s="132">
        <v>7426</v>
      </c>
      <c r="W64" s="136">
        <v>1</v>
      </c>
      <c r="X64" s="128">
        <v>1</v>
      </c>
      <c r="Y64" s="137">
        <v>2</v>
      </c>
      <c r="Z64" s="130">
        <v>12</v>
      </c>
      <c r="AA64" s="128"/>
      <c r="AB64" s="128"/>
      <c r="AC64" s="132">
        <v>12</v>
      </c>
      <c r="AD64" s="136">
        <v>107</v>
      </c>
      <c r="AE64" s="128"/>
      <c r="AF64" s="137">
        <v>107</v>
      </c>
      <c r="AG64" s="130">
        <v>3</v>
      </c>
      <c r="AH64" s="128">
        <v>5</v>
      </c>
      <c r="AI64" s="128"/>
      <c r="AJ64" s="128"/>
      <c r="AK64" s="132">
        <v>8</v>
      </c>
      <c r="AL64" s="136"/>
      <c r="AM64" s="128"/>
      <c r="AN64" s="137"/>
      <c r="AO64" s="134"/>
      <c r="AP64" s="134"/>
      <c r="AQ64" s="130"/>
      <c r="AR64" s="128"/>
      <c r="AS64" s="132"/>
      <c r="AT64" s="136"/>
      <c r="AU64" s="128"/>
      <c r="AV64" s="128"/>
      <c r="AW64" s="128"/>
      <c r="AX64" s="128"/>
      <c r="AY64" s="128"/>
      <c r="AZ64" s="128"/>
      <c r="BA64" s="128"/>
      <c r="BB64" s="128"/>
      <c r="BC64" s="137"/>
      <c r="BD64" s="140"/>
      <c r="BE64" s="134">
        <v>10</v>
      </c>
      <c r="BF64" s="130">
        <v>14</v>
      </c>
      <c r="BG64" s="128">
        <v>76</v>
      </c>
      <c r="BH64" s="128">
        <v>170</v>
      </c>
      <c r="BI64" s="128">
        <v>13</v>
      </c>
      <c r="BJ64" s="128">
        <v>1</v>
      </c>
      <c r="BK64" s="132">
        <v>274</v>
      </c>
      <c r="BL64" s="134"/>
      <c r="BM64" s="134"/>
      <c r="BN64" s="134"/>
      <c r="BO64" s="134">
        <v>9</v>
      </c>
      <c r="BP64" s="130">
        <v>10</v>
      </c>
      <c r="BQ64" s="128"/>
      <c r="BR64" s="132">
        <v>10</v>
      </c>
      <c r="BS64" s="134"/>
      <c r="BT64" s="130">
        <v>6</v>
      </c>
      <c r="BU64" s="128"/>
      <c r="BV64" s="132">
        <v>6</v>
      </c>
      <c r="BW64" s="136"/>
      <c r="BX64" s="128"/>
      <c r="BY64" s="128"/>
      <c r="BZ64" s="128"/>
      <c r="CA64" s="128"/>
      <c r="CB64" s="128"/>
      <c r="CC64" s="128"/>
      <c r="CD64" s="128"/>
      <c r="CE64" s="128"/>
      <c r="CF64" s="128"/>
      <c r="CG64" s="128"/>
      <c r="CH64" s="128"/>
      <c r="CI64" s="128"/>
      <c r="CJ64" s="128"/>
      <c r="CK64" s="128"/>
      <c r="CL64" s="128"/>
      <c r="CM64" s="137"/>
      <c r="CN64" s="130"/>
      <c r="CO64" s="128"/>
      <c r="CP64" s="132"/>
      <c r="CQ64" s="134"/>
      <c r="CR64" s="130">
        <v>6</v>
      </c>
      <c r="CS64" s="128"/>
      <c r="CT64" s="128">
        <v>3307</v>
      </c>
      <c r="CU64" s="128">
        <v>51</v>
      </c>
      <c r="CV64" s="128">
        <v>923</v>
      </c>
      <c r="CW64" s="128"/>
      <c r="CX64" s="128"/>
      <c r="CY64" s="128"/>
      <c r="CZ64" s="128">
        <v>3</v>
      </c>
      <c r="DA64" s="128"/>
      <c r="DB64" s="128"/>
      <c r="DC64" s="132">
        <v>4290</v>
      </c>
      <c r="DD64" s="136">
        <v>312</v>
      </c>
      <c r="DE64" s="128"/>
      <c r="DF64" s="128">
        <v>9</v>
      </c>
      <c r="DG64" s="128">
        <v>13</v>
      </c>
      <c r="DH64" s="128"/>
      <c r="DI64" s="128">
        <v>1</v>
      </c>
      <c r="DJ64" s="128"/>
      <c r="DK64" s="137">
        <v>335</v>
      </c>
      <c r="DL64" s="140"/>
      <c r="DM64" s="134"/>
      <c r="DN64" s="130"/>
      <c r="DO64" s="128"/>
      <c r="DP64" s="132"/>
      <c r="DQ64" s="134">
        <v>23</v>
      </c>
      <c r="DR64" s="130"/>
      <c r="DS64" s="128"/>
      <c r="DT64" s="132"/>
      <c r="DU64" s="136"/>
      <c r="DV64" s="128"/>
      <c r="DW64" s="137"/>
      <c r="DX64" s="140">
        <v>1</v>
      </c>
      <c r="DY64" s="134"/>
      <c r="DZ64" s="134">
        <v>19</v>
      </c>
      <c r="EA64" s="134"/>
      <c r="EB64" s="134"/>
      <c r="EC64" s="130">
        <v>3</v>
      </c>
      <c r="ED64" s="128"/>
      <c r="EE64" s="128"/>
      <c r="EF64" s="128">
        <v>1</v>
      </c>
      <c r="EG64" s="128"/>
      <c r="EH64" s="132">
        <v>4</v>
      </c>
      <c r="EI64" s="136">
        <v>100</v>
      </c>
      <c r="EJ64" s="128">
        <v>81</v>
      </c>
      <c r="EK64" s="128">
        <v>15</v>
      </c>
      <c r="EL64" s="128">
        <v>45</v>
      </c>
      <c r="EM64" s="128">
        <v>153</v>
      </c>
      <c r="EN64" s="128">
        <v>22</v>
      </c>
      <c r="EO64" s="128"/>
      <c r="EP64" s="128">
        <v>95</v>
      </c>
      <c r="EQ64" s="128">
        <v>26</v>
      </c>
      <c r="ER64" s="128">
        <v>1</v>
      </c>
      <c r="ES64" s="128">
        <v>2</v>
      </c>
      <c r="ET64" s="128"/>
      <c r="EU64" s="128"/>
      <c r="EV64" s="137">
        <v>540</v>
      </c>
      <c r="EW64" s="140"/>
      <c r="EX64" s="134">
        <v>3</v>
      </c>
      <c r="EY64" s="130"/>
      <c r="EZ64" s="128"/>
      <c r="FA64" s="128"/>
      <c r="FB64" s="132"/>
      <c r="FC64" s="136"/>
      <c r="FD64" s="128"/>
      <c r="FE64" s="137"/>
      <c r="FF64" s="140"/>
      <c r="FG64" s="136"/>
      <c r="FH64" s="128">
        <v>2</v>
      </c>
      <c r="FI64" s="128"/>
      <c r="FJ64" s="128"/>
      <c r="FK64" s="137">
        <v>2</v>
      </c>
      <c r="FL64" s="130"/>
      <c r="FM64" s="128"/>
      <c r="FN64" s="132"/>
      <c r="FO64" s="136"/>
      <c r="FP64" s="128"/>
      <c r="FQ64" s="137"/>
      <c r="FR64" s="140"/>
      <c r="FS64" s="134">
        <v>22</v>
      </c>
      <c r="FT64" s="130"/>
      <c r="FU64" s="128"/>
      <c r="FV64" s="128"/>
      <c r="FW64" s="128"/>
      <c r="FX64" s="128"/>
      <c r="FY64" s="132"/>
      <c r="FZ64" s="134"/>
      <c r="GA64" s="130"/>
      <c r="GB64" s="128"/>
      <c r="GC64" s="132"/>
      <c r="GD64" s="134"/>
      <c r="GE64" s="130">
        <v>1</v>
      </c>
      <c r="GF64" s="128"/>
      <c r="GG64" s="128"/>
      <c r="GH64" s="132">
        <v>1</v>
      </c>
      <c r="GI64" s="134"/>
      <c r="GJ64" s="130">
        <v>2</v>
      </c>
      <c r="GK64" s="128">
        <v>1</v>
      </c>
      <c r="GL64" s="128"/>
      <c r="GM64" s="128"/>
      <c r="GN64" s="132">
        <v>3</v>
      </c>
      <c r="GO64" s="134">
        <v>13186</v>
      </c>
      <c r="GP64" s="323">
        <f>13186/44564395</f>
        <v>2.9588643579700789E-4</v>
      </c>
    </row>
    <row r="65" spans="2:198" x14ac:dyDescent="0.2">
      <c r="B65" s="326" t="s">
        <v>160</v>
      </c>
      <c r="C65" s="325">
        <v>35</v>
      </c>
      <c r="D65" s="128"/>
      <c r="E65" s="128"/>
      <c r="F65" s="128"/>
      <c r="G65" s="324">
        <v>35</v>
      </c>
      <c r="H65" s="140"/>
      <c r="I65" s="136">
        <v>6</v>
      </c>
      <c r="J65" s="128"/>
      <c r="K65" s="137">
        <v>6</v>
      </c>
      <c r="L65" s="140"/>
      <c r="M65" s="134">
        <v>310</v>
      </c>
      <c r="N65" s="140">
        <v>102017</v>
      </c>
      <c r="O65" s="128">
        <v>26</v>
      </c>
      <c r="P65" s="128">
        <v>45</v>
      </c>
      <c r="Q65" s="128">
        <v>49</v>
      </c>
      <c r="R65" s="128">
        <v>4</v>
      </c>
      <c r="S65" s="128">
        <v>1</v>
      </c>
      <c r="T65" s="128"/>
      <c r="U65" s="128">
        <v>0</v>
      </c>
      <c r="V65" s="132">
        <v>102142</v>
      </c>
      <c r="W65" s="136">
        <v>66</v>
      </c>
      <c r="X65" s="128">
        <v>24</v>
      </c>
      <c r="Y65" s="137">
        <v>90</v>
      </c>
      <c r="Z65" s="130">
        <v>121</v>
      </c>
      <c r="AA65" s="128"/>
      <c r="AB65" s="128"/>
      <c r="AC65" s="132">
        <v>121</v>
      </c>
      <c r="AD65" s="136">
        <v>913</v>
      </c>
      <c r="AE65" s="128">
        <v>0</v>
      </c>
      <c r="AF65" s="137">
        <v>913</v>
      </c>
      <c r="AG65" s="130">
        <v>19</v>
      </c>
      <c r="AH65" s="128">
        <v>1</v>
      </c>
      <c r="AI65" s="128"/>
      <c r="AJ65" s="128"/>
      <c r="AK65" s="132">
        <v>20</v>
      </c>
      <c r="AL65" s="136"/>
      <c r="AM65" s="128"/>
      <c r="AN65" s="137"/>
      <c r="AO65" s="134"/>
      <c r="AP65" s="134">
        <v>1</v>
      </c>
      <c r="AQ65" s="130"/>
      <c r="AR65" s="128">
        <v>0</v>
      </c>
      <c r="AS65" s="132">
        <v>0</v>
      </c>
      <c r="AT65" s="136">
        <v>2</v>
      </c>
      <c r="AU65" s="128">
        <v>3</v>
      </c>
      <c r="AV65" s="128"/>
      <c r="AW65" s="128"/>
      <c r="AX65" s="128"/>
      <c r="AY65" s="128"/>
      <c r="AZ65" s="128"/>
      <c r="BA65" s="128"/>
      <c r="BB65" s="128"/>
      <c r="BC65" s="137">
        <v>5</v>
      </c>
      <c r="BD65" s="140"/>
      <c r="BE65" s="134">
        <v>18</v>
      </c>
      <c r="BF65" s="130">
        <v>951</v>
      </c>
      <c r="BG65" s="128">
        <v>742</v>
      </c>
      <c r="BH65" s="128">
        <v>9457</v>
      </c>
      <c r="BI65" s="128">
        <v>79</v>
      </c>
      <c r="BJ65" s="128">
        <v>48</v>
      </c>
      <c r="BK65" s="132">
        <v>11277</v>
      </c>
      <c r="BL65" s="134">
        <v>6</v>
      </c>
      <c r="BM65" s="134"/>
      <c r="BN65" s="134"/>
      <c r="BO65" s="134">
        <v>5</v>
      </c>
      <c r="BP65" s="130">
        <v>10</v>
      </c>
      <c r="BQ65" s="128"/>
      <c r="BR65" s="132">
        <v>10</v>
      </c>
      <c r="BS65" s="134"/>
      <c r="BT65" s="130">
        <v>5</v>
      </c>
      <c r="BU65" s="128"/>
      <c r="BV65" s="132">
        <v>5</v>
      </c>
      <c r="BW65" s="136">
        <v>3</v>
      </c>
      <c r="BX65" s="128"/>
      <c r="BY65" s="128"/>
      <c r="BZ65" s="128">
        <v>1</v>
      </c>
      <c r="CA65" s="128">
        <v>1</v>
      </c>
      <c r="CB65" s="128"/>
      <c r="CC65" s="128"/>
      <c r="CD65" s="128"/>
      <c r="CE65" s="128"/>
      <c r="CF65" s="128"/>
      <c r="CG65" s="128"/>
      <c r="CH65" s="128"/>
      <c r="CI65" s="128"/>
      <c r="CJ65" s="128"/>
      <c r="CK65" s="128"/>
      <c r="CL65" s="128"/>
      <c r="CM65" s="137">
        <v>5</v>
      </c>
      <c r="CN65" s="130">
        <v>1</v>
      </c>
      <c r="CO65" s="128"/>
      <c r="CP65" s="132">
        <v>1</v>
      </c>
      <c r="CQ65" s="134"/>
      <c r="CR65" s="130">
        <v>94</v>
      </c>
      <c r="CS65" s="128">
        <v>0</v>
      </c>
      <c r="CT65" s="128">
        <v>25494</v>
      </c>
      <c r="CU65" s="128">
        <v>516</v>
      </c>
      <c r="CV65" s="128">
        <v>16581</v>
      </c>
      <c r="CW65" s="128">
        <v>2</v>
      </c>
      <c r="CX65" s="128">
        <v>3</v>
      </c>
      <c r="CY65" s="128"/>
      <c r="CZ65" s="128">
        <v>6</v>
      </c>
      <c r="DA65" s="128"/>
      <c r="DB65" s="128"/>
      <c r="DC65" s="132">
        <v>42696</v>
      </c>
      <c r="DD65" s="136">
        <v>1952</v>
      </c>
      <c r="DE65" s="128"/>
      <c r="DF65" s="128">
        <v>88</v>
      </c>
      <c r="DG65" s="128">
        <v>247</v>
      </c>
      <c r="DH65" s="128">
        <v>6</v>
      </c>
      <c r="DI65" s="128">
        <v>4</v>
      </c>
      <c r="DJ65" s="128"/>
      <c r="DK65" s="137">
        <v>2297</v>
      </c>
      <c r="DL65" s="140"/>
      <c r="DM65" s="134"/>
      <c r="DN65" s="130"/>
      <c r="DO65" s="128">
        <v>1</v>
      </c>
      <c r="DP65" s="132">
        <v>1</v>
      </c>
      <c r="DQ65" s="134">
        <v>85</v>
      </c>
      <c r="DR65" s="130"/>
      <c r="DS65" s="128"/>
      <c r="DT65" s="132"/>
      <c r="DU65" s="136"/>
      <c r="DV65" s="128"/>
      <c r="DW65" s="137"/>
      <c r="DX65" s="140">
        <v>6</v>
      </c>
      <c r="DY65" s="134">
        <v>1</v>
      </c>
      <c r="DZ65" s="134">
        <v>735</v>
      </c>
      <c r="EA65" s="134">
        <v>4</v>
      </c>
      <c r="EB65" s="134"/>
      <c r="EC65" s="130">
        <v>19</v>
      </c>
      <c r="ED65" s="128">
        <v>9</v>
      </c>
      <c r="EE65" s="128"/>
      <c r="EF65" s="128"/>
      <c r="EG65" s="128"/>
      <c r="EH65" s="132">
        <v>28</v>
      </c>
      <c r="EI65" s="136">
        <v>1057</v>
      </c>
      <c r="EJ65" s="128">
        <v>1239</v>
      </c>
      <c r="EK65" s="128">
        <v>99</v>
      </c>
      <c r="EL65" s="128">
        <v>994</v>
      </c>
      <c r="EM65" s="128">
        <v>600</v>
      </c>
      <c r="EN65" s="128">
        <v>56</v>
      </c>
      <c r="EO65" s="128">
        <v>17</v>
      </c>
      <c r="EP65" s="128">
        <v>672</v>
      </c>
      <c r="EQ65" s="128">
        <v>14</v>
      </c>
      <c r="ER65" s="128">
        <v>5</v>
      </c>
      <c r="ES65" s="128">
        <v>3</v>
      </c>
      <c r="ET65" s="128"/>
      <c r="EU65" s="128"/>
      <c r="EV65" s="137">
        <v>4756</v>
      </c>
      <c r="EW65" s="140"/>
      <c r="EX65" s="134">
        <v>2</v>
      </c>
      <c r="EY65" s="130">
        <v>1</v>
      </c>
      <c r="EZ65" s="128"/>
      <c r="FA65" s="128"/>
      <c r="FB65" s="132">
        <v>1</v>
      </c>
      <c r="FC65" s="136"/>
      <c r="FD65" s="128"/>
      <c r="FE65" s="137"/>
      <c r="FF65" s="140"/>
      <c r="FG65" s="136"/>
      <c r="FH65" s="128">
        <v>13</v>
      </c>
      <c r="FI65" s="128"/>
      <c r="FJ65" s="128"/>
      <c r="FK65" s="137">
        <v>13</v>
      </c>
      <c r="FL65" s="130"/>
      <c r="FM65" s="128"/>
      <c r="FN65" s="132"/>
      <c r="FO65" s="136"/>
      <c r="FP65" s="128">
        <v>1</v>
      </c>
      <c r="FQ65" s="137">
        <v>1</v>
      </c>
      <c r="FR65" s="140">
        <v>8</v>
      </c>
      <c r="FS65" s="134">
        <v>15</v>
      </c>
      <c r="FT65" s="130">
        <v>6</v>
      </c>
      <c r="FU65" s="128"/>
      <c r="FV65" s="128">
        <v>1</v>
      </c>
      <c r="FW65" s="128"/>
      <c r="FX65" s="128"/>
      <c r="FY65" s="132">
        <v>7</v>
      </c>
      <c r="FZ65" s="134"/>
      <c r="GA65" s="130">
        <v>210</v>
      </c>
      <c r="GB65" s="128"/>
      <c r="GC65" s="132">
        <v>210</v>
      </c>
      <c r="GD65" s="134"/>
      <c r="GE65" s="130">
        <v>6</v>
      </c>
      <c r="GF65" s="128"/>
      <c r="GG65" s="128"/>
      <c r="GH65" s="132">
        <v>6</v>
      </c>
      <c r="GI65" s="134"/>
      <c r="GJ65" s="130"/>
      <c r="GK65" s="128">
        <v>0</v>
      </c>
      <c r="GL65" s="128"/>
      <c r="GM65" s="128"/>
      <c r="GN65" s="132">
        <v>0</v>
      </c>
      <c r="GO65" s="134">
        <v>165842</v>
      </c>
      <c r="GP65" s="323">
        <f>165842/44564395</f>
        <v>3.7214013563967377E-3</v>
      </c>
    </row>
    <row r="66" spans="2:198" x14ac:dyDescent="0.2">
      <c r="B66" s="326" t="s">
        <v>191</v>
      </c>
      <c r="C66" s="325">
        <v>35</v>
      </c>
      <c r="D66" s="128"/>
      <c r="E66" s="128"/>
      <c r="F66" s="128"/>
      <c r="G66" s="324">
        <v>35</v>
      </c>
      <c r="H66" s="140"/>
      <c r="I66" s="136">
        <v>22</v>
      </c>
      <c r="J66" s="128"/>
      <c r="K66" s="137">
        <v>22</v>
      </c>
      <c r="L66" s="140"/>
      <c r="M66" s="134">
        <v>668</v>
      </c>
      <c r="N66" s="140">
        <v>93514</v>
      </c>
      <c r="O66" s="128">
        <v>16677</v>
      </c>
      <c r="P66" s="128">
        <v>212</v>
      </c>
      <c r="Q66" s="128">
        <v>22</v>
      </c>
      <c r="R66" s="128">
        <v>7</v>
      </c>
      <c r="S66" s="128">
        <v>6</v>
      </c>
      <c r="T66" s="128"/>
      <c r="U66" s="128">
        <v>1</v>
      </c>
      <c r="V66" s="132">
        <v>110439</v>
      </c>
      <c r="W66" s="136">
        <v>3</v>
      </c>
      <c r="X66" s="128">
        <v>12</v>
      </c>
      <c r="Y66" s="137">
        <v>15</v>
      </c>
      <c r="Z66" s="130">
        <v>80</v>
      </c>
      <c r="AA66" s="128"/>
      <c r="AB66" s="128"/>
      <c r="AC66" s="132">
        <v>80</v>
      </c>
      <c r="AD66" s="136">
        <v>2287</v>
      </c>
      <c r="AE66" s="128">
        <v>4</v>
      </c>
      <c r="AF66" s="137">
        <v>2291</v>
      </c>
      <c r="AG66" s="130">
        <v>43</v>
      </c>
      <c r="AH66" s="128"/>
      <c r="AI66" s="128"/>
      <c r="AJ66" s="128"/>
      <c r="AK66" s="132">
        <v>43</v>
      </c>
      <c r="AL66" s="136"/>
      <c r="AM66" s="128"/>
      <c r="AN66" s="137"/>
      <c r="AO66" s="134"/>
      <c r="AP66" s="134"/>
      <c r="AQ66" s="130">
        <v>6</v>
      </c>
      <c r="AR66" s="128"/>
      <c r="AS66" s="132">
        <v>6</v>
      </c>
      <c r="AT66" s="136">
        <v>92</v>
      </c>
      <c r="AU66" s="128"/>
      <c r="AV66" s="128"/>
      <c r="AW66" s="128"/>
      <c r="AX66" s="128"/>
      <c r="AY66" s="128"/>
      <c r="AZ66" s="128"/>
      <c r="BA66" s="128"/>
      <c r="BB66" s="128"/>
      <c r="BC66" s="137">
        <v>92</v>
      </c>
      <c r="BD66" s="140"/>
      <c r="BE66" s="134">
        <v>27</v>
      </c>
      <c r="BF66" s="130">
        <v>121</v>
      </c>
      <c r="BG66" s="128">
        <v>404</v>
      </c>
      <c r="BH66" s="128">
        <v>3696</v>
      </c>
      <c r="BI66" s="128">
        <v>41</v>
      </c>
      <c r="BJ66" s="128">
        <v>10</v>
      </c>
      <c r="BK66" s="132">
        <v>4272</v>
      </c>
      <c r="BL66" s="134">
        <v>1</v>
      </c>
      <c r="BM66" s="134"/>
      <c r="BN66" s="134">
        <v>1</v>
      </c>
      <c r="BO66" s="134">
        <v>2</v>
      </c>
      <c r="BP66" s="130">
        <v>14</v>
      </c>
      <c r="BQ66" s="128"/>
      <c r="BR66" s="132">
        <v>14</v>
      </c>
      <c r="BS66" s="134"/>
      <c r="BT66" s="130">
        <v>14</v>
      </c>
      <c r="BU66" s="128">
        <v>35</v>
      </c>
      <c r="BV66" s="132">
        <v>49</v>
      </c>
      <c r="BW66" s="136">
        <v>13</v>
      </c>
      <c r="BX66" s="128"/>
      <c r="BY66" s="128">
        <v>3</v>
      </c>
      <c r="BZ66" s="128"/>
      <c r="CA66" s="128"/>
      <c r="CB66" s="128"/>
      <c r="CC66" s="128"/>
      <c r="CD66" s="128"/>
      <c r="CE66" s="128"/>
      <c r="CF66" s="128"/>
      <c r="CG66" s="128"/>
      <c r="CH66" s="128"/>
      <c r="CI66" s="128"/>
      <c r="CJ66" s="128">
        <v>1</v>
      </c>
      <c r="CK66" s="128">
        <v>0</v>
      </c>
      <c r="CL66" s="128"/>
      <c r="CM66" s="137">
        <v>17</v>
      </c>
      <c r="CN66" s="130"/>
      <c r="CO66" s="128"/>
      <c r="CP66" s="132"/>
      <c r="CQ66" s="134"/>
      <c r="CR66" s="130">
        <v>79</v>
      </c>
      <c r="CS66" s="128">
        <v>6</v>
      </c>
      <c r="CT66" s="128">
        <v>42053</v>
      </c>
      <c r="CU66" s="128">
        <v>512</v>
      </c>
      <c r="CV66" s="128">
        <v>18551</v>
      </c>
      <c r="CW66" s="128">
        <v>5</v>
      </c>
      <c r="CX66" s="128">
        <v>7</v>
      </c>
      <c r="CY66" s="128"/>
      <c r="CZ66" s="128">
        <v>26</v>
      </c>
      <c r="DA66" s="128">
        <v>0</v>
      </c>
      <c r="DB66" s="128"/>
      <c r="DC66" s="132">
        <v>61239</v>
      </c>
      <c r="DD66" s="136">
        <v>5528</v>
      </c>
      <c r="DE66" s="128">
        <v>13</v>
      </c>
      <c r="DF66" s="128">
        <v>132</v>
      </c>
      <c r="DG66" s="128">
        <v>64</v>
      </c>
      <c r="DH66" s="128">
        <v>13</v>
      </c>
      <c r="DI66" s="128">
        <v>1</v>
      </c>
      <c r="DJ66" s="128"/>
      <c r="DK66" s="137">
        <v>5751</v>
      </c>
      <c r="DL66" s="140"/>
      <c r="DM66" s="134"/>
      <c r="DN66" s="130"/>
      <c r="DO66" s="128"/>
      <c r="DP66" s="132"/>
      <c r="DQ66" s="134">
        <v>19</v>
      </c>
      <c r="DR66" s="130"/>
      <c r="DS66" s="128"/>
      <c r="DT66" s="132"/>
      <c r="DU66" s="136">
        <v>12</v>
      </c>
      <c r="DV66" s="128"/>
      <c r="DW66" s="137">
        <v>12</v>
      </c>
      <c r="DX66" s="140">
        <v>574</v>
      </c>
      <c r="DY66" s="134">
        <v>0</v>
      </c>
      <c r="DZ66" s="134">
        <v>181</v>
      </c>
      <c r="EA66" s="134"/>
      <c r="EB66" s="134"/>
      <c r="EC66" s="130">
        <v>30</v>
      </c>
      <c r="ED66" s="128">
        <v>1</v>
      </c>
      <c r="EE66" s="128"/>
      <c r="EF66" s="128"/>
      <c r="EG66" s="128"/>
      <c r="EH66" s="132">
        <v>31</v>
      </c>
      <c r="EI66" s="136">
        <v>771</v>
      </c>
      <c r="EJ66" s="128">
        <v>1551</v>
      </c>
      <c r="EK66" s="128">
        <v>115</v>
      </c>
      <c r="EL66" s="128">
        <v>903</v>
      </c>
      <c r="EM66" s="128">
        <v>408</v>
      </c>
      <c r="EN66" s="128">
        <v>13</v>
      </c>
      <c r="EO66" s="128">
        <v>1</v>
      </c>
      <c r="EP66" s="128">
        <v>441</v>
      </c>
      <c r="EQ66" s="128">
        <v>1</v>
      </c>
      <c r="ER66" s="128">
        <v>5</v>
      </c>
      <c r="ES66" s="128">
        <v>9</v>
      </c>
      <c r="ET66" s="128"/>
      <c r="EU66" s="128"/>
      <c r="EV66" s="137">
        <v>4218</v>
      </c>
      <c r="EW66" s="140"/>
      <c r="EX66" s="134"/>
      <c r="EY66" s="130"/>
      <c r="EZ66" s="128"/>
      <c r="FA66" s="128"/>
      <c r="FB66" s="132"/>
      <c r="FC66" s="136"/>
      <c r="FD66" s="128"/>
      <c r="FE66" s="137"/>
      <c r="FF66" s="140"/>
      <c r="FG66" s="136"/>
      <c r="FH66" s="128">
        <v>9</v>
      </c>
      <c r="FI66" s="128"/>
      <c r="FJ66" s="128"/>
      <c r="FK66" s="137">
        <v>9</v>
      </c>
      <c r="FL66" s="130"/>
      <c r="FM66" s="128"/>
      <c r="FN66" s="132"/>
      <c r="FO66" s="136"/>
      <c r="FP66" s="128"/>
      <c r="FQ66" s="137"/>
      <c r="FR66" s="140">
        <v>4</v>
      </c>
      <c r="FS66" s="134">
        <v>1455</v>
      </c>
      <c r="FT66" s="130"/>
      <c r="FU66" s="128">
        <v>2</v>
      </c>
      <c r="FV66" s="128"/>
      <c r="FW66" s="128"/>
      <c r="FX66" s="128"/>
      <c r="FY66" s="132">
        <v>2</v>
      </c>
      <c r="FZ66" s="134"/>
      <c r="GA66" s="130">
        <v>8</v>
      </c>
      <c r="GB66" s="128"/>
      <c r="GC66" s="132">
        <v>8</v>
      </c>
      <c r="GD66" s="134"/>
      <c r="GE66" s="130">
        <v>6</v>
      </c>
      <c r="GF66" s="128"/>
      <c r="GG66" s="128"/>
      <c r="GH66" s="132">
        <v>6</v>
      </c>
      <c r="GI66" s="134">
        <v>4</v>
      </c>
      <c r="GJ66" s="130">
        <v>202</v>
      </c>
      <c r="GK66" s="128">
        <v>0</v>
      </c>
      <c r="GL66" s="128"/>
      <c r="GM66" s="128"/>
      <c r="GN66" s="132">
        <v>202</v>
      </c>
      <c r="GO66" s="134">
        <v>191789</v>
      </c>
      <c r="GP66" s="323">
        <f>191789/44564395</f>
        <v>4.3036374666367621E-3</v>
      </c>
    </row>
    <row r="67" spans="2:198" x14ac:dyDescent="0.2">
      <c r="B67" s="326" t="s">
        <v>201</v>
      </c>
      <c r="C67" s="325">
        <v>239</v>
      </c>
      <c r="D67" s="128">
        <v>13</v>
      </c>
      <c r="E67" s="128">
        <v>2</v>
      </c>
      <c r="F67" s="128"/>
      <c r="G67" s="324">
        <v>254</v>
      </c>
      <c r="H67" s="140"/>
      <c r="I67" s="136">
        <v>71</v>
      </c>
      <c r="J67" s="128"/>
      <c r="K67" s="137">
        <v>71</v>
      </c>
      <c r="L67" s="140"/>
      <c r="M67" s="134">
        <v>1068</v>
      </c>
      <c r="N67" s="140">
        <v>764617</v>
      </c>
      <c r="O67" s="128">
        <v>121</v>
      </c>
      <c r="P67" s="128">
        <v>126</v>
      </c>
      <c r="Q67" s="128">
        <v>189</v>
      </c>
      <c r="R67" s="128">
        <v>15</v>
      </c>
      <c r="S67" s="128">
        <v>4</v>
      </c>
      <c r="T67" s="128"/>
      <c r="U67" s="128"/>
      <c r="V67" s="132">
        <v>765072</v>
      </c>
      <c r="W67" s="136">
        <v>143</v>
      </c>
      <c r="X67" s="128">
        <v>80</v>
      </c>
      <c r="Y67" s="137">
        <v>223</v>
      </c>
      <c r="Z67" s="130">
        <v>1349</v>
      </c>
      <c r="AA67" s="128"/>
      <c r="AB67" s="128">
        <v>0</v>
      </c>
      <c r="AC67" s="132">
        <v>1349</v>
      </c>
      <c r="AD67" s="136">
        <v>5967</v>
      </c>
      <c r="AE67" s="128">
        <v>89</v>
      </c>
      <c r="AF67" s="137">
        <v>6056</v>
      </c>
      <c r="AG67" s="130">
        <v>74</v>
      </c>
      <c r="AH67" s="128">
        <v>4</v>
      </c>
      <c r="AI67" s="128">
        <v>5</v>
      </c>
      <c r="AJ67" s="128"/>
      <c r="AK67" s="132">
        <v>83</v>
      </c>
      <c r="AL67" s="136">
        <v>1</v>
      </c>
      <c r="AM67" s="128"/>
      <c r="AN67" s="137">
        <v>1</v>
      </c>
      <c r="AO67" s="134"/>
      <c r="AP67" s="134"/>
      <c r="AQ67" s="130">
        <v>5</v>
      </c>
      <c r="AR67" s="128">
        <v>46</v>
      </c>
      <c r="AS67" s="132">
        <v>51</v>
      </c>
      <c r="AT67" s="136">
        <v>25</v>
      </c>
      <c r="AU67" s="128"/>
      <c r="AV67" s="128">
        <v>3</v>
      </c>
      <c r="AW67" s="128">
        <v>0</v>
      </c>
      <c r="AX67" s="128"/>
      <c r="AY67" s="128"/>
      <c r="AZ67" s="128"/>
      <c r="BA67" s="128">
        <v>2</v>
      </c>
      <c r="BB67" s="128"/>
      <c r="BC67" s="137">
        <v>30</v>
      </c>
      <c r="BD67" s="140"/>
      <c r="BE67" s="134">
        <v>52</v>
      </c>
      <c r="BF67" s="130">
        <v>2175</v>
      </c>
      <c r="BG67" s="128">
        <v>1883</v>
      </c>
      <c r="BH67" s="128">
        <v>11926</v>
      </c>
      <c r="BI67" s="128">
        <v>164</v>
      </c>
      <c r="BJ67" s="128">
        <v>167</v>
      </c>
      <c r="BK67" s="132">
        <v>16315</v>
      </c>
      <c r="BL67" s="134">
        <v>23</v>
      </c>
      <c r="BM67" s="134"/>
      <c r="BN67" s="134">
        <v>13</v>
      </c>
      <c r="BO67" s="134">
        <v>14</v>
      </c>
      <c r="BP67" s="130">
        <v>118</v>
      </c>
      <c r="BQ67" s="128"/>
      <c r="BR67" s="132">
        <v>118</v>
      </c>
      <c r="BS67" s="134">
        <v>1</v>
      </c>
      <c r="BT67" s="130">
        <v>29</v>
      </c>
      <c r="BU67" s="128"/>
      <c r="BV67" s="132">
        <v>29</v>
      </c>
      <c r="BW67" s="136">
        <v>11</v>
      </c>
      <c r="BX67" s="128">
        <v>2</v>
      </c>
      <c r="BY67" s="128">
        <v>34</v>
      </c>
      <c r="BZ67" s="128"/>
      <c r="CA67" s="128">
        <v>1</v>
      </c>
      <c r="CB67" s="128">
        <v>8</v>
      </c>
      <c r="CC67" s="128"/>
      <c r="CD67" s="128"/>
      <c r="CE67" s="128">
        <v>1</v>
      </c>
      <c r="CF67" s="128">
        <v>15</v>
      </c>
      <c r="CG67" s="128">
        <v>1</v>
      </c>
      <c r="CH67" s="128"/>
      <c r="CI67" s="128"/>
      <c r="CJ67" s="128">
        <v>2</v>
      </c>
      <c r="CK67" s="128">
        <v>0</v>
      </c>
      <c r="CL67" s="128">
        <v>1</v>
      </c>
      <c r="CM67" s="137">
        <v>76</v>
      </c>
      <c r="CN67" s="130"/>
      <c r="CO67" s="128"/>
      <c r="CP67" s="132"/>
      <c r="CQ67" s="134"/>
      <c r="CR67" s="130">
        <v>288</v>
      </c>
      <c r="CS67" s="128">
        <v>14</v>
      </c>
      <c r="CT67" s="128">
        <v>57838</v>
      </c>
      <c r="CU67" s="128">
        <v>824</v>
      </c>
      <c r="CV67" s="128">
        <v>13551</v>
      </c>
      <c r="CW67" s="128">
        <v>398</v>
      </c>
      <c r="CX67" s="128">
        <v>66</v>
      </c>
      <c r="CY67" s="128">
        <v>52</v>
      </c>
      <c r="CZ67" s="128">
        <v>12</v>
      </c>
      <c r="DA67" s="128">
        <v>1</v>
      </c>
      <c r="DB67" s="128">
        <v>100</v>
      </c>
      <c r="DC67" s="132">
        <v>73144</v>
      </c>
      <c r="DD67" s="136">
        <v>65476</v>
      </c>
      <c r="DE67" s="128">
        <v>126</v>
      </c>
      <c r="DF67" s="128">
        <v>204</v>
      </c>
      <c r="DG67" s="128">
        <v>306</v>
      </c>
      <c r="DH67" s="128">
        <v>11</v>
      </c>
      <c r="DI67" s="128">
        <v>9</v>
      </c>
      <c r="DJ67" s="128"/>
      <c r="DK67" s="137">
        <v>66132</v>
      </c>
      <c r="DL67" s="140"/>
      <c r="DM67" s="134"/>
      <c r="DN67" s="130"/>
      <c r="DO67" s="128"/>
      <c r="DP67" s="132"/>
      <c r="DQ67" s="134">
        <v>1990</v>
      </c>
      <c r="DR67" s="130"/>
      <c r="DS67" s="128"/>
      <c r="DT67" s="132"/>
      <c r="DU67" s="136">
        <v>214</v>
      </c>
      <c r="DV67" s="128"/>
      <c r="DW67" s="137">
        <v>214</v>
      </c>
      <c r="DX67" s="140">
        <v>97</v>
      </c>
      <c r="DY67" s="134">
        <v>3</v>
      </c>
      <c r="DZ67" s="134">
        <v>10118</v>
      </c>
      <c r="EA67" s="134">
        <v>2</v>
      </c>
      <c r="EB67" s="134"/>
      <c r="EC67" s="130">
        <v>95</v>
      </c>
      <c r="ED67" s="128">
        <v>142</v>
      </c>
      <c r="EE67" s="128">
        <v>16</v>
      </c>
      <c r="EF67" s="128"/>
      <c r="EG67" s="128"/>
      <c r="EH67" s="132">
        <v>253</v>
      </c>
      <c r="EI67" s="136">
        <v>31842</v>
      </c>
      <c r="EJ67" s="128">
        <v>23934</v>
      </c>
      <c r="EK67" s="128">
        <v>686</v>
      </c>
      <c r="EL67" s="128">
        <v>9175</v>
      </c>
      <c r="EM67" s="128">
        <v>107245</v>
      </c>
      <c r="EN67" s="128">
        <v>1320</v>
      </c>
      <c r="EO67" s="128">
        <v>7</v>
      </c>
      <c r="EP67" s="128">
        <v>18039</v>
      </c>
      <c r="EQ67" s="128">
        <v>13</v>
      </c>
      <c r="ER67" s="128">
        <v>20</v>
      </c>
      <c r="ES67" s="128">
        <v>21</v>
      </c>
      <c r="ET67" s="128">
        <v>0</v>
      </c>
      <c r="EU67" s="128">
        <v>1</v>
      </c>
      <c r="EV67" s="137">
        <v>192303</v>
      </c>
      <c r="EW67" s="140"/>
      <c r="EX67" s="134">
        <v>5</v>
      </c>
      <c r="EY67" s="130">
        <v>7</v>
      </c>
      <c r="EZ67" s="128"/>
      <c r="FA67" s="128"/>
      <c r="FB67" s="132">
        <v>7</v>
      </c>
      <c r="FC67" s="136">
        <v>2</v>
      </c>
      <c r="FD67" s="128"/>
      <c r="FE67" s="137">
        <v>2</v>
      </c>
      <c r="FF67" s="140">
        <v>5</v>
      </c>
      <c r="FG67" s="136">
        <v>21</v>
      </c>
      <c r="FH67" s="128">
        <v>58</v>
      </c>
      <c r="FI67" s="128">
        <v>7</v>
      </c>
      <c r="FJ67" s="128">
        <v>0</v>
      </c>
      <c r="FK67" s="137">
        <v>86</v>
      </c>
      <c r="FL67" s="130"/>
      <c r="FM67" s="128"/>
      <c r="FN67" s="132"/>
      <c r="FO67" s="136"/>
      <c r="FP67" s="128">
        <v>3</v>
      </c>
      <c r="FQ67" s="137">
        <v>3</v>
      </c>
      <c r="FR67" s="140">
        <v>3</v>
      </c>
      <c r="FS67" s="134">
        <v>110</v>
      </c>
      <c r="FT67" s="130">
        <v>121</v>
      </c>
      <c r="FU67" s="128">
        <v>25</v>
      </c>
      <c r="FV67" s="128">
        <v>14</v>
      </c>
      <c r="FW67" s="128">
        <v>1</v>
      </c>
      <c r="FX67" s="128"/>
      <c r="FY67" s="132">
        <v>161</v>
      </c>
      <c r="FZ67" s="134"/>
      <c r="GA67" s="130">
        <v>44</v>
      </c>
      <c r="GB67" s="128"/>
      <c r="GC67" s="132">
        <v>44</v>
      </c>
      <c r="GD67" s="134"/>
      <c r="GE67" s="130">
        <v>6</v>
      </c>
      <c r="GF67" s="128"/>
      <c r="GG67" s="128"/>
      <c r="GH67" s="132">
        <v>6</v>
      </c>
      <c r="GI67" s="134">
        <v>67</v>
      </c>
      <c r="GJ67" s="130">
        <v>229</v>
      </c>
      <c r="GK67" s="128">
        <v>19</v>
      </c>
      <c r="GL67" s="128">
        <v>1</v>
      </c>
      <c r="GM67" s="128">
        <v>0</v>
      </c>
      <c r="GN67" s="132">
        <v>249</v>
      </c>
      <c r="GO67" s="134">
        <v>1135903</v>
      </c>
      <c r="GP67" s="323">
        <f>1135903/44564395</f>
        <v>2.5489025487723999E-2</v>
      </c>
    </row>
    <row r="68" spans="2:198" x14ac:dyDescent="0.2">
      <c r="B68" s="326" t="s">
        <v>202</v>
      </c>
      <c r="C68" s="325">
        <v>30</v>
      </c>
      <c r="D68" s="128"/>
      <c r="E68" s="128"/>
      <c r="F68" s="128"/>
      <c r="G68" s="324">
        <v>30</v>
      </c>
      <c r="H68" s="140"/>
      <c r="I68" s="136">
        <v>3</v>
      </c>
      <c r="J68" s="128"/>
      <c r="K68" s="137">
        <v>3</v>
      </c>
      <c r="L68" s="140"/>
      <c r="M68" s="134">
        <v>281</v>
      </c>
      <c r="N68" s="140">
        <v>10092</v>
      </c>
      <c r="O68" s="128">
        <v>11</v>
      </c>
      <c r="P68" s="128">
        <v>81</v>
      </c>
      <c r="Q68" s="128">
        <v>47</v>
      </c>
      <c r="R68" s="128">
        <v>5</v>
      </c>
      <c r="S68" s="128">
        <v>0</v>
      </c>
      <c r="T68" s="128"/>
      <c r="U68" s="128"/>
      <c r="V68" s="132">
        <v>10236</v>
      </c>
      <c r="W68" s="136">
        <v>7</v>
      </c>
      <c r="X68" s="128">
        <v>2</v>
      </c>
      <c r="Y68" s="137">
        <v>9</v>
      </c>
      <c r="Z68" s="130">
        <v>96</v>
      </c>
      <c r="AA68" s="128"/>
      <c r="AB68" s="128"/>
      <c r="AC68" s="132">
        <v>96</v>
      </c>
      <c r="AD68" s="136">
        <v>3792</v>
      </c>
      <c r="AE68" s="128">
        <v>7</v>
      </c>
      <c r="AF68" s="137">
        <v>3799</v>
      </c>
      <c r="AG68" s="130">
        <v>88</v>
      </c>
      <c r="AH68" s="128">
        <v>2</v>
      </c>
      <c r="AI68" s="128"/>
      <c r="AJ68" s="128"/>
      <c r="AK68" s="132">
        <v>90</v>
      </c>
      <c r="AL68" s="136"/>
      <c r="AM68" s="128"/>
      <c r="AN68" s="137"/>
      <c r="AO68" s="134"/>
      <c r="AP68" s="134"/>
      <c r="AQ68" s="130"/>
      <c r="AR68" s="128"/>
      <c r="AS68" s="132"/>
      <c r="AT68" s="136">
        <v>8</v>
      </c>
      <c r="AU68" s="128"/>
      <c r="AV68" s="128">
        <v>40</v>
      </c>
      <c r="AW68" s="128"/>
      <c r="AX68" s="128"/>
      <c r="AY68" s="128"/>
      <c r="AZ68" s="128"/>
      <c r="BA68" s="128"/>
      <c r="BB68" s="128"/>
      <c r="BC68" s="137">
        <v>48</v>
      </c>
      <c r="BD68" s="140"/>
      <c r="BE68" s="134">
        <v>3</v>
      </c>
      <c r="BF68" s="130">
        <v>60</v>
      </c>
      <c r="BG68" s="128">
        <v>789</v>
      </c>
      <c r="BH68" s="128">
        <v>833</v>
      </c>
      <c r="BI68" s="128">
        <v>163</v>
      </c>
      <c r="BJ68" s="128">
        <v>35</v>
      </c>
      <c r="BK68" s="132">
        <v>1880</v>
      </c>
      <c r="BL68" s="134">
        <v>4</v>
      </c>
      <c r="BM68" s="134"/>
      <c r="BN68" s="134"/>
      <c r="BO68" s="134">
        <v>24</v>
      </c>
      <c r="BP68" s="130">
        <v>16</v>
      </c>
      <c r="BQ68" s="128"/>
      <c r="BR68" s="132">
        <v>16</v>
      </c>
      <c r="BS68" s="134"/>
      <c r="BT68" s="130">
        <v>1</v>
      </c>
      <c r="BU68" s="128"/>
      <c r="BV68" s="132">
        <v>1</v>
      </c>
      <c r="BW68" s="136"/>
      <c r="BX68" s="128"/>
      <c r="BY68" s="128"/>
      <c r="BZ68" s="128"/>
      <c r="CA68" s="128"/>
      <c r="CB68" s="128"/>
      <c r="CC68" s="128"/>
      <c r="CD68" s="128"/>
      <c r="CE68" s="128"/>
      <c r="CF68" s="128">
        <v>12</v>
      </c>
      <c r="CG68" s="128"/>
      <c r="CH68" s="128"/>
      <c r="CI68" s="128"/>
      <c r="CJ68" s="128"/>
      <c r="CK68" s="128"/>
      <c r="CL68" s="128"/>
      <c r="CM68" s="137">
        <v>12</v>
      </c>
      <c r="CN68" s="130"/>
      <c r="CO68" s="128"/>
      <c r="CP68" s="132"/>
      <c r="CQ68" s="134"/>
      <c r="CR68" s="130">
        <v>127</v>
      </c>
      <c r="CS68" s="128"/>
      <c r="CT68" s="128">
        <v>41549</v>
      </c>
      <c r="CU68" s="128">
        <v>739</v>
      </c>
      <c r="CV68" s="128">
        <v>8700</v>
      </c>
      <c r="CW68" s="128">
        <v>10</v>
      </c>
      <c r="CX68" s="128">
        <v>0</v>
      </c>
      <c r="CY68" s="128"/>
      <c r="CZ68" s="128">
        <v>3</v>
      </c>
      <c r="DA68" s="128">
        <v>1</v>
      </c>
      <c r="DB68" s="128">
        <v>0</v>
      </c>
      <c r="DC68" s="132">
        <v>51129</v>
      </c>
      <c r="DD68" s="136">
        <v>2592</v>
      </c>
      <c r="DE68" s="128">
        <v>4</v>
      </c>
      <c r="DF68" s="128">
        <v>403</v>
      </c>
      <c r="DG68" s="128">
        <v>266</v>
      </c>
      <c r="DH68" s="128">
        <v>8</v>
      </c>
      <c r="DI68" s="128">
        <v>21</v>
      </c>
      <c r="DJ68" s="128"/>
      <c r="DK68" s="137">
        <v>3294</v>
      </c>
      <c r="DL68" s="140"/>
      <c r="DM68" s="134"/>
      <c r="DN68" s="130"/>
      <c r="DO68" s="128"/>
      <c r="DP68" s="132"/>
      <c r="DQ68" s="134">
        <v>67</v>
      </c>
      <c r="DR68" s="130"/>
      <c r="DS68" s="128"/>
      <c r="DT68" s="132"/>
      <c r="DU68" s="136">
        <v>5</v>
      </c>
      <c r="DV68" s="128"/>
      <c r="DW68" s="137">
        <v>5</v>
      </c>
      <c r="DX68" s="140">
        <v>19</v>
      </c>
      <c r="DY68" s="134">
        <v>1</v>
      </c>
      <c r="DZ68" s="134">
        <v>138</v>
      </c>
      <c r="EA68" s="134"/>
      <c r="EB68" s="134"/>
      <c r="EC68" s="130">
        <v>9</v>
      </c>
      <c r="ED68" s="128">
        <v>9</v>
      </c>
      <c r="EE68" s="128"/>
      <c r="EF68" s="128"/>
      <c r="EG68" s="128"/>
      <c r="EH68" s="132">
        <v>18</v>
      </c>
      <c r="EI68" s="136">
        <v>541</v>
      </c>
      <c r="EJ68" s="128">
        <v>1107</v>
      </c>
      <c r="EK68" s="128">
        <v>72</v>
      </c>
      <c r="EL68" s="128">
        <v>241</v>
      </c>
      <c r="EM68" s="128">
        <v>845</v>
      </c>
      <c r="EN68" s="128">
        <v>108</v>
      </c>
      <c r="EO68" s="128">
        <v>17</v>
      </c>
      <c r="EP68" s="128">
        <v>486</v>
      </c>
      <c r="EQ68" s="128">
        <v>34</v>
      </c>
      <c r="ER68" s="128">
        <v>20</v>
      </c>
      <c r="ES68" s="128">
        <v>21</v>
      </c>
      <c r="ET68" s="128"/>
      <c r="EU68" s="128">
        <v>1</v>
      </c>
      <c r="EV68" s="137">
        <v>3493</v>
      </c>
      <c r="EW68" s="140"/>
      <c r="EX68" s="134">
        <v>2</v>
      </c>
      <c r="EY68" s="130">
        <v>0</v>
      </c>
      <c r="EZ68" s="128"/>
      <c r="FA68" s="128"/>
      <c r="FB68" s="132">
        <v>0</v>
      </c>
      <c r="FC68" s="136"/>
      <c r="FD68" s="128"/>
      <c r="FE68" s="137"/>
      <c r="FF68" s="140"/>
      <c r="FG68" s="136"/>
      <c r="FH68" s="128">
        <v>3</v>
      </c>
      <c r="FI68" s="128"/>
      <c r="FJ68" s="128">
        <v>7</v>
      </c>
      <c r="FK68" s="137">
        <v>10</v>
      </c>
      <c r="FL68" s="130"/>
      <c r="FM68" s="128"/>
      <c r="FN68" s="132"/>
      <c r="FO68" s="136"/>
      <c r="FP68" s="128"/>
      <c r="FQ68" s="137"/>
      <c r="FR68" s="140"/>
      <c r="FS68" s="134">
        <v>18</v>
      </c>
      <c r="FT68" s="130">
        <v>0</v>
      </c>
      <c r="FU68" s="128">
        <v>1</v>
      </c>
      <c r="FV68" s="128"/>
      <c r="FW68" s="128">
        <v>4</v>
      </c>
      <c r="FX68" s="128"/>
      <c r="FY68" s="132">
        <v>5</v>
      </c>
      <c r="FZ68" s="134">
        <v>0</v>
      </c>
      <c r="GA68" s="130">
        <v>11</v>
      </c>
      <c r="GB68" s="128"/>
      <c r="GC68" s="132">
        <v>11</v>
      </c>
      <c r="GD68" s="134"/>
      <c r="GE68" s="130">
        <v>1</v>
      </c>
      <c r="GF68" s="128"/>
      <c r="GG68" s="128"/>
      <c r="GH68" s="132">
        <v>1</v>
      </c>
      <c r="GI68" s="134">
        <v>1</v>
      </c>
      <c r="GJ68" s="130">
        <v>65</v>
      </c>
      <c r="GK68" s="128">
        <v>3</v>
      </c>
      <c r="GL68" s="128"/>
      <c r="GM68" s="128"/>
      <c r="GN68" s="132">
        <v>68</v>
      </c>
      <c r="GO68" s="134">
        <v>74812</v>
      </c>
      <c r="GP68" s="323">
        <f>74812/44564395</f>
        <v>1.6787392715642163E-3</v>
      </c>
    </row>
    <row r="69" spans="2:198" x14ac:dyDescent="0.2">
      <c r="B69" s="326" t="s">
        <v>221</v>
      </c>
      <c r="C69" s="325">
        <v>17</v>
      </c>
      <c r="D69" s="128"/>
      <c r="E69" s="128"/>
      <c r="F69" s="128"/>
      <c r="G69" s="324">
        <v>17</v>
      </c>
      <c r="H69" s="140"/>
      <c r="I69" s="136">
        <v>14</v>
      </c>
      <c r="J69" s="128"/>
      <c r="K69" s="137">
        <v>14</v>
      </c>
      <c r="L69" s="140"/>
      <c r="M69" s="134">
        <v>364</v>
      </c>
      <c r="N69" s="140">
        <v>155709</v>
      </c>
      <c r="O69" s="128">
        <v>5</v>
      </c>
      <c r="P69" s="128">
        <v>19</v>
      </c>
      <c r="Q69" s="128">
        <v>10</v>
      </c>
      <c r="R69" s="128">
        <v>1</v>
      </c>
      <c r="S69" s="128"/>
      <c r="T69" s="128"/>
      <c r="U69" s="128"/>
      <c r="V69" s="132">
        <v>155744</v>
      </c>
      <c r="W69" s="136">
        <v>25</v>
      </c>
      <c r="X69" s="128">
        <v>12</v>
      </c>
      <c r="Y69" s="137">
        <v>37</v>
      </c>
      <c r="Z69" s="130">
        <v>158</v>
      </c>
      <c r="AA69" s="128"/>
      <c r="AB69" s="128"/>
      <c r="AC69" s="132">
        <v>158</v>
      </c>
      <c r="AD69" s="136">
        <v>527</v>
      </c>
      <c r="AE69" s="128">
        <v>5</v>
      </c>
      <c r="AF69" s="137">
        <v>532</v>
      </c>
      <c r="AG69" s="130">
        <v>21</v>
      </c>
      <c r="AH69" s="128">
        <v>0</v>
      </c>
      <c r="AI69" s="128"/>
      <c r="AJ69" s="128"/>
      <c r="AK69" s="132">
        <v>21</v>
      </c>
      <c r="AL69" s="136"/>
      <c r="AM69" s="128"/>
      <c r="AN69" s="137"/>
      <c r="AO69" s="134"/>
      <c r="AP69" s="134"/>
      <c r="AQ69" s="130">
        <v>1</v>
      </c>
      <c r="AR69" s="128">
        <v>1</v>
      </c>
      <c r="AS69" s="132">
        <v>2</v>
      </c>
      <c r="AT69" s="136"/>
      <c r="AU69" s="128">
        <v>0</v>
      </c>
      <c r="AV69" s="128">
        <v>7</v>
      </c>
      <c r="AW69" s="128"/>
      <c r="AX69" s="128"/>
      <c r="AY69" s="128"/>
      <c r="AZ69" s="128"/>
      <c r="BA69" s="128"/>
      <c r="BB69" s="128"/>
      <c r="BC69" s="137">
        <v>7</v>
      </c>
      <c r="BD69" s="140"/>
      <c r="BE69" s="134">
        <v>41</v>
      </c>
      <c r="BF69" s="130">
        <v>109</v>
      </c>
      <c r="BG69" s="128">
        <v>308</v>
      </c>
      <c r="BH69" s="128">
        <v>1969</v>
      </c>
      <c r="BI69" s="128">
        <v>23</v>
      </c>
      <c r="BJ69" s="128">
        <v>20</v>
      </c>
      <c r="BK69" s="132">
        <v>2429</v>
      </c>
      <c r="BL69" s="134"/>
      <c r="BM69" s="134"/>
      <c r="BN69" s="134">
        <v>3</v>
      </c>
      <c r="BO69" s="134">
        <v>8</v>
      </c>
      <c r="BP69" s="130">
        <v>10</v>
      </c>
      <c r="BQ69" s="128"/>
      <c r="BR69" s="132">
        <v>10</v>
      </c>
      <c r="BS69" s="134"/>
      <c r="BT69" s="130">
        <v>7</v>
      </c>
      <c r="BU69" s="128">
        <v>0</v>
      </c>
      <c r="BV69" s="132">
        <v>7</v>
      </c>
      <c r="BW69" s="136"/>
      <c r="BX69" s="128"/>
      <c r="BY69" s="128"/>
      <c r="BZ69" s="128"/>
      <c r="CA69" s="128"/>
      <c r="CB69" s="128"/>
      <c r="CC69" s="128"/>
      <c r="CD69" s="128"/>
      <c r="CE69" s="128"/>
      <c r="CF69" s="128"/>
      <c r="CG69" s="128"/>
      <c r="CH69" s="128"/>
      <c r="CI69" s="128"/>
      <c r="CJ69" s="128"/>
      <c r="CK69" s="128"/>
      <c r="CL69" s="128"/>
      <c r="CM69" s="137"/>
      <c r="CN69" s="130">
        <v>5</v>
      </c>
      <c r="CO69" s="128"/>
      <c r="CP69" s="132">
        <v>5</v>
      </c>
      <c r="CQ69" s="134"/>
      <c r="CR69" s="130">
        <v>47</v>
      </c>
      <c r="CS69" s="128"/>
      <c r="CT69" s="128">
        <v>9095</v>
      </c>
      <c r="CU69" s="128">
        <v>124</v>
      </c>
      <c r="CV69" s="128">
        <v>8631</v>
      </c>
      <c r="CW69" s="128">
        <v>1</v>
      </c>
      <c r="CX69" s="128">
        <v>3</v>
      </c>
      <c r="CY69" s="128"/>
      <c r="CZ69" s="128">
        <v>3</v>
      </c>
      <c r="DA69" s="128"/>
      <c r="DB69" s="128"/>
      <c r="DC69" s="132">
        <v>17904</v>
      </c>
      <c r="DD69" s="136">
        <v>8323</v>
      </c>
      <c r="DE69" s="128">
        <v>3</v>
      </c>
      <c r="DF69" s="128">
        <v>27</v>
      </c>
      <c r="DG69" s="128">
        <v>55</v>
      </c>
      <c r="DH69" s="128"/>
      <c r="DI69" s="128">
        <v>5</v>
      </c>
      <c r="DJ69" s="128"/>
      <c r="DK69" s="137">
        <v>8413</v>
      </c>
      <c r="DL69" s="140"/>
      <c r="DM69" s="134"/>
      <c r="DN69" s="130"/>
      <c r="DO69" s="128"/>
      <c r="DP69" s="132"/>
      <c r="DQ69" s="134">
        <v>177</v>
      </c>
      <c r="DR69" s="130"/>
      <c r="DS69" s="128"/>
      <c r="DT69" s="132"/>
      <c r="DU69" s="136">
        <v>1</v>
      </c>
      <c r="DV69" s="128"/>
      <c r="DW69" s="137">
        <v>1</v>
      </c>
      <c r="DX69" s="140">
        <v>5</v>
      </c>
      <c r="DY69" s="134">
        <v>1</v>
      </c>
      <c r="DZ69" s="134">
        <v>707</v>
      </c>
      <c r="EA69" s="134"/>
      <c r="EB69" s="134"/>
      <c r="EC69" s="130">
        <v>13</v>
      </c>
      <c r="ED69" s="128">
        <v>2</v>
      </c>
      <c r="EE69" s="128"/>
      <c r="EF69" s="128"/>
      <c r="EG69" s="128"/>
      <c r="EH69" s="132">
        <v>15</v>
      </c>
      <c r="EI69" s="136">
        <v>518</v>
      </c>
      <c r="EJ69" s="128">
        <v>7626</v>
      </c>
      <c r="EK69" s="128">
        <v>124</v>
      </c>
      <c r="EL69" s="128">
        <v>294</v>
      </c>
      <c r="EM69" s="128">
        <v>836</v>
      </c>
      <c r="EN69" s="128">
        <v>20</v>
      </c>
      <c r="EO69" s="128">
        <v>8</v>
      </c>
      <c r="EP69" s="128">
        <v>319</v>
      </c>
      <c r="EQ69" s="128">
        <v>1</v>
      </c>
      <c r="ER69" s="128"/>
      <c r="ES69" s="128">
        <v>11</v>
      </c>
      <c r="ET69" s="128"/>
      <c r="EU69" s="128"/>
      <c r="EV69" s="137">
        <v>9757</v>
      </c>
      <c r="EW69" s="140"/>
      <c r="EX69" s="134">
        <v>2</v>
      </c>
      <c r="EY69" s="130">
        <v>1</v>
      </c>
      <c r="EZ69" s="128"/>
      <c r="FA69" s="128"/>
      <c r="FB69" s="132">
        <v>1</v>
      </c>
      <c r="FC69" s="136"/>
      <c r="FD69" s="128"/>
      <c r="FE69" s="137"/>
      <c r="FF69" s="140"/>
      <c r="FG69" s="136"/>
      <c r="FH69" s="128">
        <v>12</v>
      </c>
      <c r="FI69" s="128"/>
      <c r="FJ69" s="128"/>
      <c r="FK69" s="137">
        <v>12</v>
      </c>
      <c r="FL69" s="130"/>
      <c r="FM69" s="128"/>
      <c r="FN69" s="132"/>
      <c r="FO69" s="136"/>
      <c r="FP69" s="128"/>
      <c r="FQ69" s="137"/>
      <c r="FR69" s="140">
        <v>3</v>
      </c>
      <c r="FS69" s="134">
        <v>19</v>
      </c>
      <c r="FT69" s="130">
        <v>12</v>
      </c>
      <c r="FU69" s="128"/>
      <c r="FV69" s="128"/>
      <c r="FW69" s="128"/>
      <c r="FX69" s="128"/>
      <c r="FY69" s="132">
        <v>12</v>
      </c>
      <c r="FZ69" s="134"/>
      <c r="GA69" s="130">
        <v>33</v>
      </c>
      <c r="GB69" s="128"/>
      <c r="GC69" s="132">
        <v>33</v>
      </c>
      <c r="GD69" s="134"/>
      <c r="GE69" s="130">
        <v>0</v>
      </c>
      <c r="GF69" s="128"/>
      <c r="GG69" s="128"/>
      <c r="GH69" s="132">
        <v>0</v>
      </c>
      <c r="GI69" s="134"/>
      <c r="GJ69" s="130"/>
      <c r="GK69" s="128">
        <v>1</v>
      </c>
      <c r="GL69" s="128"/>
      <c r="GM69" s="128"/>
      <c r="GN69" s="132">
        <v>1</v>
      </c>
      <c r="GO69" s="134">
        <v>196462</v>
      </c>
      <c r="GP69" s="323">
        <f>196462/44564395</f>
        <v>4.4084969626537063E-3</v>
      </c>
    </row>
    <row r="70" spans="2:198" x14ac:dyDescent="0.2">
      <c r="B70" s="326" t="s">
        <v>261</v>
      </c>
      <c r="C70" s="325">
        <v>107</v>
      </c>
      <c r="D70" s="128">
        <v>2</v>
      </c>
      <c r="E70" s="128">
        <v>77</v>
      </c>
      <c r="F70" s="128">
        <v>26</v>
      </c>
      <c r="G70" s="324">
        <v>212</v>
      </c>
      <c r="H70" s="140"/>
      <c r="I70" s="136">
        <v>2</v>
      </c>
      <c r="J70" s="128"/>
      <c r="K70" s="137">
        <v>2</v>
      </c>
      <c r="L70" s="140"/>
      <c r="M70" s="134">
        <v>302</v>
      </c>
      <c r="N70" s="140">
        <v>5002</v>
      </c>
      <c r="O70" s="128">
        <v>7</v>
      </c>
      <c r="P70" s="128">
        <v>1126</v>
      </c>
      <c r="Q70" s="128">
        <v>256</v>
      </c>
      <c r="R70" s="128">
        <v>71</v>
      </c>
      <c r="S70" s="128">
        <v>7</v>
      </c>
      <c r="T70" s="128">
        <v>6</v>
      </c>
      <c r="U70" s="128">
        <v>14</v>
      </c>
      <c r="V70" s="132">
        <v>6489</v>
      </c>
      <c r="W70" s="136">
        <v>528</v>
      </c>
      <c r="X70" s="128">
        <v>56</v>
      </c>
      <c r="Y70" s="137">
        <v>584</v>
      </c>
      <c r="Z70" s="130">
        <v>4486</v>
      </c>
      <c r="AA70" s="128"/>
      <c r="AB70" s="128"/>
      <c r="AC70" s="132">
        <v>4486</v>
      </c>
      <c r="AD70" s="136">
        <v>12739</v>
      </c>
      <c r="AE70" s="128">
        <v>8</v>
      </c>
      <c r="AF70" s="137">
        <v>12747</v>
      </c>
      <c r="AG70" s="130">
        <v>9389</v>
      </c>
      <c r="AH70" s="128">
        <v>9</v>
      </c>
      <c r="AI70" s="128">
        <v>2</v>
      </c>
      <c r="AJ70" s="128">
        <v>0</v>
      </c>
      <c r="AK70" s="132">
        <v>9400</v>
      </c>
      <c r="AL70" s="136">
        <v>7</v>
      </c>
      <c r="AM70" s="128"/>
      <c r="AN70" s="137">
        <v>7</v>
      </c>
      <c r="AO70" s="134"/>
      <c r="AP70" s="134"/>
      <c r="AQ70" s="130"/>
      <c r="AR70" s="128">
        <v>29</v>
      </c>
      <c r="AS70" s="132">
        <v>29</v>
      </c>
      <c r="AT70" s="136">
        <v>127</v>
      </c>
      <c r="AU70" s="128">
        <v>15</v>
      </c>
      <c r="AV70" s="128">
        <v>37</v>
      </c>
      <c r="AW70" s="128">
        <v>2</v>
      </c>
      <c r="AX70" s="128">
        <v>11</v>
      </c>
      <c r="AY70" s="128">
        <v>3</v>
      </c>
      <c r="AZ70" s="128">
        <v>8</v>
      </c>
      <c r="BA70" s="128">
        <v>8</v>
      </c>
      <c r="BB70" s="128"/>
      <c r="BC70" s="137">
        <v>211</v>
      </c>
      <c r="BD70" s="140"/>
      <c r="BE70" s="134">
        <v>17</v>
      </c>
      <c r="BF70" s="130">
        <v>232</v>
      </c>
      <c r="BG70" s="128">
        <v>269431</v>
      </c>
      <c r="BH70" s="128">
        <v>3002</v>
      </c>
      <c r="BI70" s="128">
        <v>18</v>
      </c>
      <c r="BJ70" s="128">
        <v>122548</v>
      </c>
      <c r="BK70" s="132">
        <v>395231</v>
      </c>
      <c r="BL70" s="134">
        <v>6</v>
      </c>
      <c r="BM70" s="134"/>
      <c r="BN70" s="134">
        <v>4</v>
      </c>
      <c r="BO70" s="134">
        <v>3</v>
      </c>
      <c r="BP70" s="130">
        <v>31</v>
      </c>
      <c r="BQ70" s="128"/>
      <c r="BR70" s="132">
        <v>31</v>
      </c>
      <c r="BS70" s="134"/>
      <c r="BT70" s="130">
        <v>1</v>
      </c>
      <c r="BU70" s="128"/>
      <c r="BV70" s="132">
        <v>1</v>
      </c>
      <c r="BW70" s="136">
        <v>18</v>
      </c>
      <c r="BX70" s="128"/>
      <c r="BY70" s="128">
        <v>10</v>
      </c>
      <c r="BZ70" s="128">
        <v>22</v>
      </c>
      <c r="CA70" s="128">
        <v>11</v>
      </c>
      <c r="CB70" s="128">
        <v>0</v>
      </c>
      <c r="CC70" s="128">
        <v>23</v>
      </c>
      <c r="CD70" s="128"/>
      <c r="CE70" s="128">
        <v>9</v>
      </c>
      <c r="CF70" s="128">
        <v>25</v>
      </c>
      <c r="CG70" s="128">
        <v>46</v>
      </c>
      <c r="CH70" s="128"/>
      <c r="CI70" s="128"/>
      <c r="CJ70" s="128">
        <v>23</v>
      </c>
      <c r="CK70" s="128">
        <v>6</v>
      </c>
      <c r="CL70" s="128">
        <v>0</v>
      </c>
      <c r="CM70" s="137">
        <v>193</v>
      </c>
      <c r="CN70" s="130"/>
      <c r="CO70" s="128"/>
      <c r="CP70" s="132"/>
      <c r="CQ70" s="134">
        <v>0</v>
      </c>
      <c r="CR70" s="130">
        <v>263</v>
      </c>
      <c r="CS70" s="128">
        <v>30</v>
      </c>
      <c r="CT70" s="128">
        <v>63174</v>
      </c>
      <c r="CU70" s="128">
        <v>519</v>
      </c>
      <c r="CV70" s="128">
        <v>18282</v>
      </c>
      <c r="CW70" s="128">
        <v>217</v>
      </c>
      <c r="CX70" s="128">
        <v>515</v>
      </c>
      <c r="CY70" s="128">
        <v>15</v>
      </c>
      <c r="CZ70" s="128">
        <v>94</v>
      </c>
      <c r="DA70" s="128">
        <v>0</v>
      </c>
      <c r="DB70" s="128"/>
      <c r="DC70" s="132">
        <v>83109</v>
      </c>
      <c r="DD70" s="136">
        <v>4094</v>
      </c>
      <c r="DE70" s="128">
        <v>284</v>
      </c>
      <c r="DF70" s="128">
        <v>16708</v>
      </c>
      <c r="DG70" s="128">
        <v>1092</v>
      </c>
      <c r="DH70" s="128">
        <v>63</v>
      </c>
      <c r="DI70" s="128">
        <v>139</v>
      </c>
      <c r="DJ70" s="128"/>
      <c r="DK70" s="137">
        <v>22380</v>
      </c>
      <c r="DL70" s="140"/>
      <c r="DM70" s="134">
        <v>0</v>
      </c>
      <c r="DN70" s="130"/>
      <c r="DO70" s="128"/>
      <c r="DP70" s="132"/>
      <c r="DQ70" s="134">
        <v>165</v>
      </c>
      <c r="DR70" s="130"/>
      <c r="DS70" s="128"/>
      <c r="DT70" s="132"/>
      <c r="DU70" s="136">
        <v>247</v>
      </c>
      <c r="DV70" s="128">
        <v>2</v>
      </c>
      <c r="DW70" s="137">
        <v>249</v>
      </c>
      <c r="DX70" s="140">
        <v>24</v>
      </c>
      <c r="DY70" s="134">
        <v>3</v>
      </c>
      <c r="DZ70" s="134">
        <v>199</v>
      </c>
      <c r="EA70" s="134">
        <v>2</v>
      </c>
      <c r="EB70" s="134"/>
      <c r="EC70" s="130">
        <v>336</v>
      </c>
      <c r="ED70" s="128">
        <v>120</v>
      </c>
      <c r="EE70" s="128">
        <v>15</v>
      </c>
      <c r="EF70" s="128"/>
      <c r="EG70" s="128"/>
      <c r="EH70" s="132">
        <v>471</v>
      </c>
      <c r="EI70" s="136">
        <v>14294</v>
      </c>
      <c r="EJ70" s="128">
        <v>281</v>
      </c>
      <c r="EK70" s="128">
        <v>1550</v>
      </c>
      <c r="EL70" s="128">
        <v>9463</v>
      </c>
      <c r="EM70" s="128">
        <v>572</v>
      </c>
      <c r="EN70" s="128">
        <v>748</v>
      </c>
      <c r="EO70" s="128">
        <v>228</v>
      </c>
      <c r="EP70" s="128">
        <v>4931</v>
      </c>
      <c r="EQ70" s="128">
        <v>59</v>
      </c>
      <c r="ER70" s="128">
        <v>397</v>
      </c>
      <c r="ES70" s="128">
        <v>86</v>
      </c>
      <c r="ET70" s="128">
        <v>1</v>
      </c>
      <c r="EU70" s="128">
        <v>1</v>
      </c>
      <c r="EV70" s="137">
        <v>32611</v>
      </c>
      <c r="EW70" s="140"/>
      <c r="EX70" s="134">
        <v>8</v>
      </c>
      <c r="EY70" s="130">
        <v>6</v>
      </c>
      <c r="EZ70" s="128"/>
      <c r="FA70" s="128"/>
      <c r="FB70" s="132">
        <v>6</v>
      </c>
      <c r="FC70" s="136"/>
      <c r="FD70" s="128"/>
      <c r="FE70" s="137"/>
      <c r="FF70" s="140"/>
      <c r="FG70" s="136">
        <v>19</v>
      </c>
      <c r="FH70" s="128">
        <v>32</v>
      </c>
      <c r="FI70" s="128">
        <v>3</v>
      </c>
      <c r="FJ70" s="128">
        <v>2</v>
      </c>
      <c r="FK70" s="137">
        <v>56</v>
      </c>
      <c r="FL70" s="130"/>
      <c r="FM70" s="128"/>
      <c r="FN70" s="132"/>
      <c r="FO70" s="136">
        <v>27</v>
      </c>
      <c r="FP70" s="128"/>
      <c r="FQ70" s="137">
        <v>27</v>
      </c>
      <c r="FR70" s="140">
        <v>7</v>
      </c>
      <c r="FS70" s="134">
        <v>46</v>
      </c>
      <c r="FT70" s="130">
        <v>3</v>
      </c>
      <c r="FU70" s="128">
        <v>72</v>
      </c>
      <c r="FV70" s="128">
        <v>17</v>
      </c>
      <c r="FW70" s="128">
        <v>1</v>
      </c>
      <c r="FX70" s="128"/>
      <c r="FY70" s="132">
        <v>93</v>
      </c>
      <c r="FZ70" s="134"/>
      <c r="GA70" s="130">
        <v>38</v>
      </c>
      <c r="GB70" s="128">
        <v>4</v>
      </c>
      <c r="GC70" s="132">
        <v>42</v>
      </c>
      <c r="GD70" s="134"/>
      <c r="GE70" s="130">
        <v>0</v>
      </c>
      <c r="GF70" s="128"/>
      <c r="GG70" s="128"/>
      <c r="GH70" s="132">
        <v>0</v>
      </c>
      <c r="GI70" s="134">
        <v>151</v>
      </c>
      <c r="GJ70" s="130">
        <v>63</v>
      </c>
      <c r="GK70" s="128">
        <v>4</v>
      </c>
      <c r="GL70" s="128">
        <v>124</v>
      </c>
      <c r="GM70" s="128"/>
      <c r="GN70" s="132">
        <v>191</v>
      </c>
      <c r="GO70" s="134">
        <v>569795</v>
      </c>
      <c r="GP70" s="323">
        <f>569795/44564395</f>
        <v>1.2785879848699841E-2</v>
      </c>
    </row>
    <row r="71" spans="2:198" ht="12.75" thickBot="1" x14ac:dyDescent="0.25">
      <c r="B71" s="322" t="s">
        <v>556</v>
      </c>
      <c r="C71" s="321"/>
      <c r="D71" s="315"/>
      <c r="E71" s="315"/>
      <c r="F71" s="315"/>
      <c r="G71" s="320"/>
      <c r="H71" s="317"/>
      <c r="I71" s="319"/>
      <c r="J71" s="315"/>
      <c r="K71" s="318"/>
      <c r="L71" s="317"/>
      <c r="M71" s="313"/>
      <c r="N71" s="317"/>
      <c r="O71" s="315"/>
      <c r="P71" s="315"/>
      <c r="Q71" s="315"/>
      <c r="R71" s="315"/>
      <c r="S71" s="315"/>
      <c r="T71" s="315"/>
      <c r="U71" s="315"/>
      <c r="V71" s="314"/>
      <c r="W71" s="319"/>
      <c r="X71" s="315"/>
      <c r="Y71" s="318"/>
      <c r="Z71" s="316"/>
      <c r="AA71" s="315"/>
      <c r="AB71" s="315"/>
      <c r="AC71" s="314"/>
      <c r="AD71" s="319"/>
      <c r="AE71" s="315"/>
      <c r="AF71" s="318"/>
      <c r="AG71" s="316"/>
      <c r="AH71" s="315"/>
      <c r="AI71" s="315"/>
      <c r="AJ71" s="315"/>
      <c r="AK71" s="314"/>
      <c r="AL71" s="319"/>
      <c r="AM71" s="315"/>
      <c r="AN71" s="318"/>
      <c r="AO71" s="313"/>
      <c r="AP71" s="313"/>
      <c r="AQ71" s="316"/>
      <c r="AR71" s="315"/>
      <c r="AS71" s="314"/>
      <c r="AT71" s="319"/>
      <c r="AU71" s="315"/>
      <c r="AV71" s="315"/>
      <c r="AW71" s="315"/>
      <c r="AX71" s="315"/>
      <c r="AY71" s="315"/>
      <c r="AZ71" s="315"/>
      <c r="BA71" s="315"/>
      <c r="BB71" s="315"/>
      <c r="BC71" s="318"/>
      <c r="BD71" s="317"/>
      <c r="BE71" s="313"/>
      <c r="BF71" s="316"/>
      <c r="BG71" s="315"/>
      <c r="BH71" s="315"/>
      <c r="BI71" s="315"/>
      <c r="BJ71" s="315"/>
      <c r="BK71" s="314"/>
      <c r="BL71" s="313"/>
      <c r="BM71" s="313"/>
      <c r="BN71" s="313"/>
      <c r="BO71" s="313"/>
      <c r="BP71" s="316"/>
      <c r="BQ71" s="315"/>
      <c r="BR71" s="314"/>
      <c r="BS71" s="313"/>
      <c r="BT71" s="316"/>
      <c r="BU71" s="315"/>
      <c r="BV71" s="314"/>
      <c r="BW71" s="319"/>
      <c r="BX71" s="315"/>
      <c r="BY71" s="315"/>
      <c r="BZ71" s="315"/>
      <c r="CA71" s="315"/>
      <c r="CB71" s="315"/>
      <c r="CC71" s="315"/>
      <c r="CD71" s="315"/>
      <c r="CE71" s="315"/>
      <c r="CF71" s="315"/>
      <c r="CG71" s="315"/>
      <c r="CH71" s="315"/>
      <c r="CI71" s="315"/>
      <c r="CJ71" s="315"/>
      <c r="CK71" s="315"/>
      <c r="CL71" s="315"/>
      <c r="CM71" s="318"/>
      <c r="CN71" s="316"/>
      <c r="CO71" s="315"/>
      <c r="CP71" s="314"/>
      <c r="CQ71" s="313"/>
      <c r="CR71" s="316"/>
      <c r="CS71" s="315"/>
      <c r="CT71" s="315"/>
      <c r="CU71" s="315"/>
      <c r="CV71" s="315"/>
      <c r="CW71" s="315"/>
      <c r="CX71" s="315"/>
      <c r="CY71" s="315"/>
      <c r="CZ71" s="315"/>
      <c r="DA71" s="315"/>
      <c r="DB71" s="315"/>
      <c r="DC71" s="314"/>
      <c r="DD71" s="319"/>
      <c r="DE71" s="315"/>
      <c r="DF71" s="315"/>
      <c r="DG71" s="315"/>
      <c r="DH71" s="315"/>
      <c r="DI71" s="315"/>
      <c r="DJ71" s="315"/>
      <c r="DK71" s="318"/>
      <c r="DL71" s="317"/>
      <c r="DM71" s="313"/>
      <c r="DN71" s="316"/>
      <c r="DO71" s="315"/>
      <c r="DP71" s="314"/>
      <c r="DQ71" s="313"/>
      <c r="DR71" s="316"/>
      <c r="DS71" s="315"/>
      <c r="DT71" s="314"/>
      <c r="DU71" s="319"/>
      <c r="DV71" s="315"/>
      <c r="DW71" s="318"/>
      <c r="DX71" s="317"/>
      <c r="DY71" s="313"/>
      <c r="DZ71" s="313"/>
      <c r="EA71" s="313"/>
      <c r="EB71" s="313"/>
      <c r="EC71" s="316"/>
      <c r="ED71" s="315"/>
      <c r="EE71" s="315"/>
      <c r="EF71" s="315"/>
      <c r="EG71" s="315"/>
      <c r="EH71" s="314"/>
      <c r="EI71" s="319">
        <v>12</v>
      </c>
      <c r="EJ71" s="315"/>
      <c r="EK71" s="315"/>
      <c r="EL71" s="315"/>
      <c r="EM71" s="315"/>
      <c r="EN71" s="315"/>
      <c r="EO71" s="315"/>
      <c r="EP71" s="315"/>
      <c r="EQ71" s="315"/>
      <c r="ER71" s="315"/>
      <c r="ES71" s="315"/>
      <c r="ET71" s="315"/>
      <c r="EU71" s="315"/>
      <c r="EV71" s="318">
        <v>12</v>
      </c>
      <c r="EW71" s="317"/>
      <c r="EX71" s="313"/>
      <c r="EY71" s="316"/>
      <c r="EZ71" s="315"/>
      <c r="FA71" s="315"/>
      <c r="FB71" s="314"/>
      <c r="FC71" s="319"/>
      <c r="FD71" s="315"/>
      <c r="FE71" s="318"/>
      <c r="FF71" s="317"/>
      <c r="FG71" s="319"/>
      <c r="FH71" s="315">
        <v>0</v>
      </c>
      <c r="FI71" s="315"/>
      <c r="FJ71" s="315"/>
      <c r="FK71" s="318">
        <v>0</v>
      </c>
      <c r="FL71" s="316"/>
      <c r="FM71" s="315"/>
      <c r="FN71" s="314"/>
      <c r="FO71" s="319"/>
      <c r="FP71" s="315"/>
      <c r="FQ71" s="318"/>
      <c r="FR71" s="317"/>
      <c r="FS71" s="313"/>
      <c r="FT71" s="316"/>
      <c r="FU71" s="315"/>
      <c r="FV71" s="315"/>
      <c r="FW71" s="315"/>
      <c r="FX71" s="315"/>
      <c r="FY71" s="314"/>
      <c r="FZ71" s="313"/>
      <c r="GA71" s="316"/>
      <c r="GB71" s="315"/>
      <c r="GC71" s="314"/>
      <c r="GD71" s="313"/>
      <c r="GE71" s="316"/>
      <c r="GF71" s="315"/>
      <c r="GG71" s="315"/>
      <c r="GH71" s="314"/>
      <c r="GI71" s="313"/>
      <c r="GJ71" s="316"/>
      <c r="GK71" s="315"/>
      <c r="GL71" s="315"/>
      <c r="GM71" s="315"/>
      <c r="GN71" s="314"/>
      <c r="GO71" s="313">
        <v>12</v>
      </c>
      <c r="GP71" s="312">
        <f>12/44564395</f>
        <v>2.6927326175975239E-7</v>
      </c>
    </row>
    <row r="72" spans="2:198" ht="12.75" thickBot="1" x14ac:dyDescent="0.25">
      <c r="B72" s="311" t="s">
        <v>549</v>
      </c>
      <c r="C72" s="310">
        <v>78069</v>
      </c>
      <c r="D72" s="129">
        <v>16</v>
      </c>
      <c r="E72" s="129">
        <v>108</v>
      </c>
      <c r="F72" s="129">
        <v>26</v>
      </c>
      <c r="G72" s="309">
        <v>78219</v>
      </c>
      <c r="H72" s="141">
        <v>4</v>
      </c>
      <c r="I72" s="138">
        <v>1092</v>
      </c>
      <c r="J72" s="129"/>
      <c r="K72" s="139">
        <v>1092</v>
      </c>
      <c r="L72" s="141">
        <v>1</v>
      </c>
      <c r="M72" s="135">
        <v>215043</v>
      </c>
      <c r="N72" s="141">
        <v>6858511</v>
      </c>
      <c r="O72" s="129">
        <v>73237</v>
      </c>
      <c r="P72" s="129">
        <v>15185</v>
      </c>
      <c r="Q72" s="129">
        <v>15616</v>
      </c>
      <c r="R72" s="129">
        <v>565</v>
      </c>
      <c r="S72" s="129">
        <v>138</v>
      </c>
      <c r="T72" s="129">
        <v>11</v>
      </c>
      <c r="U72" s="129">
        <v>126</v>
      </c>
      <c r="V72" s="133">
        <v>6963389</v>
      </c>
      <c r="W72" s="138">
        <v>2336</v>
      </c>
      <c r="X72" s="129">
        <v>1021</v>
      </c>
      <c r="Y72" s="139">
        <v>3357</v>
      </c>
      <c r="Z72" s="131">
        <v>20039</v>
      </c>
      <c r="AA72" s="129">
        <v>10</v>
      </c>
      <c r="AB72" s="129">
        <v>13</v>
      </c>
      <c r="AC72" s="133">
        <v>20062</v>
      </c>
      <c r="AD72" s="138">
        <v>208115</v>
      </c>
      <c r="AE72" s="129">
        <v>529</v>
      </c>
      <c r="AF72" s="139">
        <v>208644</v>
      </c>
      <c r="AG72" s="131">
        <v>14085</v>
      </c>
      <c r="AH72" s="129">
        <v>4526</v>
      </c>
      <c r="AI72" s="129">
        <v>14</v>
      </c>
      <c r="AJ72" s="129">
        <v>0</v>
      </c>
      <c r="AK72" s="133">
        <v>18625</v>
      </c>
      <c r="AL72" s="138">
        <v>11</v>
      </c>
      <c r="AM72" s="129"/>
      <c r="AN72" s="139">
        <v>11</v>
      </c>
      <c r="AO72" s="135">
        <v>1</v>
      </c>
      <c r="AP72" s="135">
        <v>5</v>
      </c>
      <c r="AQ72" s="131">
        <v>272</v>
      </c>
      <c r="AR72" s="129">
        <v>129</v>
      </c>
      <c r="AS72" s="133">
        <v>401</v>
      </c>
      <c r="AT72" s="138">
        <v>4891</v>
      </c>
      <c r="AU72" s="129">
        <v>71</v>
      </c>
      <c r="AV72" s="129">
        <v>1582</v>
      </c>
      <c r="AW72" s="129">
        <v>7</v>
      </c>
      <c r="AX72" s="129">
        <v>181</v>
      </c>
      <c r="AY72" s="129">
        <v>37</v>
      </c>
      <c r="AZ72" s="129">
        <v>8</v>
      </c>
      <c r="BA72" s="129">
        <v>10</v>
      </c>
      <c r="BB72" s="129"/>
      <c r="BC72" s="139">
        <v>6787</v>
      </c>
      <c r="BD72" s="141">
        <v>30</v>
      </c>
      <c r="BE72" s="135">
        <v>30365</v>
      </c>
      <c r="BF72" s="131">
        <v>23183</v>
      </c>
      <c r="BG72" s="129">
        <v>371569</v>
      </c>
      <c r="BH72" s="129">
        <v>678420</v>
      </c>
      <c r="BI72" s="129">
        <v>8278</v>
      </c>
      <c r="BJ72" s="129">
        <v>130112</v>
      </c>
      <c r="BK72" s="133">
        <v>1211562</v>
      </c>
      <c r="BL72" s="135">
        <v>17510</v>
      </c>
      <c r="BM72" s="135"/>
      <c r="BN72" s="135">
        <v>196</v>
      </c>
      <c r="BO72" s="135">
        <v>44227</v>
      </c>
      <c r="BP72" s="131">
        <v>54537</v>
      </c>
      <c r="BQ72" s="129">
        <v>3</v>
      </c>
      <c r="BR72" s="133">
        <v>54540</v>
      </c>
      <c r="BS72" s="135">
        <v>1</v>
      </c>
      <c r="BT72" s="131">
        <v>357</v>
      </c>
      <c r="BU72" s="129">
        <v>301</v>
      </c>
      <c r="BV72" s="133">
        <v>658</v>
      </c>
      <c r="BW72" s="138">
        <v>3843</v>
      </c>
      <c r="BX72" s="129">
        <v>29</v>
      </c>
      <c r="BY72" s="129">
        <v>98</v>
      </c>
      <c r="BZ72" s="129">
        <v>23</v>
      </c>
      <c r="CA72" s="129">
        <v>17</v>
      </c>
      <c r="CB72" s="129">
        <v>8</v>
      </c>
      <c r="CC72" s="129">
        <v>25</v>
      </c>
      <c r="CD72" s="129">
        <v>4</v>
      </c>
      <c r="CE72" s="129">
        <v>11</v>
      </c>
      <c r="CF72" s="129">
        <v>53</v>
      </c>
      <c r="CG72" s="129">
        <v>51</v>
      </c>
      <c r="CH72" s="129"/>
      <c r="CI72" s="129">
        <v>5</v>
      </c>
      <c r="CJ72" s="129">
        <v>33</v>
      </c>
      <c r="CK72" s="129">
        <v>12</v>
      </c>
      <c r="CL72" s="129">
        <v>3</v>
      </c>
      <c r="CM72" s="139">
        <v>4215</v>
      </c>
      <c r="CN72" s="131">
        <v>91</v>
      </c>
      <c r="CO72" s="129"/>
      <c r="CP72" s="133">
        <v>91</v>
      </c>
      <c r="CQ72" s="135">
        <v>17</v>
      </c>
      <c r="CR72" s="131">
        <v>6504</v>
      </c>
      <c r="CS72" s="129">
        <v>147</v>
      </c>
      <c r="CT72" s="129">
        <v>2511050</v>
      </c>
      <c r="CU72" s="129">
        <v>85972</v>
      </c>
      <c r="CV72" s="129">
        <v>1855571</v>
      </c>
      <c r="CW72" s="129">
        <v>1278</v>
      </c>
      <c r="CX72" s="129">
        <v>785</v>
      </c>
      <c r="CY72" s="129">
        <v>164</v>
      </c>
      <c r="CZ72" s="129">
        <v>3426</v>
      </c>
      <c r="DA72" s="129">
        <v>39</v>
      </c>
      <c r="DB72" s="129">
        <v>114</v>
      </c>
      <c r="DC72" s="133">
        <v>4465050</v>
      </c>
      <c r="DD72" s="138">
        <v>1100607</v>
      </c>
      <c r="DE72" s="129">
        <v>618</v>
      </c>
      <c r="DF72" s="129">
        <v>31760</v>
      </c>
      <c r="DG72" s="129">
        <v>24200</v>
      </c>
      <c r="DH72" s="129">
        <v>1508</v>
      </c>
      <c r="DI72" s="129">
        <v>724</v>
      </c>
      <c r="DJ72" s="129">
        <v>4</v>
      </c>
      <c r="DK72" s="139">
        <v>1159421</v>
      </c>
      <c r="DL72" s="141">
        <v>11</v>
      </c>
      <c r="DM72" s="135">
        <v>4</v>
      </c>
      <c r="DN72" s="131"/>
      <c r="DO72" s="129">
        <v>14</v>
      </c>
      <c r="DP72" s="133">
        <v>14</v>
      </c>
      <c r="DQ72" s="135">
        <v>156787</v>
      </c>
      <c r="DR72" s="131"/>
      <c r="DS72" s="129"/>
      <c r="DT72" s="133"/>
      <c r="DU72" s="138">
        <v>707</v>
      </c>
      <c r="DV72" s="129">
        <v>50</v>
      </c>
      <c r="DW72" s="139">
        <v>757</v>
      </c>
      <c r="DX72" s="141">
        <v>49005</v>
      </c>
      <c r="DY72" s="135">
        <v>7781</v>
      </c>
      <c r="DZ72" s="135">
        <v>26123</v>
      </c>
      <c r="EA72" s="135">
        <v>3359</v>
      </c>
      <c r="EB72" s="135">
        <v>4</v>
      </c>
      <c r="EC72" s="131">
        <v>2667</v>
      </c>
      <c r="ED72" s="129">
        <v>652</v>
      </c>
      <c r="EE72" s="129">
        <v>37</v>
      </c>
      <c r="EF72" s="129">
        <v>3</v>
      </c>
      <c r="EG72" s="129"/>
      <c r="EH72" s="133">
        <v>3359</v>
      </c>
      <c r="EI72" s="138">
        <v>199788</v>
      </c>
      <c r="EJ72" s="129">
        <v>1212136</v>
      </c>
      <c r="EK72" s="129">
        <v>18457</v>
      </c>
      <c r="EL72" s="129">
        <v>79456</v>
      </c>
      <c r="EM72" s="129">
        <v>592311</v>
      </c>
      <c r="EN72" s="129">
        <v>9929</v>
      </c>
      <c r="EO72" s="129">
        <v>1230</v>
      </c>
      <c r="EP72" s="129">
        <v>111887</v>
      </c>
      <c r="EQ72" s="129">
        <v>1193</v>
      </c>
      <c r="ER72" s="129">
        <v>1780</v>
      </c>
      <c r="ES72" s="129">
        <v>738</v>
      </c>
      <c r="ET72" s="129">
        <v>7</v>
      </c>
      <c r="EU72" s="129">
        <v>29</v>
      </c>
      <c r="EV72" s="139">
        <v>2228941</v>
      </c>
      <c r="EW72" s="141">
        <v>2</v>
      </c>
      <c r="EX72" s="135">
        <v>345</v>
      </c>
      <c r="EY72" s="131">
        <v>5318</v>
      </c>
      <c r="EZ72" s="129"/>
      <c r="FA72" s="129">
        <v>45</v>
      </c>
      <c r="FB72" s="133">
        <v>5363</v>
      </c>
      <c r="FC72" s="138">
        <v>2</v>
      </c>
      <c r="FD72" s="129"/>
      <c r="FE72" s="139">
        <v>2</v>
      </c>
      <c r="FF72" s="141">
        <v>9</v>
      </c>
      <c r="FG72" s="138">
        <v>48</v>
      </c>
      <c r="FH72" s="129">
        <v>37329</v>
      </c>
      <c r="FI72" s="129">
        <v>10</v>
      </c>
      <c r="FJ72" s="129">
        <v>10</v>
      </c>
      <c r="FK72" s="139">
        <v>37397</v>
      </c>
      <c r="FL72" s="131">
        <v>4</v>
      </c>
      <c r="FM72" s="129"/>
      <c r="FN72" s="133">
        <v>4</v>
      </c>
      <c r="FO72" s="138">
        <v>64</v>
      </c>
      <c r="FP72" s="129">
        <v>5</v>
      </c>
      <c r="FQ72" s="139">
        <v>69</v>
      </c>
      <c r="FR72" s="141">
        <v>187</v>
      </c>
      <c r="FS72" s="135">
        <v>29202</v>
      </c>
      <c r="FT72" s="131">
        <v>422</v>
      </c>
      <c r="FU72" s="129">
        <v>165</v>
      </c>
      <c r="FV72" s="129">
        <v>62</v>
      </c>
      <c r="FW72" s="129">
        <v>101</v>
      </c>
      <c r="FX72" s="129">
        <v>0</v>
      </c>
      <c r="FY72" s="133">
        <v>750</v>
      </c>
      <c r="FZ72" s="135">
        <v>0</v>
      </c>
      <c r="GA72" s="131">
        <v>29599</v>
      </c>
      <c r="GB72" s="129">
        <v>9</v>
      </c>
      <c r="GC72" s="133">
        <v>29608</v>
      </c>
      <c r="GD72" s="135">
        <v>28</v>
      </c>
      <c r="GE72" s="131">
        <v>321</v>
      </c>
      <c r="GF72" s="129">
        <v>23</v>
      </c>
      <c r="GG72" s="129"/>
      <c r="GH72" s="133">
        <v>344</v>
      </c>
      <c r="GI72" s="135">
        <v>458</v>
      </c>
      <c r="GJ72" s="131">
        <v>1806</v>
      </c>
      <c r="GK72" s="129">
        <v>20908</v>
      </c>
      <c r="GL72" s="129">
        <v>128</v>
      </c>
      <c r="GM72" s="129">
        <v>9</v>
      </c>
      <c r="GN72" s="133">
        <v>22851</v>
      </c>
      <c r="GO72" s="135">
        <v>17106288</v>
      </c>
      <c r="GP72" s="308">
        <f>17106288/44564395</f>
        <v>0.38385549719680923</v>
      </c>
    </row>
    <row r="73" spans="2:198" x14ac:dyDescent="0.2">
      <c r="B73" s="322" t="s">
        <v>30</v>
      </c>
      <c r="C73" s="321">
        <v>7</v>
      </c>
      <c r="D73" s="315">
        <v>1</v>
      </c>
      <c r="E73" s="315"/>
      <c r="F73" s="315"/>
      <c r="G73" s="320">
        <v>8</v>
      </c>
      <c r="H73" s="317"/>
      <c r="I73" s="319">
        <v>4</v>
      </c>
      <c r="J73" s="315"/>
      <c r="K73" s="318">
        <v>4</v>
      </c>
      <c r="L73" s="317"/>
      <c r="M73" s="313">
        <v>190</v>
      </c>
      <c r="N73" s="317">
        <v>34932</v>
      </c>
      <c r="O73" s="315">
        <v>5</v>
      </c>
      <c r="P73" s="315">
        <v>38</v>
      </c>
      <c r="Q73" s="315">
        <v>193</v>
      </c>
      <c r="R73" s="315">
        <v>11</v>
      </c>
      <c r="S73" s="315"/>
      <c r="T73" s="315"/>
      <c r="U73" s="315"/>
      <c r="V73" s="314">
        <v>35179</v>
      </c>
      <c r="W73" s="319">
        <v>3</v>
      </c>
      <c r="X73" s="315">
        <v>3</v>
      </c>
      <c r="Y73" s="318">
        <v>6</v>
      </c>
      <c r="Z73" s="316">
        <v>39</v>
      </c>
      <c r="AA73" s="315">
        <v>8</v>
      </c>
      <c r="AB73" s="315"/>
      <c r="AC73" s="314">
        <v>47</v>
      </c>
      <c r="AD73" s="319">
        <v>1076</v>
      </c>
      <c r="AE73" s="315"/>
      <c r="AF73" s="318">
        <v>1076</v>
      </c>
      <c r="AG73" s="316">
        <v>336</v>
      </c>
      <c r="AH73" s="315"/>
      <c r="AI73" s="315"/>
      <c r="AJ73" s="315"/>
      <c r="AK73" s="314">
        <v>336</v>
      </c>
      <c r="AL73" s="319"/>
      <c r="AM73" s="315"/>
      <c r="AN73" s="318"/>
      <c r="AO73" s="313"/>
      <c r="AP73" s="313"/>
      <c r="AQ73" s="316">
        <v>0</v>
      </c>
      <c r="AR73" s="315">
        <v>2</v>
      </c>
      <c r="AS73" s="314">
        <v>2</v>
      </c>
      <c r="AT73" s="319">
        <v>1</v>
      </c>
      <c r="AU73" s="315"/>
      <c r="AV73" s="315">
        <v>6</v>
      </c>
      <c r="AW73" s="315">
        <v>2</v>
      </c>
      <c r="AX73" s="315"/>
      <c r="AY73" s="315"/>
      <c r="AZ73" s="315"/>
      <c r="BA73" s="315">
        <v>0</v>
      </c>
      <c r="BB73" s="315"/>
      <c r="BC73" s="318">
        <v>9</v>
      </c>
      <c r="BD73" s="317"/>
      <c r="BE73" s="313">
        <v>2</v>
      </c>
      <c r="BF73" s="316">
        <v>107</v>
      </c>
      <c r="BG73" s="315">
        <v>32343</v>
      </c>
      <c r="BH73" s="315">
        <v>4277</v>
      </c>
      <c r="BI73" s="315">
        <v>11</v>
      </c>
      <c r="BJ73" s="315">
        <v>402</v>
      </c>
      <c r="BK73" s="314">
        <v>37140</v>
      </c>
      <c r="BL73" s="313">
        <v>0</v>
      </c>
      <c r="BM73" s="313"/>
      <c r="BN73" s="313"/>
      <c r="BO73" s="313">
        <v>4</v>
      </c>
      <c r="BP73" s="316"/>
      <c r="BQ73" s="315"/>
      <c r="BR73" s="314"/>
      <c r="BS73" s="313"/>
      <c r="BT73" s="316"/>
      <c r="BU73" s="315"/>
      <c r="BV73" s="314"/>
      <c r="BW73" s="319"/>
      <c r="BX73" s="315"/>
      <c r="BY73" s="315">
        <v>3</v>
      </c>
      <c r="BZ73" s="315">
        <v>3</v>
      </c>
      <c r="CA73" s="315">
        <v>5</v>
      </c>
      <c r="CB73" s="315"/>
      <c r="CC73" s="315">
        <v>4</v>
      </c>
      <c r="CD73" s="315"/>
      <c r="CE73" s="315">
        <v>3</v>
      </c>
      <c r="CF73" s="315">
        <v>1</v>
      </c>
      <c r="CG73" s="315">
        <v>10</v>
      </c>
      <c r="CH73" s="315">
        <v>0</v>
      </c>
      <c r="CI73" s="315"/>
      <c r="CJ73" s="315"/>
      <c r="CK73" s="315"/>
      <c r="CL73" s="315"/>
      <c r="CM73" s="318">
        <v>29</v>
      </c>
      <c r="CN73" s="316">
        <v>0</v>
      </c>
      <c r="CO73" s="315"/>
      <c r="CP73" s="314">
        <v>0</v>
      </c>
      <c r="CQ73" s="313"/>
      <c r="CR73" s="316">
        <v>132</v>
      </c>
      <c r="CS73" s="315">
        <v>6</v>
      </c>
      <c r="CT73" s="315">
        <v>30555</v>
      </c>
      <c r="CU73" s="315">
        <v>66</v>
      </c>
      <c r="CV73" s="315">
        <v>30084</v>
      </c>
      <c r="CW73" s="315">
        <v>7</v>
      </c>
      <c r="CX73" s="315">
        <v>36</v>
      </c>
      <c r="CY73" s="315"/>
      <c r="CZ73" s="315">
        <v>1</v>
      </c>
      <c r="DA73" s="315"/>
      <c r="DB73" s="315">
        <v>4</v>
      </c>
      <c r="DC73" s="314">
        <v>60891</v>
      </c>
      <c r="DD73" s="319">
        <v>445</v>
      </c>
      <c r="DE73" s="315">
        <v>17</v>
      </c>
      <c r="DF73" s="315">
        <v>469</v>
      </c>
      <c r="DG73" s="315">
        <v>80</v>
      </c>
      <c r="DH73" s="315">
        <v>19</v>
      </c>
      <c r="DI73" s="315">
        <v>10</v>
      </c>
      <c r="DJ73" s="315"/>
      <c r="DK73" s="318">
        <v>1040</v>
      </c>
      <c r="DL73" s="317"/>
      <c r="DM73" s="313"/>
      <c r="DN73" s="316"/>
      <c r="DO73" s="315"/>
      <c r="DP73" s="314"/>
      <c r="DQ73" s="313">
        <v>7</v>
      </c>
      <c r="DR73" s="316"/>
      <c r="DS73" s="315"/>
      <c r="DT73" s="314"/>
      <c r="DU73" s="319">
        <v>95</v>
      </c>
      <c r="DV73" s="315"/>
      <c r="DW73" s="318">
        <v>95</v>
      </c>
      <c r="DX73" s="317">
        <v>9</v>
      </c>
      <c r="DY73" s="313"/>
      <c r="DZ73" s="313">
        <v>62</v>
      </c>
      <c r="EA73" s="313"/>
      <c r="EB73" s="313"/>
      <c r="EC73" s="316">
        <v>4</v>
      </c>
      <c r="ED73" s="315">
        <v>5</v>
      </c>
      <c r="EE73" s="315"/>
      <c r="EF73" s="315"/>
      <c r="EG73" s="315"/>
      <c r="EH73" s="314">
        <v>9</v>
      </c>
      <c r="EI73" s="319">
        <v>1483</v>
      </c>
      <c r="EJ73" s="315">
        <v>176</v>
      </c>
      <c r="EK73" s="315">
        <v>70</v>
      </c>
      <c r="EL73" s="315">
        <v>489</v>
      </c>
      <c r="EM73" s="315">
        <v>5866</v>
      </c>
      <c r="EN73" s="315">
        <v>186</v>
      </c>
      <c r="EO73" s="315">
        <v>9</v>
      </c>
      <c r="EP73" s="315">
        <v>475</v>
      </c>
      <c r="EQ73" s="315">
        <v>1</v>
      </c>
      <c r="ER73" s="315">
        <v>11</v>
      </c>
      <c r="ES73" s="315">
        <v>3</v>
      </c>
      <c r="ET73" s="315"/>
      <c r="EU73" s="315"/>
      <c r="EV73" s="318">
        <v>8769</v>
      </c>
      <c r="EW73" s="317"/>
      <c r="EX73" s="313"/>
      <c r="EY73" s="316"/>
      <c r="EZ73" s="315">
        <v>16</v>
      </c>
      <c r="FA73" s="315">
        <v>7</v>
      </c>
      <c r="FB73" s="314">
        <v>23</v>
      </c>
      <c r="FC73" s="319"/>
      <c r="FD73" s="315"/>
      <c r="FE73" s="318"/>
      <c r="FF73" s="317"/>
      <c r="FG73" s="319">
        <v>7</v>
      </c>
      <c r="FH73" s="315">
        <v>1</v>
      </c>
      <c r="FI73" s="315"/>
      <c r="FJ73" s="315"/>
      <c r="FK73" s="318">
        <v>8</v>
      </c>
      <c r="FL73" s="316">
        <v>0</v>
      </c>
      <c r="FM73" s="315"/>
      <c r="FN73" s="314">
        <v>0</v>
      </c>
      <c r="FO73" s="319">
        <v>1</v>
      </c>
      <c r="FP73" s="315"/>
      <c r="FQ73" s="318">
        <v>1</v>
      </c>
      <c r="FR73" s="317">
        <v>11</v>
      </c>
      <c r="FS73" s="313">
        <v>19</v>
      </c>
      <c r="FT73" s="316">
        <v>3</v>
      </c>
      <c r="FU73" s="315">
        <v>21</v>
      </c>
      <c r="FV73" s="315">
        <v>1</v>
      </c>
      <c r="FW73" s="315">
        <v>3</v>
      </c>
      <c r="FX73" s="315"/>
      <c r="FY73" s="314">
        <v>28</v>
      </c>
      <c r="FZ73" s="313"/>
      <c r="GA73" s="316"/>
      <c r="GB73" s="315"/>
      <c r="GC73" s="314"/>
      <c r="GD73" s="313"/>
      <c r="GE73" s="316"/>
      <c r="GF73" s="315"/>
      <c r="GG73" s="315"/>
      <c r="GH73" s="314"/>
      <c r="GI73" s="313">
        <v>13</v>
      </c>
      <c r="GJ73" s="316"/>
      <c r="GK73" s="315">
        <v>1</v>
      </c>
      <c r="GL73" s="315">
        <v>14</v>
      </c>
      <c r="GM73" s="315"/>
      <c r="GN73" s="314">
        <v>15</v>
      </c>
      <c r="GO73" s="313">
        <v>145032</v>
      </c>
      <c r="GP73" s="312">
        <f>145032/44564395</f>
        <v>3.2544366416283671E-3</v>
      </c>
    </row>
    <row r="74" spans="2:198" x14ac:dyDescent="0.2">
      <c r="B74" s="326" t="s">
        <v>53</v>
      </c>
      <c r="C74" s="325">
        <v>35</v>
      </c>
      <c r="D74" s="128"/>
      <c r="E74" s="128"/>
      <c r="F74" s="128"/>
      <c r="G74" s="324">
        <v>35</v>
      </c>
      <c r="H74" s="140"/>
      <c r="I74" s="136">
        <v>3</v>
      </c>
      <c r="J74" s="128"/>
      <c r="K74" s="137">
        <v>3</v>
      </c>
      <c r="L74" s="140"/>
      <c r="M74" s="134">
        <v>242</v>
      </c>
      <c r="N74" s="140">
        <v>59668</v>
      </c>
      <c r="O74" s="128">
        <v>70</v>
      </c>
      <c r="P74" s="128">
        <v>14</v>
      </c>
      <c r="Q74" s="128">
        <v>94</v>
      </c>
      <c r="R74" s="128">
        <v>2</v>
      </c>
      <c r="S74" s="128"/>
      <c r="T74" s="128"/>
      <c r="U74" s="128"/>
      <c r="V74" s="132">
        <v>59848</v>
      </c>
      <c r="W74" s="136">
        <v>1</v>
      </c>
      <c r="X74" s="128">
        <v>2</v>
      </c>
      <c r="Y74" s="137">
        <v>3</v>
      </c>
      <c r="Z74" s="130">
        <v>29</v>
      </c>
      <c r="AA74" s="128"/>
      <c r="AB74" s="128"/>
      <c r="AC74" s="132">
        <v>29</v>
      </c>
      <c r="AD74" s="136">
        <v>119</v>
      </c>
      <c r="AE74" s="128"/>
      <c r="AF74" s="137">
        <v>119</v>
      </c>
      <c r="AG74" s="130">
        <v>92</v>
      </c>
      <c r="AH74" s="128">
        <v>5</v>
      </c>
      <c r="AI74" s="128"/>
      <c r="AJ74" s="128"/>
      <c r="AK74" s="132">
        <v>97</v>
      </c>
      <c r="AL74" s="136"/>
      <c r="AM74" s="128"/>
      <c r="AN74" s="137"/>
      <c r="AO74" s="134"/>
      <c r="AP74" s="134"/>
      <c r="AQ74" s="130"/>
      <c r="AR74" s="128"/>
      <c r="AS74" s="132"/>
      <c r="AT74" s="136">
        <v>4</v>
      </c>
      <c r="AU74" s="128"/>
      <c r="AV74" s="128"/>
      <c r="AW74" s="128"/>
      <c r="AX74" s="128">
        <v>1</v>
      </c>
      <c r="AY74" s="128"/>
      <c r="AZ74" s="128"/>
      <c r="BA74" s="128"/>
      <c r="BB74" s="128"/>
      <c r="BC74" s="137">
        <v>5</v>
      </c>
      <c r="BD74" s="140"/>
      <c r="BE74" s="134">
        <v>1</v>
      </c>
      <c r="BF74" s="130">
        <v>304</v>
      </c>
      <c r="BG74" s="128">
        <v>769</v>
      </c>
      <c r="BH74" s="128">
        <v>62388</v>
      </c>
      <c r="BI74" s="128">
        <v>7</v>
      </c>
      <c r="BJ74" s="128">
        <v>37</v>
      </c>
      <c r="BK74" s="132">
        <v>63505</v>
      </c>
      <c r="BL74" s="134">
        <v>2</v>
      </c>
      <c r="BM74" s="134"/>
      <c r="BN74" s="134"/>
      <c r="BO74" s="134">
        <v>4</v>
      </c>
      <c r="BP74" s="130">
        <v>11</v>
      </c>
      <c r="BQ74" s="128"/>
      <c r="BR74" s="132">
        <v>11</v>
      </c>
      <c r="BS74" s="134"/>
      <c r="BT74" s="130"/>
      <c r="BU74" s="128"/>
      <c r="BV74" s="132"/>
      <c r="BW74" s="136"/>
      <c r="BX74" s="128"/>
      <c r="BY74" s="128"/>
      <c r="BZ74" s="128"/>
      <c r="CA74" s="128"/>
      <c r="CB74" s="128"/>
      <c r="CC74" s="128"/>
      <c r="CD74" s="128"/>
      <c r="CE74" s="128"/>
      <c r="CF74" s="128"/>
      <c r="CG74" s="128"/>
      <c r="CH74" s="128"/>
      <c r="CI74" s="128"/>
      <c r="CJ74" s="128"/>
      <c r="CK74" s="128"/>
      <c r="CL74" s="128"/>
      <c r="CM74" s="137"/>
      <c r="CN74" s="130">
        <v>4</v>
      </c>
      <c r="CO74" s="128"/>
      <c r="CP74" s="132">
        <v>4</v>
      </c>
      <c r="CQ74" s="134"/>
      <c r="CR74" s="130">
        <v>55</v>
      </c>
      <c r="CS74" s="128">
        <v>2</v>
      </c>
      <c r="CT74" s="128">
        <v>36197</v>
      </c>
      <c r="CU74" s="128">
        <v>43</v>
      </c>
      <c r="CV74" s="128">
        <v>32046</v>
      </c>
      <c r="CW74" s="128">
        <v>0</v>
      </c>
      <c r="CX74" s="128">
        <v>1</v>
      </c>
      <c r="CY74" s="128">
        <v>4</v>
      </c>
      <c r="CZ74" s="128">
        <v>1</v>
      </c>
      <c r="DA74" s="128"/>
      <c r="DB74" s="128"/>
      <c r="DC74" s="132">
        <v>68349</v>
      </c>
      <c r="DD74" s="136">
        <v>1684</v>
      </c>
      <c r="DE74" s="128">
        <v>2</v>
      </c>
      <c r="DF74" s="128">
        <v>16</v>
      </c>
      <c r="DG74" s="128">
        <v>17</v>
      </c>
      <c r="DH74" s="128">
        <v>1</v>
      </c>
      <c r="DI74" s="128">
        <v>5</v>
      </c>
      <c r="DJ74" s="128"/>
      <c r="DK74" s="137">
        <v>1725</v>
      </c>
      <c r="DL74" s="140"/>
      <c r="DM74" s="134"/>
      <c r="DN74" s="130"/>
      <c r="DO74" s="128"/>
      <c r="DP74" s="132"/>
      <c r="DQ74" s="134">
        <v>56</v>
      </c>
      <c r="DR74" s="130"/>
      <c r="DS74" s="128"/>
      <c r="DT74" s="132"/>
      <c r="DU74" s="136"/>
      <c r="DV74" s="128"/>
      <c r="DW74" s="137"/>
      <c r="DX74" s="140">
        <v>179</v>
      </c>
      <c r="DY74" s="134">
        <v>2</v>
      </c>
      <c r="DZ74" s="134">
        <v>53</v>
      </c>
      <c r="EA74" s="134">
        <v>1</v>
      </c>
      <c r="EB74" s="134"/>
      <c r="EC74" s="130">
        <v>7</v>
      </c>
      <c r="ED74" s="128">
        <v>3</v>
      </c>
      <c r="EE74" s="128"/>
      <c r="EF74" s="128"/>
      <c r="EG74" s="128"/>
      <c r="EH74" s="132">
        <v>10</v>
      </c>
      <c r="EI74" s="136">
        <v>395</v>
      </c>
      <c r="EJ74" s="128">
        <v>270</v>
      </c>
      <c r="EK74" s="128">
        <v>28</v>
      </c>
      <c r="EL74" s="128">
        <v>217</v>
      </c>
      <c r="EM74" s="128">
        <v>5113</v>
      </c>
      <c r="EN74" s="128">
        <v>150</v>
      </c>
      <c r="EO74" s="128">
        <v>2</v>
      </c>
      <c r="EP74" s="128">
        <v>185</v>
      </c>
      <c r="EQ74" s="128"/>
      <c r="ER74" s="128">
        <v>5</v>
      </c>
      <c r="ES74" s="128"/>
      <c r="ET74" s="128"/>
      <c r="EU74" s="128"/>
      <c r="EV74" s="137">
        <v>6365</v>
      </c>
      <c r="EW74" s="140"/>
      <c r="EX74" s="134"/>
      <c r="EY74" s="130">
        <v>3</v>
      </c>
      <c r="EZ74" s="128"/>
      <c r="FA74" s="128"/>
      <c r="FB74" s="132">
        <v>3</v>
      </c>
      <c r="FC74" s="136"/>
      <c r="FD74" s="128"/>
      <c r="FE74" s="137"/>
      <c r="FF74" s="140"/>
      <c r="FG74" s="136"/>
      <c r="FH74" s="128">
        <v>14</v>
      </c>
      <c r="FI74" s="128"/>
      <c r="FJ74" s="128"/>
      <c r="FK74" s="137">
        <v>14</v>
      </c>
      <c r="FL74" s="130"/>
      <c r="FM74" s="128"/>
      <c r="FN74" s="132"/>
      <c r="FO74" s="136"/>
      <c r="FP74" s="128"/>
      <c r="FQ74" s="137"/>
      <c r="FR74" s="140"/>
      <c r="FS74" s="134">
        <v>2</v>
      </c>
      <c r="FT74" s="130">
        <v>0</v>
      </c>
      <c r="FU74" s="128">
        <v>1</v>
      </c>
      <c r="FV74" s="128">
        <v>1</v>
      </c>
      <c r="FW74" s="128"/>
      <c r="FX74" s="128"/>
      <c r="FY74" s="132">
        <v>2</v>
      </c>
      <c r="FZ74" s="134"/>
      <c r="GA74" s="130">
        <v>20</v>
      </c>
      <c r="GB74" s="128"/>
      <c r="GC74" s="132">
        <v>20</v>
      </c>
      <c r="GD74" s="134"/>
      <c r="GE74" s="130"/>
      <c r="GF74" s="128"/>
      <c r="GG74" s="128"/>
      <c r="GH74" s="132"/>
      <c r="GI74" s="134">
        <v>4</v>
      </c>
      <c r="GJ74" s="130">
        <v>1</v>
      </c>
      <c r="GK74" s="128">
        <v>3</v>
      </c>
      <c r="GL74" s="128">
        <v>1</v>
      </c>
      <c r="GM74" s="128"/>
      <c r="GN74" s="132">
        <v>5</v>
      </c>
      <c r="GO74" s="134">
        <v>200698</v>
      </c>
      <c r="GP74" s="323">
        <f>200698/44564395</f>
        <v>4.5035504240548982E-3</v>
      </c>
    </row>
    <row r="75" spans="2:198" x14ac:dyDescent="0.2">
      <c r="B75" s="326" t="s">
        <v>58</v>
      </c>
      <c r="C75" s="325">
        <v>188</v>
      </c>
      <c r="D75" s="128">
        <v>3</v>
      </c>
      <c r="E75" s="128">
        <v>18</v>
      </c>
      <c r="F75" s="128">
        <v>1</v>
      </c>
      <c r="G75" s="324">
        <v>210</v>
      </c>
      <c r="H75" s="140"/>
      <c r="I75" s="136">
        <v>43</v>
      </c>
      <c r="J75" s="128"/>
      <c r="K75" s="137">
        <v>43</v>
      </c>
      <c r="L75" s="140"/>
      <c r="M75" s="134">
        <v>1381</v>
      </c>
      <c r="N75" s="140">
        <v>64486</v>
      </c>
      <c r="O75" s="128">
        <v>51</v>
      </c>
      <c r="P75" s="128">
        <v>212</v>
      </c>
      <c r="Q75" s="128">
        <v>90</v>
      </c>
      <c r="R75" s="128">
        <v>32</v>
      </c>
      <c r="S75" s="128"/>
      <c r="T75" s="128">
        <v>0</v>
      </c>
      <c r="U75" s="128">
        <v>2</v>
      </c>
      <c r="V75" s="132">
        <v>64873</v>
      </c>
      <c r="W75" s="136">
        <v>1647</v>
      </c>
      <c r="X75" s="128">
        <v>139</v>
      </c>
      <c r="Y75" s="137">
        <v>1786</v>
      </c>
      <c r="Z75" s="130">
        <v>1394</v>
      </c>
      <c r="AA75" s="128"/>
      <c r="AB75" s="128">
        <v>2</v>
      </c>
      <c r="AC75" s="132">
        <v>1396</v>
      </c>
      <c r="AD75" s="136">
        <v>3783</v>
      </c>
      <c r="AE75" s="128">
        <v>8</v>
      </c>
      <c r="AF75" s="137">
        <v>3791</v>
      </c>
      <c r="AG75" s="130">
        <v>1330</v>
      </c>
      <c r="AH75" s="128">
        <v>10</v>
      </c>
      <c r="AI75" s="128">
        <v>12</v>
      </c>
      <c r="AJ75" s="128"/>
      <c r="AK75" s="132">
        <v>1352</v>
      </c>
      <c r="AL75" s="136">
        <v>1</v>
      </c>
      <c r="AM75" s="128"/>
      <c r="AN75" s="137">
        <v>1</v>
      </c>
      <c r="AO75" s="134"/>
      <c r="AP75" s="134"/>
      <c r="AQ75" s="130">
        <v>1</v>
      </c>
      <c r="AR75" s="128">
        <v>6</v>
      </c>
      <c r="AS75" s="132">
        <v>7</v>
      </c>
      <c r="AT75" s="136">
        <v>8</v>
      </c>
      <c r="AU75" s="128">
        <v>7</v>
      </c>
      <c r="AV75" s="128">
        <v>44</v>
      </c>
      <c r="AW75" s="128">
        <v>6</v>
      </c>
      <c r="AX75" s="128"/>
      <c r="AY75" s="128"/>
      <c r="AZ75" s="128">
        <v>1</v>
      </c>
      <c r="BA75" s="128"/>
      <c r="BB75" s="128"/>
      <c r="BC75" s="137">
        <v>66</v>
      </c>
      <c r="BD75" s="140"/>
      <c r="BE75" s="134">
        <v>46</v>
      </c>
      <c r="BF75" s="130">
        <v>539485</v>
      </c>
      <c r="BG75" s="128">
        <v>64962</v>
      </c>
      <c r="BH75" s="128">
        <v>1654634</v>
      </c>
      <c r="BI75" s="128">
        <v>5271</v>
      </c>
      <c r="BJ75" s="128">
        <v>22994</v>
      </c>
      <c r="BK75" s="132">
        <v>2287346</v>
      </c>
      <c r="BL75" s="134">
        <v>34</v>
      </c>
      <c r="BM75" s="134"/>
      <c r="BN75" s="134"/>
      <c r="BO75" s="134">
        <v>224</v>
      </c>
      <c r="BP75" s="130">
        <v>156</v>
      </c>
      <c r="BQ75" s="128"/>
      <c r="BR75" s="132">
        <v>156</v>
      </c>
      <c r="BS75" s="134"/>
      <c r="BT75" s="130">
        <v>6</v>
      </c>
      <c r="BU75" s="128"/>
      <c r="BV75" s="132">
        <v>6</v>
      </c>
      <c r="BW75" s="136">
        <v>12</v>
      </c>
      <c r="BX75" s="128">
        <v>0</v>
      </c>
      <c r="BY75" s="128">
        <v>5</v>
      </c>
      <c r="BZ75" s="128">
        <v>3</v>
      </c>
      <c r="CA75" s="128">
        <v>1</v>
      </c>
      <c r="CB75" s="128">
        <v>8</v>
      </c>
      <c r="CC75" s="128">
        <v>5</v>
      </c>
      <c r="CD75" s="128"/>
      <c r="CE75" s="128">
        <v>6</v>
      </c>
      <c r="CF75" s="128">
        <v>3</v>
      </c>
      <c r="CG75" s="128">
        <v>2</v>
      </c>
      <c r="CH75" s="128">
        <v>1</v>
      </c>
      <c r="CI75" s="128"/>
      <c r="CJ75" s="128">
        <v>1</v>
      </c>
      <c r="CK75" s="128"/>
      <c r="CL75" s="128">
        <v>3</v>
      </c>
      <c r="CM75" s="137">
        <v>50</v>
      </c>
      <c r="CN75" s="130">
        <v>6</v>
      </c>
      <c r="CO75" s="128"/>
      <c r="CP75" s="132">
        <v>6</v>
      </c>
      <c r="CQ75" s="134"/>
      <c r="CR75" s="130">
        <v>144</v>
      </c>
      <c r="CS75" s="128">
        <v>21</v>
      </c>
      <c r="CT75" s="128">
        <v>55512</v>
      </c>
      <c r="CU75" s="128">
        <v>358</v>
      </c>
      <c r="CV75" s="128">
        <v>44364</v>
      </c>
      <c r="CW75" s="128">
        <v>119</v>
      </c>
      <c r="CX75" s="128">
        <v>200</v>
      </c>
      <c r="CY75" s="128">
        <v>26</v>
      </c>
      <c r="CZ75" s="128">
        <v>24</v>
      </c>
      <c r="DA75" s="128">
        <v>33</v>
      </c>
      <c r="DB75" s="128">
        <v>5</v>
      </c>
      <c r="DC75" s="132">
        <v>100806</v>
      </c>
      <c r="DD75" s="136">
        <v>13744</v>
      </c>
      <c r="DE75" s="128">
        <v>54</v>
      </c>
      <c r="DF75" s="128">
        <v>1502</v>
      </c>
      <c r="DG75" s="128">
        <v>217</v>
      </c>
      <c r="DH75" s="128">
        <v>10</v>
      </c>
      <c r="DI75" s="128">
        <v>62</v>
      </c>
      <c r="DJ75" s="128"/>
      <c r="DK75" s="137">
        <v>15589</v>
      </c>
      <c r="DL75" s="140"/>
      <c r="DM75" s="134"/>
      <c r="DN75" s="130"/>
      <c r="DO75" s="128"/>
      <c r="DP75" s="132"/>
      <c r="DQ75" s="134">
        <v>245</v>
      </c>
      <c r="DR75" s="130"/>
      <c r="DS75" s="128"/>
      <c r="DT75" s="132"/>
      <c r="DU75" s="136">
        <v>370</v>
      </c>
      <c r="DV75" s="128"/>
      <c r="DW75" s="137">
        <v>370</v>
      </c>
      <c r="DX75" s="140">
        <v>95</v>
      </c>
      <c r="DY75" s="134">
        <v>18</v>
      </c>
      <c r="DZ75" s="134">
        <v>369153</v>
      </c>
      <c r="EA75" s="134">
        <v>6</v>
      </c>
      <c r="EB75" s="134"/>
      <c r="EC75" s="130">
        <v>297</v>
      </c>
      <c r="ED75" s="128">
        <v>68</v>
      </c>
      <c r="EE75" s="128"/>
      <c r="EF75" s="128"/>
      <c r="EG75" s="128"/>
      <c r="EH75" s="132">
        <v>365</v>
      </c>
      <c r="EI75" s="136">
        <v>2402</v>
      </c>
      <c r="EJ75" s="128">
        <v>3295</v>
      </c>
      <c r="EK75" s="128">
        <v>323</v>
      </c>
      <c r="EL75" s="128">
        <v>1589</v>
      </c>
      <c r="EM75" s="128">
        <v>17003</v>
      </c>
      <c r="EN75" s="128">
        <v>230</v>
      </c>
      <c r="EO75" s="128">
        <v>29</v>
      </c>
      <c r="EP75" s="128">
        <v>1244</v>
      </c>
      <c r="EQ75" s="128">
        <v>19</v>
      </c>
      <c r="ER75" s="128">
        <v>6</v>
      </c>
      <c r="ES75" s="128">
        <v>28</v>
      </c>
      <c r="ET75" s="128"/>
      <c r="EU75" s="128"/>
      <c r="EV75" s="137">
        <v>26168</v>
      </c>
      <c r="EW75" s="140"/>
      <c r="EX75" s="134">
        <v>6380</v>
      </c>
      <c r="EY75" s="130">
        <v>5</v>
      </c>
      <c r="EZ75" s="128"/>
      <c r="FA75" s="128">
        <v>1</v>
      </c>
      <c r="FB75" s="132">
        <v>6</v>
      </c>
      <c r="FC75" s="136"/>
      <c r="FD75" s="128"/>
      <c r="FE75" s="137"/>
      <c r="FF75" s="140">
        <v>15</v>
      </c>
      <c r="FG75" s="136">
        <v>32</v>
      </c>
      <c r="FH75" s="128">
        <v>32</v>
      </c>
      <c r="FI75" s="128">
        <v>2</v>
      </c>
      <c r="FJ75" s="128">
        <v>16</v>
      </c>
      <c r="FK75" s="137">
        <v>82</v>
      </c>
      <c r="FL75" s="130"/>
      <c r="FM75" s="128"/>
      <c r="FN75" s="132"/>
      <c r="FO75" s="136">
        <v>4</v>
      </c>
      <c r="FP75" s="128"/>
      <c r="FQ75" s="137">
        <v>4</v>
      </c>
      <c r="FR75" s="140"/>
      <c r="FS75" s="134">
        <v>158</v>
      </c>
      <c r="FT75" s="130">
        <v>4</v>
      </c>
      <c r="FU75" s="128">
        <v>10</v>
      </c>
      <c r="FV75" s="128">
        <v>2</v>
      </c>
      <c r="FW75" s="128">
        <v>3</v>
      </c>
      <c r="FX75" s="128"/>
      <c r="FY75" s="132">
        <v>19</v>
      </c>
      <c r="FZ75" s="134"/>
      <c r="GA75" s="130">
        <v>25</v>
      </c>
      <c r="GB75" s="128">
        <v>5</v>
      </c>
      <c r="GC75" s="132">
        <v>30</v>
      </c>
      <c r="GD75" s="134">
        <v>0</v>
      </c>
      <c r="GE75" s="130">
        <v>2</v>
      </c>
      <c r="GF75" s="128"/>
      <c r="GG75" s="128"/>
      <c r="GH75" s="132">
        <v>2</v>
      </c>
      <c r="GI75" s="134">
        <v>86</v>
      </c>
      <c r="GJ75" s="130">
        <v>19</v>
      </c>
      <c r="GK75" s="128">
        <v>13</v>
      </c>
      <c r="GL75" s="128">
        <v>109</v>
      </c>
      <c r="GM75" s="128"/>
      <c r="GN75" s="132">
        <v>141</v>
      </c>
      <c r="GO75" s="134">
        <v>2882512</v>
      </c>
      <c r="GP75" s="323">
        <f>2882512/44564395</f>
        <v>6.4681950691802284E-2</v>
      </c>
    </row>
    <row r="76" spans="2:198" x14ac:dyDescent="0.2">
      <c r="B76" s="326" t="s">
        <v>81</v>
      </c>
      <c r="C76" s="325">
        <v>14</v>
      </c>
      <c r="D76" s="128"/>
      <c r="E76" s="128"/>
      <c r="F76" s="128"/>
      <c r="G76" s="324">
        <v>14</v>
      </c>
      <c r="H76" s="140"/>
      <c r="I76" s="136">
        <v>2</v>
      </c>
      <c r="J76" s="128"/>
      <c r="K76" s="137">
        <v>2</v>
      </c>
      <c r="L76" s="140"/>
      <c r="M76" s="134">
        <v>68</v>
      </c>
      <c r="N76" s="140">
        <v>76246</v>
      </c>
      <c r="O76" s="128">
        <v>1547</v>
      </c>
      <c r="P76" s="128">
        <v>153</v>
      </c>
      <c r="Q76" s="128">
        <v>1</v>
      </c>
      <c r="R76" s="128">
        <v>2</v>
      </c>
      <c r="S76" s="128"/>
      <c r="T76" s="128"/>
      <c r="U76" s="128"/>
      <c r="V76" s="132">
        <v>77949</v>
      </c>
      <c r="W76" s="136">
        <v>5</v>
      </c>
      <c r="X76" s="128">
        <v>1</v>
      </c>
      <c r="Y76" s="137">
        <v>6</v>
      </c>
      <c r="Z76" s="130">
        <v>234</v>
      </c>
      <c r="AA76" s="128"/>
      <c r="AB76" s="128"/>
      <c r="AC76" s="132">
        <v>234</v>
      </c>
      <c r="AD76" s="136">
        <v>108</v>
      </c>
      <c r="AE76" s="128"/>
      <c r="AF76" s="137">
        <v>108</v>
      </c>
      <c r="AG76" s="130">
        <v>5</v>
      </c>
      <c r="AH76" s="128"/>
      <c r="AI76" s="128"/>
      <c r="AJ76" s="128"/>
      <c r="AK76" s="132">
        <v>5</v>
      </c>
      <c r="AL76" s="136"/>
      <c r="AM76" s="128"/>
      <c r="AN76" s="137"/>
      <c r="AO76" s="134"/>
      <c r="AP76" s="134"/>
      <c r="AQ76" s="130"/>
      <c r="AR76" s="128">
        <v>1</v>
      </c>
      <c r="AS76" s="132">
        <v>1</v>
      </c>
      <c r="AT76" s="136">
        <v>1</v>
      </c>
      <c r="AU76" s="128"/>
      <c r="AV76" s="128"/>
      <c r="AW76" s="128"/>
      <c r="AX76" s="128"/>
      <c r="AY76" s="128"/>
      <c r="AZ76" s="128"/>
      <c r="BA76" s="128"/>
      <c r="BB76" s="128"/>
      <c r="BC76" s="137">
        <v>1</v>
      </c>
      <c r="BD76" s="140"/>
      <c r="BE76" s="134">
        <v>3</v>
      </c>
      <c r="BF76" s="130">
        <v>51</v>
      </c>
      <c r="BG76" s="128">
        <v>70</v>
      </c>
      <c r="BH76" s="128">
        <v>251</v>
      </c>
      <c r="BI76" s="128">
        <v>5</v>
      </c>
      <c r="BJ76" s="128">
        <v>10</v>
      </c>
      <c r="BK76" s="132">
        <v>387</v>
      </c>
      <c r="BL76" s="134"/>
      <c r="BM76" s="134"/>
      <c r="BN76" s="134">
        <v>1</v>
      </c>
      <c r="BO76" s="134"/>
      <c r="BP76" s="130">
        <v>1</v>
      </c>
      <c r="BQ76" s="128"/>
      <c r="BR76" s="132">
        <v>1</v>
      </c>
      <c r="BS76" s="134"/>
      <c r="BT76" s="130"/>
      <c r="BU76" s="128"/>
      <c r="BV76" s="132"/>
      <c r="BW76" s="136"/>
      <c r="BX76" s="128"/>
      <c r="BY76" s="128"/>
      <c r="BZ76" s="128"/>
      <c r="CA76" s="128"/>
      <c r="CB76" s="128"/>
      <c r="CC76" s="128"/>
      <c r="CD76" s="128"/>
      <c r="CE76" s="128"/>
      <c r="CF76" s="128"/>
      <c r="CG76" s="128">
        <v>1</v>
      </c>
      <c r="CH76" s="128"/>
      <c r="CI76" s="128"/>
      <c r="CJ76" s="128">
        <v>2</v>
      </c>
      <c r="CK76" s="128">
        <v>0</v>
      </c>
      <c r="CL76" s="128"/>
      <c r="CM76" s="137">
        <v>3</v>
      </c>
      <c r="CN76" s="130"/>
      <c r="CO76" s="128"/>
      <c r="CP76" s="132"/>
      <c r="CQ76" s="134"/>
      <c r="CR76" s="130">
        <v>26</v>
      </c>
      <c r="CS76" s="128">
        <v>13</v>
      </c>
      <c r="CT76" s="128">
        <v>10670</v>
      </c>
      <c r="CU76" s="128">
        <v>41</v>
      </c>
      <c r="CV76" s="128">
        <v>982</v>
      </c>
      <c r="CW76" s="128">
        <v>15</v>
      </c>
      <c r="CX76" s="128">
        <v>19</v>
      </c>
      <c r="CY76" s="128">
        <v>6</v>
      </c>
      <c r="CZ76" s="128">
        <v>2</v>
      </c>
      <c r="DA76" s="128">
        <v>1</v>
      </c>
      <c r="DB76" s="128"/>
      <c r="DC76" s="132">
        <v>11775</v>
      </c>
      <c r="DD76" s="136">
        <v>270</v>
      </c>
      <c r="DE76" s="128">
        <v>7</v>
      </c>
      <c r="DF76" s="128">
        <v>8</v>
      </c>
      <c r="DG76" s="128">
        <v>17</v>
      </c>
      <c r="DH76" s="128">
        <v>2</v>
      </c>
      <c r="DI76" s="128">
        <v>1</v>
      </c>
      <c r="DJ76" s="128"/>
      <c r="DK76" s="137">
        <v>305</v>
      </c>
      <c r="DL76" s="140"/>
      <c r="DM76" s="134"/>
      <c r="DN76" s="130"/>
      <c r="DO76" s="128"/>
      <c r="DP76" s="132"/>
      <c r="DQ76" s="134">
        <v>15</v>
      </c>
      <c r="DR76" s="130"/>
      <c r="DS76" s="128"/>
      <c r="DT76" s="132"/>
      <c r="DU76" s="136">
        <v>7</v>
      </c>
      <c r="DV76" s="128"/>
      <c r="DW76" s="137">
        <v>7</v>
      </c>
      <c r="DX76" s="140">
        <v>4</v>
      </c>
      <c r="DY76" s="134"/>
      <c r="DZ76" s="134">
        <v>245</v>
      </c>
      <c r="EA76" s="134">
        <v>1</v>
      </c>
      <c r="EB76" s="134"/>
      <c r="EC76" s="130">
        <v>9</v>
      </c>
      <c r="ED76" s="128">
        <v>8</v>
      </c>
      <c r="EE76" s="128"/>
      <c r="EF76" s="128"/>
      <c r="EG76" s="128"/>
      <c r="EH76" s="132">
        <v>17</v>
      </c>
      <c r="EI76" s="136">
        <v>202</v>
      </c>
      <c r="EJ76" s="128">
        <v>358</v>
      </c>
      <c r="EK76" s="128">
        <v>44</v>
      </c>
      <c r="EL76" s="128">
        <v>335</v>
      </c>
      <c r="EM76" s="128">
        <v>919</v>
      </c>
      <c r="EN76" s="128">
        <v>15</v>
      </c>
      <c r="EO76" s="128">
        <v>1</v>
      </c>
      <c r="EP76" s="128">
        <v>110</v>
      </c>
      <c r="EQ76" s="128">
        <v>8</v>
      </c>
      <c r="ER76" s="128">
        <v>3</v>
      </c>
      <c r="ES76" s="128">
        <v>10</v>
      </c>
      <c r="ET76" s="128"/>
      <c r="EU76" s="128"/>
      <c r="EV76" s="137">
        <v>2005</v>
      </c>
      <c r="EW76" s="140"/>
      <c r="EX76" s="134">
        <v>1</v>
      </c>
      <c r="EY76" s="130"/>
      <c r="EZ76" s="128"/>
      <c r="FA76" s="128"/>
      <c r="FB76" s="132"/>
      <c r="FC76" s="136"/>
      <c r="FD76" s="128"/>
      <c r="FE76" s="137"/>
      <c r="FF76" s="140"/>
      <c r="FG76" s="136"/>
      <c r="FH76" s="128">
        <v>2</v>
      </c>
      <c r="FI76" s="128">
        <v>1</v>
      </c>
      <c r="FJ76" s="128"/>
      <c r="FK76" s="137">
        <v>3</v>
      </c>
      <c r="FL76" s="130"/>
      <c r="FM76" s="128"/>
      <c r="FN76" s="132"/>
      <c r="FO76" s="136">
        <v>11</v>
      </c>
      <c r="FP76" s="128"/>
      <c r="FQ76" s="137">
        <v>11</v>
      </c>
      <c r="FR76" s="140"/>
      <c r="FS76" s="134">
        <v>1</v>
      </c>
      <c r="FT76" s="130"/>
      <c r="FU76" s="128">
        <v>1</v>
      </c>
      <c r="FV76" s="128">
        <v>1</v>
      </c>
      <c r="FW76" s="128">
        <v>2</v>
      </c>
      <c r="FX76" s="128"/>
      <c r="FY76" s="132">
        <v>4</v>
      </c>
      <c r="FZ76" s="134"/>
      <c r="GA76" s="130">
        <v>1</v>
      </c>
      <c r="GB76" s="128"/>
      <c r="GC76" s="132">
        <v>1</v>
      </c>
      <c r="GD76" s="134"/>
      <c r="GE76" s="130">
        <v>3</v>
      </c>
      <c r="GF76" s="128"/>
      <c r="GG76" s="128"/>
      <c r="GH76" s="132">
        <v>3</v>
      </c>
      <c r="GI76" s="134">
        <v>26</v>
      </c>
      <c r="GJ76" s="130">
        <v>2</v>
      </c>
      <c r="GK76" s="128"/>
      <c r="GL76" s="128"/>
      <c r="GM76" s="128"/>
      <c r="GN76" s="132">
        <v>2</v>
      </c>
      <c r="GO76" s="134">
        <v>93209</v>
      </c>
      <c r="GP76" s="323">
        <f>93209/44564395</f>
        <v>2.0915576212803965E-3</v>
      </c>
    </row>
    <row r="77" spans="2:198" x14ac:dyDescent="0.2">
      <c r="B77" s="326" t="s">
        <v>106</v>
      </c>
      <c r="C77" s="325">
        <v>124</v>
      </c>
      <c r="D77" s="128"/>
      <c r="E77" s="128">
        <v>0</v>
      </c>
      <c r="F77" s="128">
        <v>1</v>
      </c>
      <c r="G77" s="324">
        <v>125</v>
      </c>
      <c r="H77" s="140"/>
      <c r="I77" s="136"/>
      <c r="J77" s="128"/>
      <c r="K77" s="137"/>
      <c r="L77" s="140"/>
      <c r="M77" s="134">
        <v>150</v>
      </c>
      <c r="N77" s="140">
        <v>788</v>
      </c>
      <c r="O77" s="128"/>
      <c r="P77" s="128">
        <v>39</v>
      </c>
      <c r="Q77" s="128">
        <v>7</v>
      </c>
      <c r="R77" s="128"/>
      <c r="S77" s="128">
        <v>1</v>
      </c>
      <c r="T77" s="128"/>
      <c r="U77" s="128"/>
      <c r="V77" s="132">
        <v>835</v>
      </c>
      <c r="W77" s="136">
        <v>6</v>
      </c>
      <c r="X77" s="128">
        <v>1</v>
      </c>
      <c r="Y77" s="137">
        <v>7</v>
      </c>
      <c r="Z77" s="130">
        <v>80</v>
      </c>
      <c r="AA77" s="128"/>
      <c r="AB77" s="128"/>
      <c r="AC77" s="132">
        <v>80</v>
      </c>
      <c r="AD77" s="136">
        <v>2240</v>
      </c>
      <c r="AE77" s="128">
        <v>1</v>
      </c>
      <c r="AF77" s="137">
        <v>2241</v>
      </c>
      <c r="AG77" s="130">
        <v>38</v>
      </c>
      <c r="AH77" s="128"/>
      <c r="AI77" s="128"/>
      <c r="AJ77" s="128"/>
      <c r="AK77" s="132">
        <v>38</v>
      </c>
      <c r="AL77" s="136"/>
      <c r="AM77" s="128"/>
      <c r="AN77" s="137"/>
      <c r="AO77" s="134"/>
      <c r="AP77" s="134"/>
      <c r="AQ77" s="130"/>
      <c r="AR77" s="128"/>
      <c r="AS77" s="132"/>
      <c r="AT77" s="136">
        <v>2</v>
      </c>
      <c r="AU77" s="128"/>
      <c r="AV77" s="128"/>
      <c r="AW77" s="128"/>
      <c r="AX77" s="128"/>
      <c r="AY77" s="128"/>
      <c r="AZ77" s="128"/>
      <c r="BA77" s="128"/>
      <c r="BB77" s="128"/>
      <c r="BC77" s="137">
        <v>2</v>
      </c>
      <c r="BD77" s="140"/>
      <c r="BE77" s="134">
        <v>2</v>
      </c>
      <c r="BF77" s="130">
        <v>19</v>
      </c>
      <c r="BG77" s="128">
        <v>532</v>
      </c>
      <c r="BH77" s="128">
        <v>242</v>
      </c>
      <c r="BI77" s="128">
        <v>6</v>
      </c>
      <c r="BJ77" s="128">
        <v>15</v>
      </c>
      <c r="BK77" s="132">
        <v>814</v>
      </c>
      <c r="BL77" s="134">
        <v>1</v>
      </c>
      <c r="BM77" s="134"/>
      <c r="BN77" s="134"/>
      <c r="BO77" s="134"/>
      <c r="BP77" s="130">
        <v>52</v>
      </c>
      <c r="BQ77" s="128"/>
      <c r="BR77" s="132">
        <v>52</v>
      </c>
      <c r="BS77" s="134"/>
      <c r="BT77" s="130"/>
      <c r="BU77" s="128"/>
      <c r="BV77" s="132"/>
      <c r="BW77" s="136">
        <v>28</v>
      </c>
      <c r="BX77" s="128">
        <v>3</v>
      </c>
      <c r="BY77" s="128"/>
      <c r="BZ77" s="128"/>
      <c r="CA77" s="128"/>
      <c r="CB77" s="128"/>
      <c r="CC77" s="128"/>
      <c r="CD77" s="128"/>
      <c r="CE77" s="128"/>
      <c r="CF77" s="128"/>
      <c r="CG77" s="128">
        <v>0</v>
      </c>
      <c r="CH77" s="128"/>
      <c r="CI77" s="128"/>
      <c r="CJ77" s="128"/>
      <c r="CK77" s="128"/>
      <c r="CL77" s="128"/>
      <c r="CM77" s="137">
        <v>31</v>
      </c>
      <c r="CN77" s="130"/>
      <c r="CO77" s="128"/>
      <c r="CP77" s="132"/>
      <c r="CQ77" s="134"/>
      <c r="CR77" s="130">
        <v>41</v>
      </c>
      <c r="CS77" s="128"/>
      <c r="CT77" s="128">
        <v>3182</v>
      </c>
      <c r="CU77" s="128">
        <v>60</v>
      </c>
      <c r="CV77" s="128">
        <v>2439</v>
      </c>
      <c r="CW77" s="128">
        <v>1</v>
      </c>
      <c r="CX77" s="128">
        <v>1</v>
      </c>
      <c r="CY77" s="128">
        <v>0</v>
      </c>
      <c r="CZ77" s="128">
        <v>5</v>
      </c>
      <c r="DA77" s="128">
        <v>0</v>
      </c>
      <c r="DB77" s="128"/>
      <c r="DC77" s="132">
        <v>5729</v>
      </c>
      <c r="DD77" s="136">
        <v>272</v>
      </c>
      <c r="DE77" s="128">
        <v>2</v>
      </c>
      <c r="DF77" s="128">
        <v>71</v>
      </c>
      <c r="DG77" s="128">
        <v>21</v>
      </c>
      <c r="DH77" s="128">
        <v>0</v>
      </c>
      <c r="DI77" s="128">
        <v>2</v>
      </c>
      <c r="DJ77" s="128"/>
      <c r="DK77" s="137">
        <v>368</v>
      </c>
      <c r="DL77" s="140"/>
      <c r="DM77" s="134"/>
      <c r="DN77" s="130"/>
      <c r="DO77" s="128"/>
      <c r="DP77" s="132"/>
      <c r="DQ77" s="134">
        <v>92</v>
      </c>
      <c r="DR77" s="130"/>
      <c r="DS77" s="128"/>
      <c r="DT77" s="132"/>
      <c r="DU77" s="136">
        <v>1</v>
      </c>
      <c r="DV77" s="128"/>
      <c r="DW77" s="137">
        <v>1</v>
      </c>
      <c r="DX77" s="140">
        <v>1</v>
      </c>
      <c r="DY77" s="134"/>
      <c r="DZ77" s="134">
        <v>48</v>
      </c>
      <c r="EA77" s="134"/>
      <c r="EB77" s="134"/>
      <c r="EC77" s="130">
        <v>152</v>
      </c>
      <c r="ED77" s="128">
        <v>5</v>
      </c>
      <c r="EE77" s="128">
        <v>1</v>
      </c>
      <c r="EF77" s="128"/>
      <c r="EG77" s="128"/>
      <c r="EH77" s="132">
        <v>158</v>
      </c>
      <c r="EI77" s="136">
        <v>61</v>
      </c>
      <c r="EJ77" s="128">
        <v>53</v>
      </c>
      <c r="EK77" s="128">
        <v>27</v>
      </c>
      <c r="EL77" s="128">
        <v>52</v>
      </c>
      <c r="EM77" s="128">
        <v>66</v>
      </c>
      <c r="EN77" s="128">
        <v>8</v>
      </c>
      <c r="EO77" s="128">
        <v>2</v>
      </c>
      <c r="EP77" s="128">
        <v>182</v>
      </c>
      <c r="EQ77" s="128">
        <v>2</v>
      </c>
      <c r="ER77" s="128">
        <v>2</v>
      </c>
      <c r="ES77" s="128">
        <v>4</v>
      </c>
      <c r="ET77" s="128"/>
      <c r="EU77" s="128"/>
      <c r="EV77" s="137">
        <v>459</v>
      </c>
      <c r="EW77" s="140"/>
      <c r="EX77" s="134">
        <v>0</v>
      </c>
      <c r="EY77" s="130"/>
      <c r="EZ77" s="128"/>
      <c r="FA77" s="128"/>
      <c r="FB77" s="132"/>
      <c r="FC77" s="136"/>
      <c r="FD77" s="128"/>
      <c r="FE77" s="137"/>
      <c r="FF77" s="140"/>
      <c r="FG77" s="136"/>
      <c r="FH77" s="128">
        <v>0</v>
      </c>
      <c r="FI77" s="128"/>
      <c r="FJ77" s="128"/>
      <c r="FK77" s="137">
        <v>0</v>
      </c>
      <c r="FL77" s="130">
        <v>0</v>
      </c>
      <c r="FM77" s="128"/>
      <c r="FN77" s="132">
        <v>0</v>
      </c>
      <c r="FO77" s="136"/>
      <c r="FP77" s="128"/>
      <c r="FQ77" s="137"/>
      <c r="FR77" s="140"/>
      <c r="FS77" s="134">
        <v>7</v>
      </c>
      <c r="FT77" s="130">
        <v>1</v>
      </c>
      <c r="FU77" s="128"/>
      <c r="FV77" s="128">
        <v>1</v>
      </c>
      <c r="FW77" s="128"/>
      <c r="FX77" s="128"/>
      <c r="FY77" s="132">
        <v>2</v>
      </c>
      <c r="FZ77" s="134"/>
      <c r="GA77" s="130">
        <v>10</v>
      </c>
      <c r="GB77" s="128"/>
      <c r="GC77" s="132">
        <v>10</v>
      </c>
      <c r="GD77" s="134"/>
      <c r="GE77" s="130"/>
      <c r="GF77" s="128"/>
      <c r="GG77" s="128"/>
      <c r="GH77" s="132"/>
      <c r="GI77" s="134">
        <v>0</v>
      </c>
      <c r="GJ77" s="130">
        <v>1</v>
      </c>
      <c r="GK77" s="128"/>
      <c r="GL77" s="128">
        <v>0</v>
      </c>
      <c r="GM77" s="128"/>
      <c r="GN77" s="132">
        <v>1</v>
      </c>
      <c r="GO77" s="134">
        <v>11254</v>
      </c>
      <c r="GP77" s="323">
        <f>11254/44564395</f>
        <v>2.5253344065368779E-4</v>
      </c>
    </row>
    <row r="78" spans="2:198" x14ac:dyDescent="0.2">
      <c r="B78" s="326" t="s">
        <v>111</v>
      </c>
      <c r="C78" s="325">
        <v>38</v>
      </c>
      <c r="D78" s="128">
        <v>6</v>
      </c>
      <c r="E78" s="128">
        <v>6</v>
      </c>
      <c r="F78" s="128">
        <v>1</v>
      </c>
      <c r="G78" s="324">
        <v>51</v>
      </c>
      <c r="H78" s="140"/>
      <c r="I78" s="136">
        <v>8</v>
      </c>
      <c r="J78" s="128"/>
      <c r="K78" s="137">
        <v>8</v>
      </c>
      <c r="L78" s="140"/>
      <c r="M78" s="134">
        <v>237</v>
      </c>
      <c r="N78" s="140">
        <v>11491</v>
      </c>
      <c r="O78" s="128">
        <v>33</v>
      </c>
      <c r="P78" s="128">
        <v>22</v>
      </c>
      <c r="Q78" s="128">
        <v>105</v>
      </c>
      <c r="R78" s="128">
        <v>4</v>
      </c>
      <c r="S78" s="128"/>
      <c r="T78" s="128"/>
      <c r="U78" s="128">
        <v>2</v>
      </c>
      <c r="V78" s="132">
        <v>11657</v>
      </c>
      <c r="W78" s="136">
        <v>8</v>
      </c>
      <c r="X78" s="128">
        <v>4</v>
      </c>
      <c r="Y78" s="137">
        <v>12</v>
      </c>
      <c r="Z78" s="130">
        <v>36</v>
      </c>
      <c r="AA78" s="128"/>
      <c r="AB78" s="128"/>
      <c r="AC78" s="132">
        <v>36</v>
      </c>
      <c r="AD78" s="136">
        <v>504</v>
      </c>
      <c r="AE78" s="128">
        <v>5</v>
      </c>
      <c r="AF78" s="137">
        <v>509</v>
      </c>
      <c r="AG78" s="130">
        <v>10</v>
      </c>
      <c r="AH78" s="128">
        <v>1</v>
      </c>
      <c r="AI78" s="128">
        <v>0</v>
      </c>
      <c r="AJ78" s="128"/>
      <c r="AK78" s="132">
        <v>11</v>
      </c>
      <c r="AL78" s="136">
        <v>1</v>
      </c>
      <c r="AM78" s="128"/>
      <c r="AN78" s="137">
        <v>1</v>
      </c>
      <c r="AO78" s="134"/>
      <c r="AP78" s="134"/>
      <c r="AQ78" s="130">
        <v>1</v>
      </c>
      <c r="AR78" s="128">
        <v>6</v>
      </c>
      <c r="AS78" s="132">
        <v>7</v>
      </c>
      <c r="AT78" s="136">
        <v>8</v>
      </c>
      <c r="AU78" s="128">
        <v>3</v>
      </c>
      <c r="AV78" s="128">
        <v>38</v>
      </c>
      <c r="AW78" s="128">
        <v>1</v>
      </c>
      <c r="AX78" s="128">
        <v>2</v>
      </c>
      <c r="AY78" s="128"/>
      <c r="AZ78" s="128"/>
      <c r="BA78" s="128">
        <v>1</v>
      </c>
      <c r="BB78" s="128"/>
      <c r="BC78" s="137">
        <v>53</v>
      </c>
      <c r="BD78" s="140"/>
      <c r="BE78" s="134">
        <v>1</v>
      </c>
      <c r="BF78" s="130">
        <v>80</v>
      </c>
      <c r="BG78" s="128">
        <v>396</v>
      </c>
      <c r="BH78" s="128">
        <v>5227</v>
      </c>
      <c r="BI78" s="128">
        <v>13</v>
      </c>
      <c r="BJ78" s="128">
        <v>12</v>
      </c>
      <c r="BK78" s="132">
        <v>5728</v>
      </c>
      <c r="BL78" s="134">
        <v>3</v>
      </c>
      <c r="BM78" s="134"/>
      <c r="BN78" s="134"/>
      <c r="BO78" s="134">
        <v>2</v>
      </c>
      <c r="BP78" s="130">
        <v>6</v>
      </c>
      <c r="BQ78" s="128"/>
      <c r="BR78" s="132">
        <v>6</v>
      </c>
      <c r="BS78" s="134">
        <v>2</v>
      </c>
      <c r="BT78" s="130">
        <v>4</v>
      </c>
      <c r="BU78" s="128"/>
      <c r="BV78" s="132">
        <v>4</v>
      </c>
      <c r="BW78" s="136">
        <v>3</v>
      </c>
      <c r="BX78" s="128">
        <v>1</v>
      </c>
      <c r="BY78" s="128">
        <v>21</v>
      </c>
      <c r="BZ78" s="128">
        <v>2</v>
      </c>
      <c r="CA78" s="128">
        <v>7</v>
      </c>
      <c r="CB78" s="128">
        <v>1</v>
      </c>
      <c r="CC78" s="128">
        <v>5</v>
      </c>
      <c r="CD78" s="128"/>
      <c r="CE78" s="128">
        <v>3</v>
      </c>
      <c r="CF78" s="128">
        <v>6</v>
      </c>
      <c r="CG78" s="128">
        <v>0</v>
      </c>
      <c r="CH78" s="128"/>
      <c r="CI78" s="128"/>
      <c r="CJ78" s="128">
        <v>6</v>
      </c>
      <c r="CK78" s="128">
        <v>4</v>
      </c>
      <c r="CL78" s="128">
        <v>0</v>
      </c>
      <c r="CM78" s="137">
        <v>59</v>
      </c>
      <c r="CN78" s="130"/>
      <c r="CO78" s="128"/>
      <c r="CP78" s="132"/>
      <c r="CQ78" s="134"/>
      <c r="CR78" s="130">
        <v>277</v>
      </c>
      <c r="CS78" s="128">
        <v>5</v>
      </c>
      <c r="CT78" s="128">
        <v>33487</v>
      </c>
      <c r="CU78" s="128">
        <v>208</v>
      </c>
      <c r="CV78" s="128">
        <v>5044</v>
      </c>
      <c r="CW78" s="128">
        <v>198</v>
      </c>
      <c r="CX78" s="128">
        <v>59</v>
      </c>
      <c r="CY78" s="128">
        <v>28</v>
      </c>
      <c r="CZ78" s="128">
        <v>8</v>
      </c>
      <c r="DA78" s="128">
        <v>2</v>
      </c>
      <c r="DB78" s="128">
        <v>0</v>
      </c>
      <c r="DC78" s="132">
        <v>39316</v>
      </c>
      <c r="DD78" s="136">
        <v>979</v>
      </c>
      <c r="DE78" s="128">
        <v>160</v>
      </c>
      <c r="DF78" s="128">
        <v>45</v>
      </c>
      <c r="DG78" s="128">
        <v>81</v>
      </c>
      <c r="DH78" s="128">
        <v>14</v>
      </c>
      <c r="DI78" s="128">
        <v>2</v>
      </c>
      <c r="DJ78" s="128"/>
      <c r="DK78" s="137">
        <v>1281</v>
      </c>
      <c r="DL78" s="140"/>
      <c r="DM78" s="134"/>
      <c r="DN78" s="130"/>
      <c r="DO78" s="128">
        <v>1</v>
      </c>
      <c r="DP78" s="132">
        <v>1</v>
      </c>
      <c r="DQ78" s="134">
        <v>49</v>
      </c>
      <c r="DR78" s="130"/>
      <c r="DS78" s="128"/>
      <c r="DT78" s="132"/>
      <c r="DU78" s="136">
        <v>62</v>
      </c>
      <c r="DV78" s="128">
        <v>2</v>
      </c>
      <c r="DW78" s="137">
        <v>64</v>
      </c>
      <c r="DX78" s="140">
        <v>11</v>
      </c>
      <c r="DY78" s="134">
        <v>1</v>
      </c>
      <c r="DZ78" s="134">
        <v>86</v>
      </c>
      <c r="EA78" s="134"/>
      <c r="EB78" s="134"/>
      <c r="EC78" s="130">
        <v>57</v>
      </c>
      <c r="ED78" s="128">
        <v>40</v>
      </c>
      <c r="EE78" s="128">
        <v>4</v>
      </c>
      <c r="EF78" s="128"/>
      <c r="EG78" s="128"/>
      <c r="EH78" s="132">
        <v>101</v>
      </c>
      <c r="EI78" s="136">
        <v>311</v>
      </c>
      <c r="EJ78" s="128">
        <v>196</v>
      </c>
      <c r="EK78" s="128">
        <v>36</v>
      </c>
      <c r="EL78" s="128">
        <v>173</v>
      </c>
      <c r="EM78" s="128">
        <v>566</v>
      </c>
      <c r="EN78" s="128">
        <v>35</v>
      </c>
      <c r="EO78" s="128">
        <v>55</v>
      </c>
      <c r="EP78" s="128">
        <v>190</v>
      </c>
      <c r="EQ78" s="128">
        <v>10</v>
      </c>
      <c r="ER78" s="128">
        <v>13</v>
      </c>
      <c r="ES78" s="128">
        <v>71</v>
      </c>
      <c r="ET78" s="128"/>
      <c r="EU78" s="128">
        <v>1</v>
      </c>
      <c r="EV78" s="137">
        <v>1657</v>
      </c>
      <c r="EW78" s="140"/>
      <c r="EX78" s="134">
        <v>2</v>
      </c>
      <c r="EY78" s="130"/>
      <c r="EZ78" s="128"/>
      <c r="FA78" s="128">
        <v>10</v>
      </c>
      <c r="FB78" s="132">
        <v>10</v>
      </c>
      <c r="FC78" s="136"/>
      <c r="FD78" s="128"/>
      <c r="FE78" s="137"/>
      <c r="FF78" s="140"/>
      <c r="FG78" s="136">
        <v>23</v>
      </c>
      <c r="FH78" s="128">
        <v>7</v>
      </c>
      <c r="FI78" s="128"/>
      <c r="FJ78" s="128"/>
      <c r="FK78" s="137">
        <v>30</v>
      </c>
      <c r="FL78" s="130"/>
      <c r="FM78" s="128"/>
      <c r="FN78" s="132"/>
      <c r="FO78" s="136"/>
      <c r="FP78" s="128"/>
      <c r="FQ78" s="137"/>
      <c r="FR78" s="140">
        <v>5</v>
      </c>
      <c r="FS78" s="134">
        <v>10</v>
      </c>
      <c r="FT78" s="130">
        <v>1</v>
      </c>
      <c r="FU78" s="128">
        <v>46</v>
      </c>
      <c r="FV78" s="128">
        <v>23</v>
      </c>
      <c r="FW78" s="128">
        <v>3</v>
      </c>
      <c r="FX78" s="128"/>
      <c r="FY78" s="132">
        <v>73</v>
      </c>
      <c r="FZ78" s="134"/>
      <c r="GA78" s="130">
        <v>9</v>
      </c>
      <c r="GB78" s="128"/>
      <c r="GC78" s="132">
        <v>9</v>
      </c>
      <c r="GD78" s="134">
        <v>1</v>
      </c>
      <c r="GE78" s="130"/>
      <c r="GF78" s="128">
        <v>2</v>
      </c>
      <c r="GG78" s="128"/>
      <c r="GH78" s="132">
        <v>2</v>
      </c>
      <c r="GI78" s="134">
        <v>88</v>
      </c>
      <c r="GJ78" s="130">
        <v>131</v>
      </c>
      <c r="GK78" s="128">
        <v>3</v>
      </c>
      <c r="GL78" s="128">
        <v>9</v>
      </c>
      <c r="GM78" s="128"/>
      <c r="GN78" s="132">
        <v>143</v>
      </c>
      <c r="GO78" s="134">
        <v>61327</v>
      </c>
      <c r="GP78" s="323">
        <f>61327/44564395</f>
        <v>1.3761434436616944E-3</v>
      </c>
    </row>
    <row r="79" spans="2:198" x14ac:dyDescent="0.2">
      <c r="B79" s="326" t="s">
        <v>133</v>
      </c>
      <c r="C79" s="325">
        <v>8</v>
      </c>
      <c r="D79" s="128">
        <v>1</v>
      </c>
      <c r="E79" s="128">
        <v>1</v>
      </c>
      <c r="F79" s="128">
        <v>6</v>
      </c>
      <c r="G79" s="324">
        <v>16</v>
      </c>
      <c r="H79" s="140"/>
      <c r="I79" s="136">
        <v>1</v>
      </c>
      <c r="J79" s="128"/>
      <c r="K79" s="137">
        <v>1</v>
      </c>
      <c r="L79" s="140"/>
      <c r="M79" s="134">
        <v>51</v>
      </c>
      <c r="N79" s="140">
        <v>2260</v>
      </c>
      <c r="O79" s="128">
        <v>13</v>
      </c>
      <c r="P79" s="128">
        <v>1</v>
      </c>
      <c r="Q79" s="128">
        <v>60</v>
      </c>
      <c r="R79" s="128">
        <v>2</v>
      </c>
      <c r="S79" s="128">
        <v>0</v>
      </c>
      <c r="T79" s="128"/>
      <c r="U79" s="128"/>
      <c r="V79" s="132">
        <v>2336</v>
      </c>
      <c r="W79" s="136">
        <v>1</v>
      </c>
      <c r="X79" s="128">
        <v>0</v>
      </c>
      <c r="Y79" s="137">
        <v>1</v>
      </c>
      <c r="Z79" s="130">
        <v>10</v>
      </c>
      <c r="AA79" s="128"/>
      <c r="AB79" s="128"/>
      <c r="AC79" s="132">
        <v>10</v>
      </c>
      <c r="AD79" s="136">
        <v>90</v>
      </c>
      <c r="AE79" s="128">
        <v>0</v>
      </c>
      <c r="AF79" s="137">
        <v>90</v>
      </c>
      <c r="AG79" s="130">
        <v>6</v>
      </c>
      <c r="AH79" s="128"/>
      <c r="AI79" s="128">
        <v>2</v>
      </c>
      <c r="AJ79" s="128"/>
      <c r="AK79" s="132">
        <v>8</v>
      </c>
      <c r="AL79" s="136"/>
      <c r="AM79" s="128"/>
      <c r="AN79" s="137"/>
      <c r="AO79" s="134"/>
      <c r="AP79" s="134"/>
      <c r="AQ79" s="130"/>
      <c r="AR79" s="128">
        <v>12</v>
      </c>
      <c r="AS79" s="132">
        <v>12</v>
      </c>
      <c r="AT79" s="136">
        <v>3</v>
      </c>
      <c r="AU79" s="128"/>
      <c r="AV79" s="128"/>
      <c r="AW79" s="128">
        <v>0</v>
      </c>
      <c r="AX79" s="128"/>
      <c r="AY79" s="128"/>
      <c r="AZ79" s="128"/>
      <c r="BA79" s="128"/>
      <c r="BB79" s="128"/>
      <c r="BC79" s="137">
        <v>3</v>
      </c>
      <c r="BD79" s="140"/>
      <c r="BE79" s="134">
        <v>1</v>
      </c>
      <c r="BF79" s="130">
        <v>201</v>
      </c>
      <c r="BG79" s="128">
        <v>2719</v>
      </c>
      <c r="BH79" s="128">
        <v>7563</v>
      </c>
      <c r="BI79" s="128">
        <v>0</v>
      </c>
      <c r="BJ79" s="128">
        <v>20</v>
      </c>
      <c r="BK79" s="132">
        <v>10503</v>
      </c>
      <c r="BL79" s="134">
        <v>0</v>
      </c>
      <c r="BM79" s="134"/>
      <c r="BN79" s="134"/>
      <c r="BO79" s="134"/>
      <c r="BP79" s="130">
        <v>1</v>
      </c>
      <c r="BQ79" s="128"/>
      <c r="BR79" s="132">
        <v>1</v>
      </c>
      <c r="BS79" s="134"/>
      <c r="BT79" s="130"/>
      <c r="BU79" s="128"/>
      <c r="BV79" s="132"/>
      <c r="BW79" s="136"/>
      <c r="BX79" s="128"/>
      <c r="BY79" s="128">
        <v>12</v>
      </c>
      <c r="BZ79" s="128"/>
      <c r="CA79" s="128">
        <v>1</v>
      </c>
      <c r="CB79" s="128"/>
      <c r="CC79" s="128"/>
      <c r="CD79" s="128"/>
      <c r="CE79" s="128"/>
      <c r="CF79" s="128">
        <v>2</v>
      </c>
      <c r="CG79" s="128">
        <v>2</v>
      </c>
      <c r="CH79" s="128"/>
      <c r="CI79" s="128"/>
      <c r="CJ79" s="128"/>
      <c r="CK79" s="128"/>
      <c r="CL79" s="128">
        <v>4</v>
      </c>
      <c r="CM79" s="137">
        <v>21</v>
      </c>
      <c r="CN79" s="130"/>
      <c r="CO79" s="128"/>
      <c r="CP79" s="132"/>
      <c r="CQ79" s="134"/>
      <c r="CR79" s="130">
        <v>23</v>
      </c>
      <c r="CS79" s="128">
        <v>2</v>
      </c>
      <c r="CT79" s="128">
        <v>12273</v>
      </c>
      <c r="CU79" s="128">
        <v>102</v>
      </c>
      <c r="CV79" s="128">
        <v>2496</v>
      </c>
      <c r="CW79" s="128">
        <v>29</v>
      </c>
      <c r="CX79" s="128">
        <v>66</v>
      </c>
      <c r="CY79" s="128">
        <v>157</v>
      </c>
      <c r="CZ79" s="128">
        <v>2</v>
      </c>
      <c r="DA79" s="128"/>
      <c r="DB79" s="128"/>
      <c r="DC79" s="132">
        <v>15150</v>
      </c>
      <c r="DD79" s="136">
        <v>183</v>
      </c>
      <c r="DE79" s="128">
        <v>51</v>
      </c>
      <c r="DF79" s="128">
        <v>7</v>
      </c>
      <c r="DG79" s="128">
        <v>74</v>
      </c>
      <c r="DH79" s="128">
        <v>8</v>
      </c>
      <c r="DI79" s="128"/>
      <c r="DJ79" s="128"/>
      <c r="DK79" s="137">
        <v>323</v>
      </c>
      <c r="DL79" s="140"/>
      <c r="DM79" s="134"/>
      <c r="DN79" s="130"/>
      <c r="DO79" s="128"/>
      <c r="DP79" s="132"/>
      <c r="DQ79" s="134">
        <v>9</v>
      </c>
      <c r="DR79" s="130"/>
      <c r="DS79" s="128"/>
      <c r="DT79" s="132"/>
      <c r="DU79" s="136">
        <v>39</v>
      </c>
      <c r="DV79" s="128"/>
      <c r="DW79" s="137">
        <v>39</v>
      </c>
      <c r="DX79" s="140"/>
      <c r="DY79" s="134"/>
      <c r="DZ79" s="134">
        <v>10</v>
      </c>
      <c r="EA79" s="134"/>
      <c r="EB79" s="134"/>
      <c r="EC79" s="130"/>
      <c r="ED79" s="128">
        <v>83</v>
      </c>
      <c r="EE79" s="128">
        <v>4</v>
      </c>
      <c r="EF79" s="128"/>
      <c r="EG79" s="128"/>
      <c r="EH79" s="132">
        <v>87</v>
      </c>
      <c r="EI79" s="136">
        <v>44</v>
      </c>
      <c r="EJ79" s="128">
        <v>18</v>
      </c>
      <c r="EK79" s="128">
        <v>9</v>
      </c>
      <c r="EL79" s="128">
        <v>24</v>
      </c>
      <c r="EM79" s="128">
        <v>182</v>
      </c>
      <c r="EN79" s="128">
        <v>5</v>
      </c>
      <c r="EO79" s="128">
        <v>3</v>
      </c>
      <c r="EP79" s="128">
        <v>76</v>
      </c>
      <c r="EQ79" s="128"/>
      <c r="ER79" s="128">
        <v>1</v>
      </c>
      <c r="ES79" s="128">
        <v>17</v>
      </c>
      <c r="ET79" s="128">
        <v>3</v>
      </c>
      <c r="EU79" s="128"/>
      <c r="EV79" s="137">
        <v>382</v>
      </c>
      <c r="EW79" s="140"/>
      <c r="EX79" s="134"/>
      <c r="EY79" s="130"/>
      <c r="EZ79" s="128"/>
      <c r="FA79" s="128"/>
      <c r="FB79" s="132"/>
      <c r="FC79" s="136"/>
      <c r="FD79" s="128"/>
      <c r="FE79" s="137"/>
      <c r="FF79" s="140"/>
      <c r="FG79" s="136">
        <v>11</v>
      </c>
      <c r="FH79" s="128">
        <v>3</v>
      </c>
      <c r="FI79" s="128"/>
      <c r="FJ79" s="128">
        <v>2</v>
      </c>
      <c r="FK79" s="137">
        <v>16</v>
      </c>
      <c r="FL79" s="130"/>
      <c r="FM79" s="128"/>
      <c r="FN79" s="132"/>
      <c r="FO79" s="136"/>
      <c r="FP79" s="128"/>
      <c r="FQ79" s="137"/>
      <c r="FR79" s="140">
        <v>2</v>
      </c>
      <c r="FS79" s="134">
        <v>1</v>
      </c>
      <c r="FT79" s="130"/>
      <c r="FU79" s="128">
        <v>91</v>
      </c>
      <c r="FV79" s="128">
        <v>177</v>
      </c>
      <c r="FW79" s="128">
        <v>1</v>
      </c>
      <c r="FX79" s="128"/>
      <c r="FY79" s="132">
        <v>269</v>
      </c>
      <c r="FZ79" s="134"/>
      <c r="GA79" s="130">
        <v>13</v>
      </c>
      <c r="GB79" s="128">
        <v>3</v>
      </c>
      <c r="GC79" s="132">
        <v>16</v>
      </c>
      <c r="GD79" s="134"/>
      <c r="GE79" s="130"/>
      <c r="GF79" s="128"/>
      <c r="GG79" s="128"/>
      <c r="GH79" s="132"/>
      <c r="GI79" s="134">
        <v>48</v>
      </c>
      <c r="GJ79" s="130">
        <v>2</v>
      </c>
      <c r="GK79" s="128"/>
      <c r="GL79" s="128">
        <v>9</v>
      </c>
      <c r="GM79" s="128"/>
      <c r="GN79" s="132">
        <v>11</v>
      </c>
      <c r="GO79" s="134">
        <v>29417</v>
      </c>
      <c r="GP79" s="323">
        <f>29417/44564395</f>
        <v>6.6010096176555299E-4</v>
      </c>
    </row>
    <row r="80" spans="2:198" x14ac:dyDescent="0.2">
      <c r="B80" s="326" t="s">
        <v>143</v>
      </c>
      <c r="C80" s="325">
        <v>44</v>
      </c>
      <c r="D80" s="128"/>
      <c r="E80" s="128"/>
      <c r="F80" s="128"/>
      <c r="G80" s="324">
        <v>44</v>
      </c>
      <c r="H80" s="140"/>
      <c r="I80" s="136">
        <v>1</v>
      </c>
      <c r="J80" s="128"/>
      <c r="K80" s="137">
        <v>1</v>
      </c>
      <c r="L80" s="140"/>
      <c r="M80" s="134">
        <v>143</v>
      </c>
      <c r="N80" s="140">
        <v>74196</v>
      </c>
      <c r="O80" s="128">
        <v>25</v>
      </c>
      <c r="P80" s="128">
        <v>2</v>
      </c>
      <c r="Q80" s="128"/>
      <c r="R80" s="128"/>
      <c r="S80" s="128"/>
      <c r="T80" s="128"/>
      <c r="U80" s="128"/>
      <c r="V80" s="132">
        <v>74223</v>
      </c>
      <c r="W80" s="136"/>
      <c r="X80" s="128">
        <v>0</v>
      </c>
      <c r="Y80" s="137">
        <v>0</v>
      </c>
      <c r="Z80" s="130">
        <v>5</v>
      </c>
      <c r="AA80" s="128"/>
      <c r="AB80" s="128"/>
      <c r="AC80" s="132">
        <v>5</v>
      </c>
      <c r="AD80" s="136">
        <v>70</v>
      </c>
      <c r="AE80" s="128"/>
      <c r="AF80" s="137">
        <v>70</v>
      </c>
      <c r="AG80" s="130"/>
      <c r="AH80" s="128">
        <v>1</v>
      </c>
      <c r="AI80" s="128"/>
      <c r="AJ80" s="128"/>
      <c r="AK80" s="132">
        <v>1</v>
      </c>
      <c r="AL80" s="136"/>
      <c r="AM80" s="128"/>
      <c r="AN80" s="137"/>
      <c r="AO80" s="134"/>
      <c r="AP80" s="134"/>
      <c r="AQ80" s="130">
        <v>0</v>
      </c>
      <c r="AR80" s="128"/>
      <c r="AS80" s="132">
        <v>0</v>
      </c>
      <c r="AT80" s="136"/>
      <c r="AU80" s="128"/>
      <c r="AV80" s="128"/>
      <c r="AW80" s="128"/>
      <c r="AX80" s="128"/>
      <c r="AY80" s="128"/>
      <c r="AZ80" s="128"/>
      <c r="BA80" s="128"/>
      <c r="BB80" s="128"/>
      <c r="BC80" s="137"/>
      <c r="BD80" s="140"/>
      <c r="BE80" s="134">
        <v>2</v>
      </c>
      <c r="BF80" s="130">
        <v>160</v>
      </c>
      <c r="BG80" s="128">
        <v>2915</v>
      </c>
      <c r="BH80" s="128">
        <v>16865</v>
      </c>
      <c r="BI80" s="128">
        <v>5</v>
      </c>
      <c r="BJ80" s="128">
        <v>39</v>
      </c>
      <c r="BK80" s="132">
        <v>19984</v>
      </c>
      <c r="BL80" s="134">
        <v>2</v>
      </c>
      <c r="BM80" s="134"/>
      <c r="BN80" s="134"/>
      <c r="BO80" s="134">
        <v>2</v>
      </c>
      <c r="BP80" s="130">
        <v>16</v>
      </c>
      <c r="BQ80" s="128"/>
      <c r="BR80" s="132">
        <v>16</v>
      </c>
      <c r="BS80" s="134"/>
      <c r="BT80" s="130"/>
      <c r="BU80" s="128"/>
      <c r="BV80" s="132"/>
      <c r="BW80" s="136">
        <v>0</v>
      </c>
      <c r="BX80" s="128"/>
      <c r="BY80" s="128"/>
      <c r="BZ80" s="128"/>
      <c r="CA80" s="128"/>
      <c r="CB80" s="128"/>
      <c r="CC80" s="128"/>
      <c r="CD80" s="128"/>
      <c r="CE80" s="128"/>
      <c r="CF80" s="128"/>
      <c r="CG80" s="128"/>
      <c r="CH80" s="128"/>
      <c r="CI80" s="128"/>
      <c r="CJ80" s="128"/>
      <c r="CK80" s="128"/>
      <c r="CL80" s="128"/>
      <c r="CM80" s="137">
        <v>0</v>
      </c>
      <c r="CN80" s="130"/>
      <c r="CO80" s="128"/>
      <c r="CP80" s="132"/>
      <c r="CQ80" s="134"/>
      <c r="CR80" s="130">
        <v>51</v>
      </c>
      <c r="CS80" s="128"/>
      <c r="CT80" s="128">
        <v>22306</v>
      </c>
      <c r="CU80" s="128">
        <v>10</v>
      </c>
      <c r="CV80" s="128">
        <v>67763</v>
      </c>
      <c r="CW80" s="128"/>
      <c r="CX80" s="128"/>
      <c r="CY80" s="128"/>
      <c r="CZ80" s="128"/>
      <c r="DA80" s="128"/>
      <c r="DB80" s="128"/>
      <c r="DC80" s="132">
        <v>90130</v>
      </c>
      <c r="DD80" s="136">
        <v>2591</v>
      </c>
      <c r="DE80" s="128"/>
      <c r="DF80" s="128">
        <v>22</v>
      </c>
      <c r="DG80" s="128">
        <v>6</v>
      </c>
      <c r="DH80" s="128"/>
      <c r="DI80" s="128">
        <v>4</v>
      </c>
      <c r="DJ80" s="128"/>
      <c r="DK80" s="137">
        <v>2623</v>
      </c>
      <c r="DL80" s="140"/>
      <c r="DM80" s="134"/>
      <c r="DN80" s="130"/>
      <c r="DO80" s="128"/>
      <c r="DP80" s="132"/>
      <c r="DQ80" s="134">
        <v>77</v>
      </c>
      <c r="DR80" s="130"/>
      <c r="DS80" s="128"/>
      <c r="DT80" s="132"/>
      <c r="DU80" s="136"/>
      <c r="DV80" s="128"/>
      <c r="DW80" s="137"/>
      <c r="DX80" s="140">
        <v>4</v>
      </c>
      <c r="DY80" s="134">
        <v>2</v>
      </c>
      <c r="DZ80" s="134">
        <v>59</v>
      </c>
      <c r="EA80" s="134"/>
      <c r="EB80" s="134"/>
      <c r="EC80" s="130">
        <v>2</v>
      </c>
      <c r="ED80" s="128"/>
      <c r="EE80" s="128"/>
      <c r="EF80" s="128"/>
      <c r="EG80" s="128"/>
      <c r="EH80" s="132">
        <v>2</v>
      </c>
      <c r="EI80" s="136">
        <v>105</v>
      </c>
      <c r="EJ80" s="128">
        <v>162</v>
      </c>
      <c r="EK80" s="128">
        <v>7</v>
      </c>
      <c r="EL80" s="128">
        <v>23</v>
      </c>
      <c r="EM80" s="128">
        <v>5904</v>
      </c>
      <c r="EN80" s="128">
        <v>16</v>
      </c>
      <c r="EO80" s="128">
        <v>1</v>
      </c>
      <c r="EP80" s="128">
        <v>81</v>
      </c>
      <c r="EQ80" s="128"/>
      <c r="ER80" s="128"/>
      <c r="ES80" s="128">
        <v>1</v>
      </c>
      <c r="ET80" s="128"/>
      <c r="EU80" s="128"/>
      <c r="EV80" s="137">
        <v>6300</v>
      </c>
      <c r="EW80" s="140"/>
      <c r="EX80" s="134"/>
      <c r="EY80" s="130">
        <v>1</v>
      </c>
      <c r="EZ80" s="128"/>
      <c r="FA80" s="128"/>
      <c r="FB80" s="132">
        <v>1</v>
      </c>
      <c r="FC80" s="136"/>
      <c r="FD80" s="128"/>
      <c r="FE80" s="137"/>
      <c r="FF80" s="140"/>
      <c r="FG80" s="136"/>
      <c r="FH80" s="128">
        <v>24</v>
      </c>
      <c r="FI80" s="128"/>
      <c r="FJ80" s="128"/>
      <c r="FK80" s="137">
        <v>24</v>
      </c>
      <c r="FL80" s="130"/>
      <c r="FM80" s="128"/>
      <c r="FN80" s="132"/>
      <c r="FO80" s="136"/>
      <c r="FP80" s="128"/>
      <c r="FQ80" s="137"/>
      <c r="FR80" s="140">
        <v>94</v>
      </c>
      <c r="FS80" s="134">
        <v>5</v>
      </c>
      <c r="FT80" s="130"/>
      <c r="FU80" s="128"/>
      <c r="FV80" s="128"/>
      <c r="FW80" s="128"/>
      <c r="FX80" s="128"/>
      <c r="FY80" s="132"/>
      <c r="FZ80" s="134"/>
      <c r="GA80" s="130">
        <v>5</v>
      </c>
      <c r="GB80" s="128"/>
      <c r="GC80" s="132">
        <v>5</v>
      </c>
      <c r="GD80" s="134"/>
      <c r="GE80" s="130"/>
      <c r="GF80" s="128"/>
      <c r="GG80" s="128"/>
      <c r="GH80" s="132"/>
      <c r="GI80" s="134"/>
      <c r="GJ80" s="130"/>
      <c r="GK80" s="128">
        <v>4</v>
      </c>
      <c r="GL80" s="128"/>
      <c r="GM80" s="128"/>
      <c r="GN80" s="132">
        <v>4</v>
      </c>
      <c r="GO80" s="134">
        <v>193823</v>
      </c>
      <c r="GP80" s="323">
        <f>193823/44564395</f>
        <v>4.3492792845050404E-3</v>
      </c>
    </row>
    <row r="81" spans="2:198" x14ac:dyDescent="0.2">
      <c r="B81" s="326" t="s">
        <v>148</v>
      </c>
      <c r="C81" s="325">
        <v>21</v>
      </c>
      <c r="D81" s="128"/>
      <c r="E81" s="128"/>
      <c r="F81" s="128"/>
      <c r="G81" s="324">
        <v>21</v>
      </c>
      <c r="H81" s="140"/>
      <c r="I81" s="136">
        <v>6</v>
      </c>
      <c r="J81" s="128"/>
      <c r="K81" s="137">
        <v>6</v>
      </c>
      <c r="L81" s="140"/>
      <c r="M81" s="134">
        <v>108</v>
      </c>
      <c r="N81" s="140">
        <v>53123</v>
      </c>
      <c r="O81" s="128">
        <v>22</v>
      </c>
      <c r="P81" s="128">
        <v>6</v>
      </c>
      <c r="Q81" s="128">
        <v>19</v>
      </c>
      <c r="R81" s="128">
        <v>1</v>
      </c>
      <c r="S81" s="128"/>
      <c r="T81" s="128"/>
      <c r="U81" s="128">
        <v>1</v>
      </c>
      <c r="V81" s="132">
        <v>53172</v>
      </c>
      <c r="W81" s="136">
        <v>30</v>
      </c>
      <c r="X81" s="128">
        <v>2</v>
      </c>
      <c r="Y81" s="137">
        <v>32</v>
      </c>
      <c r="Z81" s="130">
        <v>59</v>
      </c>
      <c r="AA81" s="128"/>
      <c r="AB81" s="128"/>
      <c r="AC81" s="132">
        <v>59</v>
      </c>
      <c r="AD81" s="136">
        <v>397</v>
      </c>
      <c r="AE81" s="128">
        <v>0</v>
      </c>
      <c r="AF81" s="137">
        <v>397</v>
      </c>
      <c r="AG81" s="130">
        <v>14</v>
      </c>
      <c r="AH81" s="128"/>
      <c r="AI81" s="128"/>
      <c r="AJ81" s="128"/>
      <c r="AK81" s="132">
        <v>14</v>
      </c>
      <c r="AL81" s="136"/>
      <c r="AM81" s="128"/>
      <c r="AN81" s="137"/>
      <c r="AO81" s="134"/>
      <c r="AP81" s="134"/>
      <c r="AQ81" s="130">
        <v>0</v>
      </c>
      <c r="AR81" s="128"/>
      <c r="AS81" s="132">
        <v>0</v>
      </c>
      <c r="AT81" s="136">
        <v>1</v>
      </c>
      <c r="AU81" s="128"/>
      <c r="AV81" s="128">
        <v>14</v>
      </c>
      <c r="AW81" s="128"/>
      <c r="AX81" s="128"/>
      <c r="AY81" s="128"/>
      <c r="AZ81" s="128"/>
      <c r="BA81" s="128"/>
      <c r="BB81" s="128"/>
      <c r="BC81" s="137">
        <v>15</v>
      </c>
      <c r="BD81" s="140"/>
      <c r="BE81" s="134">
        <v>10</v>
      </c>
      <c r="BF81" s="130">
        <v>814</v>
      </c>
      <c r="BG81" s="128">
        <v>103264</v>
      </c>
      <c r="BH81" s="128">
        <v>65993</v>
      </c>
      <c r="BI81" s="128">
        <v>18</v>
      </c>
      <c r="BJ81" s="128">
        <v>324</v>
      </c>
      <c r="BK81" s="132">
        <v>170413</v>
      </c>
      <c r="BL81" s="134">
        <v>3</v>
      </c>
      <c r="BM81" s="134"/>
      <c r="BN81" s="134"/>
      <c r="BO81" s="134">
        <v>1</v>
      </c>
      <c r="BP81" s="130">
        <v>11</v>
      </c>
      <c r="BQ81" s="128"/>
      <c r="BR81" s="132">
        <v>11</v>
      </c>
      <c r="BS81" s="134"/>
      <c r="BT81" s="130"/>
      <c r="BU81" s="128"/>
      <c r="BV81" s="132"/>
      <c r="BW81" s="136">
        <v>1</v>
      </c>
      <c r="BX81" s="128"/>
      <c r="BY81" s="128"/>
      <c r="BZ81" s="128"/>
      <c r="CA81" s="128"/>
      <c r="CB81" s="128"/>
      <c r="CC81" s="128"/>
      <c r="CD81" s="128"/>
      <c r="CE81" s="128"/>
      <c r="CF81" s="128"/>
      <c r="CG81" s="128"/>
      <c r="CH81" s="128"/>
      <c r="CI81" s="128"/>
      <c r="CJ81" s="128"/>
      <c r="CK81" s="128"/>
      <c r="CL81" s="128"/>
      <c r="CM81" s="137">
        <v>1</v>
      </c>
      <c r="CN81" s="130">
        <v>4</v>
      </c>
      <c r="CO81" s="128"/>
      <c r="CP81" s="132">
        <v>4</v>
      </c>
      <c r="CQ81" s="134"/>
      <c r="CR81" s="130">
        <v>46</v>
      </c>
      <c r="CS81" s="128">
        <v>3</v>
      </c>
      <c r="CT81" s="128">
        <v>16900</v>
      </c>
      <c r="CU81" s="128">
        <v>50</v>
      </c>
      <c r="CV81" s="128">
        <v>17215</v>
      </c>
      <c r="CW81" s="128"/>
      <c r="CX81" s="128">
        <v>0</v>
      </c>
      <c r="CY81" s="128"/>
      <c r="CZ81" s="128">
        <v>2</v>
      </c>
      <c r="DA81" s="128"/>
      <c r="DB81" s="128"/>
      <c r="DC81" s="132">
        <v>34216</v>
      </c>
      <c r="DD81" s="136">
        <v>2122</v>
      </c>
      <c r="DE81" s="128">
        <v>0</v>
      </c>
      <c r="DF81" s="128">
        <v>41</v>
      </c>
      <c r="DG81" s="128">
        <v>5</v>
      </c>
      <c r="DH81" s="128">
        <v>3</v>
      </c>
      <c r="DI81" s="128">
        <v>1</v>
      </c>
      <c r="DJ81" s="128"/>
      <c r="DK81" s="137">
        <v>2172</v>
      </c>
      <c r="DL81" s="140"/>
      <c r="DM81" s="134"/>
      <c r="DN81" s="130"/>
      <c r="DO81" s="128"/>
      <c r="DP81" s="132"/>
      <c r="DQ81" s="134">
        <v>48</v>
      </c>
      <c r="DR81" s="130"/>
      <c r="DS81" s="128"/>
      <c r="DT81" s="132"/>
      <c r="DU81" s="136"/>
      <c r="DV81" s="128"/>
      <c r="DW81" s="137"/>
      <c r="DX81" s="140">
        <v>6</v>
      </c>
      <c r="DY81" s="134">
        <v>1</v>
      </c>
      <c r="DZ81" s="134">
        <v>213</v>
      </c>
      <c r="EA81" s="134">
        <v>3</v>
      </c>
      <c r="EB81" s="134"/>
      <c r="EC81" s="130">
        <v>9</v>
      </c>
      <c r="ED81" s="128">
        <v>2</v>
      </c>
      <c r="EE81" s="128"/>
      <c r="EF81" s="128"/>
      <c r="EG81" s="128"/>
      <c r="EH81" s="132">
        <v>11</v>
      </c>
      <c r="EI81" s="136">
        <v>308</v>
      </c>
      <c r="EJ81" s="128">
        <v>89</v>
      </c>
      <c r="EK81" s="128">
        <v>20</v>
      </c>
      <c r="EL81" s="128">
        <v>56</v>
      </c>
      <c r="EM81" s="128">
        <v>4491</v>
      </c>
      <c r="EN81" s="128">
        <v>105</v>
      </c>
      <c r="EO81" s="128"/>
      <c r="EP81" s="128">
        <v>126</v>
      </c>
      <c r="EQ81" s="128"/>
      <c r="ER81" s="128"/>
      <c r="ES81" s="128"/>
      <c r="ET81" s="128"/>
      <c r="EU81" s="128"/>
      <c r="EV81" s="137">
        <v>5195</v>
      </c>
      <c r="EW81" s="140"/>
      <c r="EX81" s="134">
        <v>2</v>
      </c>
      <c r="EY81" s="130">
        <v>1</v>
      </c>
      <c r="EZ81" s="128"/>
      <c r="FA81" s="128"/>
      <c r="FB81" s="132">
        <v>1</v>
      </c>
      <c r="FC81" s="136"/>
      <c r="FD81" s="128"/>
      <c r="FE81" s="137"/>
      <c r="FF81" s="140"/>
      <c r="FG81" s="136"/>
      <c r="FH81" s="128">
        <v>8</v>
      </c>
      <c r="FI81" s="128"/>
      <c r="FJ81" s="128"/>
      <c r="FK81" s="137">
        <v>8</v>
      </c>
      <c r="FL81" s="130"/>
      <c r="FM81" s="128"/>
      <c r="FN81" s="132"/>
      <c r="FO81" s="136">
        <v>14</v>
      </c>
      <c r="FP81" s="128"/>
      <c r="FQ81" s="137">
        <v>14</v>
      </c>
      <c r="FR81" s="140">
        <v>1</v>
      </c>
      <c r="FS81" s="134">
        <v>2</v>
      </c>
      <c r="FT81" s="130">
        <v>2</v>
      </c>
      <c r="FU81" s="128"/>
      <c r="FV81" s="128"/>
      <c r="FW81" s="128"/>
      <c r="FX81" s="128"/>
      <c r="FY81" s="132">
        <v>2</v>
      </c>
      <c r="FZ81" s="134"/>
      <c r="GA81" s="130">
        <v>19</v>
      </c>
      <c r="GB81" s="128"/>
      <c r="GC81" s="132">
        <v>19</v>
      </c>
      <c r="GD81" s="134"/>
      <c r="GE81" s="130">
        <v>1</v>
      </c>
      <c r="GF81" s="128"/>
      <c r="GG81" s="128"/>
      <c r="GH81" s="132">
        <v>1</v>
      </c>
      <c r="GI81" s="134">
        <v>0</v>
      </c>
      <c r="GJ81" s="130"/>
      <c r="GK81" s="128">
        <v>2</v>
      </c>
      <c r="GL81" s="128"/>
      <c r="GM81" s="128"/>
      <c r="GN81" s="132">
        <v>2</v>
      </c>
      <c r="GO81" s="134">
        <v>266184</v>
      </c>
      <c r="GP81" s="323">
        <f>266184/44564395</f>
        <v>5.9730194923548275E-3</v>
      </c>
    </row>
    <row r="82" spans="2:198" x14ac:dyDescent="0.2">
      <c r="B82" s="326" t="s">
        <v>153</v>
      </c>
      <c r="C82" s="325">
        <v>21</v>
      </c>
      <c r="D82" s="128">
        <v>8</v>
      </c>
      <c r="E82" s="128">
        <v>1</v>
      </c>
      <c r="F82" s="128">
        <v>0</v>
      </c>
      <c r="G82" s="324">
        <v>30</v>
      </c>
      <c r="H82" s="140"/>
      <c r="I82" s="136">
        <v>1</v>
      </c>
      <c r="J82" s="128"/>
      <c r="K82" s="137">
        <v>1</v>
      </c>
      <c r="L82" s="140"/>
      <c r="M82" s="134">
        <v>167</v>
      </c>
      <c r="N82" s="140">
        <v>70864</v>
      </c>
      <c r="O82" s="128">
        <v>521</v>
      </c>
      <c r="P82" s="128">
        <v>59</v>
      </c>
      <c r="Q82" s="128">
        <v>12</v>
      </c>
      <c r="R82" s="128">
        <v>4</v>
      </c>
      <c r="S82" s="128"/>
      <c r="T82" s="128"/>
      <c r="U82" s="128"/>
      <c r="V82" s="132">
        <v>71460</v>
      </c>
      <c r="W82" s="136">
        <v>8</v>
      </c>
      <c r="X82" s="128">
        <v>11</v>
      </c>
      <c r="Y82" s="137">
        <v>19</v>
      </c>
      <c r="Z82" s="130">
        <v>640</v>
      </c>
      <c r="AA82" s="128"/>
      <c r="AB82" s="128"/>
      <c r="AC82" s="132">
        <v>640</v>
      </c>
      <c r="AD82" s="136">
        <v>209</v>
      </c>
      <c r="AE82" s="128">
        <v>4</v>
      </c>
      <c r="AF82" s="137">
        <v>213</v>
      </c>
      <c r="AG82" s="130">
        <v>6</v>
      </c>
      <c r="AH82" s="128"/>
      <c r="AI82" s="128"/>
      <c r="AJ82" s="128">
        <v>1</v>
      </c>
      <c r="AK82" s="132">
        <v>7</v>
      </c>
      <c r="AL82" s="136"/>
      <c r="AM82" s="128"/>
      <c r="AN82" s="137"/>
      <c r="AO82" s="134"/>
      <c r="AP82" s="134"/>
      <c r="AQ82" s="130">
        <v>0</v>
      </c>
      <c r="AR82" s="128">
        <v>2</v>
      </c>
      <c r="AS82" s="132">
        <v>2</v>
      </c>
      <c r="AT82" s="136">
        <v>9</v>
      </c>
      <c r="AU82" s="128"/>
      <c r="AV82" s="128"/>
      <c r="AW82" s="128"/>
      <c r="AX82" s="128"/>
      <c r="AY82" s="128">
        <v>2</v>
      </c>
      <c r="AZ82" s="128"/>
      <c r="BA82" s="128"/>
      <c r="BB82" s="128"/>
      <c r="BC82" s="137">
        <v>11</v>
      </c>
      <c r="BD82" s="140"/>
      <c r="BE82" s="134"/>
      <c r="BF82" s="130">
        <v>159</v>
      </c>
      <c r="BG82" s="128">
        <v>183</v>
      </c>
      <c r="BH82" s="128">
        <v>752</v>
      </c>
      <c r="BI82" s="128">
        <v>7</v>
      </c>
      <c r="BJ82" s="128">
        <v>15</v>
      </c>
      <c r="BK82" s="132">
        <v>1116</v>
      </c>
      <c r="BL82" s="134"/>
      <c r="BM82" s="134"/>
      <c r="BN82" s="134"/>
      <c r="BO82" s="134">
        <v>0</v>
      </c>
      <c r="BP82" s="130">
        <v>6</v>
      </c>
      <c r="BQ82" s="128"/>
      <c r="BR82" s="132">
        <v>6</v>
      </c>
      <c r="BS82" s="134"/>
      <c r="BT82" s="130"/>
      <c r="BU82" s="128"/>
      <c r="BV82" s="132"/>
      <c r="BW82" s="136">
        <v>3</v>
      </c>
      <c r="BX82" s="128"/>
      <c r="BY82" s="128">
        <v>2</v>
      </c>
      <c r="BZ82" s="128">
        <v>4</v>
      </c>
      <c r="CA82" s="128">
        <v>1</v>
      </c>
      <c r="CB82" s="128"/>
      <c r="CC82" s="128"/>
      <c r="CD82" s="128"/>
      <c r="CE82" s="128">
        <v>0</v>
      </c>
      <c r="CF82" s="128"/>
      <c r="CG82" s="128"/>
      <c r="CH82" s="128"/>
      <c r="CI82" s="128"/>
      <c r="CJ82" s="128">
        <v>24</v>
      </c>
      <c r="CK82" s="128">
        <v>1</v>
      </c>
      <c r="CL82" s="128">
        <v>3</v>
      </c>
      <c r="CM82" s="137">
        <v>38</v>
      </c>
      <c r="CN82" s="130">
        <v>6</v>
      </c>
      <c r="CO82" s="128"/>
      <c r="CP82" s="132">
        <v>6</v>
      </c>
      <c r="CQ82" s="134"/>
      <c r="CR82" s="130">
        <v>92</v>
      </c>
      <c r="CS82" s="128">
        <v>17</v>
      </c>
      <c r="CT82" s="128">
        <v>16531</v>
      </c>
      <c r="CU82" s="128">
        <v>132</v>
      </c>
      <c r="CV82" s="128">
        <v>1941</v>
      </c>
      <c r="CW82" s="128">
        <v>113</v>
      </c>
      <c r="CX82" s="128">
        <v>44</v>
      </c>
      <c r="CY82" s="128">
        <v>5</v>
      </c>
      <c r="CZ82" s="128"/>
      <c r="DA82" s="128"/>
      <c r="DB82" s="128">
        <v>0</v>
      </c>
      <c r="DC82" s="132">
        <v>18875</v>
      </c>
      <c r="DD82" s="136">
        <v>939</v>
      </c>
      <c r="DE82" s="128">
        <v>43</v>
      </c>
      <c r="DF82" s="128">
        <v>9</v>
      </c>
      <c r="DG82" s="128">
        <v>35</v>
      </c>
      <c r="DH82" s="128">
        <v>2</v>
      </c>
      <c r="DI82" s="128"/>
      <c r="DJ82" s="128"/>
      <c r="DK82" s="137">
        <v>1028</v>
      </c>
      <c r="DL82" s="140"/>
      <c r="DM82" s="134"/>
      <c r="DN82" s="130"/>
      <c r="DO82" s="128"/>
      <c r="DP82" s="132"/>
      <c r="DQ82" s="134">
        <v>25</v>
      </c>
      <c r="DR82" s="130"/>
      <c r="DS82" s="128"/>
      <c r="DT82" s="132"/>
      <c r="DU82" s="136">
        <v>139</v>
      </c>
      <c r="DV82" s="128"/>
      <c r="DW82" s="137">
        <v>139</v>
      </c>
      <c r="DX82" s="140">
        <v>11</v>
      </c>
      <c r="DY82" s="134"/>
      <c r="DZ82" s="134">
        <v>407</v>
      </c>
      <c r="EA82" s="134">
        <v>1</v>
      </c>
      <c r="EB82" s="134"/>
      <c r="EC82" s="130">
        <v>19</v>
      </c>
      <c r="ED82" s="128">
        <v>19</v>
      </c>
      <c r="EE82" s="128"/>
      <c r="EF82" s="128"/>
      <c r="EG82" s="128"/>
      <c r="EH82" s="132">
        <v>38</v>
      </c>
      <c r="EI82" s="136">
        <v>156</v>
      </c>
      <c r="EJ82" s="128">
        <v>1495</v>
      </c>
      <c r="EK82" s="128">
        <v>45</v>
      </c>
      <c r="EL82" s="128">
        <v>280</v>
      </c>
      <c r="EM82" s="128">
        <v>754</v>
      </c>
      <c r="EN82" s="128">
        <v>20</v>
      </c>
      <c r="EO82" s="128">
        <v>7</v>
      </c>
      <c r="EP82" s="128">
        <v>102</v>
      </c>
      <c r="EQ82" s="128">
        <v>5</v>
      </c>
      <c r="ER82" s="128">
        <v>4</v>
      </c>
      <c r="ES82" s="128">
        <v>6</v>
      </c>
      <c r="ET82" s="128"/>
      <c r="EU82" s="128"/>
      <c r="EV82" s="137">
        <v>2874</v>
      </c>
      <c r="EW82" s="140"/>
      <c r="EX82" s="134"/>
      <c r="EY82" s="130"/>
      <c r="EZ82" s="128"/>
      <c r="FA82" s="128"/>
      <c r="FB82" s="132"/>
      <c r="FC82" s="136"/>
      <c r="FD82" s="128"/>
      <c r="FE82" s="137"/>
      <c r="FF82" s="140"/>
      <c r="FG82" s="136">
        <v>3</v>
      </c>
      <c r="FH82" s="128">
        <v>12</v>
      </c>
      <c r="FI82" s="128">
        <v>23</v>
      </c>
      <c r="FJ82" s="128"/>
      <c r="FK82" s="137">
        <v>38</v>
      </c>
      <c r="FL82" s="130"/>
      <c r="FM82" s="128"/>
      <c r="FN82" s="132"/>
      <c r="FO82" s="136"/>
      <c r="FP82" s="128"/>
      <c r="FQ82" s="137"/>
      <c r="FR82" s="140"/>
      <c r="FS82" s="134">
        <v>29</v>
      </c>
      <c r="FT82" s="130"/>
      <c r="FU82" s="128">
        <v>10</v>
      </c>
      <c r="FV82" s="128">
        <v>1</v>
      </c>
      <c r="FW82" s="128"/>
      <c r="FX82" s="128"/>
      <c r="FY82" s="132">
        <v>11</v>
      </c>
      <c r="FZ82" s="134"/>
      <c r="GA82" s="130">
        <v>5</v>
      </c>
      <c r="GB82" s="128"/>
      <c r="GC82" s="132">
        <v>5</v>
      </c>
      <c r="GD82" s="134"/>
      <c r="GE82" s="130"/>
      <c r="GF82" s="128"/>
      <c r="GG82" s="128"/>
      <c r="GH82" s="132"/>
      <c r="GI82" s="134">
        <v>25</v>
      </c>
      <c r="GJ82" s="130">
        <v>17</v>
      </c>
      <c r="GK82" s="128">
        <v>1</v>
      </c>
      <c r="GL82" s="128"/>
      <c r="GM82" s="128"/>
      <c r="GN82" s="132">
        <v>18</v>
      </c>
      <c r="GO82" s="134">
        <v>97240</v>
      </c>
      <c r="GP82" s="323">
        <f>97240/44564395</f>
        <v>2.1820109977931934E-3</v>
      </c>
    </row>
    <row r="83" spans="2:198" x14ac:dyDescent="0.2">
      <c r="B83" s="326" t="s">
        <v>157</v>
      </c>
      <c r="C83" s="325">
        <v>36</v>
      </c>
      <c r="D83" s="128"/>
      <c r="E83" s="128"/>
      <c r="F83" s="128"/>
      <c r="G83" s="324">
        <v>36</v>
      </c>
      <c r="H83" s="140"/>
      <c r="I83" s="136">
        <v>7</v>
      </c>
      <c r="J83" s="128"/>
      <c r="K83" s="137">
        <v>7</v>
      </c>
      <c r="L83" s="140"/>
      <c r="M83" s="134">
        <v>194</v>
      </c>
      <c r="N83" s="140">
        <v>186333</v>
      </c>
      <c r="O83" s="128">
        <v>20002</v>
      </c>
      <c r="P83" s="128">
        <v>132</v>
      </c>
      <c r="Q83" s="128">
        <v>5</v>
      </c>
      <c r="R83" s="128">
        <v>3</v>
      </c>
      <c r="S83" s="128"/>
      <c r="T83" s="128">
        <v>1</v>
      </c>
      <c r="U83" s="128"/>
      <c r="V83" s="132">
        <v>206476</v>
      </c>
      <c r="W83" s="136">
        <v>22</v>
      </c>
      <c r="X83" s="128">
        <v>5</v>
      </c>
      <c r="Y83" s="137">
        <v>27</v>
      </c>
      <c r="Z83" s="130">
        <v>460</v>
      </c>
      <c r="AA83" s="128"/>
      <c r="AB83" s="128"/>
      <c r="AC83" s="132">
        <v>460</v>
      </c>
      <c r="AD83" s="136">
        <v>538</v>
      </c>
      <c r="AE83" s="128">
        <v>0</v>
      </c>
      <c r="AF83" s="137">
        <v>538</v>
      </c>
      <c r="AG83" s="130">
        <v>5</v>
      </c>
      <c r="AH83" s="128"/>
      <c r="AI83" s="128">
        <v>1</v>
      </c>
      <c r="AJ83" s="128"/>
      <c r="AK83" s="132">
        <v>6</v>
      </c>
      <c r="AL83" s="136">
        <v>0</v>
      </c>
      <c r="AM83" s="128"/>
      <c r="AN83" s="137">
        <v>0</v>
      </c>
      <c r="AO83" s="134"/>
      <c r="AP83" s="134"/>
      <c r="AQ83" s="130">
        <v>1</v>
      </c>
      <c r="AR83" s="128">
        <v>4</v>
      </c>
      <c r="AS83" s="132">
        <v>5</v>
      </c>
      <c r="AT83" s="136">
        <v>4</v>
      </c>
      <c r="AU83" s="128"/>
      <c r="AV83" s="128"/>
      <c r="AW83" s="128">
        <v>0</v>
      </c>
      <c r="AX83" s="128"/>
      <c r="AY83" s="128"/>
      <c r="AZ83" s="128"/>
      <c r="BA83" s="128">
        <v>1</v>
      </c>
      <c r="BB83" s="128"/>
      <c r="BC83" s="137">
        <v>5</v>
      </c>
      <c r="BD83" s="140"/>
      <c r="BE83" s="134">
        <v>23</v>
      </c>
      <c r="BF83" s="130">
        <v>117</v>
      </c>
      <c r="BG83" s="128">
        <v>199</v>
      </c>
      <c r="BH83" s="128">
        <v>791</v>
      </c>
      <c r="BI83" s="128">
        <v>16</v>
      </c>
      <c r="BJ83" s="128">
        <v>4</v>
      </c>
      <c r="BK83" s="132">
        <v>1127</v>
      </c>
      <c r="BL83" s="134">
        <v>6</v>
      </c>
      <c r="BM83" s="134"/>
      <c r="BN83" s="134"/>
      <c r="BO83" s="134">
        <v>2</v>
      </c>
      <c r="BP83" s="130">
        <v>9</v>
      </c>
      <c r="BQ83" s="128"/>
      <c r="BR83" s="132">
        <v>9</v>
      </c>
      <c r="BS83" s="134"/>
      <c r="BT83" s="130">
        <v>4</v>
      </c>
      <c r="BU83" s="128"/>
      <c r="BV83" s="132">
        <v>4</v>
      </c>
      <c r="BW83" s="136">
        <v>2</v>
      </c>
      <c r="BX83" s="128"/>
      <c r="BY83" s="128">
        <v>2</v>
      </c>
      <c r="BZ83" s="128">
        <v>5</v>
      </c>
      <c r="CA83" s="128">
        <v>3</v>
      </c>
      <c r="CB83" s="128"/>
      <c r="CC83" s="128"/>
      <c r="CD83" s="128"/>
      <c r="CE83" s="128"/>
      <c r="CF83" s="128">
        <v>6</v>
      </c>
      <c r="CG83" s="128">
        <v>1</v>
      </c>
      <c r="CH83" s="128"/>
      <c r="CI83" s="128"/>
      <c r="CJ83" s="128">
        <v>4</v>
      </c>
      <c r="CK83" s="128">
        <v>1</v>
      </c>
      <c r="CL83" s="128">
        <v>0</v>
      </c>
      <c r="CM83" s="137">
        <v>24</v>
      </c>
      <c r="CN83" s="130">
        <v>1</v>
      </c>
      <c r="CO83" s="128"/>
      <c r="CP83" s="132">
        <v>1</v>
      </c>
      <c r="CQ83" s="134">
        <v>1</v>
      </c>
      <c r="CR83" s="130">
        <v>137</v>
      </c>
      <c r="CS83" s="128">
        <v>13</v>
      </c>
      <c r="CT83" s="128">
        <v>23379</v>
      </c>
      <c r="CU83" s="128">
        <v>114</v>
      </c>
      <c r="CV83" s="128">
        <v>3023</v>
      </c>
      <c r="CW83" s="128">
        <v>64</v>
      </c>
      <c r="CX83" s="128">
        <v>8</v>
      </c>
      <c r="CY83" s="128">
        <v>5</v>
      </c>
      <c r="CZ83" s="128">
        <v>2</v>
      </c>
      <c r="DA83" s="128"/>
      <c r="DB83" s="128"/>
      <c r="DC83" s="132">
        <v>26745</v>
      </c>
      <c r="DD83" s="136">
        <v>1690</v>
      </c>
      <c r="DE83" s="128">
        <v>16</v>
      </c>
      <c r="DF83" s="128">
        <v>25</v>
      </c>
      <c r="DG83" s="128">
        <v>24</v>
      </c>
      <c r="DH83" s="128">
        <v>1</v>
      </c>
      <c r="DI83" s="128">
        <v>1</v>
      </c>
      <c r="DJ83" s="128">
        <v>1</v>
      </c>
      <c r="DK83" s="137">
        <v>1758</v>
      </c>
      <c r="DL83" s="140"/>
      <c r="DM83" s="134"/>
      <c r="DN83" s="130"/>
      <c r="DO83" s="128"/>
      <c r="DP83" s="132"/>
      <c r="DQ83" s="134">
        <v>113</v>
      </c>
      <c r="DR83" s="130"/>
      <c r="DS83" s="128"/>
      <c r="DT83" s="132"/>
      <c r="DU83" s="136">
        <v>27</v>
      </c>
      <c r="DV83" s="128">
        <v>1</v>
      </c>
      <c r="DW83" s="137">
        <v>28</v>
      </c>
      <c r="DX83" s="140">
        <v>3</v>
      </c>
      <c r="DY83" s="134"/>
      <c r="DZ83" s="134">
        <v>560</v>
      </c>
      <c r="EA83" s="134">
        <v>3</v>
      </c>
      <c r="EB83" s="134"/>
      <c r="EC83" s="130">
        <v>17</v>
      </c>
      <c r="ED83" s="128">
        <v>26</v>
      </c>
      <c r="EE83" s="128">
        <v>1</v>
      </c>
      <c r="EF83" s="128"/>
      <c r="EG83" s="128"/>
      <c r="EH83" s="132">
        <v>44</v>
      </c>
      <c r="EI83" s="136">
        <v>729</v>
      </c>
      <c r="EJ83" s="128">
        <v>4602</v>
      </c>
      <c r="EK83" s="128">
        <v>107</v>
      </c>
      <c r="EL83" s="128">
        <v>497</v>
      </c>
      <c r="EM83" s="128">
        <v>6675</v>
      </c>
      <c r="EN83" s="128">
        <v>61</v>
      </c>
      <c r="EO83" s="128">
        <v>3</v>
      </c>
      <c r="EP83" s="128">
        <v>599</v>
      </c>
      <c r="EQ83" s="128"/>
      <c r="ER83" s="128">
        <v>5</v>
      </c>
      <c r="ES83" s="128">
        <v>0</v>
      </c>
      <c r="ET83" s="128"/>
      <c r="EU83" s="128"/>
      <c r="EV83" s="137">
        <v>13278</v>
      </c>
      <c r="EW83" s="140"/>
      <c r="EX83" s="134">
        <v>4</v>
      </c>
      <c r="EY83" s="130">
        <v>0</v>
      </c>
      <c r="EZ83" s="128"/>
      <c r="FA83" s="128">
        <v>7</v>
      </c>
      <c r="FB83" s="132">
        <v>7</v>
      </c>
      <c r="FC83" s="136"/>
      <c r="FD83" s="128"/>
      <c r="FE83" s="137"/>
      <c r="FF83" s="140">
        <v>15</v>
      </c>
      <c r="FG83" s="136">
        <v>0</v>
      </c>
      <c r="FH83" s="128">
        <v>0</v>
      </c>
      <c r="FI83" s="128">
        <v>7</v>
      </c>
      <c r="FJ83" s="128">
        <v>2</v>
      </c>
      <c r="FK83" s="137">
        <v>9</v>
      </c>
      <c r="FL83" s="130"/>
      <c r="FM83" s="128"/>
      <c r="FN83" s="132"/>
      <c r="FO83" s="136">
        <v>11</v>
      </c>
      <c r="FP83" s="128"/>
      <c r="FQ83" s="137">
        <v>11</v>
      </c>
      <c r="FR83" s="140"/>
      <c r="FS83" s="134">
        <v>17</v>
      </c>
      <c r="FT83" s="130">
        <v>16</v>
      </c>
      <c r="FU83" s="128">
        <v>1</v>
      </c>
      <c r="FV83" s="128">
        <v>7</v>
      </c>
      <c r="FW83" s="128"/>
      <c r="FX83" s="128"/>
      <c r="FY83" s="132">
        <v>24</v>
      </c>
      <c r="FZ83" s="134"/>
      <c r="GA83" s="130">
        <v>7</v>
      </c>
      <c r="GB83" s="128"/>
      <c r="GC83" s="132">
        <v>7</v>
      </c>
      <c r="GD83" s="134"/>
      <c r="GE83" s="130">
        <v>1</v>
      </c>
      <c r="GF83" s="128"/>
      <c r="GG83" s="128"/>
      <c r="GH83" s="132">
        <v>1</v>
      </c>
      <c r="GI83" s="134">
        <v>14</v>
      </c>
      <c r="GJ83" s="130">
        <v>23</v>
      </c>
      <c r="GK83" s="128">
        <v>3</v>
      </c>
      <c r="GL83" s="128">
        <v>1</v>
      </c>
      <c r="GM83" s="128"/>
      <c r="GN83" s="132">
        <v>27</v>
      </c>
      <c r="GO83" s="134">
        <v>251619</v>
      </c>
      <c r="GP83" s="323">
        <f>251619/44564395</f>
        <v>5.6461890708939281E-3</v>
      </c>
    </row>
    <row r="84" spans="2:198" x14ac:dyDescent="0.2">
      <c r="B84" s="326" t="s">
        <v>167</v>
      </c>
      <c r="C84" s="325">
        <v>1</v>
      </c>
      <c r="D84" s="128"/>
      <c r="E84" s="128"/>
      <c r="F84" s="128"/>
      <c r="G84" s="324">
        <v>1</v>
      </c>
      <c r="H84" s="140"/>
      <c r="I84" s="136">
        <v>0</v>
      </c>
      <c r="J84" s="128"/>
      <c r="K84" s="137">
        <v>0</v>
      </c>
      <c r="L84" s="140"/>
      <c r="M84" s="134">
        <v>396</v>
      </c>
      <c r="N84" s="140">
        <v>447</v>
      </c>
      <c r="O84" s="128"/>
      <c r="P84" s="128">
        <v>9</v>
      </c>
      <c r="Q84" s="128">
        <v>11</v>
      </c>
      <c r="R84" s="128"/>
      <c r="S84" s="128"/>
      <c r="T84" s="128"/>
      <c r="U84" s="128"/>
      <c r="V84" s="132">
        <v>467</v>
      </c>
      <c r="W84" s="136"/>
      <c r="X84" s="128">
        <v>0</v>
      </c>
      <c r="Y84" s="137">
        <v>0</v>
      </c>
      <c r="Z84" s="130">
        <v>14</v>
      </c>
      <c r="AA84" s="128"/>
      <c r="AB84" s="128"/>
      <c r="AC84" s="132">
        <v>14</v>
      </c>
      <c r="AD84" s="136">
        <v>996</v>
      </c>
      <c r="AE84" s="128">
        <v>0</v>
      </c>
      <c r="AF84" s="137">
        <v>996</v>
      </c>
      <c r="AG84" s="130">
        <v>11</v>
      </c>
      <c r="AH84" s="128"/>
      <c r="AI84" s="128"/>
      <c r="AJ84" s="128"/>
      <c r="AK84" s="132">
        <v>11</v>
      </c>
      <c r="AL84" s="136"/>
      <c r="AM84" s="128"/>
      <c r="AN84" s="137"/>
      <c r="AO84" s="134"/>
      <c r="AP84" s="134"/>
      <c r="AQ84" s="130"/>
      <c r="AR84" s="128"/>
      <c r="AS84" s="132"/>
      <c r="AT84" s="136">
        <v>8</v>
      </c>
      <c r="AU84" s="128"/>
      <c r="AV84" s="128"/>
      <c r="AW84" s="128"/>
      <c r="AX84" s="128">
        <v>2</v>
      </c>
      <c r="AY84" s="128"/>
      <c r="AZ84" s="128"/>
      <c r="BA84" s="128"/>
      <c r="BB84" s="128"/>
      <c r="BC84" s="137">
        <v>10</v>
      </c>
      <c r="BD84" s="140"/>
      <c r="BE84" s="134"/>
      <c r="BF84" s="130">
        <v>10</v>
      </c>
      <c r="BG84" s="128">
        <v>32</v>
      </c>
      <c r="BH84" s="128">
        <v>61</v>
      </c>
      <c r="BI84" s="128">
        <v>10</v>
      </c>
      <c r="BJ84" s="128">
        <v>1</v>
      </c>
      <c r="BK84" s="132">
        <v>114</v>
      </c>
      <c r="BL84" s="134"/>
      <c r="BM84" s="134"/>
      <c r="BN84" s="134"/>
      <c r="BO84" s="134"/>
      <c r="BP84" s="130">
        <v>2</v>
      </c>
      <c r="BQ84" s="128"/>
      <c r="BR84" s="132">
        <v>2</v>
      </c>
      <c r="BS84" s="134"/>
      <c r="BT84" s="130"/>
      <c r="BU84" s="128"/>
      <c r="BV84" s="132"/>
      <c r="BW84" s="136"/>
      <c r="BX84" s="128"/>
      <c r="BY84" s="128"/>
      <c r="BZ84" s="128"/>
      <c r="CA84" s="128"/>
      <c r="CB84" s="128"/>
      <c r="CC84" s="128"/>
      <c r="CD84" s="128"/>
      <c r="CE84" s="128"/>
      <c r="CF84" s="128"/>
      <c r="CG84" s="128"/>
      <c r="CH84" s="128"/>
      <c r="CI84" s="128"/>
      <c r="CJ84" s="128"/>
      <c r="CK84" s="128"/>
      <c r="CL84" s="128"/>
      <c r="CM84" s="137"/>
      <c r="CN84" s="130"/>
      <c r="CO84" s="128"/>
      <c r="CP84" s="132"/>
      <c r="CQ84" s="134"/>
      <c r="CR84" s="130">
        <v>74</v>
      </c>
      <c r="CS84" s="128"/>
      <c r="CT84" s="128">
        <v>12479</v>
      </c>
      <c r="CU84" s="128">
        <v>216</v>
      </c>
      <c r="CV84" s="128">
        <v>270</v>
      </c>
      <c r="CW84" s="128">
        <v>1</v>
      </c>
      <c r="CX84" s="128">
        <v>1</v>
      </c>
      <c r="CY84" s="128"/>
      <c r="CZ84" s="128">
        <v>4</v>
      </c>
      <c r="DA84" s="128"/>
      <c r="DB84" s="128"/>
      <c r="DC84" s="132">
        <v>13045</v>
      </c>
      <c r="DD84" s="136">
        <v>54</v>
      </c>
      <c r="DE84" s="128"/>
      <c r="DF84" s="128">
        <v>10</v>
      </c>
      <c r="DG84" s="128">
        <v>48</v>
      </c>
      <c r="DH84" s="128">
        <v>1</v>
      </c>
      <c r="DI84" s="128"/>
      <c r="DJ84" s="128"/>
      <c r="DK84" s="137">
        <v>113</v>
      </c>
      <c r="DL84" s="140"/>
      <c r="DM84" s="134"/>
      <c r="DN84" s="130"/>
      <c r="DO84" s="128"/>
      <c r="DP84" s="132"/>
      <c r="DQ84" s="134">
        <v>7</v>
      </c>
      <c r="DR84" s="130"/>
      <c r="DS84" s="128"/>
      <c r="DT84" s="132"/>
      <c r="DU84" s="136"/>
      <c r="DV84" s="128"/>
      <c r="DW84" s="137"/>
      <c r="DX84" s="140">
        <v>1</v>
      </c>
      <c r="DY84" s="134"/>
      <c r="DZ84" s="134">
        <v>7</v>
      </c>
      <c r="EA84" s="134"/>
      <c r="EB84" s="134"/>
      <c r="EC84" s="130">
        <v>0</v>
      </c>
      <c r="ED84" s="128"/>
      <c r="EE84" s="128"/>
      <c r="EF84" s="128">
        <v>2</v>
      </c>
      <c r="EG84" s="128"/>
      <c r="EH84" s="132">
        <v>2</v>
      </c>
      <c r="EI84" s="136">
        <v>38</v>
      </c>
      <c r="EJ84" s="128">
        <v>116</v>
      </c>
      <c r="EK84" s="128">
        <v>7</v>
      </c>
      <c r="EL84" s="128">
        <v>12</v>
      </c>
      <c r="EM84" s="128">
        <v>105</v>
      </c>
      <c r="EN84" s="128">
        <v>23</v>
      </c>
      <c r="EO84" s="128">
        <v>9</v>
      </c>
      <c r="EP84" s="128">
        <v>800</v>
      </c>
      <c r="EQ84" s="128">
        <v>8</v>
      </c>
      <c r="ER84" s="128">
        <v>1</v>
      </c>
      <c r="ES84" s="128">
        <v>5</v>
      </c>
      <c r="ET84" s="128"/>
      <c r="EU84" s="128"/>
      <c r="EV84" s="137">
        <v>1124</v>
      </c>
      <c r="EW84" s="140"/>
      <c r="EX84" s="134"/>
      <c r="EY84" s="130"/>
      <c r="EZ84" s="128"/>
      <c r="FA84" s="128"/>
      <c r="FB84" s="132"/>
      <c r="FC84" s="136"/>
      <c r="FD84" s="128"/>
      <c r="FE84" s="137"/>
      <c r="FF84" s="140"/>
      <c r="FG84" s="136"/>
      <c r="FH84" s="128"/>
      <c r="FI84" s="128"/>
      <c r="FJ84" s="128"/>
      <c r="FK84" s="137"/>
      <c r="FL84" s="130"/>
      <c r="FM84" s="128"/>
      <c r="FN84" s="132"/>
      <c r="FO84" s="136"/>
      <c r="FP84" s="128"/>
      <c r="FQ84" s="137"/>
      <c r="FR84" s="140"/>
      <c r="FS84" s="134">
        <v>2</v>
      </c>
      <c r="FT84" s="130">
        <v>1</v>
      </c>
      <c r="FU84" s="128">
        <v>1</v>
      </c>
      <c r="FV84" s="128"/>
      <c r="FW84" s="128"/>
      <c r="FX84" s="128"/>
      <c r="FY84" s="132">
        <v>2</v>
      </c>
      <c r="FZ84" s="134"/>
      <c r="GA84" s="130">
        <v>2</v>
      </c>
      <c r="GB84" s="128"/>
      <c r="GC84" s="132">
        <v>2</v>
      </c>
      <c r="GD84" s="134"/>
      <c r="GE84" s="130"/>
      <c r="GF84" s="128"/>
      <c r="GG84" s="128"/>
      <c r="GH84" s="132"/>
      <c r="GI84" s="134"/>
      <c r="GJ84" s="130">
        <v>4</v>
      </c>
      <c r="GK84" s="128"/>
      <c r="GL84" s="128">
        <v>1</v>
      </c>
      <c r="GM84" s="128"/>
      <c r="GN84" s="132">
        <v>5</v>
      </c>
      <c r="GO84" s="134">
        <v>16321</v>
      </c>
      <c r="GP84" s="323">
        <f>16321/44564395</f>
        <v>3.6623407543174321E-4</v>
      </c>
    </row>
    <row r="85" spans="2:198" x14ac:dyDescent="0.2">
      <c r="B85" s="326" t="s">
        <v>205</v>
      </c>
      <c r="C85" s="325">
        <v>105</v>
      </c>
      <c r="D85" s="128">
        <v>10</v>
      </c>
      <c r="E85" s="128">
        <v>11</v>
      </c>
      <c r="F85" s="128">
        <v>1</v>
      </c>
      <c r="G85" s="324">
        <v>127</v>
      </c>
      <c r="H85" s="140"/>
      <c r="I85" s="136">
        <v>9</v>
      </c>
      <c r="J85" s="128"/>
      <c r="K85" s="137">
        <v>9</v>
      </c>
      <c r="L85" s="140"/>
      <c r="M85" s="134">
        <v>1279</v>
      </c>
      <c r="N85" s="140">
        <v>292085</v>
      </c>
      <c r="O85" s="128">
        <v>45</v>
      </c>
      <c r="P85" s="128">
        <v>141</v>
      </c>
      <c r="Q85" s="128">
        <v>183</v>
      </c>
      <c r="R85" s="128">
        <v>9</v>
      </c>
      <c r="S85" s="128">
        <v>0</v>
      </c>
      <c r="T85" s="128"/>
      <c r="U85" s="128">
        <v>3</v>
      </c>
      <c r="V85" s="132">
        <v>292466</v>
      </c>
      <c r="W85" s="136">
        <v>164</v>
      </c>
      <c r="X85" s="128">
        <v>31</v>
      </c>
      <c r="Y85" s="137">
        <v>195</v>
      </c>
      <c r="Z85" s="130">
        <v>414</v>
      </c>
      <c r="AA85" s="128"/>
      <c r="AB85" s="128"/>
      <c r="AC85" s="132">
        <v>414</v>
      </c>
      <c r="AD85" s="136">
        <v>2822</v>
      </c>
      <c r="AE85" s="128">
        <v>10</v>
      </c>
      <c r="AF85" s="137">
        <v>2832</v>
      </c>
      <c r="AG85" s="130">
        <v>309</v>
      </c>
      <c r="AH85" s="128">
        <v>4</v>
      </c>
      <c r="AI85" s="128">
        <v>7</v>
      </c>
      <c r="AJ85" s="128"/>
      <c r="AK85" s="132">
        <v>320</v>
      </c>
      <c r="AL85" s="136">
        <v>6</v>
      </c>
      <c r="AM85" s="128"/>
      <c r="AN85" s="137">
        <v>6</v>
      </c>
      <c r="AO85" s="134"/>
      <c r="AP85" s="134"/>
      <c r="AQ85" s="130">
        <v>10</v>
      </c>
      <c r="AR85" s="128">
        <v>34</v>
      </c>
      <c r="AS85" s="132">
        <v>44</v>
      </c>
      <c r="AT85" s="136">
        <v>70</v>
      </c>
      <c r="AU85" s="128"/>
      <c r="AV85" s="128">
        <v>77</v>
      </c>
      <c r="AW85" s="128">
        <v>10</v>
      </c>
      <c r="AX85" s="128">
        <v>1</v>
      </c>
      <c r="AY85" s="128"/>
      <c r="AZ85" s="128">
        <v>1</v>
      </c>
      <c r="BA85" s="128">
        <v>2</v>
      </c>
      <c r="BB85" s="128"/>
      <c r="BC85" s="137">
        <v>161</v>
      </c>
      <c r="BD85" s="140"/>
      <c r="BE85" s="134">
        <v>86</v>
      </c>
      <c r="BF85" s="130">
        <v>170167</v>
      </c>
      <c r="BG85" s="128">
        <v>6367</v>
      </c>
      <c r="BH85" s="128">
        <v>126910</v>
      </c>
      <c r="BI85" s="128">
        <v>393</v>
      </c>
      <c r="BJ85" s="128">
        <v>1140</v>
      </c>
      <c r="BK85" s="132">
        <v>304977</v>
      </c>
      <c r="BL85" s="134">
        <v>14</v>
      </c>
      <c r="BM85" s="134"/>
      <c r="BN85" s="134">
        <v>3</v>
      </c>
      <c r="BO85" s="134">
        <v>29</v>
      </c>
      <c r="BP85" s="130">
        <v>70</v>
      </c>
      <c r="BQ85" s="128"/>
      <c r="BR85" s="132">
        <v>70</v>
      </c>
      <c r="BS85" s="134"/>
      <c r="BT85" s="130">
        <v>6</v>
      </c>
      <c r="BU85" s="128"/>
      <c r="BV85" s="132">
        <v>6</v>
      </c>
      <c r="BW85" s="136">
        <v>28</v>
      </c>
      <c r="BX85" s="128">
        <v>0</v>
      </c>
      <c r="BY85" s="128">
        <v>34</v>
      </c>
      <c r="BZ85" s="128">
        <v>9</v>
      </c>
      <c r="CA85" s="128">
        <v>5</v>
      </c>
      <c r="CB85" s="128">
        <v>3</v>
      </c>
      <c r="CC85" s="128">
        <v>10</v>
      </c>
      <c r="CD85" s="128"/>
      <c r="CE85" s="128">
        <v>2</v>
      </c>
      <c r="CF85" s="128">
        <v>3</v>
      </c>
      <c r="CG85" s="128">
        <v>0</v>
      </c>
      <c r="CH85" s="128"/>
      <c r="CI85" s="128"/>
      <c r="CJ85" s="128">
        <v>13</v>
      </c>
      <c r="CK85" s="128">
        <v>4</v>
      </c>
      <c r="CL85" s="128">
        <v>1</v>
      </c>
      <c r="CM85" s="137">
        <v>112</v>
      </c>
      <c r="CN85" s="130">
        <v>2</v>
      </c>
      <c r="CO85" s="128"/>
      <c r="CP85" s="132">
        <v>2</v>
      </c>
      <c r="CQ85" s="134"/>
      <c r="CR85" s="130">
        <v>441</v>
      </c>
      <c r="CS85" s="128">
        <v>25</v>
      </c>
      <c r="CT85" s="128">
        <v>117143</v>
      </c>
      <c r="CU85" s="128">
        <v>1041</v>
      </c>
      <c r="CV85" s="128">
        <v>41137</v>
      </c>
      <c r="CW85" s="128">
        <v>281</v>
      </c>
      <c r="CX85" s="128">
        <v>287</v>
      </c>
      <c r="CY85" s="128">
        <v>30</v>
      </c>
      <c r="CZ85" s="128">
        <v>30</v>
      </c>
      <c r="DA85" s="128">
        <v>25</v>
      </c>
      <c r="DB85" s="128">
        <v>0</v>
      </c>
      <c r="DC85" s="132">
        <v>160440</v>
      </c>
      <c r="DD85" s="136">
        <v>5117</v>
      </c>
      <c r="DE85" s="128">
        <v>230</v>
      </c>
      <c r="DF85" s="128">
        <v>355</v>
      </c>
      <c r="DG85" s="128">
        <v>427</v>
      </c>
      <c r="DH85" s="128">
        <v>30</v>
      </c>
      <c r="DI85" s="128">
        <v>8</v>
      </c>
      <c r="DJ85" s="128"/>
      <c r="DK85" s="137">
        <v>6167</v>
      </c>
      <c r="DL85" s="140"/>
      <c r="DM85" s="134"/>
      <c r="DN85" s="130"/>
      <c r="DO85" s="128">
        <v>26</v>
      </c>
      <c r="DP85" s="132">
        <v>26</v>
      </c>
      <c r="DQ85" s="134">
        <v>148</v>
      </c>
      <c r="DR85" s="130"/>
      <c r="DS85" s="128"/>
      <c r="DT85" s="132"/>
      <c r="DU85" s="136">
        <v>255</v>
      </c>
      <c r="DV85" s="128">
        <v>0</v>
      </c>
      <c r="DW85" s="137">
        <v>255</v>
      </c>
      <c r="DX85" s="140">
        <v>27</v>
      </c>
      <c r="DY85" s="134">
        <v>3</v>
      </c>
      <c r="DZ85" s="134">
        <v>91116</v>
      </c>
      <c r="EA85" s="134">
        <v>2</v>
      </c>
      <c r="EB85" s="134"/>
      <c r="EC85" s="130">
        <v>284</v>
      </c>
      <c r="ED85" s="128">
        <v>138</v>
      </c>
      <c r="EE85" s="128">
        <v>7</v>
      </c>
      <c r="EF85" s="128"/>
      <c r="EG85" s="128"/>
      <c r="EH85" s="132">
        <v>429</v>
      </c>
      <c r="EI85" s="136">
        <v>2086</v>
      </c>
      <c r="EJ85" s="128">
        <v>5023</v>
      </c>
      <c r="EK85" s="128">
        <v>306</v>
      </c>
      <c r="EL85" s="128">
        <v>3499</v>
      </c>
      <c r="EM85" s="128">
        <v>11079</v>
      </c>
      <c r="EN85" s="128">
        <v>172</v>
      </c>
      <c r="EO85" s="128">
        <v>39</v>
      </c>
      <c r="EP85" s="128">
        <v>1282</v>
      </c>
      <c r="EQ85" s="128">
        <v>27</v>
      </c>
      <c r="ER85" s="128">
        <v>8</v>
      </c>
      <c r="ES85" s="128">
        <v>15</v>
      </c>
      <c r="ET85" s="128">
        <v>0</v>
      </c>
      <c r="EU85" s="128"/>
      <c r="EV85" s="137">
        <v>23536</v>
      </c>
      <c r="EW85" s="140"/>
      <c r="EX85" s="134">
        <v>25</v>
      </c>
      <c r="EY85" s="130">
        <v>5</v>
      </c>
      <c r="EZ85" s="128"/>
      <c r="FA85" s="128"/>
      <c r="FB85" s="132">
        <v>5</v>
      </c>
      <c r="FC85" s="136">
        <v>1</v>
      </c>
      <c r="FD85" s="128"/>
      <c r="FE85" s="137">
        <v>1</v>
      </c>
      <c r="FF85" s="140"/>
      <c r="FG85" s="136">
        <v>14</v>
      </c>
      <c r="FH85" s="128">
        <v>31</v>
      </c>
      <c r="FI85" s="128">
        <v>0</v>
      </c>
      <c r="FJ85" s="128">
        <v>2</v>
      </c>
      <c r="FK85" s="137">
        <v>47</v>
      </c>
      <c r="FL85" s="130"/>
      <c r="FM85" s="128"/>
      <c r="FN85" s="132"/>
      <c r="FO85" s="136"/>
      <c r="FP85" s="128"/>
      <c r="FQ85" s="137"/>
      <c r="FR85" s="140">
        <v>58</v>
      </c>
      <c r="FS85" s="134">
        <v>140</v>
      </c>
      <c r="FT85" s="130">
        <v>110</v>
      </c>
      <c r="FU85" s="128">
        <v>47</v>
      </c>
      <c r="FV85" s="128">
        <v>15</v>
      </c>
      <c r="FW85" s="128">
        <v>74</v>
      </c>
      <c r="FX85" s="128"/>
      <c r="FY85" s="132">
        <v>246</v>
      </c>
      <c r="FZ85" s="134"/>
      <c r="GA85" s="130">
        <v>34</v>
      </c>
      <c r="GB85" s="128">
        <v>0</v>
      </c>
      <c r="GC85" s="132">
        <v>34</v>
      </c>
      <c r="GD85" s="134">
        <v>3</v>
      </c>
      <c r="GE85" s="130">
        <v>0</v>
      </c>
      <c r="GF85" s="128"/>
      <c r="GG85" s="128"/>
      <c r="GH85" s="132">
        <v>0</v>
      </c>
      <c r="GI85" s="134">
        <v>122</v>
      </c>
      <c r="GJ85" s="130">
        <v>136</v>
      </c>
      <c r="GK85" s="128">
        <v>3</v>
      </c>
      <c r="GL85" s="128">
        <v>430</v>
      </c>
      <c r="GM85" s="128">
        <v>4</v>
      </c>
      <c r="GN85" s="132">
        <v>573</v>
      </c>
      <c r="GO85" s="134">
        <v>886555</v>
      </c>
      <c r="GP85" s="323">
        <f>886555/44564395</f>
        <v>1.9893796381618107E-2</v>
      </c>
    </row>
    <row r="86" spans="2:198" x14ac:dyDescent="0.2">
      <c r="B86" s="326" t="s">
        <v>218</v>
      </c>
      <c r="C86" s="325">
        <v>50</v>
      </c>
      <c r="D86" s="128"/>
      <c r="E86" s="128">
        <v>1</v>
      </c>
      <c r="F86" s="128"/>
      <c r="G86" s="324">
        <v>51</v>
      </c>
      <c r="H86" s="140"/>
      <c r="I86" s="136">
        <v>8</v>
      </c>
      <c r="J86" s="128"/>
      <c r="K86" s="137">
        <v>8</v>
      </c>
      <c r="L86" s="140"/>
      <c r="M86" s="134">
        <v>2109</v>
      </c>
      <c r="N86" s="140">
        <v>88859</v>
      </c>
      <c r="O86" s="128">
        <v>4571</v>
      </c>
      <c r="P86" s="128">
        <v>59</v>
      </c>
      <c r="Q86" s="128">
        <v>132</v>
      </c>
      <c r="R86" s="128">
        <v>6</v>
      </c>
      <c r="S86" s="128"/>
      <c r="T86" s="128"/>
      <c r="U86" s="128">
        <v>2</v>
      </c>
      <c r="V86" s="132">
        <v>93629</v>
      </c>
      <c r="W86" s="136">
        <v>173</v>
      </c>
      <c r="X86" s="128">
        <v>43</v>
      </c>
      <c r="Y86" s="137">
        <v>216</v>
      </c>
      <c r="Z86" s="130">
        <v>398</v>
      </c>
      <c r="AA86" s="128"/>
      <c r="AB86" s="128">
        <v>1</v>
      </c>
      <c r="AC86" s="132">
        <v>399</v>
      </c>
      <c r="AD86" s="136">
        <v>1418</v>
      </c>
      <c r="AE86" s="128">
        <v>2</v>
      </c>
      <c r="AF86" s="137">
        <v>1420</v>
      </c>
      <c r="AG86" s="130">
        <v>359</v>
      </c>
      <c r="AH86" s="128">
        <v>2</v>
      </c>
      <c r="AI86" s="128"/>
      <c r="AJ86" s="128"/>
      <c r="AK86" s="132">
        <v>361</v>
      </c>
      <c r="AL86" s="136"/>
      <c r="AM86" s="128"/>
      <c r="AN86" s="137"/>
      <c r="AO86" s="134"/>
      <c r="AP86" s="134"/>
      <c r="AQ86" s="130">
        <v>1</v>
      </c>
      <c r="AR86" s="128">
        <v>0</v>
      </c>
      <c r="AS86" s="132">
        <v>1</v>
      </c>
      <c r="AT86" s="136">
        <v>12</v>
      </c>
      <c r="AU86" s="128">
        <v>0</v>
      </c>
      <c r="AV86" s="128">
        <v>63</v>
      </c>
      <c r="AW86" s="128">
        <v>1</v>
      </c>
      <c r="AX86" s="128"/>
      <c r="AY86" s="128"/>
      <c r="AZ86" s="128"/>
      <c r="BA86" s="128"/>
      <c r="BB86" s="128"/>
      <c r="BC86" s="137">
        <v>76</v>
      </c>
      <c r="BD86" s="140"/>
      <c r="BE86" s="134">
        <v>5</v>
      </c>
      <c r="BF86" s="130">
        <v>2337</v>
      </c>
      <c r="BG86" s="128">
        <v>4054</v>
      </c>
      <c r="BH86" s="128">
        <v>164443</v>
      </c>
      <c r="BI86" s="128">
        <v>410</v>
      </c>
      <c r="BJ86" s="128">
        <v>191</v>
      </c>
      <c r="BK86" s="132">
        <v>171435</v>
      </c>
      <c r="BL86" s="134">
        <v>2</v>
      </c>
      <c r="BM86" s="134"/>
      <c r="BN86" s="134"/>
      <c r="BO86" s="134">
        <v>8</v>
      </c>
      <c r="BP86" s="130">
        <v>16</v>
      </c>
      <c r="BQ86" s="128"/>
      <c r="BR86" s="132">
        <v>16</v>
      </c>
      <c r="BS86" s="134"/>
      <c r="BT86" s="130"/>
      <c r="BU86" s="128"/>
      <c r="BV86" s="132"/>
      <c r="BW86" s="136">
        <v>1</v>
      </c>
      <c r="BX86" s="128"/>
      <c r="BY86" s="128"/>
      <c r="BZ86" s="128">
        <v>0</v>
      </c>
      <c r="CA86" s="128"/>
      <c r="CB86" s="128"/>
      <c r="CC86" s="128"/>
      <c r="CD86" s="128"/>
      <c r="CE86" s="128"/>
      <c r="CF86" s="128"/>
      <c r="CG86" s="128"/>
      <c r="CH86" s="128">
        <v>1</v>
      </c>
      <c r="CI86" s="128"/>
      <c r="CJ86" s="128"/>
      <c r="CK86" s="128"/>
      <c r="CL86" s="128"/>
      <c r="CM86" s="137">
        <v>2</v>
      </c>
      <c r="CN86" s="130">
        <v>1</v>
      </c>
      <c r="CO86" s="128"/>
      <c r="CP86" s="132">
        <v>1</v>
      </c>
      <c r="CQ86" s="134"/>
      <c r="CR86" s="130">
        <v>277</v>
      </c>
      <c r="CS86" s="128">
        <v>3</v>
      </c>
      <c r="CT86" s="128">
        <v>48814</v>
      </c>
      <c r="CU86" s="128">
        <v>182</v>
      </c>
      <c r="CV86" s="128">
        <v>13931</v>
      </c>
      <c r="CW86" s="128">
        <v>5</v>
      </c>
      <c r="CX86" s="128">
        <v>2</v>
      </c>
      <c r="CY86" s="128">
        <v>13</v>
      </c>
      <c r="CZ86" s="128">
        <v>13</v>
      </c>
      <c r="DA86" s="128">
        <v>1</v>
      </c>
      <c r="DB86" s="128"/>
      <c r="DC86" s="132">
        <v>63241</v>
      </c>
      <c r="DD86" s="136">
        <v>1849</v>
      </c>
      <c r="DE86" s="128">
        <v>6</v>
      </c>
      <c r="DF86" s="128">
        <v>89</v>
      </c>
      <c r="DG86" s="128">
        <v>74</v>
      </c>
      <c r="DH86" s="128">
        <v>8</v>
      </c>
      <c r="DI86" s="128"/>
      <c r="DJ86" s="128"/>
      <c r="DK86" s="137">
        <v>2026</v>
      </c>
      <c r="DL86" s="140"/>
      <c r="DM86" s="134">
        <v>2</v>
      </c>
      <c r="DN86" s="130"/>
      <c r="DO86" s="128"/>
      <c r="DP86" s="132"/>
      <c r="DQ86" s="134">
        <v>99</v>
      </c>
      <c r="DR86" s="130">
        <v>1</v>
      </c>
      <c r="DS86" s="128"/>
      <c r="DT86" s="132">
        <v>1</v>
      </c>
      <c r="DU86" s="136">
        <v>6</v>
      </c>
      <c r="DV86" s="128">
        <v>1</v>
      </c>
      <c r="DW86" s="137">
        <v>7</v>
      </c>
      <c r="DX86" s="140">
        <v>15</v>
      </c>
      <c r="DY86" s="134">
        <v>3</v>
      </c>
      <c r="DZ86" s="134">
        <v>577</v>
      </c>
      <c r="EA86" s="134">
        <v>1</v>
      </c>
      <c r="EB86" s="134"/>
      <c r="EC86" s="130">
        <v>4</v>
      </c>
      <c r="ED86" s="128">
        <v>13</v>
      </c>
      <c r="EE86" s="128">
        <v>1</v>
      </c>
      <c r="EF86" s="128"/>
      <c r="EG86" s="128"/>
      <c r="EH86" s="132">
        <v>18</v>
      </c>
      <c r="EI86" s="136">
        <v>2041</v>
      </c>
      <c r="EJ86" s="128">
        <v>1682</v>
      </c>
      <c r="EK86" s="128">
        <v>96</v>
      </c>
      <c r="EL86" s="128">
        <v>1038</v>
      </c>
      <c r="EM86" s="128">
        <v>15587</v>
      </c>
      <c r="EN86" s="128">
        <v>352</v>
      </c>
      <c r="EO86" s="128">
        <v>16</v>
      </c>
      <c r="EP86" s="128">
        <v>876</v>
      </c>
      <c r="EQ86" s="128">
        <v>13</v>
      </c>
      <c r="ER86" s="128">
        <v>5</v>
      </c>
      <c r="ES86" s="128">
        <v>22</v>
      </c>
      <c r="ET86" s="128"/>
      <c r="EU86" s="128"/>
      <c r="EV86" s="137">
        <v>21728</v>
      </c>
      <c r="EW86" s="140"/>
      <c r="EX86" s="134">
        <v>11</v>
      </c>
      <c r="EY86" s="130">
        <v>1</v>
      </c>
      <c r="EZ86" s="128"/>
      <c r="FA86" s="128"/>
      <c r="FB86" s="132">
        <v>1</v>
      </c>
      <c r="FC86" s="136"/>
      <c r="FD86" s="128"/>
      <c r="FE86" s="137"/>
      <c r="FF86" s="140"/>
      <c r="FG86" s="136"/>
      <c r="FH86" s="128">
        <v>8</v>
      </c>
      <c r="FI86" s="128"/>
      <c r="FJ86" s="128"/>
      <c r="FK86" s="137">
        <v>8</v>
      </c>
      <c r="FL86" s="130"/>
      <c r="FM86" s="128"/>
      <c r="FN86" s="132"/>
      <c r="FO86" s="136">
        <v>2</v>
      </c>
      <c r="FP86" s="128"/>
      <c r="FQ86" s="137">
        <v>2</v>
      </c>
      <c r="FR86" s="140">
        <v>2</v>
      </c>
      <c r="FS86" s="134">
        <v>26</v>
      </c>
      <c r="FT86" s="130">
        <v>1</v>
      </c>
      <c r="FU86" s="128">
        <v>5</v>
      </c>
      <c r="FV86" s="128">
        <v>15</v>
      </c>
      <c r="FW86" s="128"/>
      <c r="FX86" s="128"/>
      <c r="FY86" s="132">
        <v>21</v>
      </c>
      <c r="FZ86" s="134"/>
      <c r="GA86" s="130">
        <v>242</v>
      </c>
      <c r="GB86" s="128"/>
      <c r="GC86" s="132">
        <v>242</v>
      </c>
      <c r="GD86" s="134"/>
      <c r="GE86" s="130">
        <v>8</v>
      </c>
      <c r="GF86" s="128"/>
      <c r="GG86" s="128"/>
      <c r="GH86" s="132">
        <v>8</v>
      </c>
      <c r="GI86" s="134">
        <v>6</v>
      </c>
      <c r="GJ86" s="130">
        <v>2</v>
      </c>
      <c r="GK86" s="128">
        <v>1</v>
      </c>
      <c r="GL86" s="128"/>
      <c r="GM86" s="128"/>
      <c r="GN86" s="132">
        <v>3</v>
      </c>
      <c r="GO86" s="134">
        <v>357787</v>
      </c>
      <c r="GP86" s="323">
        <f>357787/44564395</f>
        <v>8.0285393754363776E-3</v>
      </c>
    </row>
    <row r="87" spans="2:198" x14ac:dyDescent="0.2">
      <c r="B87" s="326" t="s">
        <v>222</v>
      </c>
      <c r="C87" s="325">
        <v>14</v>
      </c>
      <c r="D87" s="128"/>
      <c r="E87" s="128"/>
      <c r="F87" s="128"/>
      <c r="G87" s="324">
        <v>14</v>
      </c>
      <c r="H87" s="140"/>
      <c r="I87" s="136">
        <v>2</v>
      </c>
      <c r="J87" s="128"/>
      <c r="K87" s="137">
        <v>2</v>
      </c>
      <c r="L87" s="140"/>
      <c r="M87" s="134">
        <v>109</v>
      </c>
      <c r="N87" s="140">
        <v>15981</v>
      </c>
      <c r="O87" s="128">
        <v>13</v>
      </c>
      <c r="P87" s="128">
        <v>25</v>
      </c>
      <c r="Q87" s="128">
        <v>7</v>
      </c>
      <c r="R87" s="128">
        <v>4</v>
      </c>
      <c r="S87" s="128"/>
      <c r="T87" s="128"/>
      <c r="U87" s="128">
        <v>3</v>
      </c>
      <c r="V87" s="132">
        <v>16033</v>
      </c>
      <c r="W87" s="136">
        <v>31</v>
      </c>
      <c r="X87" s="128">
        <v>18</v>
      </c>
      <c r="Y87" s="137">
        <v>49</v>
      </c>
      <c r="Z87" s="130">
        <v>71</v>
      </c>
      <c r="AA87" s="128">
        <v>2</v>
      </c>
      <c r="AB87" s="128"/>
      <c r="AC87" s="132">
        <v>73</v>
      </c>
      <c r="AD87" s="136">
        <v>342</v>
      </c>
      <c r="AE87" s="128"/>
      <c r="AF87" s="137">
        <v>342</v>
      </c>
      <c r="AG87" s="130">
        <v>19</v>
      </c>
      <c r="AH87" s="128"/>
      <c r="AI87" s="128"/>
      <c r="AJ87" s="128"/>
      <c r="AK87" s="132">
        <v>19</v>
      </c>
      <c r="AL87" s="136"/>
      <c r="AM87" s="128"/>
      <c r="AN87" s="137"/>
      <c r="AO87" s="134"/>
      <c r="AP87" s="134"/>
      <c r="AQ87" s="130">
        <v>1</v>
      </c>
      <c r="AR87" s="128"/>
      <c r="AS87" s="132">
        <v>1</v>
      </c>
      <c r="AT87" s="136">
        <v>9</v>
      </c>
      <c r="AU87" s="128">
        <v>2</v>
      </c>
      <c r="AV87" s="128"/>
      <c r="AW87" s="128"/>
      <c r="AX87" s="128"/>
      <c r="AY87" s="128"/>
      <c r="AZ87" s="128"/>
      <c r="BA87" s="128"/>
      <c r="BB87" s="128"/>
      <c r="BC87" s="137">
        <v>11</v>
      </c>
      <c r="BD87" s="140"/>
      <c r="BE87" s="134">
        <v>3</v>
      </c>
      <c r="BF87" s="130">
        <v>39</v>
      </c>
      <c r="BG87" s="128">
        <v>323</v>
      </c>
      <c r="BH87" s="128">
        <v>1418</v>
      </c>
      <c r="BI87" s="128">
        <v>6</v>
      </c>
      <c r="BJ87" s="128">
        <v>22</v>
      </c>
      <c r="BK87" s="132">
        <v>1808</v>
      </c>
      <c r="BL87" s="134">
        <v>1</v>
      </c>
      <c r="BM87" s="134"/>
      <c r="BN87" s="134"/>
      <c r="BO87" s="134"/>
      <c r="BP87" s="130">
        <v>8</v>
      </c>
      <c r="BQ87" s="128"/>
      <c r="BR87" s="132">
        <v>8</v>
      </c>
      <c r="BS87" s="134"/>
      <c r="BT87" s="130">
        <v>3</v>
      </c>
      <c r="BU87" s="128"/>
      <c r="BV87" s="132">
        <v>3</v>
      </c>
      <c r="BW87" s="136">
        <v>0</v>
      </c>
      <c r="BX87" s="128"/>
      <c r="BY87" s="128"/>
      <c r="BZ87" s="128"/>
      <c r="CA87" s="128"/>
      <c r="CB87" s="128"/>
      <c r="CC87" s="128"/>
      <c r="CD87" s="128"/>
      <c r="CE87" s="128"/>
      <c r="CF87" s="128"/>
      <c r="CG87" s="128"/>
      <c r="CH87" s="128"/>
      <c r="CI87" s="128"/>
      <c r="CJ87" s="128"/>
      <c r="CK87" s="128"/>
      <c r="CL87" s="128"/>
      <c r="CM87" s="137">
        <v>0</v>
      </c>
      <c r="CN87" s="130"/>
      <c r="CO87" s="128"/>
      <c r="CP87" s="132"/>
      <c r="CQ87" s="134">
        <v>0</v>
      </c>
      <c r="CR87" s="130">
        <v>84</v>
      </c>
      <c r="CS87" s="128"/>
      <c r="CT87" s="128">
        <v>25178</v>
      </c>
      <c r="CU87" s="128">
        <v>262</v>
      </c>
      <c r="CV87" s="128">
        <v>2132</v>
      </c>
      <c r="CW87" s="128">
        <v>0</v>
      </c>
      <c r="CX87" s="128"/>
      <c r="CY87" s="128">
        <v>1</v>
      </c>
      <c r="CZ87" s="128">
        <v>1</v>
      </c>
      <c r="DA87" s="128">
        <v>1</v>
      </c>
      <c r="DB87" s="128"/>
      <c r="DC87" s="132">
        <v>27659</v>
      </c>
      <c r="DD87" s="136">
        <v>399</v>
      </c>
      <c r="DE87" s="128">
        <v>1</v>
      </c>
      <c r="DF87" s="128">
        <v>17</v>
      </c>
      <c r="DG87" s="128">
        <v>210</v>
      </c>
      <c r="DH87" s="128">
        <v>5</v>
      </c>
      <c r="DI87" s="128"/>
      <c r="DJ87" s="128"/>
      <c r="DK87" s="137">
        <v>632</v>
      </c>
      <c r="DL87" s="140"/>
      <c r="DM87" s="134"/>
      <c r="DN87" s="130"/>
      <c r="DO87" s="128"/>
      <c r="DP87" s="132"/>
      <c r="DQ87" s="134">
        <v>14</v>
      </c>
      <c r="DR87" s="130"/>
      <c r="DS87" s="128"/>
      <c r="DT87" s="132"/>
      <c r="DU87" s="136">
        <v>1</v>
      </c>
      <c r="DV87" s="128">
        <v>52</v>
      </c>
      <c r="DW87" s="137">
        <v>53</v>
      </c>
      <c r="DX87" s="140">
        <v>2</v>
      </c>
      <c r="DY87" s="134"/>
      <c r="DZ87" s="134">
        <v>112</v>
      </c>
      <c r="EA87" s="134">
        <v>1</v>
      </c>
      <c r="EB87" s="134"/>
      <c r="EC87" s="130">
        <v>7</v>
      </c>
      <c r="ED87" s="128">
        <v>2</v>
      </c>
      <c r="EE87" s="128">
        <v>0</v>
      </c>
      <c r="EF87" s="128"/>
      <c r="EG87" s="128"/>
      <c r="EH87" s="132">
        <v>9</v>
      </c>
      <c r="EI87" s="136">
        <v>713</v>
      </c>
      <c r="EJ87" s="128">
        <v>123</v>
      </c>
      <c r="EK87" s="128">
        <v>26</v>
      </c>
      <c r="EL87" s="128">
        <v>326</v>
      </c>
      <c r="EM87" s="128">
        <v>170</v>
      </c>
      <c r="EN87" s="128">
        <v>20</v>
      </c>
      <c r="EO87" s="128">
        <v>2</v>
      </c>
      <c r="EP87" s="128">
        <v>227</v>
      </c>
      <c r="EQ87" s="128"/>
      <c r="ER87" s="128">
        <v>9</v>
      </c>
      <c r="ES87" s="128">
        <v>6</v>
      </c>
      <c r="ET87" s="128"/>
      <c r="EU87" s="128"/>
      <c r="EV87" s="137">
        <v>1622</v>
      </c>
      <c r="EW87" s="140"/>
      <c r="EX87" s="134">
        <v>1</v>
      </c>
      <c r="EY87" s="130"/>
      <c r="EZ87" s="128"/>
      <c r="FA87" s="128"/>
      <c r="FB87" s="132"/>
      <c r="FC87" s="136"/>
      <c r="FD87" s="128"/>
      <c r="FE87" s="137"/>
      <c r="FF87" s="140"/>
      <c r="FG87" s="136"/>
      <c r="FH87" s="128">
        <v>9</v>
      </c>
      <c r="FI87" s="128"/>
      <c r="FJ87" s="128"/>
      <c r="FK87" s="137">
        <v>9</v>
      </c>
      <c r="FL87" s="130"/>
      <c r="FM87" s="128"/>
      <c r="FN87" s="132"/>
      <c r="FO87" s="136"/>
      <c r="FP87" s="128"/>
      <c r="FQ87" s="137"/>
      <c r="FR87" s="140"/>
      <c r="FS87" s="134">
        <v>7</v>
      </c>
      <c r="FT87" s="130">
        <v>5</v>
      </c>
      <c r="FU87" s="128"/>
      <c r="FV87" s="128">
        <v>1</v>
      </c>
      <c r="FW87" s="128"/>
      <c r="FX87" s="128"/>
      <c r="FY87" s="132">
        <v>6</v>
      </c>
      <c r="FZ87" s="134"/>
      <c r="GA87" s="130">
        <v>11</v>
      </c>
      <c r="GB87" s="128"/>
      <c r="GC87" s="132">
        <v>11</v>
      </c>
      <c r="GD87" s="134"/>
      <c r="GE87" s="130">
        <v>5</v>
      </c>
      <c r="GF87" s="128"/>
      <c r="GG87" s="128"/>
      <c r="GH87" s="132">
        <v>5</v>
      </c>
      <c r="GI87" s="134">
        <v>3</v>
      </c>
      <c r="GJ87" s="130">
        <v>0</v>
      </c>
      <c r="GK87" s="128"/>
      <c r="GL87" s="128"/>
      <c r="GM87" s="128"/>
      <c r="GN87" s="132">
        <v>0</v>
      </c>
      <c r="GO87" s="134">
        <v>48622</v>
      </c>
      <c r="GP87" s="323">
        <f>48622/44564395</f>
        <v>1.0910503777735567E-3</v>
      </c>
    </row>
    <row r="88" spans="2:198" ht="12.75" thickBot="1" x14ac:dyDescent="0.25">
      <c r="B88" s="322" t="s">
        <v>556</v>
      </c>
      <c r="C88" s="321">
        <v>1</v>
      </c>
      <c r="D88" s="315"/>
      <c r="E88" s="315"/>
      <c r="F88" s="315"/>
      <c r="G88" s="320">
        <v>1</v>
      </c>
      <c r="H88" s="317"/>
      <c r="I88" s="319">
        <v>0</v>
      </c>
      <c r="J88" s="315"/>
      <c r="K88" s="318">
        <v>0</v>
      </c>
      <c r="L88" s="317"/>
      <c r="M88" s="313">
        <v>50</v>
      </c>
      <c r="N88" s="317">
        <v>725</v>
      </c>
      <c r="O88" s="315"/>
      <c r="P88" s="315"/>
      <c r="Q88" s="315">
        <v>1</v>
      </c>
      <c r="R88" s="315"/>
      <c r="S88" s="315"/>
      <c r="T88" s="315"/>
      <c r="U88" s="315"/>
      <c r="V88" s="314">
        <v>726</v>
      </c>
      <c r="W88" s="319"/>
      <c r="X88" s="315">
        <v>1</v>
      </c>
      <c r="Y88" s="318">
        <v>1</v>
      </c>
      <c r="Z88" s="316">
        <v>3</v>
      </c>
      <c r="AA88" s="315"/>
      <c r="AB88" s="315"/>
      <c r="AC88" s="314">
        <v>3</v>
      </c>
      <c r="AD88" s="319">
        <v>59</v>
      </c>
      <c r="AE88" s="315"/>
      <c r="AF88" s="318">
        <v>59</v>
      </c>
      <c r="AG88" s="316"/>
      <c r="AH88" s="315"/>
      <c r="AI88" s="315"/>
      <c r="AJ88" s="315"/>
      <c r="AK88" s="314"/>
      <c r="AL88" s="319">
        <v>1</v>
      </c>
      <c r="AM88" s="315"/>
      <c r="AN88" s="318">
        <v>1</v>
      </c>
      <c r="AO88" s="313"/>
      <c r="AP88" s="313"/>
      <c r="AQ88" s="316"/>
      <c r="AR88" s="315"/>
      <c r="AS88" s="314"/>
      <c r="AT88" s="319"/>
      <c r="AU88" s="315"/>
      <c r="AV88" s="315"/>
      <c r="AW88" s="315"/>
      <c r="AX88" s="315"/>
      <c r="AY88" s="315">
        <v>1</v>
      </c>
      <c r="AZ88" s="315"/>
      <c r="BA88" s="315"/>
      <c r="BB88" s="315"/>
      <c r="BC88" s="318">
        <v>1</v>
      </c>
      <c r="BD88" s="317"/>
      <c r="BE88" s="313"/>
      <c r="BF88" s="316">
        <v>0</v>
      </c>
      <c r="BG88" s="315">
        <v>27</v>
      </c>
      <c r="BH88" s="315">
        <v>128</v>
      </c>
      <c r="BI88" s="315">
        <v>3</v>
      </c>
      <c r="BJ88" s="315">
        <v>0</v>
      </c>
      <c r="BK88" s="314">
        <v>158</v>
      </c>
      <c r="BL88" s="313"/>
      <c r="BM88" s="313"/>
      <c r="BN88" s="313"/>
      <c r="BO88" s="313"/>
      <c r="BP88" s="316"/>
      <c r="BQ88" s="315"/>
      <c r="BR88" s="314"/>
      <c r="BS88" s="313"/>
      <c r="BT88" s="316"/>
      <c r="BU88" s="315"/>
      <c r="BV88" s="314"/>
      <c r="BW88" s="319">
        <v>0</v>
      </c>
      <c r="BX88" s="315"/>
      <c r="BY88" s="315"/>
      <c r="BZ88" s="315"/>
      <c r="CA88" s="315"/>
      <c r="CB88" s="315"/>
      <c r="CC88" s="315"/>
      <c r="CD88" s="315"/>
      <c r="CE88" s="315"/>
      <c r="CF88" s="315"/>
      <c r="CG88" s="315"/>
      <c r="CH88" s="315"/>
      <c r="CI88" s="315"/>
      <c r="CJ88" s="315"/>
      <c r="CK88" s="315"/>
      <c r="CL88" s="315"/>
      <c r="CM88" s="318">
        <v>0</v>
      </c>
      <c r="CN88" s="316"/>
      <c r="CO88" s="315"/>
      <c r="CP88" s="314"/>
      <c r="CQ88" s="313"/>
      <c r="CR88" s="316">
        <v>1</v>
      </c>
      <c r="CS88" s="315"/>
      <c r="CT88" s="315">
        <v>1016</v>
      </c>
      <c r="CU88" s="315">
        <v>42</v>
      </c>
      <c r="CV88" s="315">
        <v>623</v>
      </c>
      <c r="CW88" s="315"/>
      <c r="CX88" s="315">
        <v>1</v>
      </c>
      <c r="CY88" s="315"/>
      <c r="CZ88" s="315">
        <v>1</v>
      </c>
      <c r="DA88" s="315"/>
      <c r="DB88" s="315"/>
      <c r="DC88" s="314">
        <v>1684</v>
      </c>
      <c r="DD88" s="319">
        <v>168</v>
      </c>
      <c r="DE88" s="315"/>
      <c r="DF88" s="315">
        <v>8</v>
      </c>
      <c r="DG88" s="315">
        <v>20</v>
      </c>
      <c r="DH88" s="315"/>
      <c r="DI88" s="315"/>
      <c r="DJ88" s="315"/>
      <c r="DK88" s="318">
        <v>196</v>
      </c>
      <c r="DL88" s="317"/>
      <c r="DM88" s="313"/>
      <c r="DN88" s="316"/>
      <c r="DO88" s="315"/>
      <c r="DP88" s="314"/>
      <c r="DQ88" s="313">
        <v>31</v>
      </c>
      <c r="DR88" s="316"/>
      <c r="DS88" s="315"/>
      <c r="DT88" s="314"/>
      <c r="DU88" s="319"/>
      <c r="DV88" s="315"/>
      <c r="DW88" s="318"/>
      <c r="DX88" s="317">
        <v>10</v>
      </c>
      <c r="DY88" s="313"/>
      <c r="DZ88" s="313">
        <v>1</v>
      </c>
      <c r="EA88" s="313"/>
      <c r="EB88" s="313"/>
      <c r="EC88" s="316"/>
      <c r="ED88" s="315"/>
      <c r="EE88" s="315"/>
      <c r="EF88" s="315"/>
      <c r="EG88" s="315"/>
      <c r="EH88" s="314"/>
      <c r="EI88" s="319">
        <v>26</v>
      </c>
      <c r="EJ88" s="315">
        <v>28</v>
      </c>
      <c r="EK88" s="315"/>
      <c r="EL88" s="315">
        <v>11</v>
      </c>
      <c r="EM88" s="315">
        <v>40</v>
      </c>
      <c r="EN88" s="315"/>
      <c r="EO88" s="315">
        <v>0</v>
      </c>
      <c r="EP88" s="315">
        <v>36</v>
      </c>
      <c r="EQ88" s="315">
        <v>6</v>
      </c>
      <c r="ER88" s="315"/>
      <c r="ES88" s="315">
        <v>0</v>
      </c>
      <c r="ET88" s="315"/>
      <c r="EU88" s="315"/>
      <c r="EV88" s="318">
        <v>147</v>
      </c>
      <c r="EW88" s="317"/>
      <c r="EX88" s="313"/>
      <c r="EY88" s="316"/>
      <c r="EZ88" s="315"/>
      <c r="FA88" s="315"/>
      <c r="FB88" s="314"/>
      <c r="FC88" s="319"/>
      <c r="FD88" s="315"/>
      <c r="FE88" s="318"/>
      <c r="FF88" s="317"/>
      <c r="FG88" s="319"/>
      <c r="FH88" s="315">
        <v>12</v>
      </c>
      <c r="FI88" s="315"/>
      <c r="FJ88" s="315"/>
      <c r="FK88" s="318">
        <v>12</v>
      </c>
      <c r="FL88" s="316"/>
      <c r="FM88" s="315"/>
      <c r="FN88" s="314"/>
      <c r="FO88" s="319"/>
      <c r="FP88" s="315"/>
      <c r="FQ88" s="318"/>
      <c r="FR88" s="317"/>
      <c r="FS88" s="313">
        <v>1</v>
      </c>
      <c r="FT88" s="316">
        <v>1</v>
      </c>
      <c r="FU88" s="315"/>
      <c r="FV88" s="315"/>
      <c r="FW88" s="315"/>
      <c r="FX88" s="315"/>
      <c r="FY88" s="314">
        <v>1</v>
      </c>
      <c r="FZ88" s="313"/>
      <c r="GA88" s="316">
        <v>2</v>
      </c>
      <c r="GB88" s="315"/>
      <c r="GC88" s="314">
        <v>2</v>
      </c>
      <c r="GD88" s="313"/>
      <c r="GE88" s="316"/>
      <c r="GF88" s="315"/>
      <c r="GG88" s="315"/>
      <c r="GH88" s="314"/>
      <c r="GI88" s="313"/>
      <c r="GJ88" s="316"/>
      <c r="GK88" s="315"/>
      <c r="GL88" s="315"/>
      <c r="GM88" s="315"/>
      <c r="GN88" s="314"/>
      <c r="GO88" s="313">
        <v>3085</v>
      </c>
      <c r="GP88" s="312">
        <f>3085/44564395</f>
        <v>6.922566771073634E-5</v>
      </c>
    </row>
    <row r="89" spans="2:198" ht="12.75" thickBot="1" x14ac:dyDescent="0.25">
      <c r="B89" s="311" t="s">
        <v>550</v>
      </c>
      <c r="C89" s="310">
        <v>707</v>
      </c>
      <c r="D89" s="129">
        <v>29</v>
      </c>
      <c r="E89" s="129">
        <v>38</v>
      </c>
      <c r="F89" s="129">
        <v>10</v>
      </c>
      <c r="G89" s="309">
        <v>784</v>
      </c>
      <c r="H89" s="141"/>
      <c r="I89" s="138">
        <v>95</v>
      </c>
      <c r="J89" s="129"/>
      <c r="K89" s="139">
        <v>95</v>
      </c>
      <c r="L89" s="141"/>
      <c r="M89" s="135">
        <v>6874</v>
      </c>
      <c r="N89" s="141">
        <v>1032484</v>
      </c>
      <c r="O89" s="129">
        <v>26918</v>
      </c>
      <c r="P89" s="129">
        <v>912</v>
      </c>
      <c r="Q89" s="129">
        <v>920</v>
      </c>
      <c r="R89" s="129">
        <v>80</v>
      </c>
      <c r="S89" s="129">
        <v>1</v>
      </c>
      <c r="T89" s="129">
        <v>1</v>
      </c>
      <c r="U89" s="129">
        <v>13</v>
      </c>
      <c r="V89" s="133">
        <v>1061329</v>
      </c>
      <c r="W89" s="138">
        <v>2099</v>
      </c>
      <c r="X89" s="129">
        <v>261</v>
      </c>
      <c r="Y89" s="139">
        <v>2360</v>
      </c>
      <c r="Z89" s="131">
        <v>3886</v>
      </c>
      <c r="AA89" s="129">
        <v>10</v>
      </c>
      <c r="AB89" s="129">
        <v>3</v>
      </c>
      <c r="AC89" s="133">
        <v>3899</v>
      </c>
      <c r="AD89" s="138">
        <v>14771</v>
      </c>
      <c r="AE89" s="129">
        <v>30</v>
      </c>
      <c r="AF89" s="139">
        <v>14801</v>
      </c>
      <c r="AG89" s="131">
        <v>2540</v>
      </c>
      <c r="AH89" s="129">
        <v>23</v>
      </c>
      <c r="AI89" s="129">
        <v>22</v>
      </c>
      <c r="AJ89" s="129">
        <v>1</v>
      </c>
      <c r="AK89" s="133">
        <v>2586</v>
      </c>
      <c r="AL89" s="138">
        <v>9</v>
      </c>
      <c r="AM89" s="129"/>
      <c r="AN89" s="139">
        <v>9</v>
      </c>
      <c r="AO89" s="135"/>
      <c r="AP89" s="135"/>
      <c r="AQ89" s="131">
        <v>15</v>
      </c>
      <c r="AR89" s="129">
        <v>67</v>
      </c>
      <c r="AS89" s="133">
        <v>82</v>
      </c>
      <c r="AT89" s="138">
        <v>140</v>
      </c>
      <c r="AU89" s="129">
        <v>12</v>
      </c>
      <c r="AV89" s="129">
        <v>242</v>
      </c>
      <c r="AW89" s="129">
        <v>20</v>
      </c>
      <c r="AX89" s="129">
        <v>6</v>
      </c>
      <c r="AY89" s="129">
        <v>3</v>
      </c>
      <c r="AZ89" s="129">
        <v>2</v>
      </c>
      <c r="BA89" s="129">
        <v>4</v>
      </c>
      <c r="BB89" s="129"/>
      <c r="BC89" s="139">
        <v>429</v>
      </c>
      <c r="BD89" s="141"/>
      <c r="BE89" s="135">
        <v>185</v>
      </c>
      <c r="BF89" s="131">
        <v>714050</v>
      </c>
      <c r="BG89" s="129">
        <v>219155</v>
      </c>
      <c r="BH89" s="129">
        <v>2111943</v>
      </c>
      <c r="BI89" s="129">
        <v>6181</v>
      </c>
      <c r="BJ89" s="129">
        <v>25226</v>
      </c>
      <c r="BK89" s="133">
        <v>3076555</v>
      </c>
      <c r="BL89" s="135">
        <v>68</v>
      </c>
      <c r="BM89" s="135"/>
      <c r="BN89" s="135">
        <v>4</v>
      </c>
      <c r="BO89" s="135">
        <v>276</v>
      </c>
      <c r="BP89" s="131">
        <v>365</v>
      </c>
      <c r="BQ89" s="129"/>
      <c r="BR89" s="133">
        <v>365</v>
      </c>
      <c r="BS89" s="135">
        <v>2</v>
      </c>
      <c r="BT89" s="131">
        <v>23</v>
      </c>
      <c r="BU89" s="129"/>
      <c r="BV89" s="133">
        <v>23</v>
      </c>
      <c r="BW89" s="138">
        <v>78</v>
      </c>
      <c r="BX89" s="129">
        <v>4</v>
      </c>
      <c r="BY89" s="129">
        <v>79</v>
      </c>
      <c r="BZ89" s="129">
        <v>26</v>
      </c>
      <c r="CA89" s="129">
        <v>23</v>
      </c>
      <c r="CB89" s="129">
        <v>12</v>
      </c>
      <c r="CC89" s="129">
        <v>24</v>
      </c>
      <c r="CD89" s="129"/>
      <c r="CE89" s="129">
        <v>14</v>
      </c>
      <c r="CF89" s="129">
        <v>21</v>
      </c>
      <c r="CG89" s="129">
        <v>16</v>
      </c>
      <c r="CH89" s="129">
        <v>2</v>
      </c>
      <c r="CI89" s="129"/>
      <c r="CJ89" s="129">
        <v>50</v>
      </c>
      <c r="CK89" s="129">
        <v>10</v>
      </c>
      <c r="CL89" s="129">
        <v>11</v>
      </c>
      <c r="CM89" s="139">
        <v>370</v>
      </c>
      <c r="CN89" s="131">
        <v>24</v>
      </c>
      <c r="CO89" s="129"/>
      <c r="CP89" s="133">
        <v>24</v>
      </c>
      <c r="CQ89" s="135">
        <v>1</v>
      </c>
      <c r="CR89" s="131">
        <v>1901</v>
      </c>
      <c r="CS89" s="129">
        <v>110</v>
      </c>
      <c r="CT89" s="129">
        <v>465622</v>
      </c>
      <c r="CU89" s="129">
        <v>2927</v>
      </c>
      <c r="CV89" s="129">
        <v>265490</v>
      </c>
      <c r="CW89" s="129">
        <v>833</v>
      </c>
      <c r="CX89" s="129">
        <v>725</v>
      </c>
      <c r="CY89" s="129">
        <v>275</v>
      </c>
      <c r="CZ89" s="129">
        <v>96</v>
      </c>
      <c r="DA89" s="129">
        <v>63</v>
      </c>
      <c r="DB89" s="129">
        <v>9</v>
      </c>
      <c r="DC89" s="133">
        <v>738051</v>
      </c>
      <c r="DD89" s="138">
        <v>32506</v>
      </c>
      <c r="DE89" s="129">
        <v>589</v>
      </c>
      <c r="DF89" s="129">
        <v>2694</v>
      </c>
      <c r="DG89" s="129">
        <v>1356</v>
      </c>
      <c r="DH89" s="129">
        <v>104</v>
      </c>
      <c r="DI89" s="129">
        <v>96</v>
      </c>
      <c r="DJ89" s="129">
        <v>1</v>
      </c>
      <c r="DK89" s="139">
        <v>37346</v>
      </c>
      <c r="DL89" s="141"/>
      <c r="DM89" s="135">
        <v>2</v>
      </c>
      <c r="DN89" s="131"/>
      <c r="DO89" s="129">
        <v>27</v>
      </c>
      <c r="DP89" s="133">
        <v>27</v>
      </c>
      <c r="DQ89" s="135">
        <v>1035</v>
      </c>
      <c r="DR89" s="131">
        <v>1</v>
      </c>
      <c r="DS89" s="129"/>
      <c r="DT89" s="133">
        <v>1</v>
      </c>
      <c r="DU89" s="138">
        <v>1002</v>
      </c>
      <c r="DV89" s="129">
        <v>56</v>
      </c>
      <c r="DW89" s="139">
        <v>1058</v>
      </c>
      <c r="DX89" s="141">
        <v>378</v>
      </c>
      <c r="DY89" s="135">
        <v>30</v>
      </c>
      <c r="DZ89" s="135">
        <v>462709</v>
      </c>
      <c r="EA89" s="135">
        <v>19</v>
      </c>
      <c r="EB89" s="135"/>
      <c r="EC89" s="131">
        <v>868</v>
      </c>
      <c r="ED89" s="129">
        <v>412</v>
      </c>
      <c r="EE89" s="129">
        <v>18</v>
      </c>
      <c r="EF89" s="129">
        <v>2</v>
      </c>
      <c r="EG89" s="129"/>
      <c r="EH89" s="133">
        <v>1300</v>
      </c>
      <c r="EI89" s="138">
        <v>11100</v>
      </c>
      <c r="EJ89" s="129">
        <v>17686</v>
      </c>
      <c r="EK89" s="129">
        <v>1151</v>
      </c>
      <c r="EL89" s="129">
        <v>8621</v>
      </c>
      <c r="EM89" s="129">
        <v>74520</v>
      </c>
      <c r="EN89" s="129">
        <v>1398</v>
      </c>
      <c r="EO89" s="129">
        <v>178</v>
      </c>
      <c r="EP89" s="129">
        <v>6591</v>
      </c>
      <c r="EQ89" s="129">
        <v>99</v>
      </c>
      <c r="ER89" s="129">
        <v>73</v>
      </c>
      <c r="ES89" s="129">
        <v>188</v>
      </c>
      <c r="ET89" s="129">
        <v>3</v>
      </c>
      <c r="EU89" s="129">
        <v>1</v>
      </c>
      <c r="EV89" s="139">
        <v>121609</v>
      </c>
      <c r="EW89" s="141"/>
      <c r="EX89" s="135">
        <v>6426</v>
      </c>
      <c r="EY89" s="131">
        <v>16</v>
      </c>
      <c r="EZ89" s="129">
        <v>16</v>
      </c>
      <c r="FA89" s="129">
        <v>25</v>
      </c>
      <c r="FB89" s="133">
        <v>57</v>
      </c>
      <c r="FC89" s="138">
        <v>1</v>
      </c>
      <c r="FD89" s="129"/>
      <c r="FE89" s="139">
        <v>1</v>
      </c>
      <c r="FF89" s="141">
        <v>30</v>
      </c>
      <c r="FG89" s="138">
        <v>90</v>
      </c>
      <c r="FH89" s="129">
        <v>163</v>
      </c>
      <c r="FI89" s="129">
        <v>33</v>
      </c>
      <c r="FJ89" s="129">
        <v>22</v>
      </c>
      <c r="FK89" s="139">
        <v>308</v>
      </c>
      <c r="FL89" s="131">
        <v>0</v>
      </c>
      <c r="FM89" s="129"/>
      <c r="FN89" s="133">
        <v>0</v>
      </c>
      <c r="FO89" s="138">
        <v>43</v>
      </c>
      <c r="FP89" s="129"/>
      <c r="FQ89" s="139">
        <v>43</v>
      </c>
      <c r="FR89" s="141">
        <v>173</v>
      </c>
      <c r="FS89" s="135">
        <v>427</v>
      </c>
      <c r="FT89" s="131">
        <v>145</v>
      </c>
      <c r="FU89" s="129">
        <v>234</v>
      </c>
      <c r="FV89" s="129">
        <v>245</v>
      </c>
      <c r="FW89" s="129">
        <v>86</v>
      </c>
      <c r="FX89" s="129"/>
      <c r="FY89" s="133">
        <v>710</v>
      </c>
      <c r="FZ89" s="135"/>
      <c r="GA89" s="131">
        <v>405</v>
      </c>
      <c r="GB89" s="129">
        <v>8</v>
      </c>
      <c r="GC89" s="133">
        <v>413</v>
      </c>
      <c r="GD89" s="135">
        <v>4</v>
      </c>
      <c r="GE89" s="131">
        <v>20</v>
      </c>
      <c r="GF89" s="129">
        <v>2</v>
      </c>
      <c r="GG89" s="129"/>
      <c r="GH89" s="133">
        <v>22</v>
      </c>
      <c r="GI89" s="135">
        <v>435</v>
      </c>
      <c r="GJ89" s="131">
        <v>338</v>
      </c>
      <c r="GK89" s="129">
        <v>34</v>
      </c>
      <c r="GL89" s="129">
        <v>574</v>
      </c>
      <c r="GM89" s="129">
        <v>4</v>
      </c>
      <c r="GN89" s="133">
        <v>950</v>
      </c>
      <c r="GO89" s="135">
        <v>5544685</v>
      </c>
      <c r="GP89" s="308">
        <f>5544685/44564395</f>
        <v>0.12441961794836438</v>
      </c>
    </row>
    <row r="90" spans="2:198" ht="12.75" thickBot="1" x14ac:dyDescent="0.25">
      <c r="B90" s="311" t="s">
        <v>551</v>
      </c>
      <c r="C90" s="310">
        <v>78776</v>
      </c>
      <c r="D90" s="129">
        <v>45</v>
      </c>
      <c r="E90" s="129">
        <v>146</v>
      </c>
      <c r="F90" s="129">
        <v>36</v>
      </c>
      <c r="G90" s="309">
        <v>79003</v>
      </c>
      <c r="H90" s="141">
        <v>4</v>
      </c>
      <c r="I90" s="138">
        <v>1187</v>
      </c>
      <c r="J90" s="129"/>
      <c r="K90" s="139">
        <v>1187</v>
      </c>
      <c r="L90" s="141">
        <v>1</v>
      </c>
      <c r="M90" s="135">
        <v>221917</v>
      </c>
      <c r="N90" s="141">
        <v>7890995</v>
      </c>
      <c r="O90" s="129">
        <v>100155</v>
      </c>
      <c r="P90" s="129">
        <v>16097</v>
      </c>
      <c r="Q90" s="129">
        <v>16536</v>
      </c>
      <c r="R90" s="129">
        <v>645</v>
      </c>
      <c r="S90" s="129">
        <v>139</v>
      </c>
      <c r="T90" s="129">
        <v>12</v>
      </c>
      <c r="U90" s="129">
        <v>139</v>
      </c>
      <c r="V90" s="133">
        <v>8024718</v>
      </c>
      <c r="W90" s="138">
        <v>4435</v>
      </c>
      <c r="X90" s="129">
        <v>1282</v>
      </c>
      <c r="Y90" s="139">
        <v>5717</v>
      </c>
      <c r="Z90" s="131">
        <v>23925</v>
      </c>
      <c r="AA90" s="129">
        <v>20</v>
      </c>
      <c r="AB90" s="129">
        <v>16</v>
      </c>
      <c r="AC90" s="133">
        <v>23961</v>
      </c>
      <c r="AD90" s="138">
        <v>222886</v>
      </c>
      <c r="AE90" s="129">
        <v>559</v>
      </c>
      <c r="AF90" s="139">
        <v>223445</v>
      </c>
      <c r="AG90" s="131">
        <v>16625</v>
      </c>
      <c r="AH90" s="129">
        <v>4549</v>
      </c>
      <c r="AI90" s="129">
        <v>36</v>
      </c>
      <c r="AJ90" s="129">
        <v>1</v>
      </c>
      <c r="AK90" s="133">
        <v>21211</v>
      </c>
      <c r="AL90" s="138">
        <v>20</v>
      </c>
      <c r="AM90" s="129"/>
      <c r="AN90" s="139">
        <v>20</v>
      </c>
      <c r="AO90" s="135">
        <v>1</v>
      </c>
      <c r="AP90" s="135">
        <v>5</v>
      </c>
      <c r="AQ90" s="131">
        <v>287</v>
      </c>
      <c r="AR90" s="129">
        <v>196</v>
      </c>
      <c r="AS90" s="133">
        <v>483</v>
      </c>
      <c r="AT90" s="138">
        <v>5031</v>
      </c>
      <c r="AU90" s="129">
        <v>83</v>
      </c>
      <c r="AV90" s="129">
        <v>1824</v>
      </c>
      <c r="AW90" s="129">
        <v>27</v>
      </c>
      <c r="AX90" s="129">
        <v>187</v>
      </c>
      <c r="AY90" s="129">
        <v>40</v>
      </c>
      <c r="AZ90" s="129">
        <v>10</v>
      </c>
      <c r="BA90" s="129">
        <v>14</v>
      </c>
      <c r="BB90" s="129"/>
      <c r="BC90" s="139">
        <v>7216</v>
      </c>
      <c r="BD90" s="141">
        <v>30</v>
      </c>
      <c r="BE90" s="135">
        <v>30550</v>
      </c>
      <c r="BF90" s="131">
        <v>737233</v>
      </c>
      <c r="BG90" s="129">
        <v>590724</v>
      </c>
      <c r="BH90" s="129">
        <v>2790363</v>
      </c>
      <c r="BI90" s="129">
        <v>14459</v>
      </c>
      <c r="BJ90" s="129">
        <v>155338</v>
      </c>
      <c r="BK90" s="133">
        <v>4288117</v>
      </c>
      <c r="BL90" s="135">
        <v>17578</v>
      </c>
      <c r="BM90" s="135"/>
      <c r="BN90" s="135">
        <v>200</v>
      </c>
      <c r="BO90" s="135">
        <v>44503</v>
      </c>
      <c r="BP90" s="131">
        <v>54902</v>
      </c>
      <c r="BQ90" s="129">
        <v>3</v>
      </c>
      <c r="BR90" s="133">
        <v>54905</v>
      </c>
      <c r="BS90" s="135">
        <v>3</v>
      </c>
      <c r="BT90" s="131">
        <v>380</v>
      </c>
      <c r="BU90" s="129">
        <v>301</v>
      </c>
      <c r="BV90" s="133">
        <v>681</v>
      </c>
      <c r="BW90" s="138">
        <v>3921</v>
      </c>
      <c r="BX90" s="129">
        <v>33</v>
      </c>
      <c r="BY90" s="129">
        <v>177</v>
      </c>
      <c r="BZ90" s="129">
        <v>49</v>
      </c>
      <c r="CA90" s="129">
        <v>40</v>
      </c>
      <c r="CB90" s="129">
        <v>20</v>
      </c>
      <c r="CC90" s="129">
        <v>49</v>
      </c>
      <c r="CD90" s="129">
        <v>4</v>
      </c>
      <c r="CE90" s="129">
        <v>25</v>
      </c>
      <c r="CF90" s="129">
        <v>74</v>
      </c>
      <c r="CG90" s="129">
        <v>67</v>
      </c>
      <c r="CH90" s="129">
        <v>2</v>
      </c>
      <c r="CI90" s="129">
        <v>5</v>
      </c>
      <c r="CJ90" s="129">
        <v>83</v>
      </c>
      <c r="CK90" s="129">
        <v>22</v>
      </c>
      <c r="CL90" s="129">
        <v>14</v>
      </c>
      <c r="CM90" s="139">
        <v>4585</v>
      </c>
      <c r="CN90" s="131">
        <v>115</v>
      </c>
      <c r="CO90" s="129"/>
      <c r="CP90" s="133">
        <v>115</v>
      </c>
      <c r="CQ90" s="135">
        <v>18</v>
      </c>
      <c r="CR90" s="131">
        <v>8405</v>
      </c>
      <c r="CS90" s="129">
        <v>257</v>
      </c>
      <c r="CT90" s="129">
        <v>2976672</v>
      </c>
      <c r="CU90" s="129">
        <v>88899</v>
      </c>
      <c r="CV90" s="129">
        <v>2121061</v>
      </c>
      <c r="CW90" s="129">
        <v>2111</v>
      </c>
      <c r="CX90" s="129">
        <v>1510</v>
      </c>
      <c r="CY90" s="129">
        <v>439</v>
      </c>
      <c r="CZ90" s="129">
        <v>3522</v>
      </c>
      <c r="DA90" s="129">
        <v>102</v>
      </c>
      <c r="DB90" s="129">
        <v>123</v>
      </c>
      <c r="DC90" s="133">
        <v>5203101</v>
      </c>
      <c r="DD90" s="138">
        <v>1133113</v>
      </c>
      <c r="DE90" s="129">
        <v>1207</v>
      </c>
      <c r="DF90" s="129">
        <v>34454</v>
      </c>
      <c r="DG90" s="129">
        <v>25556</v>
      </c>
      <c r="DH90" s="129">
        <v>1612</v>
      </c>
      <c r="DI90" s="129">
        <v>820</v>
      </c>
      <c r="DJ90" s="129">
        <v>5</v>
      </c>
      <c r="DK90" s="139">
        <v>1196767</v>
      </c>
      <c r="DL90" s="141">
        <v>11</v>
      </c>
      <c r="DM90" s="135">
        <v>6</v>
      </c>
      <c r="DN90" s="131"/>
      <c r="DO90" s="129">
        <v>41</v>
      </c>
      <c r="DP90" s="133">
        <v>41</v>
      </c>
      <c r="DQ90" s="135">
        <v>157822</v>
      </c>
      <c r="DR90" s="131">
        <v>1</v>
      </c>
      <c r="DS90" s="129"/>
      <c r="DT90" s="133">
        <v>1</v>
      </c>
      <c r="DU90" s="138">
        <v>1709</v>
      </c>
      <c r="DV90" s="129">
        <v>106</v>
      </c>
      <c r="DW90" s="139">
        <v>1815</v>
      </c>
      <c r="DX90" s="141">
        <v>49383</v>
      </c>
      <c r="DY90" s="135">
        <v>7811</v>
      </c>
      <c r="DZ90" s="135">
        <v>488832</v>
      </c>
      <c r="EA90" s="135">
        <v>3378</v>
      </c>
      <c r="EB90" s="135">
        <v>4</v>
      </c>
      <c r="EC90" s="131">
        <v>3535</v>
      </c>
      <c r="ED90" s="129">
        <v>1064</v>
      </c>
      <c r="EE90" s="129">
        <v>55</v>
      </c>
      <c r="EF90" s="129">
        <v>5</v>
      </c>
      <c r="EG90" s="129"/>
      <c r="EH90" s="133">
        <v>4659</v>
      </c>
      <c r="EI90" s="138">
        <v>210888</v>
      </c>
      <c r="EJ90" s="129">
        <v>1229822</v>
      </c>
      <c r="EK90" s="129">
        <v>19608</v>
      </c>
      <c r="EL90" s="129">
        <v>88077</v>
      </c>
      <c r="EM90" s="129">
        <v>666831</v>
      </c>
      <c r="EN90" s="129">
        <v>11327</v>
      </c>
      <c r="EO90" s="129">
        <v>1408</v>
      </c>
      <c r="EP90" s="129">
        <v>118478</v>
      </c>
      <c r="EQ90" s="129">
        <v>1292</v>
      </c>
      <c r="ER90" s="129">
        <v>1853</v>
      </c>
      <c r="ES90" s="129">
        <v>926</v>
      </c>
      <c r="ET90" s="129">
        <v>10</v>
      </c>
      <c r="EU90" s="129">
        <v>30</v>
      </c>
      <c r="EV90" s="139">
        <v>2350550</v>
      </c>
      <c r="EW90" s="141">
        <v>2</v>
      </c>
      <c r="EX90" s="135">
        <v>6771</v>
      </c>
      <c r="EY90" s="131">
        <v>5334</v>
      </c>
      <c r="EZ90" s="129">
        <v>16</v>
      </c>
      <c r="FA90" s="129">
        <v>70</v>
      </c>
      <c r="FB90" s="133">
        <v>5420</v>
      </c>
      <c r="FC90" s="138">
        <v>3</v>
      </c>
      <c r="FD90" s="129"/>
      <c r="FE90" s="139">
        <v>3</v>
      </c>
      <c r="FF90" s="141">
        <v>39</v>
      </c>
      <c r="FG90" s="138">
        <v>138</v>
      </c>
      <c r="FH90" s="129">
        <v>37492</v>
      </c>
      <c r="FI90" s="129">
        <v>43</v>
      </c>
      <c r="FJ90" s="129">
        <v>32</v>
      </c>
      <c r="FK90" s="139">
        <v>37705</v>
      </c>
      <c r="FL90" s="131">
        <v>4</v>
      </c>
      <c r="FM90" s="129"/>
      <c r="FN90" s="133">
        <v>4</v>
      </c>
      <c r="FO90" s="138">
        <v>107</v>
      </c>
      <c r="FP90" s="129">
        <v>5</v>
      </c>
      <c r="FQ90" s="139">
        <v>112</v>
      </c>
      <c r="FR90" s="141">
        <v>360</v>
      </c>
      <c r="FS90" s="135">
        <v>29629</v>
      </c>
      <c r="FT90" s="131">
        <v>567</v>
      </c>
      <c r="FU90" s="129">
        <v>399</v>
      </c>
      <c r="FV90" s="129">
        <v>307</v>
      </c>
      <c r="FW90" s="129">
        <v>187</v>
      </c>
      <c r="FX90" s="129">
        <v>0</v>
      </c>
      <c r="FY90" s="133">
        <v>1460</v>
      </c>
      <c r="FZ90" s="135">
        <v>0</v>
      </c>
      <c r="GA90" s="131">
        <v>30004</v>
      </c>
      <c r="GB90" s="129">
        <v>17</v>
      </c>
      <c r="GC90" s="133">
        <v>30021</v>
      </c>
      <c r="GD90" s="135">
        <v>32</v>
      </c>
      <c r="GE90" s="131">
        <v>341</v>
      </c>
      <c r="GF90" s="129">
        <v>25</v>
      </c>
      <c r="GG90" s="129"/>
      <c r="GH90" s="133">
        <v>366</v>
      </c>
      <c r="GI90" s="135">
        <v>893</v>
      </c>
      <c r="GJ90" s="131">
        <v>2144</v>
      </c>
      <c r="GK90" s="129">
        <v>20942</v>
      </c>
      <c r="GL90" s="129">
        <v>702</v>
      </c>
      <c r="GM90" s="129">
        <v>13</v>
      </c>
      <c r="GN90" s="133">
        <v>23801</v>
      </c>
      <c r="GO90" s="135">
        <v>22650973</v>
      </c>
      <c r="GP90" s="308">
        <f>22650973/44564395</f>
        <v>0.50827511514517365</v>
      </c>
    </row>
    <row r="91" spans="2:198" x14ac:dyDescent="0.2">
      <c r="B91" s="322" t="s">
        <v>35</v>
      </c>
      <c r="C91" s="321">
        <v>150</v>
      </c>
      <c r="D91" s="315">
        <v>23</v>
      </c>
      <c r="E91" s="315"/>
      <c r="F91" s="315">
        <v>4</v>
      </c>
      <c r="G91" s="320">
        <v>177</v>
      </c>
      <c r="H91" s="317"/>
      <c r="I91" s="319">
        <v>2554</v>
      </c>
      <c r="J91" s="315"/>
      <c r="K91" s="318">
        <v>2554</v>
      </c>
      <c r="L91" s="317"/>
      <c r="M91" s="313">
        <v>36068</v>
      </c>
      <c r="N91" s="317">
        <v>59197</v>
      </c>
      <c r="O91" s="315">
        <v>11184</v>
      </c>
      <c r="P91" s="315">
        <v>18</v>
      </c>
      <c r="Q91" s="315">
        <v>86</v>
      </c>
      <c r="R91" s="315"/>
      <c r="S91" s="315"/>
      <c r="T91" s="315"/>
      <c r="U91" s="315"/>
      <c r="V91" s="314">
        <v>70485</v>
      </c>
      <c r="W91" s="319">
        <v>4760</v>
      </c>
      <c r="X91" s="315">
        <v>2244</v>
      </c>
      <c r="Y91" s="318">
        <v>7004</v>
      </c>
      <c r="Z91" s="316">
        <v>33739</v>
      </c>
      <c r="AA91" s="315">
        <v>45</v>
      </c>
      <c r="AB91" s="315">
        <v>7</v>
      </c>
      <c r="AC91" s="314">
        <v>33791</v>
      </c>
      <c r="AD91" s="319">
        <v>97</v>
      </c>
      <c r="AE91" s="315"/>
      <c r="AF91" s="318">
        <v>97</v>
      </c>
      <c r="AG91" s="316">
        <v>34</v>
      </c>
      <c r="AH91" s="315">
        <v>3</v>
      </c>
      <c r="AI91" s="315">
        <v>219</v>
      </c>
      <c r="AJ91" s="315">
        <v>9</v>
      </c>
      <c r="AK91" s="314">
        <v>265</v>
      </c>
      <c r="AL91" s="319">
        <v>157</v>
      </c>
      <c r="AM91" s="315"/>
      <c r="AN91" s="318">
        <v>157</v>
      </c>
      <c r="AO91" s="313"/>
      <c r="AP91" s="313"/>
      <c r="AQ91" s="316">
        <v>35</v>
      </c>
      <c r="AR91" s="315">
        <v>171</v>
      </c>
      <c r="AS91" s="314">
        <v>206</v>
      </c>
      <c r="AT91" s="319">
        <v>24</v>
      </c>
      <c r="AU91" s="315">
        <v>2</v>
      </c>
      <c r="AV91" s="315">
        <v>19</v>
      </c>
      <c r="AW91" s="315">
        <v>27</v>
      </c>
      <c r="AX91" s="315"/>
      <c r="AY91" s="315"/>
      <c r="AZ91" s="315"/>
      <c r="BA91" s="315"/>
      <c r="BB91" s="315">
        <v>17</v>
      </c>
      <c r="BC91" s="318">
        <v>89</v>
      </c>
      <c r="BD91" s="317"/>
      <c r="BE91" s="313">
        <v>8</v>
      </c>
      <c r="BF91" s="316">
        <v>2060</v>
      </c>
      <c r="BG91" s="315">
        <v>353</v>
      </c>
      <c r="BH91" s="315">
        <v>8133</v>
      </c>
      <c r="BI91" s="315">
        <v>26</v>
      </c>
      <c r="BJ91" s="315">
        <v>10</v>
      </c>
      <c r="BK91" s="314">
        <v>10582</v>
      </c>
      <c r="BL91" s="313">
        <v>8</v>
      </c>
      <c r="BM91" s="313"/>
      <c r="BN91" s="313">
        <v>23</v>
      </c>
      <c r="BO91" s="313">
        <v>3</v>
      </c>
      <c r="BP91" s="316">
        <v>29</v>
      </c>
      <c r="BQ91" s="315">
        <v>59</v>
      </c>
      <c r="BR91" s="314">
        <v>88</v>
      </c>
      <c r="BS91" s="313">
        <v>185</v>
      </c>
      <c r="BT91" s="316">
        <v>160</v>
      </c>
      <c r="BU91" s="315">
        <v>2</v>
      </c>
      <c r="BV91" s="314">
        <v>162</v>
      </c>
      <c r="BW91" s="319">
        <v>19</v>
      </c>
      <c r="BX91" s="315"/>
      <c r="BY91" s="315">
        <v>182</v>
      </c>
      <c r="BZ91" s="315">
        <v>87</v>
      </c>
      <c r="CA91" s="315">
        <v>74</v>
      </c>
      <c r="CB91" s="315">
        <v>19</v>
      </c>
      <c r="CC91" s="315">
        <v>32</v>
      </c>
      <c r="CD91" s="315"/>
      <c r="CE91" s="315">
        <v>61</v>
      </c>
      <c r="CF91" s="315">
        <v>98</v>
      </c>
      <c r="CG91" s="315">
        <v>79</v>
      </c>
      <c r="CH91" s="315"/>
      <c r="CI91" s="315"/>
      <c r="CJ91" s="315">
        <v>10</v>
      </c>
      <c r="CK91" s="315"/>
      <c r="CL91" s="315">
        <v>0</v>
      </c>
      <c r="CM91" s="318">
        <v>661</v>
      </c>
      <c r="CN91" s="316">
        <v>182750</v>
      </c>
      <c r="CO91" s="315">
        <v>7</v>
      </c>
      <c r="CP91" s="314">
        <v>182757</v>
      </c>
      <c r="CQ91" s="313"/>
      <c r="CR91" s="316">
        <v>514</v>
      </c>
      <c r="CS91" s="315">
        <v>145</v>
      </c>
      <c r="CT91" s="315">
        <v>163160</v>
      </c>
      <c r="CU91" s="315">
        <v>46</v>
      </c>
      <c r="CV91" s="315">
        <v>105828</v>
      </c>
      <c r="CW91" s="315">
        <v>1238</v>
      </c>
      <c r="CX91" s="315">
        <v>1383</v>
      </c>
      <c r="CY91" s="315">
        <v>113</v>
      </c>
      <c r="CZ91" s="315">
        <v>1</v>
      </c>
      <c r="DA91" s="315">
        <v>1</v>
      </c>
      <c r="DB91" s="315">
        <v>2</v>
      </c>
      <c r="DC91" s="314">
        <v>272431</v>
      </c>
      <c r="DD91" s="319">
        <v>35188</v>
      </c>
      <c r="DE91" s="315">
        <v>409</v>
      </c>
      <c r="DF91" s="315">
        <v>78</v>
      </c>
      <c r="DG91" s="315">
        <v>153</v>
      </c>
      <c r="DH91" s="315">
        <v>44</v>
      </c>
      <c r="DI91" s="315"/>
      <c r="DJ91" s="315"/>
      <c r="DK91" s="318">
        <v>35872</v>
      </c>
      <c r="DL91" s="317"/>
      <c r="DM91" s="313">
        <v>0</v>
      </c>
      <c r="DN91" s="316">
        <v>109</v>
      </c>
      <c r="DO91" s="315"/>
      <c r="DP91" s="314">
        <v>109</v>
      </c>
      <c r="DQ91" s="313">
        <v>130</v>
      </c>
      <c r="DR91" s="316"/>
      <c r="DS91" s="315"/>
      <c r="DT91" s="314"/>
      <c r="DU91" s="319">
        <v>1049</v>
      </c>
      <c r="DV91" s="315"/>
      <c r="DW91" s="318">
        <v>1049</v>
      </c>
      <c r="DX91" s="317">
        <v>459</v>
      </c>
      <c r="DY91" s="313">
        <v>0</v>
      </c>
      <c r="DZ91" s="313">
        <v>1898</v>
      </c>
      <c r="EA91" s="313"/>
      <c r="EB91" s="313"/>
      <c r="EC91" s="316">
        <v>175</v>
      </c>
      <c r="ED91" s="315">
        <v>529</v>
      </c>
      <c r="EE91" s="315">
        <v>2</v>
      </c>
      <c r="EF91" s="315"/>
      <c r="EG91" s="315"/>
      <c r="EH91" s="314">
        <v>706</v>
      </c>
      <c r="EI91" s="319">
        <v>113</v>
      </c>
      <c r="EJ91" s="315">
        <v>4373</v>
      </c>
      <c r="EK91" s="315">
        <v>97</v>
      </c>
      <c r="EL91" s="315">
        <v>56</v>
      </c>
      <c r="EM91" s="315">
        <v>13284</v>
      </c>
      <c r="EN91" s="315">
        <v>54</v>
      </c>
      <c r="EO91" s="315">
        <v>3</v>
      </c>
      <c r="EP91" s="315">
        <v>104</v>
      </c>
      <c r="EQ91" s="315">
        <v>2</v>
      </c>
      <c r="ER91" s="315"/>
      <c r="ES91" s="315">
        <v>3</v>
      </c>
      <c r="ET91" s="315">
        <v>46</v>
      </c>
      <c r="EU91" s="315"/>
      <c r="EV91" s="318">
        <v>18135</v>
      </c>
      <c r="EW91" s="317"/>
      <c r="EX91" s="313">
        <v>0</v>
      </c>
      <c r="EY91" s="316">
        <v>2</v>
      </c>
      <c r="EZ91" s="315">
        <v>58</v>
      </c>
      <c r="FA91" s="315">
        <v>306</v>
      </c>
      <c r="FB91" s="314">
        <v>366</v>
      </c>
      <c r="FC91" s="319">
        <v>23</v>
      </c>
      <c r="FD91" s="315"/>
      <c r="FE91" s="318">
        <v>23</v>
      </c>
      <c r="FF91" s="317">
        <v>354</v>
      </c>
      <c r="FG91" s="319">
        <v>2277</v>
      </c>
      <c r="FH91" s="315">
        <v>19</v>
      </c>
      <c r="FI91" s="315">
        <v>70</v>
      </c>
      <c r="FJ91" s="315">
        <v>991</v>
      </c>
      <c r="FK91" s="318">
        <v>3357</v>
      </c>
      <c r="FL91" s="316"/>
      <c r="FM91" s="315"/>
      <c r="FN91" s="314"/>
      <c r="FO91" s="319">
        <v>61</v>
      </c>
      <c r="FP91" s="315"/>
      <c r="FQ91" s="318">
        <v>61</v>
      </c>
      <c r="FR91" s="317"/>
      <c r="FS91" s="313">
        <v>109</v>
      </c>
      <c r="FT91" s="316">
        <v>0</v>
      </c>
      <c r="FU91" s="315">
        <v>693</v>
      </c>
      <c r="FV91" s="315">
        <v>48</v>
      </c>
      <c r="FW91" s="315">
        <v>161</v>
      </c>
      <c r="FX91" s="315"/>
      <c r="FY91" s="314">
        <v>902</v>
      </c>
      <c r="FZ91" s="313"/>
      <c r="GA91" s="316">
        <v>201</v>
      </c>
      <c r="GB91" s="315">
        <v>678</v>
      </c>
      <c r="GC91" s="314">
        <v>879</v>
      </c>
      <c r="GD91" s="313"/>
      <c r="GE91" s="316">
        <v>168</v>
      </c>
      <c r="GF91" s="315">
        <v>19</v>
      </c>
      <c r="GG91" s="315"/>
      <c r="GH91" s="314">
        <v>187</v>
      </c>
      <c r="GI91" s="313">
        <v>311</v>
      </c>
      <c r="GJ91" s="316">
        <v>189</v>
      </c>
      <c r="GK91" s="315">
        <v>5</v>
      </c>
      <c r="GL91" s="315">
        <v>505</v>
      </c>
      <c r="GM91" s="315">
        <v>427</v>
      </c>
      <c r="GN91" s="314">
        <v>1126</v>
      </c>
      <c r="GO91" s="313">
        <v>683834</v>
      </c>
      <c r="GP91" s="312">
        <f>683834/44564395</f>
        <v>1.5344850973518209E-2</v>
      </c>
    </row>
    <row r="92" spans="2:198" x14ac:dyDescent="0.2">
      <c r="B92" s="326" t="s">
        <v>47</v>
      </c>
      <c r="C92" s="325">
        <v>453</v>
      </c>
      <c r="D92" s="128"/>
      <c r="E92" s="128"/>
      <c r="F92" s="128"/>
      <c r="G92" s="324">
        <v>453</v>
      </c>
      <c r="H92" s="140"/>
      <c r="I92" s="136">
        <v>5</v>
      </c>
      <c r="J92" s="128"/>
      <c r="K92" s="137">
        <v>5</v>
      </c>
      <c r="L92" s="140"/>
      <c r="M92" s="134">
        <v>681</v>
      </c>
      <c r="N92" s="140">
        <v>122829</v>
      </c>
      <c r="O92" s="128">
        <v>249</v>
      </c>
      <c r="P92" s="128">
        <v>42</v>
      </c>
      <c r="Q92" s="128">
        <v>28</v>
      </c>
      <c r="R92" s="128">
        <v>24</v>
      </c>
      <c r="S92" s="128"/>
      <c r="T92" s="128"/>
      <c r="U92" s="128"/>
      <c r="V92" s="132">
        <v>123172</v>
      </c>
      <c r="W92" s="136">
        <v>5002</v>
      </c>
      <c r="X92" s="128">
        <v>425</v>
      </c>
      <c r="Y92" s="137">
        <v>5427</v>
      </c>
      <c r="Z92" s="130">
        <v>19557</v>
      </c>
      <c r="AA92" s="128">
        <v>4</v>
      </c>
      <c r="AB92" s="128">
        <v>10</v>
      </c>
      <c r="AC92" s="132">
        <v>19571</v>
      </c>
      <c r="AD92" s="136">
        <v>107</v>
      </c>
      <c r="AE92" s="128">
        <v>3</v>
      </c>
      <c r="AF92" s="137">
        <v>110</v>
      </c>
      <c r="AG92" s="130">
        <v>4</v>
      </c>
      <c r="AH92" s="128">
        <v>2</v>
      </c>
      <c r="AI92" s="128"/>
      <c r="AJ92" s="128"/>
      <c r="AK92" s="132">
        <v>6</v>
      </c>
      <c r="AL92" s="136"/>
      <c r="AM92" s="128">
        <v>17</v>
      </c>
      <c r="AN92" s="137">
        <v>17</v>
      </c>
      <c r="AO92" s="134"/>
      <c r="AP92" s="134"/>
      <c r="AQ92" s="130">
        <v>7</v>
      </c>
      <c r="AR92" s="128">
        <v>2</v>
      </c>
      <c r="AS92" s="132">
        <v>9</v>
      </c>
      <c r="AT92" s="136">
        <v>4</v>
      </c>
      <c r="AU92" s="128">
        <v>1</v>
      </c>
      <c r="AV92" s="128"/>
      <c r="AW92" s="128"/>
      <c r="AX92" s="128"/>
      <c r="AY92" s="128"/>
      <c r="AZ92" s="128"/>
      <c r="BA92" s="128"/>
      <c r="BB92" s="128"/>
      <c r="BC92" s="137">
        <v>5</v>
      </c>
      <c r="BD92" s="140"/>
      <c r="BE92" s="134">
        <v>29</v>
      </c>
      <c r="BF92" s="130">
        <v>463</v>
      </c>
      <c r="BG92" s="128">
        <v>261</v>
      </c>
      <c r="BH92" s="128">
        <v>2396</v>
      </c>
      <c r="BI92" s="128">
        <v>36</v>
      </c>
      <c r="BJ92" s="128">
        <v>24</v>
      </c>
      <c r="BK92" s="132">
        <v>3180</v>
      </c>
      <c r="BL92" s="134">
        <v>2</v>
      </c>
      <c r="BM92" s="134"/>
      <c r="BN92" s="134">
        <v>2</v>
      </c>
      <c r="BO92" s="134"/>
      <c r="BP92" s="130">
        <v>11</v>
      </c>
      <c r="BQ92" s="128"/>
      <c r="BR92" s="132">
        <v>11</v>
      </c>
      <c r="BS92" s="134"/>
      <c r="BT92" s="130">
        <v>0</v>
      </c>
      <c r="BU92" s="128"/>
      <c r="BV92" s="132">
        <v>0</v>
      </c>
      <c r="BW92" s="136">
        <v>2</v>
      </c>
      <c r="BX92" s="128"/>
      <c r="BY92" s="128">
        <v>2</v>
      </c>
      <c r="BZ92" s="128"/>
      <c r="CA92" s="128"/>
      <c r="CB92" s="128"/>
      <c r="CC92" s="128"/>
      <c r="CD92" s="128"/>
      <c r="CE92" s="128"/>
      <c r="CF92" s="128"/>
      <c r="CG92" s="128"/>
      <c r="CH92" s="128"/>
      <c r="CI92" s="128"/>
      <c r="CJ92" s="128">
        <v>1</v>
      </c>
      <c r="CK92" s="128"/>
      <c r="CL92" s="128"/>
      <c r="CM92" s="137">
        <v>5</v>
      </c>
      <c r="CN92" s="130">
        <v>9</v>
      </c>
      <c r="CO92" s="128"/>
      <c r="CP92" s="132">
        <v>9</v>
      </c>
      <c r="CQ92" s="134"/>
      <c r="CR92" s="130">
        <v>46</v>
      </c>
      <c r="CS92" s="128">
        <v>24</v>
      </c>
      <c r="CT92" s="128">
        <v>70620</v>
      </c>
      <c r="CU92" s="128">
        <v>63</v>
      </c>
      <c r="CV92" s="128">
        <v>7936</v>
      </c>
      <c r="CW92" s="128">
        <v>16</v>
      </c>
      <c r="CX92" s="128">
        <v>6</v>
      </c>
      <c r="CY92" s="128">
        <v>1</v>
      </c>
      <c r="CZ92" s="128">
        <v>24</v>
      </c>
      <c r="DA92" s="128">
        <v>3</v>
      </c>
      <c r="DB92" s="128"/>
      <c r="DC92" s="132">
        <v>78739</v>
      </c>
      <c r="DD92" s="136">
        <v>987</v>
      </c>
      <c r="DE92" s="128">
        <v>8</v>
      </c>
      <c r="DF92" s="128">
        <v>46</v>
      </c>
      <c r="DG92" s="128">
        <v>31</v>
      </c>
      <c r="DH92" s="128">
        <v>1</v>
      </c>
      <c r="DI92" s="128"/>
      <c r="DJ92" s="128"/>
      <c r="DK92" s="137">
        <v>1073</v>
      </c>
      <c r="DL92" s="140"/>
      <c r="DM92" s="134"/>
      <c r="DN92" s="130"/>
      <c r="DO92" s="128"/>
      <c r="DP92" s="132"/>
      <c r="DQ92" s="134">
        <v>63</v>
      </c>
      <c r="DR92" s="130"/>
      <c r="DS92" s="128"/>
      <c r="DT92" s="132"/>
      <c r="DU92" s="136">
        <v>9</v>
      </c>
      <c r="DV92" s="128"/>
      <c r="DW92" s="137">
        <v>9</v>
      </c>
      <c r="DX92" s="140">
        <v>0</v>
      </c>
      <c r="DY92" s="134"/>
      <c r="DZ92" s="134">
        <v>1145</v>
      </c>
      <c r="EA92" s="134"/>
      <c r="EB92" s="134"/>
      <c r="EC92" s="130">
        <v>94</v>
      </c>
      <c r="ED92" s="128">
        <v>24</v>
      </c>
      <c r="EE92" s="128"/>
      <c r="EF92" s="128"/>
      <c r="EG92" s="128"/>
      <c r="EH92" s="132">
        <v>118</v>
      </c>
      <c r="EI92" s="136">
        <v>129</v>
      </c>
      <c r="EJ92" s="128">
        <v>1052</v>
      </c>
      <c r="EK92" s="128">
        <v>120</v>
      </c>
      <c r="EL92" s="128">
        <v>128</v>
      </c>
      <c r="EM92" s="128">
        <v>3695</v>
      </c>
      <c r="EN92" s="128">
        <v>18</v>
      </c>
      <c r="EO92" s="128">
        <v>1</v>
      </c>
      <c r="EP92" s="128">
        <v>84</v>
      </c>
      <c r="EQ92" s="128">
        <v>2</v>
      </c>
      <c r="ER92" s="128">
        <v>4</v>
      </c>
      <c r="ES92" s="128">
        <v>2</v>
      </c>
      <c r="ET92" s="128"/>
      <c r="EU92" s="128">
        <v>0</v>
      </c>
      <c r="EV92" s="137">
        <v>5235</v>
      </c>
      <c r="EW92" s="140"/>
      <c r="EX92" s="134">
        <v>0</v>
      </c>
      <c r="EY92" s="130"/>
      <c r="EZ92" s="128"/>
      <c r="FA92" s="128">
        <v>3</v>
      </c>
      <c r="FB92" s="132">
        <v>3</v>
      </c>
      <c r="FC92" s="136"/>
      <c r="FD92" s="128"/>
      <c r="FE92" s="137"/>
      <c r="FF92" s="140">
        <v>345</v>
      </c>
      <c r="FG92" s="136">
        <v>304</v>
      </c>
      <c r="FH92" s="128">
        <v>1</v>
      </c>
      <c r="FI92" s="128">
        <v>5</v>
      </c>
      <c r="FJ92" s="128">
        <v>6</v>
      </c>
      <c r="FK92" s="137">
        <v>316</v>
      </c>
      <c r="FL92" s="130"/>
      <c r="FM92" s="128"/>
      <c r="FN92" s="132"/>
      <c r="FO92" s="136">
        <v>77</v>
      </c>
      <c r="FP92" s="128"/>
      <c r="FQ92" s="137">
        <v>77</v>
      </c>
      <c r="FR92" s="140"/>
      <c r="FS92" s="134">
        <v>17</v>
      </c>
      <c r="FT92" s="130">
        <v>54</v>
      </c>
      <c r="FU92" s="128"/>
      <c r="FV92" s="128"/>
      <c r="FW92" s="128"/>
      <c r="FX92" s="128"/>
      <c r="FY92" s="132">
        <v>54</v>
      </c>
      <c r="FZ92" s="134"/>
      <c r="GA92" s="130">
        <v>37</v>
      </c>
      <c r="GB92" s="128">
        <v>21</v>
      </c>
      <c r="GC92" s="132">
        <v>58</v>
      </c>
      <c r="GD92" s="134"/>
      <c r="GE92" s="130"/>
      <c r="GF92" s="128"/>
      <c r="GG92" s="128"/>
      <c r="GH92" s="132"/>
      <c r="GI92" s="134">
        <v>4</v>
      </c>
      <c r="GJ92" s="130">
        <v>2</v>
      </c>
      <c r="GK92" s="128">
        <v>1</v>
      </c>
      <c r="GL92" s="128">
        <v>2</v>
      </c>
      <c r="GM92" s="128">
        <v>11</v>
      </c>
      <c r="GN92" s="132">
        <v>16</v>
      </c>
      <c r="GO92" s="134">
        <v>239966</v>
      </c>
      <c r="GP92" s="323">
        <f>239966/44564395</f>
        <v>5.3847022942867286E-3</v>
      </c>
    </row>
    <row r="93" spans="2:198" x14ac:dyDescent="0.2">
      <c r="B93" s="326" t="s">
        <v>80</v>
      </c>
      <c r="C93" s="325">
        <v>28</v>
      </c>
      <c r="D93" s="128"/>
      <c r="E93" s="128"/>
      <c r="F93" s="128"/>
      <c r="G93" s="324">
        <v>28</v>
      </c>
      <c r="H93" s="140"/>
      <c r="I93" s="136">
        <v>32</v>
      </c>
      <c r="J93" s="128"/>
      <c r="K93" s="137">
        <v>32</v>
      </c>
      <c r="L93" s="140"/>
      <c r="M93" s="134">
        <v>27</v>
      </c>
      <c r="N93" s="140">
        <v>1866</v>
      </c>
      <c r="O93" s="128">
        <v>2</v>
      </c>
      <c r="P93" s="128"/>
      <c r="Q93" s="128"/>
      <c r="R93" s="128">
        <v>1</v>
      </c>
      <c r="S93" s="128"/>
      <c r="T93" s="128"/>
      <c r="U93" s="128"/>
      <c r="V93" s="132">
        <v>1869</v>
      </c>
      <c r="W93" s="136">
        <v>5585</v>
      </c>
      <c r="X93" s="128">
        <v>96</v>
      </c>
      <c r="Y93" s="137">
        <v>5681</v>
      </c>
      <c r="Z93" s="130">
        <v>12675</v>
      </c>
      <c r="AA93" s="128"/>
      <c r="AB93" s="128"/>
      <c r="AC93" s="132">
        <v>12675</v>
      </c>
      <c r="AD93" s="136">
        <v>42</v>
      </c>
      <c r="AE93" s="128"/>
      <c r="AF93" s="137">
        <v>42</v>
      </c>
      <c r="AG93" s="130">
        <v>1</v>
      </c>
      <c r="AH93" s="128"/>
      <c r="AI93" s="128"/>
      <c r="AJ93" s="128"/>
      <c r="AK93" s="132">
        <v>1</v>
      </c>
      <c r="AL93" s="136"/>
      <c r="AM93" s="128"/>
      <c r="AN93" s="137"/>
      <c r="AO93" s="134"/>
      <c r="AP93" s="134"/>
      <c r="AQ93" s="130"/>
      <c r="AR93" s="128"/>
      <c r="AS93" s="132"/>
      <c r="AT93" s="136"/>
      <c r="AU93" s="128"/>
      <c r="AV93" s="128"/>
      <c r="AW93" s="128"/>
      <c r="AX93" s="128"/>
      <c r="AY93" s="128"/>
      <c r="AZ93" s="128"/>
      <c r="BA93" s="128"/>
      <c r="BB93" s="128"/>
      <c r="BC93" s="137"/>
      <c r="BD93" s="140"/>
      <c r="BE93" s="134">
        <v>2</v>
      </c>
      <c r="BF93" s="130">
        <v>274</v>
      </c>
      <c r="BG93" s="128">
        <v>796</v>
      </c>
      <c r="BH93" s="128">
        <v>784</v>
      </c>
      <c r="BI93" s="128">
        <v>2</v>
      </c>
      <c r="BJ93" s="128">
        <v>33</v>
      </c>
      <c r="BK93" s="132">
        <v>1889</v>
      </c>
      <c r="BL93" s="134"/>
      <c r="BM93" s="134"/>
      <c r="BN93" s="134">
        <v>63</v>
      </c>
      <c r="BO93" s="134"/>
      <c r="BP93" s="130">
        <v>3</v>
      </c>
      <c r="BQ93" s="128"/>
      <c r="BR93" s="132">
        <v>3</v>
      </c>
      <c r="BS93" s="134"/>
      <c r="BT93" s="130">
        <v>4</v>
      </c>
      <c r="BU93" s="128"/>
      <c r="BV93" s="132">
        <v>4</v>
      </c>
      <c r="BW93" s="136"/>
      <c r="BX93" s="128"/>
      <c r="BY93" s="128"/>
      <c r="BZ93" s="128"/>
      <c r="CA93" s="128"/>
      <c r="CB93" s="128"/>
      <c r="CC93" s="128"/>
      <c r="CD93" s="128"/>
      <c r="CE93" s="128"/>
      <c r="CF93" s="128"/>
      <c r="CG93" s="128"/>
      <c r="CH93" s="128"/>
      <c r="CI93" s="128"/>
      <c r="CJ93" s="128"/>
      <c r="CK93" s="128"/>
      <c r="CL93" s="128"/>
      <c r="CM93" s="137"/>
      <c r="CN93" s="130"/>
      <c r="CO93" s="128"/>
      <c r="CP93" s="132"/>
      <c r="CQ93" s="134"/>
      <c r="CR93" s="130">
        <v>3</v>
      </c>
      <c r="CS93" s="128">
        <v>0</v>
      </c>
      <c r="CT93" s="128">
        <v>7809</v>
      </c>
      <c r="CU93" s="128">
        <v>4</v>
      </c>
      <c r="CV93" s="128">
        <v>5344</v>
      </c>
      <c r="CW93" s="128"/>
      <c r="CX93" s="128"/>
      <c r="CY93" s="128"/>
      <c r="CZ93" s="128"/>
      <c r="DA93" s="128"/>
      <c r="DB93" s="128"/>
      <c r="DC93" s="132">
        <v>13160</v>
      </c>
      <c r="DD93" s="136">
        <v>43</v>
      </c>
      <c r="DE93" s="128"/>
      <c r="DF93" s="128">
        <v>11</v>
      </c>
      <c r="DG93" s="128">
        <v>12</v>
      </c>
      <c r="DH93" s="128"/>
      <c r="DI93" s="128"/>
      <c r="DJ93" s="128"/>
      <c r="DK93" s="137">
        <v>66</v>
      </c>
      <c r="DL93" s="140"/>
      <c r="DM93" s="134"/>
      <c r="DN93" s="130"/>
      <c r="DO93" s="128"/>
      <c r="DP93" s="132"/>
      <c r="DQ93" s="134"/>
      <c r="DR93" s="130"/>
      <c r="DS93" s="128"/>
      <c r="DT93" s="132"/>
      <c r="DU93" s="136"/>
      <c r="DV93" s="128"/>
      <c r="DW93" s="137"/>
      <c r="DX93" s="140">
        <v>2</v>
      </c>
      <c r="DY93" s="134"/>
      <c r="DZ93" s="134">
        <v>612</v>
      </c>
      <c r="EA93" s="134"/>
      <c r="EB93" s="134"/>
      <c r="EC93" s="130"/>
      <c r="ED93" s="128">
        <v>1</v>
      </c>
      <c r="EE93" s="128"/>
      <c r="EF93" s="128"/>
      <c r="EG93" s="128"/>
      <c r="EH93" s="132">
        <v>1</v>
      </c>
      <c r="EI93" s="136">
        <v>56</v>
      </c>
      <c r="EJ93" s="128">
        <v>76</v>
      </c>
      <c r="EK93" s="128">
        <v>11</v>
      </c>
      <c r="EL93" s="128">
        <v>5</v>
      </c>
      <c r="EM93" s="128">
        <v>67</v>
      </c>
      <c r="EN93" s="128">
        <v>12</v>
      </c>
      <c r="EO93" s="128"/>
      <c r="EP93" s="128">
        <v>11</v>
      </c>
      <c r="EQ93" s="128"/>
      <c r="ER93" s="128"/>
      <c r="ES93" s="128"/>
      <c r="ET93" s="128"/>
      <c r="EU93" s="128"/>
      <c r="EV93" s="137">
        <v>238</v>
      </c>
      <c r="EW93" s="140"/>
      <c r="EX93" s="134">
        <v>2</v>
      </c>
      <c r="EY93" s="130"/>
      <c r="EZ93" s="128"/>
      <c r="FA93" s="128"/>
      <c r="FB93" s="132"/>
      <c r="FC93" s="136"/>
      <c r="FD93" s="128"/>
      <c r="FE93" s="137"/>
      <c r="FF93" s="140">
        <v>2</v>
      </c>
      <c r="FG93" s="136"/>
      <c r="FH93" s="128"/>
      <c r="FI93" s="128"/>
      <c r="FJ93" s="128"/>
      <c r="FK93" s="137"/>
      <c r="FL93" s="130"/>
      <c r="FM93" s="128"/>
      <c r="FN93" s="132"/>
      <c r="FO93" s="136"/>
      <c r="FP93" s="128"/>
      <c r="FQ93" s="137"/>
      <c r="FR93" s="140"/>
      <c r="FS93" s="134">
        <v>35</v>
      </c>
      <c r="FT93" s="130">
        <v>1</v>
      </c>
      <c r="FU93" s="128"/>
      <c r="FV93" s="128"/>
      <c r="FW93" s="128"/>
      <c r="FX93" s="128"/>
      <c r="FY93" s="132">
        <v>1</v>
      </c>
      <c r="FZ93" s="134"/>
      <c r="GA93" s="130">
        <v>4</v>
      </c>
      <c r="GB93" s="128"/>
      <c r="GC93" s="132">
        <v>4</v>
      </c>
      <c r="GD93" s="134"/>
      <c r="GE93" s="130">
        <v>3</v>
      </c>
      <c r="GF93" s="128"/>
      <c r="GG93" s="128"/>
      <c r="GH93" s="132">
        <v>3</v>
      </c>
      <c r="GI93" s="134">
        <v>2</v>
      </c>
      <c r="GJ93" s="130"/>
      <c r="GK93" s="128"/>
      <c r="GL93" s="128"/>
      <c r="GM93" s="128">
        <v>1</v>
      </c>
      <c r="GN93" s="132">
        <v>1</v>
      </c>
      <c r="GO93" s="134">
        <v>36445</v>
      </c>
      <c r="GP93" s="323">
        <f>36445/44564395</f>
        <v>8.1780533540284797E-4</v>
      </c>
    </row>
    <row r="94" spans="2:198" x14ac:dyDescent="0.2">
      <c r="B94" s="326" t="s">
        <v>109</v>
      </c>
      <c r="C94" s="325">
        <v>97</v>
      </c>
      <c r="D94" s="128">
        <v>24</v>
      </c>
      <c r="E94" s="128">
        <v>17</v>
      </c>
      <c r="F94" s="128">
        <v>3</v>
      </c>
      <c r="G94" s="324">
        <v>141</v>
      </c>
      <c r="H94" s="140"/>
      <c r="I94" s="136">
        <v>804</v>
      </c>
      <c r="J94" s="128"/>
      <c r="K94" s="137">
        <v>804</v>
      </c>
      <c r="L94" s="140"/>
      <c r="M94" s="134">
        <v>979</v>
      </c>
      <c r="N94" s="140">
        <v>16581</v>
      </c>
      <c r="O94" s="128">
        <v>46</v>
      </c>
      <c r="P94" s="128">
        <v>28</v>
      </c>
      <c r="Q94" s="128">
        <v>80</v>
      </c>
      <c r="R94" s="128">
        <v>0</v>
      </c>
      <c r="S94" s="128"/>
      <c r="T94" s="128"/>
      <c r="U94" s="128">
        <v>1</v>
      </c>
      <c r="V94" s="132">
        <v>16736</v>
      </c>
      <c r="W94" s="136">
        <v>10930</v>
      </c>
      <c r="X94" s="128">
        <v>7439</v>
      </c>
      <c r="Y94" s="137">
        <v>18369</v>
      </c>
      <c r="Z94" s="130">
        <v>1332600</v>
      </c>
      <c r="AA94" s="128">
        <v>13</v>
      </c>
      <c r="AB94" s="128">
        <v>265</v>
      </c>
      <c r="AC94" s="132">
        <v>1332878</v>
      </c>
      <c r="AD94" s="136">
        <v>607</v>
      </c>
      <c r="AE94" s="128"/>
      <c r="AF94" s="137">
        <v>607</v>
      </c>
      <c r="AG94" s="130">
        <v>80</v>
      </c>
      <c r="AH94" s="128"/>
      <c r="AI94" s="128">
        <v>59</v>
      </c>
      <c r="AJ94" s="128">
        <v>5</v>
      </c>
      <c r="AK94" s="132">
        <v>144</v>
      </c>
      <c r="AL94" s="136">
        <v>54</v>
      </c>
      <c r="AM94" s="128"/>
      <c r="AN94" s="137">
        <v>54</v>
      </c>
      <c r="AO94" s="134"/>
      <c r="AP94" s="134"/>
      <c r="AQ94" s="130">
        <v>14</v>
      </c>
      <c r="AR94" s="128">
        <v>110</v>
      </c>
      <c r="AS94" s="132">
        <v>124</v>
      </c>
      <c r="AT94" s="136">
        <v>39</v>
      </c>
      <c r="AU94" s="128"/>
      <c r="AV94" s="128"/>
      <c r="AW94" s="128">
        <v>19</v>
      </c>
      <c r="AX94" s="128"/>
      <c r="AY94" s="128"/>
      <c r="AZ94" s="128"/>
      <c r="BA94" s="128"/>
      <c r="BB94" s="128"/>
      <c r="BC94" s="137">
        <v>58</v>
      </c>
      <c r="BD94" s="140"/>
      <c r="BE94" s="134">
        <v>6</v>
      </c>
      <c r="BF94" s="130">
        <v>3609</v>
      </c>
      <c r="BG94" s="128">
        <v>9829</v>
      </c>
      <c r="BH94" s="128">
        <v>28734</v>
      </c>
      <c r="BI94" s="128">
        <v>34</v>
      </c>
      <c r="BJ94" s="128">
        <v>168</v>
      </c>
      <c r="BK94" s="132">
        <v>42374</v>
      </c>
      <c r="BL94" s="134">
        <v>4</v>
      </c>
      <c r="BM94" s="134"/>
      <c r="BN94" s="134">
        <v>7</v>
      </c>
      <c r="BO94" s="134">
        <v>4</v>
      </c>
      <c r="BP94" s="130">
        <v>7</v>
      </c>
      <c r="BQ94" s="128"/>
      <c r="BR94" s="132">
        <v>7</v>
      </c>
      <c r="BS94" s="134">
        <v>88</v>
      </c>
      <c r="BT94" s="130">
        <v>11</v>
      </c>
      <c r="BU94" s="128"/>
      <c r="BV94" s="132">
        <v>11</v>
      </c>
      <c r="BW94" s="136">
        <v>8</v>
      </c>
      <c r="BX94" s="128"/>
      <c r="BY94" s="128">
        <v>52</v>
      </c>
      <c r="BZ94" s="128">
        <v>42</v>
      </c>
      <c r="CA94" s="128">
        <v>25</v>
      </c>
      <c r="CB94" s="128">
        <v>29</v>
      </c>
      <c r="CC94" s="128">
        <v>23</v>
      </c>
      <c r="CD94" s="128"/>
      <c r="CE94" s="128">
        <v>18</v>
      </c>
      <c r="CF94" s="128">
        <v>65</v>
      </c>
      <c r="CG94" s="128">
        <v>27</v>
      </c>
      <c r="CH94" s="128"/>
      <c r="CI94" s="128"/>
      <c r="CJ94" s="128">
        <v>24</v>
      </c>
      <c r="CK94" s="128"/>
      <c r="CL94" s="128">
        <v>1</v>
      </c>
      <c r="CM94" s="137">
        <v>314</v>
      </c>
      <c r="CN94" s="130">
        <v>158</v>
      </c>
      <c r="CO94" s="128"/>
      <c r="CP94" s="132">
        <v>158</v>
      </c>
      <c r="CQ94" s="134"/>
      <c r="CR94" s="130">
        <v>40</v>
      </c>
      <c r="CS94" s="128">
        <v>19</v>
      </c>
      <c r="CT94" s="128">
        <v>26142</v>
      </c>
      <c r="CU94" s="128">
        <v>77</v>
      </c>
      <c r="CV94" s="128">
        <v>57844</v>
      </c>
      <c r="CW94" s="128">
        <v>954</v>
      </c>
      <c r="CX94" s="128">
        <v>882</v>
      </c>
      <c r="CY94" s="128">
        <v>109</v>
      </c>
      <c r="CZ94" s="128">
        <v>1</v>
      </c>
      <c r="DA94" s="128">
        <v>0</v>
      </c>
      <c r="DB94" s="128">
        <v>15</v>
      </c>
      <c r="DC94" s="132">
        <v>86083</v>
      </c>
      <c r="DD94" s="136">
        <v>4904</v>
      </c>
      <c r="DE94" s="128">
        <v>334</v>
      </c>
      <c r="DF94" s="128">
        <v>131</v>
      </c>
      <c r="DG94" s="128">
        <v>85</v>
      </c>
      <c r="DH94" s="128">
        <v>27</v>
      </c>
      <c r="DI94" s="128">
        <v>2</v>
      </c>
      <c r="DJ94" s="128"/>
      <c r="DK94" s="137">
        <v>5483</v>
      </c>
      <c r="DL94" s="140"/>
      <c r="DM94" s="134"/>
      <c r="DN94" s="130">
        <v>6</v>
      </c>
      <c r="DO94" s="128"/>
      <c r="DP94" s="132">
        <v>6</v>
      </c>
      <c r="DQ94" s="134">
        <v>9</v>
      </c>
      <c r="DR94" s="130"/>
      <c r="DS94" s="128"/>
      <c r="DT94" s="132"/>
      <c r="DU94" s="136">
        <v>756</v>
      </c>
      <c r="DV94" s="128">
        <v>2</v>
      </c>
      <c r="DW94" s="137">
        <v>758</v>
      </c>
      <c r="DX94" s="140">
        <v>8</v>
      </c>
      <c r="DY94" s="134">
        <v>1</v>
      </c>
      <c r="DZ94" s="134">
        <v>2788</v>
      </c>
      <c r="EA94" s="134"/>
      <c r="EB94" s="134"/>
      <c r="EC94" s="130">
        <v>155</v>
      </c>
      <c r="ED94" s="128">
        <v>349</v>
      </c>
      <c r="EE94" s="128">
        <v>1</v>
      </c>
      <c r="EF94" s="128"/>
      <c r="EG94" s="128"/>
      <c r="EH94" s="132">
        <v>505</v>
      </c>
      <c r="EI94" s="136">
        <v>106</v>
      </c>
      <c r="EJ94" s="128">
        <v>51</v>
      </c>
      <c r="EK94" s="128">
        <v>118</v>
      </c>
      <c r="EL94" s="128">
        <v>141</v>
      </c>
      <c r="EM94" s="128">
        <v>144</v>
      </c>
      <c r="EN94" s="128">
        <v>39</v>
      </c>
      <c r="EO94" s="128">
        <v>7</v>
      </c>
      <c r="EP94" s="128">
        <v>115</v>
      </c>
      <c r="EQ94" s="128">
        <v>14</v>
      </c>
      <c r="ER94" s="128">
        <v>1</v>
      </c>
      <c r="ES94" s="128">
        <v>0</v>
      </c>
      <c r="ET94" s="128">
        <v>23</v>
      </c>
      <c r="EU94" s="128"/>
      <c r="EV94" s="137">
        <v>759</v>
      </c>
      <c r="EW94" s="140"/>
      <c r="EX94" s="134"/>
      <c r="EY94" s="130">
        <v>2</v>
      </c>
      <c r="EZ94" s="128">
        <v>7</v>
      </c>
      <c r="FA94" s="128">
        <v>83</v>
      </c>
      <c r="FB94" s="132">
        <v>92</v>
      </c>
      <c r="FC94" s="136">
        <v>2</v>
      </c>
      <c r="FD94" s="128"/>
      <c r="FE94" s="137">
        <v>2</v>
      </c>
      <c r="FF94" s="140">
        <v>83</v>
      </c>
      <c r="FG94" s="136">
        <v>1360</v>
      </c>
      <c r="FH94" s="128">
        <v>35</v>
      </c>
      <c r="FI94" s="128">
        <v>43</v>
      </c>
      <c r="FJ94" s="128">
        <v>145</v>
      </c>
      <c r="FK94" s="137">
        <v>1583</v>
      </c>
      <c r="FL94" s="130"/>
      <c r="FM94" s="128"/>
      <c r="FN94" s="132"/>
      <c r="FO94" s="136">
        <v>8</v>
      </c>
      <c r="FP94" s="128"/>
      <c r="FQ94" s="137">
        <v>8</v>
      </c>
      <c r="FR94" s="140">
        <v>1</v>
      </c>
      <c r="FS94" s="134">
        <v>1501</v>
      </c>
      <c r="FT94" s="130">
        <v>3</v>
      </c>
      <c r="FU94" s="128">
        <v>158</v>
      </c>
      <c r="FV94" s="128">
        <v>20</v>
      </c>
      <c r="FW94" s="128">
        <v>14</v>
      </c>
      <c r="FX94" s="128"/>
      <c r="FY94" s="132">
        <v>195</v>
      </c>
      <c r="FZ94" s="134"/>
      <c r="GA94" s="130">
        <v>259</v>
      </c>
      <c r="GB94" s="128">
        <v>185</v>
      </c>
      <c r="GC94" s="132">
        <v>444</v>
      </c>
      <c r="GD94" s="134"/>
      <c r="GE94" s="130">
        <v>35</v>
      </c>
      <c r="GF94" s="128">
        <v>0</v>
      </c>
      <c r="GG94" s="128"/>
      <c r="GH94" s="132">
        <v>35</v>
      </c>
      <c r="GI94" s="134">
        <v>305</v>
      </c>
      <c r="GJ94" s="130">
        <v>24</v>
      </c>
      <c r="GK94" s="128">
        <v>1</v>
      </c>
      <c r="GL94" s="128">
        <v>143</v>
      </c>
      <c r="GM94" s="128">
        <v>129</v>
      </c>
      <c r="GN94" s="132">
        <v>297</v>
      </c>
      <c r="GO94" s="134">
        <v>1514813</v>
      </c>
      <c r="GP94" s="323">
        <f>1514813/44564395</f>
        <v>3.3991553122172981E-2</v>
      </c>
    </row>
    <row r="95" spans="2:198" x14ac:dyDescent="0.2">
      <c r="B95" s="326" t="s">
        <v>136</v>
      </c>
      <c r="C95" s="325">
        <v>686</v>
      </c>
      <c r="D95" s="128"/>
      <c r="E95" s="128"/>
      <c r="F95" s="128"/>
      <c r="G95" s="324">
        <v>686</v>
      </c>
      <c r="H95" s="140"/>
      <c r="I95" s="136">
        <v>35</v>
      </c>
      <c r="J95" s="128"/>
      <c r="K95" s="137">
        <v>35</v>
      </c>
      <c r="L95" s="140"/>
      <c r="M95" s="134">
        <v>3980</v>
      </c>
      <c r="N95" s="140">
        <v>357416</v>
      </c>
      <c r="O95" s="128">
        <v>102</v>
      </c>
      <c r="P95" s="128">
        <v>19</v>
      </c>
      <c r="Q95" s="128">
        <v>10</v>
      </c>
      <c r="R95" s="128">
        <v>1</v>
      </c>
      <c r="S95" s="128">
        <v>1</v>
      </c>
      <c r="T95" s="128">
        <v>2</v>
      </c>
      <c r="U95" s="128">
        <v>2</v>
      </c>
      <c r="V95" s="132">
        <v>357553</v>
      </c>
      <c r="W95" s="136">
        <v>1091</v>
      </c>
      <c r="X95" s="128">
        <v>255</v>
      </c>
      <c r="Y95" s="137">
        <v>1346</v>
      </c>
      <c r="Z95" s="130">
        <v>12585</v>
      </c>
      <c r="AA95" s="128"/>
      <c r="AB95" s="128">
        <v>5</v>
      </c>
      <c r="AC95" s="132">
        <v>12590</v>
      </c>
      <c r="AD95" s="136">
        <v>912</v>
      </c>
      <c r="AE95" s="128"/>
      <c r="AF95" s="137">
        <v>912</v>
      </c>
      <c r="AG95" s="130">
        <v>2</v>
      </c>
      <c r="AH95" s="128"/>
      <c r="AI95" s="128"/>
      <c r="AJ95" s="128"/>
      <c r="AK95" s="132">
        <v>2</v>
      </c>
      <c r="AL95" s="136"/>
      <c r="AM95" s="128">
        <v>10</v>
      </c>
      <c r="AN95" s="137">
        <v>10</v>
      </c>
      <c r="AO95" s="134"/>
      <c r="AP95" s="134"/>
      <c r="AQ95" s="130">
        <v>35</v>
      </c>
      <c r="AR95" s="128"/>
      <c r="AS95" s="132">
        <v>35</v>
      </c>
      <c r="AT95" s="136">
        <v>25</v>
      </c>
      <c r="AU95" s="128">
        <v>0</v>
      </c>
      <c r="AV95" s="128"/>
      <c r="AW95" s="128"/>
      <c r="AX95" s="128"/>
      <c r="AY95" s="128"/>
      <c r="AZ95" s="128"/>
      <c r="BA95" s="128"/>
      <c r="BB95" s="128"/>
      <c r="BC95" s="137">
        <v>25</v>
      </c>
      <c r="BD95" s="140"/>
      <c r="BE95" s="134">
        <v>5</v>
      </c>
      <c r="BF95" s="130">
        <v>873</v>
      </c>
      <c r="BG95" s="128">
        <v>200</v>
      </c>
      <c r="BH95" s="128">
        <v>723</v>
      </c>
      <c r="BI95" s="128">
        <v>70</v>
      </c>
      <c r="BJ95" s="128">
        <v>23</v>
      </c>
      <c r="BK95" s="132">
        <v>1889</v>
      </c>
      <c r="BL95" s="134">
        <v>1</v>
      </c>
      <c r="BM95" s="134"/>
      <c r="BN95" s="134">
        <v>282</v>
      </c>
      <c r="BO95" s="134">
        <v>3</v>
      </c>
      <c r="BP95" s="130">
        <v>21</v>
      </c>
      <c r="BQ95" s="128">
        <v>1</v>
      </c>
      <c r="BR95" s="132">
        <v>22</v>
      </c>
      <c r="BS95" s="134"/>
      <c r="BT95" s="130">
        <v>9</v>
      </c>
      <c r="BU95" s="128">
        <v>7</v>
      </c>
      <c r="BV95" s="132">
        <v>16</v>
      </c>
      <c r="BW95" s="136">
        <v>12</v>
      </c>
      <c r="BX95" s="128">
        <v>3</v>
      </c>
      <c r="BY95" s="128"/>
      <c r="BZ95" s="128"/>
      <c r="CA95" s="128"/>
      <c r="CB95" s="128"/>
      <c r="CC95" s="128"/>
      <c r="CD95" s="128"/>
      <c r="CE95" s="128"/>
      <c r="CF95" s="128">
        <v>3</v>
      </c>
      <c r="CG95" s="128">
        <v>9</v>
      </c>
      <c r="CH95" s="128"/>
      <c r="CI95" s="128"/>
      <c r="CJ95" s="128"/>
      <c r="CK95" s="128"/>
      <c r="CL95" s="128"/>
      <c r="CM95" s="137">
        <v>27</v>
      </c>
      <c r="CN95" s="130">
        <v>58</v>
      </c>
      <c r="CO95" s="128"/>
      <c r="CP95" s="132">
        <v>58</v>
      </c>
      <c r="CQ95" s="134"/>
      <c r="CR95" s="130">
        <v>203</v>
      </c>
      <c r="CS95" s="128">
        <v>27</v>
      </c>
      <c r="CT95" s="128">
        <v>234383</v>
      </c>
      <c r="CU95" s="128">
        <v>1042</v>
      </c>
      <c r="CV95" s="128">
        <v>67176</v>
      </c>
      <c r="CW95" s="128">
        <v>6</v>
      </c>
      <c r="CX95" s="128">
        <v>4</v>
      </c>
      <c r="CY95" s="128"/>
      <c r="CZ95" s="128">
        <v>28</v>
      </c>
      <c r="DA95" s="128"/>
      <c r="DB95" s="128">
        <v>0</v>
      </c>
      <c r="DC95" s="132">
        <v>302869</v>
      </c>
      <c r="DD95" s="136">
        <v>947</v>
      </c>
      <c r="DE95" s="128">
        <v>0</v>
      </c>
      <c r="DF95" s="128">
        <v>25</v>
      </c>
      <c r="DG95" s="128">
        <v>540</v>
      </c>
      <c r="DH95" s="128">
        <v>4</v>
      </c>
      <c r="DI95" s="128">
        <v>0</v>
      </c>
      <c r="DJ95" s="128"/>
      <c r="DK95" s="137">
        <v>1516</v>
      </c>
      <c r="DL95" s="140">
        <v>3</v>
      </c>
      <c r="DM95" s="134"/>
      <c r="DN95" s="130"/>
      <c r="DO95" s="128"/>
      <c r="DP95" s="132"/>
      <c r="DQ95" s="134">
        <v>52</v>
      </c>
      <c r="DR95" s="130"/>
      <c r="DS95" s="128"/>
      <c r="DT95" s="132"/>
      <c r="DU95" s="136">
        <v>9</v>
      </c>
      <c r="DV95" s="128">
        <v>1</v>
      </c>
      <c r="DW95" s="137">
        <v>10</v>
      </c>
      <c r="DX95" s="140">
        <v>15</v>
      </c>
      <c r="DY95" s="134">
        <v>1</v>
      </c>
      <c r="DZ95" s="134">
        <v>2481</v>
      </c>
      <c r="EA95" s="134"/>
      <c r="EB95" s="134"/>
      <c r="EC95" s="130">
        <v>214</v>
      </c>
      <c r="ED95" s="128">
        <v>20</v>
      </c>
      <c r="EE95" s="128"/>
      <c r="EF95" s="128">
        <v>1</v>
      </c>
      <c r="EG95" s="128"/>
      <c r="EH95" s="132">
        <v>235</v>
      </c>
      <c r="EI95" s="136">
        <v>55</v>
      </c>
      <c r="EJ95" s="128">
        <v>419</v>
      </c>
      <c r="EK95" s="128">
        <v>45</v>
      </c>
      <c r="EL95" s="128">
        <v>38</v>
      </c>
      <c r="EM95" s="128">
        <v>23942</v>
      </c>
      <c r="EN95" s="128">
        <v>7</v>
      </c>
      <c r="EO95" s="128">
        <v>7</v>
      </c>
      <c r="EP95" s="128">
        <v>505</v>
      </c>
      <c r="EQ95" s="128">
        <v>2</v>
      </c>
      <c r="ER95" s="128">
        <v>9</v>
      </c>
      <c r="ES95" s="128"/>
      <c r="ET95" s="128"/>
      <c r="EU95" s="128"/>
      <c r="EV95" s="137">
        <v>25029</v>
      </c>
      <c r="EW95" s="140"/>
      <c r="EX95" s="134">
        <v>7</v>
      </c>
      <c r="EY95" s="130"/>
      <c r="EZ95" s="128"/>
      <c r="FA95" s="128"/>
      <c r="FB95" s="132"/>
      <c r="FC95" s="136"/>
      <c r="FD95" s="128"/>
      <c r="FE95" s="137"/>
      <c r="FF95" s="140">
        <v>55</v>
      </c>
      <c r="FG95" s="136">
        <v>3</v>
      </c>
      <c r="FH95" s="128">
        <v>97</v>
      </c>
      <c r="FI95" s="128"/>
      <c r="FJ95" s="128">
        <v>2</v>
      </c>
      <c r="FK95" s="137">
        <v>102</v>
      </c>
      <c r="FL95" s="130"/>
      <c r="FM95" s="128"/>
      <c r="FN95" s="132"/>
      <c r="FO95" s="136">
        <v>180</v>
      </c>
      <c r="FP95" s="128"/>
      <c r="FQ95" s="137">
        <v>180</v>
      </c>
      <c r="FR95" s="140"/>
      <c r="FS95" s="134">
        <v>20</v>
      </c>
      <c r="FT95" s="130">
        <v>1</v>
      </c>
      <c r="FU95" s="128"/>
      <c r="FV95" s="128"/>
      <c r="FW95" s="128"/>
      <c r="FX95" s="128"/>
      <c r="FY95" s="132">
        <v>1</v>
      </c>
      <c r="FZ95" s="134"/>
      <c r="GA95" s="130">
        <v>35</v>
      </c>
      <c r="GB95" s="128">
        <v>6</v>
      </c>
      <c r="GC95" s="132">
        <v>41</v>
      </c>
      <c r="GD95" s="134"/>
      <c r="GE95" s="130">
        <v>1</v>
      </c>
      <c r="GF95" s="128"/>
      <c r="GG95" s="128"/>
      <c r="GH95" s="132">
        <v>1</v>
      </c>
      <c r="GI95" s="134">
        <v>3</v>
      </c>
      <c r="GJ95" s="130">
        <v>8</v>
      </c>
      <c r="GK95" s="128"/>
      <c r="GL95" s="128"/>
      <c r="GM95" s="128">
        <v>30</v>
      </c>
      <c r="GN95" s="132">
        <v>38</v>
      </c>
      <c r="GO95" s="134">
        <v>712136</v>
      </c>
      <c r="GP95" s="323">
        <f>712136/44564395</f>
        <v>1.5979931961378584E-2</v>
      </c>
    </row>
    <row r="96" spans="2:198" x14ac:dyDescent="0.2">
      <c r="B96" s="326" t="s">
        <v>138</v>
      </c>
      <c r="C96" s="325">
        <v>70</v>
      </c>
      <c r="D96" s="128"/>
      <c r="E96" s="128"/>
      <c r="F96" s="128"/>
      <c r="G96" s="324">
        <v>70</v>
      </c>
      <c r="H96" s="140"/>
      <c r="I96" s="136">
        <v>114</v>
      </c>
      <c r="J96" s="128"/>
      <c r="K96" s="137">
        <v>114</v>
      </c>
      <c r="L96" s="140"/>
      <c r="M96" s="134">
        <v>546</v>
      </c>
      <c r="N96" s="140">
        <v>38454</v>
      </c>
      <c r="O96" s="128">
        <v>24</v>
      </c>
      <c r="P96" s="128">
        <v>1</v>
      </c>
      <c r="Q96" s="128">
        <v>86</v>
      </c>
      <c r="R96" s="128"/>
      <c r="S96" s="128"/>
      <c r="T96" s="128"/>
      <c r="U96" s="128"/>
      <c r="V96" s="132">
        <v>38565</v>
      </c>
      <c r="W96" s="136">
        <v>1380</v>
      </c>
      <c r="X96" s="128">
        <v>45</v>
      </c>
      <c r="Y96" s="137">
        <v>1425</v>
      </c>
      <c r="Z96" s="130">
        <v>1643</v>
      </c>
      <c r="AA96" s="128"/>
      <c r="AB96" s="128">
        <v>0</v>
      </c>
      <c r="AC96" s="132">
        <v>1643</v>
      </c>
      <c r="AD96" s="136">
        <v>106</v>
      </c>
      <c r="AE96" s="128">
        <v>1</v>
      </c>
      <c r="AF96" s="137">
        <v>107</v>
      </c>
      <c r="AG96" s="130">
        <v>2</v>
      </c>
      <c r="AH96" s="128"/>
      <c r="AI96" s="128"/>
      <c r="AJ96" s="128"/>
      <c r="AK96" s="132">
        <v>2</v>
      </c>
      <c r="AL96" s="136"/>
      <c r="AM96" s="128"/>
      <c r="AN96" s="137"/>
      <c r="AO96" s="134"/>
      <c r="AP96" s="134"/>
      <c r="AQ96" s="130">
        <v>62</v>
      </c>
      <c r="AR96" s="128"/>
      <c r="AS96" s="132">
        <v>62</v>
      </c>
      <c r="AT96" s="136"/>
      <c r="AU96" s="128"/>
      <c r="AV96" s="128"/>
      <c r="AW96" s="128"/>
      <c r="AX96" s="128"/>
      <c r="AY96" s="128"/>
      <c r="AZ96" s="128"/>
      <c r="BA96" s="128"/>
      <c r="BB96" s="128"/>
      <c r="BC96" s="137"/>
      <c r="BD96" s="140"/>
      <c r="BE96" s="134">
        <v>4</v>
      </c>
      <c r="BF96" s="130">
        <v>110</v>
      </c>
      <c r="BG96" s="128">
        <v>31</v>
      </c>
      <c r="BH96" s="128">
        <v>597</v>
      </c>
      <c r="BI96" s="128">
        <v>4</v>
      </c>
      <c r="BJ96" s="128">
        <v>11</v>
      </c>
      <c r="BK96" s="132">
        <v>753</v>
      </c>
      <c r="BL96" s="134"/>
      <c r="BM96" s="134"/>
      <c r="BN96" s="134"/>
      <c r="BO96" s="134">
        <v>2</v>
      </c>
      <c r="BP96" s="130">
        <v>37</v>
      </c>
      <c r="BQ96" s="128"/>
      <c r="BR96" s="132">
        <v>37</v>
      </c>
      <c r="BS96" s="134"/>
      <c r="BT96" s="130"/>
      <c r="BU96" s="128">
        <v>3</v>
      </c>
      <c r="BV96" s="132">
        <v>3</v>
      </c>
      <c r="BW96" s="136">
        <v>12</v>
      </c>
      <c r="BX96" s="128">
        <v>3</v>
      </c>
      <c r="BY96" s="128"/>
      <c r="BZ96" s="128"/>
      <c r="CA96" s="128"/>
      <c r="CB96" s="128"/>
      <c r="CC96" s="128"/>
      <c r="CD96" s="128"/>
      <c r="CE96" s="128"/>
      <c r="CF96" s="128"/>
      <c r="CG96" s="128"/>
      <c r="CH96" s="128"/>
      <c r="CI96" s="128"/>
      <c r="CJ96" s="128"/>
      <c r="CK96" s="128"/>
      <c r="CL96" s="128"/>
      <c r="CM96" s="137">
        <v>15</v>
      </c>
      <c r="CN96" s="130">
        <v>58</v>
      </c>
      <c r="CO96" s="128"/>
      <c r="CP96" s="132">
        <v>58</v>
      </c>
      <c r="CQ96" s="134"/>
      <c r="CR96" s="130">
        <v>32</v>
      </c>
      <c r="CS96" s="128">
        <v>19</v>
      </c>
      <c r="CT96" s="128">
        <v>56179</v>
      </c>
      <c r="CU96" s="128">
        <v>117</v>
      </c>
      <c r="CV96" s="128">
        <v>44345</v>
      </c>
      <c r="CW96" s="128"/>
      <c r="CX96" s="128">
        <v>1</v>
      </c>
      <c r="CY96" s="128"/>
      <c r="CZ96" s="128">
        <v>2</v>
      </c>
      <c r="DA96" s="128"/>
      <c r="DB96" s="128"/>
      <c r="DC96" s="132">
        <v>100695</v>
      </c>
      <c r="DD96" s="136">
        <v>266</v>
      </c>
      <c r="DE96" s="128"/>
      <c r="DF96" s="128">
        <v>1</v>
      </c>
      <c r="DG96" s="128">
        <v>64</v>
      </c>
      <c r="DH96" s="128"/>
      <c r="DI96" s="128"/>
      <c r="DJ96" s="128"/>
      <c r="DK96" s="137">
        <v>331</v>
      </c>
      <c r="DL96" s="140"/>
      <c r="DM96" s="134"/>
      <c r="DN96" s="130"/>
      <c r="DO96" s="128"/>
      <c r="DP96" s="132"/>
      <c r="DQ96" s="134">
        <v>30</v>
      </c>
      <c r="DR96" s="130"/>
      <c r="DS96" s="128"/>
      <c r="DT96" s="132"/>
      <c r="DU96" s="136">
        <v>24</v>
      </c>
      <c r="DV96" s="128"/>
      <c r="DW96" s="137">
        <v>24</v>
      </c>
      <c r="DX96" s="140"/>
      <c r="DY96" s="134">
        <v>0</v>
      </c>
      <c r="DZ96" s="134">
        <v>1055</v>
      </c>
      <c r="EA96" s="134">
        <v>1</v>
      </c>
      <c r="EB96" s="134"/>
      <c r="EC96" s="130">
        <v>83</v>
      </c>
      <c r="ED96" s="128">
        <v>10</v>
      </c>
      <c r="EE96" s="128"/>
      <c r="EF96" s="128"/>
      <c r="EG96" s="128"/>
      <c r="EH96" s="132">
        <v>93</v>
      </c>
      <c r="EI96" s="136">
        <v>17</v>
      </c>
      <c r="EJ96" s="128">
        <v>1046</v>
      </c>
      <c r="EK96" s="128">
        <v>3</v>
      </c>
      <c r="EL96" s="128">
        <v>13</v>
      </c>
      <c r="EM96" s="128">
        <v>353</v>
      </c>
      <c r="EN96" s="128"/>
      <c r="EO96" s="128"/>
      <c r="EP96" s="128">
        <v>53</v>
      </c>
      <c r="EQ96" s="128"/>
      <c r="ER96" s="128"/>
      <c r="ES96" s="128"/>
      <c r="ET96" s="128"/>
      <c r="EU96" s="128"/>
      <c r="EV96" s="137">
        <v>1485</v>
      </c>
      <c r="EW96" s="140"/>
      <c r="EX96" s="134"/>
      <c r="EY96" s="130"/>
      <c r="EZ96" s="128"/>
      <c r="FA96" s="128"/>
      <c r="FB96" s="132"/>
      <c r="FC96" s="136"/>
      <c r="FD96" s="128"/>
      <c r="FE96" s="137"/>
      <c r="FF96" s="140">
        <v>9</v>
      </c>
      <c r="FG96" s="136">
        <v>0</v>
      </c>
      <c r="FH96" s="128">
        <v>79</v>
      </c>
      <c r="FI96" s="128"/>
      <c r="FJ96" s="128"/>
      <c r="FK96" s="137">
        <v>79</v>
      </c>
      <c r="FL96" s="130"/>
      <c r="FM96" s="128"/>
      <c r="FN96" s="132"/>
      <c r="FO96" s="136">
        <v>182</v>
      </c>
      <c r="FP96" s="128"/>
      <c r="FQ96" s="137">
        <v>182</v>
      </c>
      <c r="FR96" s="140"/>
      <c r="FS96" s="134">
        <v>26</v>
      </c>
      <c r="FT96" s="130">
        <v>5</v>
      </c>
      <c r="FU96" s="128"/>
      <c r="FV96" s="128"/>
      <c r="FW96" s="128"/>
      <c r="FX96" s="128"/>
      <c r="FY96" s="132">
        <v>5</v>
      </c>
      <c r="FZ96" s="134"/>
      <c r="GA96" s="130">
        <v>60</v>
      </c>
      <c r="GB96" s="128"/>
      <c r="GC96" s="132">
        <v>60</v>
      </c>
      <c r="GD96" s="134"/>
      <c r="GE96" s="130">
        <v>2</v>
      </c>
      <c r="GF96" s="128"/>
      <c r="GG96" s="128"/>
      <c r="GH96" s="132">
        <v>2</v>
      </c>
      <c r="GI96" s="134">
        <v>2</v>
      </c>
      <c r="GJ96" s="130"/>
      <c r="GK96" s="128"/>
      <c r="GL96" s="128"/>
      <c r="GM96" s="128">
        <v>2</v>
      </c>
      <c r="GN96" s="132">
        <v>2</v>
      </c>
      <c r="GO96" s="134">
        <v>147487</v>
      </c>
      <c r="GP96" s="323">
        <f>147487/44564395</f>
        <v>3.3095254630967166E-3</v>
      </c>
    </row>
    <row r="97" spans="2:198" x14ac:dyDescent="0.2">
      <c r="B97" s="326" t="s">
        <v>178</v>
      </c>
      <c r="C97" s="325">
        <v>39</v>
      </c>
      <c r="D97" s="128"/>
      <c r="E97" s="128"/>
      <c r="F97" s="128"/>
      <c r="G97" s="324">
        <v>39</v>
      </c>
      <c r="H97" s="140"/>
      <c r="I97" s="136">
        <v>1</v>
      </c>
      <c r="J97" s="128"/>
      <c r="K97" s="137">
        <v>1</v>
      </c>
      <c r="L97" s="140"/>
      <c r="M97" s="134">
        <v>192</v>
      </c>
      <c r="N97" s="140">
        <v>162503</v>
      </c>
      <c r="O97" s="128">
        <v>16</v>
      </c>
      <c r="P97" s="128">
        <v>23</v>
      </c>
      <c r="Q97" s="128">
        <v>8</v>
      </c>
      <c r="R97" s="128">
        <v>2</v>
      </c>
      <c r="S97" s="128"/>
      <c r="T97" s="128"/>
      <c r="U97" s="128"/>
      <c r="V97" s="132">
        <v>162552</v>
      </c>
      <c r="W97" s="136">
        <v>961</v>
      </c>
      <c r="X97" s="128">
        <v>143</v>
      </c>
      <c r="Y97" s="137">
        <v>1104</v>
      </c>
      <c r="Z97" s="130">
        <v>2032</v>
      </c>
      <c r="AA97" s="128"/>
      <c r="AB97" s="128">
        <v>0</v>
      </c>
      <c r="AC97" s="132">
        <v>2032</v>
      </c>
      <c r="AD97" s="136">
        <v>196</v>
      </c>
      <c r="AE97" s="128"/>
      <c r="AF97" s="137">
        <v>196</v>
      </c>
      <c r="AG97" s="130">
        <v>28</v>
      </c>
      <c r="AH97" s="128"/>
      <c r="AI97" s="128"/>
      <c r="AJ97" s="128"/>
      <c r="AK97" s="132">
        <v>28</v>
      </c>
      <c r="AL97" s="136"/>
      <c r="AM97" s="128">
        <v>1</v>
      </c>
      <c r="AN97" s="137">
        <v>1</v>
      </c>
      <c r="AO97" s="134"/>
      <c r="AP97" s="134"/>
      <c r="AQ97" s="130">
        <v>6</v>
      </c>
      <c r="AR97" s="128">
        <v>1</v>
      </c>
      <c r="AS97" s="132">
        <v>7</v>
      </c>
      <c r="AT97" s="136">
        <v>1</v>
      </c>
      <c r="AU97" s="128"/>
      <c r="AV97" s="128"/>
      <c r="AW97" s="128"/>
      <c r="AX97" s="128"/>
      <c r="AY97" s="128"/>
      <c r="AZ97" s="128"/>
      <c r="BA97" s="128"/>
      <c r="BB97" s="128"/>
      <c r="BC97" s="137">
        <v>1</v>
      </c>
      <c r="BD97" s="140"/>
      <c r="BE97" s="134">
        <v>1</v>
      </c>
      <c r="BF97" s="130">
        <v>32982</v>
      </c>
      <c r="BG97" s="128">
        <v>1390</v>
      </c>
      <c r="BH97" s="128">
        <v>12906</v>
      </c>
      <c r="BI97" s="128">
        <v>36</v>
      </c>
      <c r="BJ97" s="128">
        <v>113</v>
      </c>
      <c r="BK97" s="132">
        <v>47427</v>
      </c>
      <c r="BL97" s="134">
        <v>0</v>
      </c>
      <c r="BM97" s="134"/>
      <c r="BN97" s="134">
        <v>1</v>
      </c>
      <c r="BO97" s="134">
        <v>5</v>
      </c>
      <c r="BP97" s="130">
        <v>19</v>
      </c>
      <c r="BQ97" s="128"/>
      <c r="BR97" s="132">
        <v>19</v>
      </c>
      <c r="BS97" s="134"/>
      <c r="BT97" s="130"/>
      <c r="BU97" s="128"/>
      <c r="BV97" s="132"/>
      <c r="BW97" s="136">
        <v>8</v>
      </c>
      <c r="BX97" s="128">
        <v>4</v>
      </c>
      <c r="BY97" s="128"/>
      <c r="BZ97" s="128"/>
      <c r="CA97" s="128"/>
      <c r="CB97" s="128"/>
      <c r="CC97" s="128"/>
      <c r="CD97" s="128"/>
      <c r="CE97" s="128"/>
      <c r="CF97" s="128">
        <v>1</v>
      </c>
      <c r="CG97" s="128"/>
      <c r="CH97" s="128"/>
      <c r="CI97" s="128"/>
      <c r="CJ97" s="128"/>
      <c r="CK97" s="128"/>
      <c r="CL97" s="128">
        <v>1</v>
      </c>
      <c r="CM97" s="137">
        <v>14</v>
      </c>
      <c r="CN97" s="130">
        <v>12</v>
      </c>
      <c r="CO97" s="128"/>
      <c r="CP97" s="132">
        <v>12</v>
      </c>
      <c r="CQ97" s="134"/>
      <c r="CR97" s="130">
        <v>39</v>
      </c>
      <c r="CS97" s="128">
        <v>0</v>
      </c>
      <c r="CT97" s="128">
        <v>34453</v>
      </c>
      <c r="CU97" s="128">
        <v>141</v>
      </c>
      <c r="CV97" s="128">
        <v>3123</v>
      </c>
      <c r="CW97" s="128">
        <v>2</v>
      </c>
      <c r="CX97" s="128">
        <v>2</v>
      </c>
      <c r="CY97" s="128">
        <v>1</v>
      </c>
      <c r="CZ97" s="128">
        <v>1</v>
      </c>
      <c r="DA97" s="128"/>
      <c r="DB97" s="128"/>
      <c r="DC97" s="132">
        <v>37762</v>
      </c>
      <c r="DD97" s="136">
        <v>286</v>
      </c>
      <c r="DE97" s="128">
        <v>2</v>
      </c>
      <c r="DF97" s="128">
        <v>68</v>
      </c>
      <c r="DG97" s="128">
        <v>34</v>
      </c>
      <c r="DH97" s="128">
        <v>1</v>
      </c>
      <c r="DI97" s="128">
        <v>0</v>
      </c>
      <c r="DJ97" s="128"/>
      <c r="DK97" s="137">
        <v>391</v>
      </c>
      <c r="DL97" s="140"/>
      <c r="DM97" s="134"/>
      <c r="DN97" s="130"/>
      <c r="DO97" s="128"/>
      <c r="DP97" s="132"/>
      <c r="DQ97" s="134">
        <v>15</v>
      </c>
      <c r="DR97" s="130"/>
      <c r="DS97" s="128"/>
      <c r="DT97" s="132"/>
      <c r="DU97" s="136">
        <v>3</v>
      </c>
      <c r="DV97" s="128"/>
      <c r="DW97" s="137">
        <v>3</v>
      </c>
      <c r="DX97" s="140">
        <v>1</v>
      </c>
      <c r="DY97" s="134">
        <v>0</v>
      </c>
      <c r="DZ97" s="134">
        <v>15196</v>
      </c>
      <c r="EA97" s="134"/>
      <c r="EB97" s="134"/>
      <c r="EC97" s="130">
        <v>86</v>
      </c>
      <c r="ED97" s="128">
        <v>12</v>
      </c>
      <c r="EE97" s="128"/>
      <c r="EF97" s="128"/>
      <c r="EG97" s="128"/>
      <c r="EH97" s="132">
        <v>98</v>
      </c>
      <c r="EI97" s="136">
        <v>171</v>
      </c>
      <c r="EJ97" s="128">
        <v>1640</v>
      </c>
      <c r="EK97" s="128">
        <v>57</v>
      </c>
      <c r="EL97" s="128">
        <v>233</v>
      </c>
      <c r="EM97" s="128">
        <v>3905</v>
      </c>
      <c r="EN97" s="128">
        <v>11</v>
      </c>
      <c r="EO97" s="128">
        <v>5</v>
      </c>
      <c r="EP97" s="128">
        <v>123</v>
      </c>
      <c r="EQ97" s="128">
        <v>4</v>
      </c>
      <c r="ER97" s="128">
        <v>9</v>
      </c>
      <c r="ES97" s="128">
        <v>7</v>
      </c>
      <c r="ET97" s="128"/>
      <c r="EU97" s="128"/>
      <c r="EV97" s="137">
        <v>6165</v>
      </c>
      <c r="EW97" s="140"/>
      <c r="EX97" s="134">
        <v>209</v>
      </c>
      <c r="EY97" s="130"/>
      <c r="EZ97" s="128"/>
      <c r="FA97" s="128"/>
      <c r="FB97" s="132"/>
      <c r="FC97" s="136"/>
      <c r="FD97" s="128"/>
      <c r="FE97" s="137"/>
      <c r="FF97" s="140">
        <v>272</v>
      </c>
      <c r="FG97" s="136">
        <v>317</v>
      </c>
      <c r="FH97" s="128">
        <v>4</v>
      </c>
      <c r="FI97" s="128"/>
      <c r="FJ97" s="128"/>
      <c r="FK97" s="137">
        <v>321</v>
      </c>
      <c r="FL97" s="130"/>
      <c r="FM97" s="128"/>
      <c r="FN97" s="132"/>
      <c r="FO97" s="136"/>
      <c r="FP97" s="128"/>
      <c r="FQ97" s="137"/>
      <c r="FR97" s="140"/>
      <c r="FS97" s="134">
        <v>141</v>
      </c>
      <c r="FT97" s="130">
        <v>25</v>
      </c>
      <c r="FU97" s="128">
        <v>2</v>
      </c>
      <c r="FV97" s="128"/>
      <c r="FW97" s="128"/>
      <c r="FX97" s="128"/>
      <c r="FY97" s="132">
        <v>27</v>
      </c>
      <c r="FZ97" s="134"/>
      <c r="GA97" s="130">
        <v>11</v>
      </c>
      <c r="GB97" s="128">
        <v>1</v>
      </c>
      <c r="GC97" s="132">
        <v>12</v>
      </c>
      <c r="GD97" s="134"/>
      <c r="GE97" s="130"/>
      <c r="GF97" s="128"/>
      <c r="GG97" s="128"/>
      <c r="GH97" s="132"/>
      <c r="GI97" s="134">
        <v>1</v>
      </c>
      <c r="GJ97" s="130"/>
      <c r="GK97" s="128">
        <v>2</v>
      </c>
      <c r="GL97" s="128">
        <v>8</v>
      </c>
      <c r="GM97" s="128">
        <v>1</v>
      </c>
      <c r="GN97" s="132">
        <v>11</v>
      </c>
      <c r="GO97" s="134">
        <v>274257</v>
      </c>
      <c r="GP97" s="323">
        <f>274257/44564395</f>
        <v>6.1541730792037007E-3</v>
      </c>
    </row>
    <row r="98" spans="2:198" x14ac:dyDescent="0.2">
      <c r="B98" s="326" t="s">
        <v>193</v>
      </c>
      <c r="C98" s="325">
        <v>45</v>
      </c>
      <c r="D98" s="128"/>
      <c r="E98" s="128"/>
      <c r="F98" s="128"/>
      <c r="G98" s="324">
        <v>45</v>
      </c>
      <c r="H98" s="140"/>
      <c r="I98" s="136">
        <v>15</v>
      </c>
      <c r="J98" s="128"/>
      <c r="K98" s="137">
        <v>15</v>
      </c>
      <c r="L98" s="140"/>
      <c r="M98" s="134">
        <v>717</v>
      </c>
      <c r="N98" s="140">
        <v>31583</v>
      </c>
      <c r="O98" s="128">
        <v>39</v>
      </c>
      <c r="P98" s="128">
        <v>3</v>
      </c>
      <c r="Q98" s="128">
        <v>2</v>
      </c>
      <c r="R98" s="128">
        <v>1</v>
      </c>
      <c r="S98" s="128"/>
      <c r="T98" s="128"/>
      <c r="U98" s="128"/>
      <c r="V98" s="132">
        <v>31628</v>
      </c>
      <c r="W98" s="136">
        <v>2092</v>
      </c>
      <c r="X98" s="128">
        <v>467</v>
      </c>
      <c r="Y98" s="137">
        <v>2559</v>
      </c>
      <c r="Z98" s="130">
        <v>16432</v>
      </c>
      <c r="AA98" s="128"/>
      <c r="AB98" s="128">
        <v>4</v>
      </c>
      <c r="AC98" s="132">
        <v>16436</v>
      </c>
      <c r="AD98" s="136">
        <v>198</v>
      </c>
      <c r="AE98" s="128"/>
      <c r="AF98" s="137">
        <v>198</v>
      </c>
      <c r="AG98" s="130">
        <v>6</v>
      </c>
      <c r="AH98" s="128"/>
      <c r="AI98" s="128"/>
      <c r="AJ98" s="128"/>
      <c r="AK98" s="132">
        <v>6</v>
      </c>
      <c r="AL98" s="136"/>
      <c r="AM98" s="128"/>
      <c r="AN98" s="137"/>
      <c r="AO98" s="134"/>
      <c r="AP98" s="134"/>
      <c r="AQ98" s="130">
        <v>4</v>
      </c>
      <c r="AR98" s="128"/>
      <c r="AS98" s="132">
        <v>4</v>
      </c>
      <c r="AT98" s="136">
        <v>1</v>
      </c>
      <c r="AU98" s="128"/>
      <c r="AV98" s="128"/>
      <c r="AW98" s="128"/>
      <c r="AX98" s="128"/>
      <c r="AY98" s="128"/>
      <c r="AZ98" s="128"/>
      <c r="BA98" s="128"/>
      <c r="BB98" s="128"/>
      <c r="BC98" s="137">
        <v>1</v>
      </c>
      <c r="BD98" s="140">
        <v>1</v>
      </c>
      <c r="BE98" s="134">
        <v>1</v>
      </c>
      <c r="BF98" s="130">
        <v>202</v>
      </c>
      <c r="BG98" s="128">
        <v>65</v>
      </c>
      <c r="BH98" s="128">
        <v>914</v>
      </c>
      <c r="BI98" s="128">
        <v>3</v>
      </c>
      <c r="BJ98" s="128">
        <v>19</v>
      </c>
      <c r="BK98" s="132">
        <v>1203</v>
      </c>
      <c r="BL98" s="134">
        <v>3</v>
      </c>
      <c r="BM98" s="134"/>
      <c r="BN98" s="134">
        <v>1</v>
      </c>
      <c r="BO98" s="134">
        <v>1</v>
      </c>
      <c r="BP98" s="130">
        <v>11</v>
      </c>
      <c r="BQ98" s="128"/>
      <c r="BR98" s="132">
        <v>11</v>
      </c>
      <c r="BS98" s="134"/>
      <c r="BT98" s="130">
        <v>4</v>
      </c>
      <c r="BU98" s="128"/>
      <c r="BV98" s="132">
        <v>4</v>
      </c>
      <c r="BW98" s="136">
        <v>10</v>
      </c>
      <c r="BX98" s="128">
        <v>6</v>
      </c>
      <c r="BY98" s="128"/>
      <c r="BZ98" s="128"/>
      <c r="CA98" s="128"/>
      <c r="CB98" s="128"/>
      <c r="CC98" s="128"/>
      <c r="CD98" s="128"/>
      <c r="CE98" s="128"/>
      <c r="CF98" s="128"/>
      <c r="CG98" s="128"/>
      <c r="CH98" s="128"/>
      <c r="CI98" s="128"/>
      <c r="CJ98" s="128"/>
      <c r="CK98" s="128"/>
      <c r="CL98" s="128"/>
      <c r="CM98" s="137">
        <v>16</v>
      </c>
      <c r="CN98" s="130">
        <v>52</v>
      </c>
      <c r="CO98" s="128"/>
      <c r="CP98" s="132">
        <v>52</v>
      </c>
      <c r="CQ98" s="134"/>
      <c r="CR98" s="130">
        <v>45</v>
      </c>
      <c r="CS98" s="128">
        <v>33</v>
      </c>
      <c r="CT98" s="128">
        <v>340556</v>
      </c>
      <c r="CU98" s="128">
        <v>332</v>
      </c>
      <c r="CV98" s="128">
        <v>20709</v>
      </c>
      <c r="CW98" s="128">
        <v>0</v>
      </c>
      <c r="CX98" s="128">
        <v>1</v>
      </c>
      <c r="CY98" s="128"/>
      <c r="CZ98" s="128">
        <v>5</v>
      </c>
      <c r="DA98" s="128"/>
      <c r="DB98" s="128"/>
      <c r="DC98" s="132">
        <v>361681</v>
      </c>
      <c r="DD98" s="136">
        <v>300</v>
      </c>
      <c r="DE98" s="128"/>
      <c r="DF98" s="128">
        <v>7</v>
      </c>
      <c r="DG98" s="128">
        <v>178</v>
      </c>
      <c r="DH98" s="128"/>
      <c r="DI98" s="128"/>
      <c r="DJ98" s="128"/>
      <c r="DK98" s="137">
        <v>485</v>
      </c>
      <c r="DL98" s="140"/>
      <c r="DM98" s="134"/>
      <c r="DN98" s="130"/>
      <c r="DO98" s="128"/>
      <c r="DP98" s="132"/>
      <c r="DQ98" s="134">
        <v>7</v>
      </c>
      <c r="DR98" s="130"/>
      <c r="DS98" s="128"/>
      <c r="DT98" s="132"/>
      <c r="DU98" s="136">
        <v>12</v>
      </c>
      <c r="DV98" s="128"/>
      <c r="DW98" s="137">
        <v>12</v>
      </c>
      <c r="DX98" s="140">
        <v>117</v>
      </c>
      <c r="DY98" s="134"/>
      <c r="DZ98" s="134">
        <v>664</v>
      </c>
      <c r="EA98" s="134">
        <v>1</v>
      </c>
      <c r="EB98" s="134"/>
      <c r="EC98" s="130">
        <v>76</v>
      </c>
      <c r="ED98" s="128">
        <v>6</v>
      </c>
      <c r="EE98" s="128"/>
      <c r="EF98" s="128"/>
      <c r="EG98" s="128"/>
      <c r="EH98" s="132">
        <v>82</v>
      </c>
      <c r="EI98" s="136">
        <v>32</v>
      </c>
      <c r="EJ98" s="128">
        <v>1071</v>
      </c>
      <c r="EK98" s="128">
        <v>7</v>
      </c>
      <c r="EL98" s="128">
        <v>10</v>
      </c>
      <c r="EM98" s="128">
        <v>1694</v>
      </c>
      <c r="EN98" s="128">
        <v>7</v>
      </c>
      <c r="EO98" s="128">
        <v>3</v>
      </c>
      <c r="EP98" s="128">
        <v>131</v>
      </c>
      <c r="EQ98" s="128">
        <v>1</v>
      </c>
      <c r="ER98" s="128"/>
      <c r="ES98" s="128"/>
      <c r="ET98" s="128"/>
      <c r="EU98" s="128"/>
      <c r="EV98" s="137">
        <v>2956</v>
      </c>
      <c r="EW98" s="140"/>
      <c r="EX98" s="134"/>
      <c r="EY98" s="130"/>
      <c r="EZ98" s="128"/>
      <c r="FA98" s="128"/>
      <c r="FB98" s="132"/>
      <c r="FC98" s="136"/>
      <c r="FD98" s="128"/>
      <c r="FE98" s="137"/>
      <c r="FF98" s="140">
        <v>81</v>
      </c>
      <c r="FG98" s="136">
        <v>6</v>
      </c>
      <c r="FH98" s="128">
        <v>12</v>
      </c>
      <c r="FI98" s="128"/>
      <c r="FJ98" s="128"/>
      <c r="FK98" s="137">
        <v>18</v>
      </c>
      <c r="FL98" s="130">
        <v>1</v>
      </c>
      <c r="FM98" s="128"/>
      <c r="FN98" s="132">
        <v>1</v>
      </c>
      <c r="FO98" s="136">
        <v>156</v>
      </c>
      <c r="FP98" s="128"/>
      <c r="FQ98" s="137">
        <v>156</v>
      </c>
      <c r="FR98" s="140"/>
      <c r="FS98" s="134">
        <v>52</v>
      </c>
      <c r="FT98" s="130">
        <v>1</v>
      </c>
      <c r="FU98" s="128"/>
      <c r="FV98" s="128"/>
      <c r="FW98" s="128"/>
      <c r="FX98" s="128"/>
      <c r="FY98" s="132">
        <v>1</v>
      </c>
      <c r="FZ98" s="134"/>
      <c r="GA98" s="130">
        <v>445</v>
      </c>
      <c r="GB98" s="128"/>
      <c r="GC98" s="132">
        <v>445</v>
      </c>
      <c r="GD98" s="134"/>
      <c r="GE98" s="130">
        <v>6</v>
      </c>
      <c r="GF98" s="128"/>
      <c r="GG98" s="128"/>
      <c r="GH98" s="132">
        <v>6</v>
      </c>
      <c r="GI98" s="134">
        <v>6</v>
      </c>
      <c r="GJ98" s="130"/>
      <c r="GK98" s="128"/>
      <c r="GL98" s="128"/>
      <c r="GM98" s="128">
        <v>0</v>
      </c>
      <c r="GN98" s="132">
        <v>0</v>
      </c>
      <c r="GO98" s="134">
        <v>419673</v>
      </c>
      <c r="GP98" s="323">
        <f>419673/44564395</f>
        <v>9.4172264652083795E-3</v>
      </c>
    </row>
    <row r="99" spans="2:198" x14ac:dyDescent="0.2">
      <c r="B99" s="326" t="s">
        <v>207</v>
      </c>
      <c r="C99" s="325">
        <v>8217</v>
      </c>
      <c r="D99" s="128">
        <v>46</v>
      </c>
      <c r="E99" s="128">
        <v>72</v>
      </c>
      <c r="F99" s="128">
        <v>9</v>
      </c>
      <c r="G99" s="324">
        <v>8344</v>
      </c>
      <c r="H99" s="140"/>
      <c r="I99" s="136">
        <v>82</v>
      </c>
      <c r="J99" s="128"/>
      <c r="K99" s="137">
        <v>82</v>
      </c>
      <c r="L99" s="140"/>
      <c r="M99" s="134">
        <v>17778</v>
      </c>
      <c r="N99" s="140">
        <v>3024493</v>
      </c>
      <c r="O99" s="128">
        <v>7213</v>
      </c>
      <c r="P99" s="128">
        <v>1157</v>
      </c>
      <c r="Q99" s="128">
        <v>199</v>
      </c>
      <c r="R99" s="128">
        <v>354</v>
      </c>
      <c r="S99" s="128">
        <v>82</v>
      </c>
      <c r="T99" s="128">
        <v>5</v>
      </c>
      <c r="U99" s="128">
        <v>35</v>
      </c>
      <c r="V99" s="132">
        <v>3033538</v>
      </c>
      <c r="W99" s="136">
        <v>9573</v>
      </c>
      <c r="X99" s="128">
        <v>6543</v>
      </c>
      <c r="Y99" s="137">
        <v>16116</v>
      </c>
      <c r="Z99" s="130">
        <v>144529</v>
      </c>
      <c r="AA99" s="128">
        <v>445</v>
      </c>
      <c r="AB99" s="128">
        <v>40</v>
      </c>
      <c r="AC99" s="132">
        <v>145014</v>
      </c>
      <c r="AD99" s="136">
        <v>2566</v>
      </c>
      <c r="AE99" s="128">
        <v>62</v>
      </c>
      <c r="AF99" s="137">
        <v>2628</v>
      </c>
      <c r="AG99" s="130">
        <v>82</v>
      </c>
      <c r="AH99" s="128">
        <v>8</v>
      </c>
      <c r="AI99" s="128">
        <v>287</v>
      </c>
      <c r="AJ99" s="128">
        <v>4</v>
      </c>
      <c r="AK99" s="132">
        <v>381</v>
      </c>
      <c r="AL99" s="136">
        <v>235</v>
      </c>
      <c r="AM99" s="128">
        <v>5203</v>
      </c>
      <c r="AN99" s="137">
        <v>5438</v>
      </c>
      <c r="AO99" s="134"/>
      <c r="AP99" s="134"/>
      <c r="AQ99" s="130">
        <v>29</v>
      </c>
      <c r="AR99" s="128">
        <v>245</v>
      </c>
      <c r="AS99" s="132">
        <v>274</v>
      </c>
      <c r="AT99" s="136">
        <v>727</v>
      </c>
      <c r="AU99" s="128">
        <v>19</v>
      </c>
      <c r="AV99" s="128">
        <v>17</v>
      </c>
      <c r="AW99" s="128">
        <v>67</v>
      </c>
      <c r="AX99" s="128"/>
      <c r="AY99" s="128">
        <v>8</v>
      </c>
      <c r="AZ99" s="128">
        <v>7</v>
      </c>
      <c r="BA99" s="128">
        <v>3</v>
      </c>
      <c r="BB99" s="128">
        <v>1</v>
      </c>
      <c r="BC99" s="137">
        <v>849</v>
      </c>
      <c r="BD99" s="140">
        <v>0</v>
      </c>
      <c r="BE99" s="134">
        <v>374</v>
      </c>
      <c r="BF99" s="130">
        <v>16126</v>
      </c>
      <c r="BG99" s="128">
        <v>4511</v>
      </c>
      <c r="BH99" s="128">
        <v>11440</v>
      </c>
      <c r="BI99" s="128">
        <v>635</v>
      </c>
      <c r="BJ99" s="128">
        <v>226</v>
      </c>
      <c r="BK99" s="132">
        <v>32938</v>
      </c>
      <c r="BL99" s="134">
        <v>39</v>
      </c>
      <c r="BM99" s="134"/>
      <c r="BN99" s="134">
        <v>227</v>
      </c>
      <c r="BO99" s="134">
        <v>7</v>
      </c>
      <c r="BP99" s="130">
        <v>39</v>
      </c>
      <c r="BQ99" s="128">
        <v>16</v>
      </c>
      <c r="BR99" s="132">
        <v>55</v>
      </c>
      <c r="BS99" s="134">
        <v>236</v>
      </c>
      <c r="BT99" s="130">
        <v>7</v>
      </c>
      <c r="BU99" s="128">
        <v>3</v>
      </c>
      <c r="BV99" s="132">
        <v>10</v>
      </c>
      <c r="BW99" s="136">
        <v>44</v>
      </c>
      <c r="BX99" s="128">
        <v>2</v>
      </c>
      <c r="BY99" s="128">
        <v>211</v>
      </c>
      <c r="BZ99" s="128">
        <v>152</v>
      </c>
      <c r="CA99" s="128">
        <v>24</v>
      </c>
      <c r="CB99" s="128">
        <v>73</v>
      </c>
      <c r="CC99" s="128">
        <v>17</v>
      </c>
      <c r="CD99" s="128"/>
      <c r="CE99" s="128">
        <v>51</v>
      </c>
      <c r="CF99" s="128">
        <v>70</v>
      </c>
      <c r="CG99" s="128">
        <v>78</v>
      </c>
      <c r="CH99" s="128"/>
      <c r="CI99" s="128"/>
      <c r="CJ99" s="128">
        <v>50</v>
      </c>
      <c r="CK99" s="128">
        <v>4</v>
      </c>
      <c r="CL99" s="128">
        <v>1</v>
      </c>
      <c r="CM99" s="137">
        <v>777</v>
      </c>
      <c r="CN99" s="130">
        <v>1098</v>
      </c>
      <c r="CO99" s="128"/>
      <c r="CP99" s="132">
        <v>1098</v>
      </c>
      <c r="CQ99" s="134">
        <v>1</v>
      </c>
      <c r="CR99" s="130">
        <v>1760</v>
      </c>
      <c r="CS99" s="128">
        <v>702</v>
      </c>
      <c r="CT99" s="128">
        <v>1227084</v>
      </c>
      <c r="CU99" s="128">
        <v>2062</v>
      </c>
      <c r="CV99" s="128">
        <v>249276</v>
      </c>
      <c r="CW99" s="128">
        <v>3791</v>
      </c>
      <c r="CX99" s="128">
        <v>1155</v>
      </c>
      <c r="CY99" s="128">
        <v>190</v>
      </c>
      <c r="CZ99" s="128">
        <v>8890</v>
      </c>
      <c r="DA99" s="128">
        <v>107</v>
      </c>
      <c r="DB99" s="128">
        <v>7</v>
      </c>
      <c r="DC99" s="132">
        <v>1495024</v>
      </c>
      <c r="DD99" s="136">
        <v>25298</v>
      </c>
      <c r="DE99" s="128">
        <v>867</v>
      </c>
      <c r="DF99" s="128">
        <v>2829</v>
      </c>
      <c r="DG99" s="128">
        <v>1132</v>
      </c>
      <c r="DH99" s="128">
        <v>65</v>
      </c>
      <c r="DI99" s="128">
        <v>1</v>
      </c>
      <c r="DJ99" s="128"/>
      <c r="DK99" s="137">
        <v>30192</v>
      </c>
      <c r="DL99" s="140"/>
      <c r="DM99" s="134"/>
      <c r="DN99" s="130">
        <v>279</v>
      </c>
      <c r="DO99" s="128"/>
      <c r="DP99" s="132">
        <v>279</v>
      </c>
      <c r="DQ99" s="134">
        <v>828</v>
      </c>
      <c r="DR99" s="130"/>
      <c r="DS99" s="128"/>
      <c r="DT99" s="132"/>
      <c r="DU99" s="136">
        <v>1919</v>
      </c>
      <c r="DV99" s="128">
        <v>4</v>
      </c>
      <c r="DW99" s="137">
        <v>1923</v>
      </c>
      <c r="DX99" s="140">
        <v>58</v>
      </c>
      <c r="DY99" s="134"/>
      <c r="DZ99" s="134">
        <v>41686</v>
      </c>
      <c r="EA99" s="134">
        <v>0</v>
      </c>
      <c r="EB99" s="134"/>
      <c r="EC99" s="130">
        <v>1516</v>
      </c>
      <c r="ED99" s="128">
        <v>1362</v>
      </c>
      <c r="EE99" s="128"/>
      <c r="EF99" s="128">
        <v>1</v>
      </c>
      <c r="EG99" s="128"/>
      <c r="EH99" s="132">
        <v>2879</v>
      </c>
      <c r="EI99" s="136">
        <v>2386</v>
      </c>
      <c r="EJ99" s="128">
        <v>185367</v>
      </c>
      <c r="EK99" s="128">
        <v>2322</v>
      </c>
      <c r="EL99" s="128">
        <v>2972</v>
      </c>
      <c r="EM99" s="128">
        <v>166396</v>
      </c>
      <c r="EN99" s="128">
        <v>337</v>
      </c>
      <c r="EO99" s="128">
        <v>60</v>
      </c>
      <c r="EP99" s="128">
        <v>4763</v>
      </c>
      <c r="EQ99" s="128">
        <v>44</v>
      </c>
      <c r="ER99" s="128">
        <v>120</v>
      </c>
      <c r="ES99" s="128">
        <v>124</v>
      </c>
      <c r="ET99" s="128">
        <v>12</v>
      </c>
      <c r="EU99" s="128">
        <v>5</v>
      </c>
      <c r="EV99" s="137">
        <v>364908</v>
      </c>
      <c r="EW99" s="140"/>
      <c r="EX99" s="134">
        <v>94</v>
      </c>
      <c r="EY99" s="130">
        <v>1</v>
      </c>
      <c r="EZ99" s="128">
        <v>37</v>
      </c>
      <c r="FA99" s="128">
        <v>227</v>
      </c>
      <c r="FB99" s="132">
        <v>265</v>
      </c>
      <c r="FC99" s="136">
        <v>197</v>
      </c>
      <c r="FD99" s="128"/>
      <c r="FE99" s="137">
        <v>197</v>
      </c>
      <c r="FF99" s="140">
        <v>2496</v>
      </c>
      <c r="FG99" s="136">
        <v>2761</v>
      </c>
      <c r="FH99" s="128">
        <v>136</v>
      </c>
      <c r="FI99" s="128">
        <v>123</v>
      </c>
      <c r="FJ99" s="128">
        <v>1940</v>
      </c>
      <c r="FK99" s="137">
        <v>4960</v>
      </c>
      <c r="FL99" s="130"/>
      <c r="FM99" s="128"/>
      <c r="FN99" s="132"/>
      <c r="FO99" s="136">
        <v>9225</v>
      </c>
      <c r="FP99" s="128">
        <v>0</v>
      </c>
      <c r="FQ99" s="137">
        <v>9225</v>
      </c>
      <c r="FR99" s="140"/>
      <c r="FS99" s="134">
        <v>247</v>
      </c>
      <c r="FT99" s="130">
        <v>82</v>
      </c>
      <c r="FU99" s="128">
        <v>476</v>
      </c>
      <c r="FV99" s="128">
        <v>110</v>
      </c>
      <c r="FW99" s="128">
        <v>49</v>
      </c>
      <c r="FX99" s="128"/>
      <c r="FY99" s="132">
        <v>717</v>
      </c>
      <c r="FZ99" s="134"/>
      <c r="GA99" s="130">
        <v>378</v>
      </c>
      <c r="GB99" s="128">
        <v>5953</v>
      </c>
      <c r="GC99" s="132">
        <v>6331</v>
      </c>
      <c r="GD99" s="134"/>
      <c r="GE99" s="130">
        <v>13</v>
      </c>
      <c r="GF99" s="128">
        <v>0</v>
      </c>
      <c r="GG99" s="128"/>
      <c r="GH99" s="132">
        <v>13</v>
      </c>
      <c r="GI99" s="134">
        <v>779</v>
      </c>
      <c r="GJ99" s="130">
        <v>91</v>
      </c>
      <c r="GK99" s="128">
        <v>5</v>
      </c>
      <c r="GL99" s="128">
        <v>511</v>
      </c>
      <c r="GM99" s="128">
        <v>2699</v>
      </c>
      <c r="GN99" s="132">
        <v>3306</v>
      </c>
      <c r="GO99" s="134">
        <v>5232611</v>
      </c>
      <c r="GP99" s="323">
        <f>5232611/44564395</f>
        <v>0.11741685262416331</v>
      </c>
    </row>
    <row r="100" spans="2:198" x14ac:dyDescent="0.2">
      <c r="B100" s="326" t="s">
        <v>234</v>
      </c>
      <c r="C100" s="325">
        <v>9</v>
      </c>
      <c r="D100" s="128"/>
      <c r="E100" s="128"/>
      <c r="F100" s="128"/>
      <c r="G100" s="324">
        <v>9</v>
      </c>
      <c r="H100" s="140"/>
      <c r="I100" s="136">
        <v>479</v>
      </c>
      <c r="J100" s="128"/>
      <c r="K100" s="137">
        <v>479</v>
      </c>
      <c r="L100" s="140"/>
      <c r="M100" s="134">
        <v>193</v>
      </c>
      <c r="N100" s="140">
        <v>3024</v>
      </c>
      <c r="O100" s="128">
        <v>19</v>
      </c>
      <c r="P100" s="128"/>
      <c r="Q100" s="128"/>
      <c r="R100" s="128"/>
      <c r="S100" s="128"/>
      <c r="T100" s="128"/>
      <c r="U100" s="128"/>
      <c r="V100" s="132">
        <v>3043</v>
      </c>
      <c r="W100" s="136">
        <v>182</v>
      </c>
      <c r="X100" s="128">
        <v>22</v>
      </c>
      <c r="Y100" s="137">
        <v>204</v>
      </c>
      <c r="Z100" s="130">
        <v>1964</v>
      </c>
      <c r="AA100" s="128"/>
      <c r="AB100" s="128"/>
      <c r="AC100" s="132">
        <v>1964</v>
      </c>
      <c r="AD100" s="136"/>
      <c r="AE100" s="128"/>
      <c r="AF100" s="137"/>
      <c r="AG100" s="130"/>
      <c r="AH100" s="128"/>
      <c r="AI100" s="128"/>
      <c r="AJ100" s="128"/>
      <c r="AK100" s="132"/>
      <c r="AL100" s="136"/>
      <c r="AM100" s="128"/>
      <c r="AN100" s="137"/>
      <c r="AO100" s="134"/>
      <c r="AP100" s="134"/>
      <c r="AQ100" s="130">
        <v>1</v>
      </c>
      <c r="AR100" s="128"/>
      <c r="AS100" s="132">
        <v>1</v>
      </c>
      <c r="AT100" s="136"/>
      <c r="AU100" s="128"/>
      <c r="AV100" s="128"/>
      <c r="AW100" s="128"/>
      <c r="AX100" s="128"/>
      <c r="AY100" s="128"/>
      <c r="AZ100" s="128"/>
      <c r="BA100" s="128"/>
      <c r="BB100" s="128"/>
      <c r="BC100" s="137"/>
      <c r="BD100" s="140">
        <v>7</v>
      </c>
      <c r="BE100" s="134"/>
      <c r="BF100" s="130">
        <v>41</v>
      </c>
      <c r="BG100" s="128">
        <v>12</v>
      </c>
      <c r="BH100" s="128">
        <v>442</v>
      </c>
      <c r="BI100" s="128">
        <v>3</v>
      </c>
      <c r="BJ100" s="128">
        <v>2</v>
      </c>
      <c r="BK100" s="132">
        <v>500</v>
      </c>
      <c r="BL100" s="134"/>
      <c r="BM100" s="134"/>
      <c r="BN100" s="134"/>
      <c r="BO100" s="134"/>
      <c r="BP100" s="130">
        <v>6</v>
      </c>
      <c r="BQ100" s="128">
        <v>12</v>
      </c>
      <c r="BR100" s="132">
        <v>18</v>
      </c>
      <c r="BS100" s="134"/>
      <c r="BT100" s="130">
        <v>2</v>
      </c>
      <c r="BU100" s="128"/>
      <c r="BV100" s="132">
        <v>2</v>
      </c>
      <c r="BW100" s="136"/>
      <c r="BX100" s="128">
        <v>1</v>
      </c>
      <c r="BY100" s="128"/>
      <c r="BZ100" s="128"/>
      <c r="CA100" s="128"/>
      <c r="CB100" s="128"/>
      <c r="CC100" s="128"/>
      <c r="CD100" s="128"/>
      <c r="CE100" s="128"/>
      <c r="CF100" s="128"/>
      <c r="CG100" s="128"/>
      <c r="CH100" s="128"/>
      <c r="CI100" s="128"/>
      <c r="CJ100" s="128"/>
      <c r="CK100" s="128"/>
      <c r="CL100" s="128"/>
      <c r="CM100" s="137">
        <v>1</v>
      </c>
      <c r="CN100" s="130">
        <v>114</v>
      </c>
      <c r="CO100" s="128"/>
      <c r="CP100" s="132">
        <v>114</v>
      </c>
      <c r="CQ100" s="134"/>
      <c r="CR100" s="130">
        <v>7</v>
      </c>
      <c r="CS100" s="128">
        <v>0</v>
      </c>
      <c r="CT100" s="128">
        <v>59859</v>
      </c>
      <c r="CU100" s="128">
        <v>5</v>
      </c>
      <c r="CV100" s="128">
        <v>7154</v>
      </c>
      <c r="CW100" s="128"/>
      <c r="CX100" s="128"/>
      <c r="CY100" s="128"/>
      <c r="CZ100" s="128"/>
      <c r="DA100" s="128"/>
      <c r="DB100" s="128"/>
      <c r="DC100" s="132">
        <v>67025</v>
      </c>
      <c r="DD100" s="136">
        <v>118</v>
      </c>
      <c r="DE100" s="128"/>
      <c r="DF100" s="128">
        <v>1</v>
      </c>
      <c r="DG100" s="128">
        <v>5</v>
      </c>
      <c r="DH100" s="128"/>
      <c r="DI100" s="128"/>
      <c r="DJ100" s="128"/>
      <c r="DK100" s="137">
        <v>124</v>
      </c>
      <c r="DL100" s="140"/>
      <c r="DM100" s="134"/>
      <c r="DN100" s="130"/>
      <c r="DO100" s="128"/>
      <c r="DP100" s="132"/>
      <c r="DQ100" s="134">
        <v>2</v>
      </c>
      <c r="DR100" s="130"/>
      <c r="DS100" s="128"/>
      <c r="DT100" s="132"/>
      <c r="DU100" s="136">
        <v>2</v>
      </c>
      <c r="DV100" s="128"/>
      <c r="DW100" s="137">
        <v>2</v>
      </c>
      <c r="DX100" s="140"/>
      <c r="DY100" s="134"/>
      <c r="DZ100" s="134">
        <v>108</v>
      </c>
      <c r="EA100" s="134"/>
      <c r="EB100" s="134"/>
      <c r="EC100" s="130">
        <v>8</v>
      </c>
      <c r="ED100" s="128">
        <v>1</v>
      </c>
      <c r="EE100" s="128"/>
      <c r="EF100" s="128"/>
      <c r="EG100" s="128"/>
      <c r="EH100" s="132">
        <v>9</v>
      </c>
      <c r="EI100" s="136">
        <v>5</v>
      </c>
      <c r="EJ100" s="128">
        <v>88</v>
      </c>
      <c r="EK100" s="128"/>
      <c r="EL100" s="128">
        <v>1</v>
      </c>
      <c r="EM100" s="128">
        <v>150</v>
      </c>
      <c r="EN100" s="128">
        <v>1</v>
      </c>
      <c r="EO100" s="128"/>
      <c r="EP100" s="128">
        <v>9</v>
      </c>
      <c r="EQ100" s="128"/>
      <c r="ER100" s="128"/>
      <c r="ES100" s="128"/>
      <c r="ET100" s="128"/>
      <c r="EU100" s="128"/>
      <c r="EV100" s="137">
        <v>254</v>
      </c>
      <c r="EW100" s="140"/>
      <c r="EX100" s="134"/>
      <c r="EY100" s="130"/>
      <c r="EZ100" s="128"/>
      <c r="FA100" s="128"/>
      <c r="FB100" s="132"/>
      <c r="FC100" s="136"/>
      <c r="FD100" s="128"/>
      <c r="FE100" s="137"/>
      <c r="FF100" s="140">
        <v>2</v>
      </c>
      <c r="FG100" s="136">
        <v>3</v>
      </c>
      <c r="FH100" s="128"/>
      <c r="FI100" s="128"/>
      <c r="FJ100" s="128"/>
      <c r="FK100" s="137">
        <v>3</v>
      </c>
      <c r="FL100" s="130"/>
      <c r="FM100" s="128"/>
      <c r="FN100" s="132"/>
      <c r="FO100" s="136">
        <v>24</v>
      </c>
      <c r="FP100" s="128"/>
      <c r="FQ100" s="137">
        <v>24</v>
      </c>
      <c r="FR100" s="140"/>
      <c r="FS100" s="134">
        <v>0</v>
      </c>
      <c r="FT100" s="130"/>
      <c r="FU100" s="128"/>
      <c r="FV100" s="128"/>
      <c r="FW100" s="128"/>
      <c r="FX100" s="128"/>
      <c r="FY100" s="132"/>
      <c r="FZ100" s="134"/>
      <c r="GA100" s="130">
        <v>11</v>
      </c>
      <c r="GB100" s="128"/>
      <c r="GC100" s="132">
        <v>11</v>
      </c>
      <c r="GD100" s="134"/>
      <c r="GE100" s="130">
        <v>2</v>
      </c>
      <c r="GF100" s="128"/>
      <c r="GG100" s="128"/>
      <c r="GH100" s="132">
        <v>2</v>
      </c>
      <c r="GI100" s="134"/>
      <c r="GJ100" s="130"/>
      <c r="GK100" s="128"/>
      <c r="GL100" s="128"/>
      <c r="GM100" s="128"/>
      <c r="GN100" s="132"/>
      <c r="GO100" s="134">
        <v>74101</v>
      </c>
      <c r="GP100" s="323">
        <f>74101/44564395</f>
        <v>1.6627848308049509E-3</v>
      </c>
    </row>
    <row r="101" spans="2:198" x14ac:dyDescent="0.2">
      <c r="B101" s="326" t="s">
        <v>245</v>
      </c>
      <c r="C101" s="325">
        <v>97</v>
      </c>
      <c r="D101" s="128"/>
      <c r="E101" s="128"/>
      <c r="F101" s="128"/>
      <c r="G101" s="324">
        <v>97</v>
      </c>
      <c r="H101" s="140"/>
      <c r="I101" s="136">
        <v>184</v>
      </c>
      <c r="J101" s="128"/>
      <c r="K101" s="137">
        <v>184</v>
      </c>
      <c r="L101" s="140"/>
      <c r="M101" s="134">
        <v>1012</v>
      </c>
      <c r="N101" s="140">
        <v>993</v>
      </c>
      <c r="O101" s="128">
        <v>11</v>
      </c>
      <c r="P101" s="128"/>
      <c r="Q101" s="128"/>
      <c r="R101" s="128"/>
      <c r="S101" s="128"/>
      <c r="T101" s="128"/>
      <c r="U101" s="128"/>
      <c r="V101" s="132">
        <v>1004</v>
      </c>
      <c r="W101" s="136">
        <v>405</v>
      </c>
      <c r="X101" s="128">
        <v>72</v>
      </c>
      <c r="Y101" s="137">
        <v>477</v>
      </c>
      <c r="Z101" s="130">
        <v>1813</v>
      </c>
      <c r="AA101" s="128"/>
      <c r="AB101" s="128">
        <v>7</v>
      </c>
      <c r="AC101" s="132">
        <v>1820</v>
      </c>
      <c r="AD101" s="136">
        <v>1</v>
      </c>
      <c r="AE101" s="128"/>
      <c r="AF101" s="137">
        <v>1</v>
      </c>
      <c r="AG101" s="130">
        <v>1</v>
      </c>
      <c r="AH101" s="128"/>
      <c r="AI101" s="128">
        <v>0</v>
      </c>
      <c r="AJ101" s="128"/>
      <c r="AK101" s="132">
        <v>1</v>
      </c>
      <c r="AL101" s="136"/>
      <c r="AM101" s="128">
        <v>1</v>
      </c>
      <c r="AN101" s="137">
        <v>1</v>
      </c>
      <c r="AO101" s="134"/>
      <c r="AP101" s="134"/>
      <c r="AQ101" s="130">
        <v>6</v>
      </c>
      <c r="AR101" s="128"/>
      <c r="AS101" s="132">
        <v>6</v>
      </c>
      <c r="AT101" s="136"/>
      <c r="AU101" s="128"/>
      <c r="AV101" s="128"/>
      <c r="AW101" s="128"/>
      <c r="AX101" s="128"/>
      <c r="AY101" s="128"/>
      <c r="AZ101" s="128"/>
      <c r="BA101" s="128"/>
      <c r="BB101" s="128"/>
      <c r="BC101" s="137"/>
      <c r="BD101" s="140"/>
      <c r="BE101" s="134">
        <v>12</v>
      </c>
      <c r="BF101" s="130">
        <v>642</v>
      </c>
      <c r="BG101" s="128">
        <v>33</v>
      </c>
      <c r="BH101" s="128">
        <v>2598</v>
      </c>
      <c r="BI101" s="128">
        <v>2</v>
      </c>
      <c r="BJ101" s="128">
        <v>13</v>
      </c>
      <c r="BK101" s="132">
        <v>3288</v>
      </c>
      <c r="BL101" s="134"/>
      <c r="BM101" s="134">
        <v>0</v>
      </c>
      <c r="BN101" s="134"/>
      <c r="BO101" s="134"/>
      <c r="BP101" s="130">
        <v>49</v>
      </c>
      <c r="BQ101" s="128">
        <v>1</v>
      </c>
      <c r="BR101" s="132">
        <v>50</v>
      </c>
      <c r="BS101" s="134"/>
      <c r="BT101" s="130"/>
      <c r="BU101" s="128">
        <v>0</v>
      </c>
      <c r="BV101" s="132">
        <v>0</v>
      </c>
      <c r="BW101" s="136">
        <v>39</v>
      </c>
      <c r="BX101" s="128">
        <v>11</v>
      </c>
      <c r="BY101" s="128"/>
      <c r="BZ101" s="128">
        <v>2</v>
      </c>
      <c r="CA101" s="128"/>
      <c r="CB101" s="128"/>
      <c r="CC101" s="128"/>
      <c r="CD101" s="128"/>
      <c r="CE101" s="128"/>
      <c r="CF101" s="128"/>
      <c r="CG101" s="128"/>
      <c r="CH101" s="128"/>
      <c r="CI101" s="128"/>
      <c r="CJ101" s="128"/>
      <c r="CK101" s="128"/>
      <c r="CL101" s="128"/>
      <c r="CM101" s="137">
        <v>52</v>
      </c>
      <c r="CN101" s="130">
        <v>38</v>
      </c>
      <c r="CO101" s="128"/>
      <c r="CP101" s="132">
        <v>38</v>
      </c>
      <c r="CQ101" s="134"/>
      <c r="CR101" s="130">
        <v>58</v>
      </c>
      <c r="CS101" s="128"/>
      <c r="CT101" s="128">
        <v>28822</v>
      </c>
      <c r="CU101" s="128">
        <v>0</v>
      </c>
      <c r="CV101" s="128">
        <v>7339</v>
      </c>
      <c r="CW101" s="128">
        <v>0</v>
      </c>
      <c r="CX101" s="128">
        <v>0</v>
      </c>
      <c r="CY101" s="128"/>
      <c r="CZ101" s="128">
        <v>3</v>
      </c>
      <c r="DA101" s="128"/>
      <c r="DB101" s="128"/>
      <c r="DC101" s="132">
        <v>36222</v>
      </c>
      <c r="DD101" s="136">
        <v>227</v>
      </c>
      <c r="DE101" s="128"/>
      <c r="DF101" s="128">
        <v>3</v>
      </c>
      <c r="DG101" s="128">
        <v>1</v>
      </c>
      <c r="DH101" s="128"/>
      <c r="DI101" s="128"/>
      <c r="DJ101" s="128"/>
      <c r="DK101" s="137">
        <v>231</v>
      </c>
      <c r="DL101" s="140"/>
      <c r="DM101" s="134"/>
      <c r="DN101" s="130"/>
      <c r="DO101" s="128"/>
      <c r="DP101" s="132"/>
      <c r="DQ101" s="134">
        <v>11</v>
      </c>
      <c r="DR101" s="130"/>
      <c r="DS101" s="128"/>
      <c r="DT101" s="132"/>
      <c r="DU101" s="136">
        <v>1</v>
      </c>
      <c r="DV101" s="128">
        <v>4</v>
      </c>
      <c r="DW101" s="137">
        <v>5</v>
      </c>
      <c r="DX101" s="140">
        <v>2</v>
      </c>
      <c r="DY101" s="134">
        <v>1</v>
      </c>
      <c r="DZ101" s="134">
        <v>315</v>
      </c>
      <c r="EA101" s="134"/>
      <c r="EB101" s="134"/>
      <c r="EC101" s="130">
        <v>118</v>
      </c>
      <c r="ED101" s="128">
        <v>29</v>
      </c>
      <c r="EE101" s="128"/>
      <c r="EF101" s="128"/>
      <c r="EG101" s="128"/>
      <c r="EH101" s="132">
        <v>147</v>
      </c>
      <c r="EI101" s="136">
        <v>14</v>
      </c>
      <c r="EJ101" s="128">
        <v>54</v>
      </c>
      <c r="EK101" s="128"/>
      <c r="EL101" s="128">
        <v>6</v>
      </c>
      <c r="EM101" s="128">
        <v>96</v>
      </c>
      <c r="EN101" s="128">
        <v>4</v>
      </c>
      <c r="EO101" s="128">
        <v>4</v>
      </c>
      <c r="EP101" s="128">
        <v>9</v>
      </c>
      <c r="EQ101" s="128">
        <v>3</v>
      </c>
      <c r="ER101" s="128">
        <v>3</v>
      </c>
      <c r="ES101" s="128">
        <v>1</v>
      </c>
      <c r="ET101" s="128"/>
      <c r="EU101" s="128"/>
      <c r="EV101" s="137">
        <v>194</v>
      </c>
      <c r="EW101" s="140"/>
      <c r="EX101" s="134"/>
      <c r="EY101" s="130"/>
      <c r="EZ101" s="128"/>
      <c r="FA101" s="128"/>
      <c r="FB101" s="132"/>
      <c r="FC101" s="136"/>
      <c r="FD101" s="128"/>
      <c r="FE101" s="137"/>
      <c r="FF101" s="140"/>
      <c r="FG101" s="136">
        <v>2</v>
      </c>
      <c r="FH101" s="128">
        <v>0</v>
      </c>
      <c r="FI101" s="128"/>
      <c r="FJ101" s="128">
        <v>2</v>
      </c>
      <c r="FK101" s="137">
        <v>4</v>
      </c>
      <c r="FL101" s="130"/>
      <c r="FM101" s="128"/>
      <c r="FN101" s="132"/>
      <c r="FO101" s="136">
        <v>16</v>
      </c>
      <c r="FP101" s="128"/>
      <c r="FQ101" s="137">
        <v>16</v>
      </c>
      <c r="FR101" s="140"/>
      <c r="FS101" s="134">
        <v>34</v>
      </c>
      <c r="FT101" s="130"/>
      <c r="FU101" s="128"/>
      <c r="FV101" s="128"/>
      <c r="FW101" s="128"/>
      <c r="FX101" s="128"/>
      <c r="FY101" s="132"/>
      <c r="FZ101" s="134"/>
      <c r="GA101" s="130">
        <v>20</v>
      </c>
      <c r="GB101" s="128"/>
      <c r="GC101" s="132">
        <v>20</v>
      </c>
      <c r="GD101" s="134"/>
      <c r="GE101" s="130">
        <v>3</v>
      </c>
      <c r="GF101" s="128"/>
      <c r="GG101" s="128"/>
      <c r="GH101" s="132">
        <v>3</v>
      </c>
      <c r="GI101" s="134"/>
      <c r="GJ101" s="130">
        <v>1</v>
      </c>
      <c r="GK101" s="128"/>
      <c r="GL101" s="128"/>
      <c r="GM101" s="128"/>
      <c r="GN101" s="132">
        <v>1</v>
      </c>
      <c r="GO101" s="134">
        <v>45249</v>
      </c>
      <c r="GP101" s="323">
        <f>45249/44564395</f>
        <v>1.0153621517805863E-3</v>
      </c>
    </row>
    <row r="102" spans="2:198" ht="12.75" thickBot="1" x14ac:dyDescent="0.25">
      <c r="B102" s="322" t="s">
        <v>247</v>
      </c>
      <c r="C102" s="321">
        <v>431</v>
      </c>
      <c r="D102" s="315">
        <v>55</v>
      </c>
      <c r="E102" s="315">
        <v>8</v>
      </c>
      <c r="F102" s="315">
        <v>21</v>
      </c>
      <c r="G102" s="320">
        <v>515</v>
      </c>
      <c r="H102" s="317"/>
      <c r="I102" s="319">
        <v>42</v>
      </c>
      <c r="J102" s="315"/>
      <c r="K102" s="318">
        <v>42</v>
      </c>
      <c r="L102" s="317"/>
      <c r="M102" s="313">
        <v>10684</v>
      </c>
      <c r="N102" s="317">
        <v>136142</v>
      </c>
      <c r="O102" s="315">
        <v>474</v>
      </c>
      <c r="P102" s="315">
        <v>658</v>
      </c>
      <c r="Q102" s="315">
        <v>836</v>
      </c>
      <c r="R102" s="315">
        <v>116</v>
      </c>
      <c r="S102" s="315">
        <v>27</v>
      </c>
      <c r="T102" s="315">
        <v>2</v>
      </c>
      <c r="U102" s="315">
        <v>14</v>
      </c>
      <c r="V102" s="314">
        <v>138269</v>
      </c>
      <c r="W102" s="319">
        <v>3639</v>
      </c>
      <c r="X102" s="315">
        <v>1180</v>
      </c>
      <c r="Y102" s="318">
        <v>4819</v>
      </c>
      <c r="Z102" s="316">
        <v>56355</v>
      </c>
      <c r="AA102" s="315">
        <v>52</v>
      </c>
      <c r="AB102" s="315">
        <v>14</v>
      </c>
      <c r="AC102" s="314">
        <v>56421</v>
      </c>
      <c r="AD102" s="319">
        <v>1209</v>
      </c>
      <c r="AE102" s="315">
        <v>27</v>
      </c>
      <c r="AF102" s="318">
        <v>1236</v>
      </c>
      <c r="AG102" s="316">
        <v>147</v>
      </c>
      <c r="AH102" s="315">
        <v>3</v>
      </c>
      <c r="AI102" s="315">
        <v>168</v>
      </c>
      <c r="AJ102" s="315">
        <v>0</v>
      </c>
      <c r="AK102" s="314">
        <v>318</v>
      </c>
      <c r="AL102" s="319">
        <v>167</v>
      </c>
      <c r="AM102" s="315">
        <v>7</v>
      </c>
      <c r="AN102" s="318">
        <v>174</v>
      </c>
      <c r="AO102" s="313"/>
      <c r="AP102" s="313"/>
      <c r="AQ102" s="316">
        <v>7</v>
      </c>
      <c r="AR102" s="315">
        <v>378</v>
      </c>
      <c r="AS102" s="314">
        <v>385</v>
      </c>
      <c r="AT102" s="319">
        <v>109</v>
      </c>
      <c r="AU102" s="315">
        <v>1</v>
      </c>
      <c r="AV102" s="315">
        <v>90</v>
      </c>
      <c r="AW102" s="315">
        <v>47</v>
      </c>
      <c r="AX102" s="315">
        <v>2</v>
      </c>
      <c r="AY102" s="315">
        <v>4</v>
      </c>
      <c r="AZ102" s="315">
        <v>9</v>
      </c>
      <c r="BA102" s="315">
        <v>9</v>
      </c>
      <c r="BB102" s="315">
        <v>1</v>
      </c>
      <c r="BC102" s="318">
        <v>272</v>
      </c>
      <c r="BD102" s="317"/>
      <c r="BE102" s="313">
        <v>33</v>
      </c>
      <c r="BF102" s="316">
        <v>50938</v>
      </c>
      <c r="BG102" s="315">
        <v>5231</v>
      </c>
      <c r="BH102" s="315">
        <v>86794</v>
      </c>
      <c r="BI102" s="315">
        <v>467</v>
      </c>
      <c r="BJ102" s="315">
        <v>447</v>
      </c>
      <c r="BK102" s="314">
        <v>143877</v>
      </c>
      <c r="BL102" s="313">
        <v>1329</v>
      </c>
      <c r="BM102" s="313"/>
      <c r="BN102" s="313">
        <v>216</v>
      </c>
      <c r="BO102" s="313">
        <v>13</v>
      </c>
      <c r="BP102" s="316">
        <v>57</v>
      </c>
      <c r="BQ102" s="315"/>
      <c r="BR102" s="314">
        <v>57</v>
      </c>
      <c r="BS102" s="313">
        <v>100</v>
      </c>
      <c r="BT102" s="316">
        <v>2</v>
      </c>
      <c r="BU102" s="315">
        <v>2</v>
      </c>
      <c r="BV102" s="314">
        <v>4</v>
      </c>
      <c r="BW102" s="319">
        <v>17</v>
      </c>
      <c r="BX102" s="315">
        <v>4</v>
      </c>
      <c r="BY102" s="315">
        <v>200</v>
      </c>
      <c r="BZ102" s="315">
        <v>149</v>
      </c>
      <c r="CA102" s="315">
        <v>33</v>
      </c>
      <c r="CB102" s="315">
        <v>59</v>
      </c>
      <c r="CC102" s="315">
        <v>47</v>
      </c>
      <c r="CD102" s="315"/>
      <c r="CE102" s="315">
        <v>65</v>
      </c>
      <c r="CF102" s="315">
        <v>129</v>
      </c>
      <c r="CG102" s="315">
        <v>321</v>
      </c>
      <c r="CH102" s="315"/>
      <c r="CI102" s="315"/>
      <c r="CJ102" s="315">
        <v>23</v>
      </c>
      <c r="CK102" s="315">
        <v>23</v>
      </c>
      <c r="CL102" s="315">
        <v>45</v>
      </c>
      <c r="CM102" s="318">
        <v>1115</v>
      </c>
      <c r="CN102" s="316">
        <v>296</v>
      </c>
      <c r="CO102" s="315"/>
      <c r="CP102" s="314">
        <v>296</v>
      </c>
      <c r="CQ102" s="313">
        <v>0</v>
      </c>
      <c r="CR102" s="316">
        <v>269</v>
      </c>
      <c r="CS102" s="315">
        <v>260</v>
      </c>
      <c r="CT102" s="315">
        <v>138451</v>
      </c>
      <c r="CU102" s="315">
        <v>500</v>
      </c>
      <c r="CV102" s="315">
        <v>63469</v>
      </c>
      <c r="CW102" s="315">
        <v>3325</v>
      </c>
      <c r="CX102" s="315">
        <v>1969</v>
      </c>
      <c r="CY102" s="315">
        <v>334</v>
      </c>
      <c r="CZ102" s="315">
        <v>19</v>
      </c>
      <c r="DA102" s="315">
        <v>14</v>
      </c>
      <c r="DB102" s="315">
        <v>21</v>
      </c>
      <c r="DC102" s="314">
        <v>208631</v>
      </c>
      <c r="DD102" s="319">
        <v>6192</v>
      </c>
      <c r="DE102" s="315">
        <v>1058</v>
      </c>
      <c r="DF102" s="315">
        <v>636</v>
      </c>
      <c r="DG102" s="315">
        <v>439</v>
      </c>
      <c r="DH102" s="315">
        <v>150</v>
      </c>
      <c r="DI102" s="315">
        <v>21</v>
      </c>
      <c r="DJ102" s="315"/>
      <c r="DK102" s="318">
        <v>8496</v>
      </c>
      <c r="DL102" s="317"/>
      <c r="DM102" s="313"/>
      <c r="DN102" s="316">
        <v>16</v>
      </c>
      <c r="DO102" s="315"/>
      <c r="DP102" s="314">
        <v>16</v>
      </c>
      <c r="DQ102" s="313">
        <v>2273</v>
      </c>
      <c r="DR102" s="316"/>
      <c r="DS102" s="315"/>
      <c r="DT102" s="314"/>
      <c r="DU102" s="319">
        <v>2192</v>
      </c>
      <c r="DV102" s="315">
        <v>6</v>
      </c>
      <c r="DW102" s="318">
        <v>2198</v>
      </c>
      <c r="DX102" s="317">
        <v>24</v>
      </c>
      <c r="DY102" s="313">
        <v>1</v>
      </c>
      <c r="DZ102" s="313">
        <v>71982</v>
      </c>
      <c r="EA102" s="313">
        <v>0</v>
      </c>
      <c r="EB102" s="313"/>
      <c r="EC102" s="316">
        <v>491</v>
      </c>
      <c r="ED102" s="315">
        <v>1219</v>
      </c>
      <c r="EE102" s="315">
        <v>20</v>
      </c>
      <c r="EF102" s="315"/>
      <c r="EG102" s="315"/>
      <c r="EH102" s="314">
        <v>1730</v>
      </c>
      <c r="EI102" s="319">
        <v>1134</v>
      </c>
      <c r="EJ102" s="315">
        <v>3635</v>
      </c>
      <c r="EK102" s="315">
        <v>1003</v>
      </c>
      <c r="EL102" s="315">
        <v>1204</v>
      </c>
      <c r="EM102" s="315">
        <v>4646</v>
      </c>
      <c r="EN102" s="315">
        <v>186</v>
      </c>
      <c r="EO102" s="315">
        <v>83</v>
      </c>
      <c r="EP102" s="315">
        <v>920</v>
      </c>
      <c r="EQ102" s="315">
        <v>43</v>
      </c>
      <c r="ER102" s="315">
        <v>87</v>
      </c>
      <c r="ES102" s="315">
        <v>70</v>
      </c>
      <c r="ET102" s="315">
        <v>8</v>
      </c>
      <c r="EU102" s="315"/>
      <c r="EV102" s="318">
        <v>13019</v>
      </c>
      <c r="EW102" s="317"/>
      <c r="EX102" s="313">
        <v>17</v>
      </c>
      <c r="EY102" s="316">
        <v>2</v>
      </c>
      <c r="EZ102" s="315">
        <v>30</v>
      </c>
      <c r="FA102" s="315">
        <v>163</v>
      </c>
      <c r="FB102" s="314">
        <v>195</v>
      </c>
      <c r="FC102" s="319">
        <v>15</v>
      </c>
      <c r="FD102" s="315"/>
      <c r="FE102" s="318">
        <v>15</v>
      </c>
      <c r="FF102" s="317">
        <v>988</v>
      </c>
      <c r="FG102" s="319">
        <v>668</v>
      </c>
      <c r="FH102" s="315">
        <v>57</v>
      </c>
      <c r="FI102" s="315">
        <v>67</v>
      </c>
      <c r="FJ102" s="315">
        <v>691</v>
      </c>
      <c r="FK102" s="318">
        <v>1483</v>
      </c>
      <c r="FL102" s="316"/>
      <c r="FM102" s="315"/>
      <c r="FN102" s="314"/>
      <c r="FO102" s="319">
        <v>26</v>
      </c>
      <c r="FP102" s="315"/>
      <c r="FQ102" s="318">
        <v>26</v>
      </c>
      <c r="FR102" s="317">
        <v>1</v>
      </c>
      <c r="FS102" s="313">
        <v>205</v>
      </c>
      <c r="FT102" s="316">
        <v>501</v>
      </c>
      <c r="FU102" s="315">
        <v>548</v>
      </c>
      <c r="FV102" s="315">
        <v>246</v>
      </c>
      <c r="FW102" s="315">
        <v>45</v>
      </c>
      <c r="FX102" s="315"/>
      <c r="FY102" s="314">
        <v>1340</v>
      </c>
      <c r="FZ102" s="313"/>
      <c r="GA102" s="316">
        <v>263</v>
      </c>
      <c r="GB102" s="315">
        <v>128</v>
      </c>
      <c r="GC102" s="314">
        <v>391</v>
      </c>
      <c r="GD102" s="313"/>
      <c r="GE102" s="316">
        <v>4</v>
      </c>
      <c r="GF102" s="315"/>
      <c r="GG102" s="315"/>
      <c r="GH102" s="314">
        <v>4</v>
      </c>
      <c r="GI102" s="313">
        <v>593</v>
      </c>
      <c r="GJ102" s="316">
        <v>141</v>
      </c>
      <c r="GK102" s="315">
        <v>3</v>
      </c>
      <c r="GL102" s="315">
        <v>947</v>
      </c>
      <c r="GM102" s="315">
        <v>573</v>
      </c>
      <c r="GN102" s="314">
        <v>1664</v>
      </c>
      <c r="GO102" s="313">
        <v>675467</v>
      </c>
      <c r="GP102" s="312">
        <f>675467/44564395</f>
        <v>1.5157100191756222E-2</v>
      </c>
    </row>
    <row r="103" spans="2:198" ht="12.75" thickBot="1" x14ac:dyDescent="0.25">
      <c r="B103" s="311" t="s">
        <v>552</v>
      </c>
      <c r="C103" s="310">
        <v>10322</v>
      </c>
      <c r="D103" s="129">
        <v>148</v>
      </c>
      <c r="E103" s="129">
        <v>97</v>
      </c>
      <c r="F103" s="129">
        <v>37</v>
      </c>
      <c r="G103" s="309">
        <v>10604</v>
      </c>
      <c r="H103" s="141"/>
      <c r="I103" s="138">
        <v>4347</v>
      </c>
      <c r="J103" s="129"/>
      <c r="K103" s="139">
        <v>4347</v>
      </c>
      <c r="L103" s="141"/>
      <c r="M103" s="135">
        <v>72857</v>
      </c>
      <c r="N103" s="141">
        <v>3955081</v>
      </c>
      <c r="O103" s="129">
        <v>19379</v>
      </c>
      <c r="P103" s="129">
        <v>1949</v>
      </c>
      <c r="Q103" s="129">
        <v>1335</v>
      </c>
      <c r="R103" s="129">
        <v>499</v>
      </c>
      <c r="S103" s="129">
        <v>110</v>
      </c>
      <c r="T103" s="129">
        <v>9</v>
      </c>
      <c r="U103" s="129">
        <v>52</v>
      </c>
      <c r="V103" s="133">
        <v>3978414</v>
      </c>
      <c r="W103" s="138">
        <v>45600</v>
      </c>
      <c r="X103" s="129">
        <v>18931</v>
      </c>
      <c r="Y103" s="139">
        <v>64531</v>
      </c>
      <c r="Z103" s="131">
        <v>1635924</v>
      </c>
      <c r="AA103" s="129">
        <v>559</v>
      </c>
      <c r="AB103" s="129">
        <v>352</v>
      </c>
      <c r="AC103" s="133">
        <v>1636835</v>
      </c>
      <c r="AD103" s="138">
        <v>6041</v>
      </c>
      <c r="AE103" s="129">
        <v>93</v>
      </c>
      <c r="AF103" s="139">
        <v>6134</v>
      </c>
      <c r="AG103" s="131">
        <v>387</v>
      </c>
      <c r="AH103" s="129">
        <v>16</v>
      </c>
      <c r="AI103" s="129">
        <v>733</v>
      </c>
      <c r="AJ103" s="129">
        <v>18</v>
      </c>
      <c r="AK103" s="133">
        <v>1154</v>
      </c>
      <c r="AL103" s="138">
        <v>613</v>
      </c>
      <c r="AM103" s="129">
        <v>5239</v>
      </c>
      <c r="AN103" s="139">
        <v>5852</v>
      </c>
      <c r="AO103" s="135"/>
      <c r="AP103" s="135"/>
      <c r="AQ103" s="131">
        <v>206</v>
      </c>
      <c r="AR103" s="129">
        <v>907</v>
      </c>
      <c r="AS103" s="133">
        <v>1113</v>
      </c>
      <c r="AT103" s="138">
        <v>930</v>
      </c>
      <c r="AU103" s="129">
        <v>23</v>
      </c>
      <c r="AV103" s="129">
        <v>126</v>
      </c>
      <c r="AW103" s="129">
        <v>160</v>
      </c>
      <c r="AX103" s="129">
        <v>2</v>
      </c>
      <c r="AY103" s="129">
        <v>12</v>
      </c>
      <c r="AZ103" s="129">
        <v>16</v>
      </c>
      <c r="BA103" s="129">
        <v>12</v>
      </c>
      <c r="BB103" s="129">
        <v>19</v>
      </c>
      <c r="BC103" s="139">
        <v>1300</v>
      </c>
      <c r="BD103" s="141">
        <v>8</v>
      </c>
      <c r="BE103" s="135">
        <v>475</v>
      </c>
      <c r="BF103" s="131">
        <v>108320</v>
      </c>
      <c r="BG103" s="129">
        <v>22712</v>
      </c>
      <c r="BH103" s="129">
        <v>156461</v>
      </c>
      <c r="BI103" s="129">
        <v>1318</v>
      </c>
      <c r="BJ103" s="129">
        <v>1089</v>
      </c>
      <c r="BK103" s="133">
        <v>289900</v>
      </c>
      <c r="BL103" s="135">
        <v>1386</v>
      </c>
      <c r="BM103" s="135">
        <v>0</v>
      </c>
      <c r="BN103" s="135">
        <v>822</v>
      </c>
      <c r="BO103" s="135">
        <v>38</v>
      </c>
      <c r="BP103" s="131">
        <v>289</v>
      </c>
      <c r="BQ103" s="129">
        <v>89</v>
      </c>
      <c r="BR103" s="133">
        <v>378</v>
      </c>
      <c r="BS103" s="135">
        <v>609</v>
      </c>
      <c r="BT103" s="131">
        <v>199</v>
      </c>
      <c r="BU103" s="129">
        <v>17</v>
      </c>
      <c r="BV103" s="133">
        <v>216</v>
      </c>
      <c r="BW103" s="138">
        <v>171</v>
      </c>
      <c r="BX103" s="129">
        <v>34</v>
      </c>
      <c r="BY103" s="129">
        <v>647</v>
      </c>
      <c r="BZ103" s="129">
        <v>432</v>
      </c>
      <c r="CA103" s="129">
        <v>156</v>
      </c>
      <c r="CB103" s="129">
        <v>180</v>
      </c>
      <c r="CC103" s="129">
        <v>119</v>
      </c>
      <c r="CD103" s="129"/>
      <c r="CE103" s="129">
        <v>195</v>
      </c>
      <c r="CF103" s="129">
        <v>366</v>
      </c>
      <c r="CG103" s="129">
        <v>514</v>
      </c>
      <c r="CH103" s="129"/>
      <c r="CI103" s="129"/>
      <c r="CJ103" s="129">
        <v>108</v>
      </c>
      <c r="CK103" s="129">
        <v>27</v>
      </c>
      <c r="CL103" s="129">
        <v>48</v>
      </c>
      <c r="CM103" s="139">
        <v>2997</v>
      </c>
      <c r="CN103" s="131">
        <v>184643</v>
      </c>
      <c r="CO103" s="129">
        <v>7</v>
      </c>
      <c r="CP103" s="133">
        <v>184650</v>
      </c>
      <c r="CQ103" s="135">
        <v>1</v>
      </c>
      <c r="CR103" s="131">
        <v>3016</v>
      </c>
      <c r="CS103" s="129">
        <v>1229</v>
      </c>
      <c r="CT103" s="129">
        <v>2387518</v>
      </c>
      <c r="CU103" s="129">
        <v>4389</v>
      </c>
      <c r="CV103" s="129">
        <v>639543</v>
      </c>
      <c r="CW103" s="129">
        <v>9332</v>
      </c>
      <c r="CX103" s="129">
        <v>5403</v>
      </c>
      <c r="CY103" s="129">
        <v>748</v>
      </c>
      <c r="CZ103" s="129">
        <v>8974</v>
      </c>
      <c r="DA103" s="129">
        <v>125</v>
      </c>
      <c r="DB103" s="129">
        <v>45</v>
      </c>
      <c r="DC103" s="133">
        <v>3060322</v>
      </c>
      <c r="DD103" s="138">
        <v>74756</v>
      </c>
      <c r="DE103" s="129">
        <v>2678</v>
      </c>
      <c r="DF103" s="129">
        <v>3836</v>
      </c>
      <c r="DG103" s="129">
        <v>2674</v>
      </c>
      <c r="DH103" s="129">
        <v>292</v>
      </c>
      <c r="DI103" s="129">
        <v>24</v>
      </c>
      <c r="DJ103" s="129"/>
      <c r="DK103" s="139">
        <v>84260</v>
      </c>
      <c r="DL103" s="141">
        <v>3</v>
      </c>
      <c r="DM103" s="135">
        <v>0</v>
      </c>
      <c r="DN103" s="131">
        <v>410</v>
      </c>
      <c r="DO103" s="129"/>
      <c r="DP103" s="133">
        <v>410</v>
      </c>
      <c r="DQ103" s="135">
        <v>3420</v>
      </c>
      <c r="DR103" s="131"/>
      <c r="DS103" s="129"/>
      <c r="DT103" s="133"/>
      <c r="DU103" s="138">
        <v>5976</v>
      </c>
      <c r="DV103" s="129">
        <v>17</v>
      </c>
      <c r="DW103" s="139">
        <v>5993</v>
      </c>
      <c r="DX103" s="141">
        <v>686</v>
      </c>
      <c r="DY103" s="135">
        <v>4</v>
      </c>
      <c r="DZ103" s="135">
        <v>139930</v>
      </c>
      <c r="EA103" s="135">
        <v>2</v>
      </c>
      <c r="EB103" s="135"/>
      <c r="EC103" s="131">
        <v>3016</v>
      </c>
      <c r="ED103" s="129">
        <v>3562</v>
      </c>
      <c r="EE103" s="129">
        <v>23</v>
      </c>
      <c r="EF103" s="129">
        <v>2</v>
      </c>
      <c r="EG103" s="129"/>
      <c r="EH103" s="133">
        <v>6603</v>
      </c>
      <c r="EI103" s="138">
        <v>4218</v>
      </c>
      <c r="EJ103" s="129">
        <v>198872</v>
      </c>
      <c r="EK103" s="129">
        <v>3783</v>
      </c>
      <c r="EL103" s="129">
        <v>4807</v>
      </c>
      <c r="EM103" s="129">
        <v>218372</v>
      </c>
      <c r="EN103" s="129">
        <v>676</v>
      </c>
      <c r="EO103" s="129">
        <v>173</v>
      </c>
      <c r="EP103" s="129">
        <v>6827</v>
      </c>
      <c r="EQ103" s="129">
        <v>115</v>
      </c>
      <c r="ER103" s="129">
        <v>233</v>
      </c>
      <c r="ES103" s="129">
        <v>207</v>
      </c>
      <c r="ET103" s="129">
        <v>89</v>
      </c>
      <c r="EU103" s="129">
        <v>5</v>
      </c>
      <c r="EV103" s="139">
        <v>438377</v>
      </c>
      <c r="EW103" s="141"/>
      <c r="EX103" s="135">
        <v>329</v>
      </c>
      <c r="EY103" s="131">
        <v>7</v>
      </c>
      <c r="EZ103" s="129">
        <v>132</v>
      </c>
      <c r="FA103" s="129">
        <v>782</v>
      </c>
      <c r="FB103" s="133">
        <v>921</v>
      </c>
      <c r="FC103" s="138">
        <v>237</v>
      </c>
      <c r="FD103" s="129"/>
      <c r="FE103" s="139">
        <v>237</v>
      </c>
      <c r="FF103" s="141">
        <v>4687</v>
      </c>
      <c r="FG103" s="138">
        <v>7701</v>
      </c>
      <c r="FH103" s="129">
        <v>440</v>
      </c>
      <c r="FI103" s="129">
        <v>308</v>
      </c>
      <c r="FJ103" s="129">
        <v>3777</v>
      </c>
      <c r="FK103" s="139">
        <v>12226</v>
      </c>
      <c r="FL103" s="131">
        <v>1</v>
      </c>
      <c r="FM103" s="129"/>
      <c r="FN103" s="133">
        <v>1</v>
      </c>
      <c r="FO103" s="138">
        <v>9955</v>
      </c>
      <c r="FP103" s="129">
        <v>0</v>
      </c>
      <c r="FQ103" s="139">
        <v>9955</v>
      </c>
      <c r="FR103" s="141">
        <v>2</v>
      </c>
      <c r="FS103" s="135">
        <v>2387</v>
      </c>
      <c r="FT103" s="131">
        <v>673</v>
      </c>
      <c r="FU103" s="129">
        <v>1877</v>
      </c>
      <c r="FV103" s="129">
        <v>424</v>
      </c>
      <c r="FW103" s="129">
        <v>269</v>
      </c>
      <c r="FX103" s="129"/>
      <c r="FY103" s="133">
        <v>3243</v>
      </c>
      <c r="FZ103" s="135"/>
      <c r="GA103" s="131">
        <v>1724</v>
      </c>
      <c r="GB103" s="129">
        <v>6972</v>
      </c>
      <c r="GC103" s="133">
        <v>8696</v>
      </c>
      <c r="GD103" s="135"/>
      <c r="GE103" s="131">
        <v>237</v>
      </c>
      <c r="GF103" s="129">
        <v>19</v>
      </c>
      <c r="GG103" s="129"/>
      <c r="GH103" s="133">
        <v>256</v>
      </c>
      <c r="GI103" s="135">
        <v>2006</v>
      </c>
      <c r="GJ103" s="131">
        <v>456</v>
      </c>
      <c r="GK103" s="129">
        <v>17</v>
      </c>
      <c r="GL103" s="129">
        <v>2116</v>
      </c>
      <c r="GM103" s="129">
        <v>3873</v>
      </c>
      <c r="GN103" s="133">
        <v>6462</v>
      </c>
      <c r="GO103" s="135">
        <v>10056039</v>
      </c>
      <c r="GP103" s="308">
        <f>10056039/44564395</f>
        <v>0.22565186849277322</v>
      </c>
    </row>
    <row r="104" spans="2:198" x14ac:dyDescent="0.2">
      <c r="B104" s="322" t="s">
        <v>23</v>
      </c>
      <c r="C104" s="321">
        <v>1248</v>
      </c>
      <c r="D104" s="315"/>
      <c r="E104" s="315"/>
      <c r="F104" s="315"/>
      <c r="G104" s="320">
        <v>1248</v>
      </c>
      <c r="H104" s="317"/>
      <c r="I104" s="319">
        <v>6</v>
      </c>
      <c r="J104" s="315"/>
      <c r="K104" s="318">
        <v>6</v>
      </c>
      <c r="L104" s="317">
        <v>0</v>
      </c>
      <c r="M104" s="313">
        <v>8511</v>
      </c>
      <c r="N104" s="317">
        <v>23208</v>
      </c>
      <c r="O104" s="315">
        <v>148</v>
      </c>
      <c r="P104" s="315">
        <v>1383</v>
      </c>
      <c r="Q104" s="315">
        <v>3449</v>
      </c>
      <c r="R104" s="315">
        <v>151</v>
      </c>
      <c r="S104" s="315">
        <v>25</v>
      </c>
      <c r="T104" s="315">
        <v>1</v>
      </c>
      <c r="U104" s="315">
        <v>297</v>
      </c>
      <c r="V104" s="314">
        <v>28662</v>
      </c>
      <c r="W104" s="319">
        <v>125</v>
      </c>
      <c r="X104" s="315">
        <v>52</v>
      </c>
      <c r="Y104" s="318">
        <v>177</v>
      </c>
      <c r="Z104" s="316">
        <v>1383</v>
      </c>
      <c r="AA104" s="315"/>
      <c r="AB104" s="315">
        <v>1</v>
      </c>
      <c r="AC104" s="314">
        <v>1384</v>
      </c>
      <c r="AD104" s="319">
        <v>183704</v>
      </c>
      <c r="AE104" s="315">
        <v>54</v>
      </c>
      <c r="AF104" s="318">
        <v>183758</v>
      </c>
      <c r="AG104" s="316">
        <v>998</v>
      </c>
      <c r="AH104" s="315">
        <v>7</v>
      </c>
      <c r="AI104" s="315"/>
      <c r="AJ104" s="315"/>
      <c r="AK104" s="314">
        <v>1005</v>
      </c>
      <c r="AL104" s="319"/>
      <c r="AM104" s="315"/>
      <c r="AN104" s="318"/>
      <c r="AO104" s="313"/>
      <c r="AP104" s="313"/>
      <c r="AQ104" s="316">
        <v>27</v>
      </c>
      <c r="AR104" s="315"/>
      <c r="AS104" s="314">
        <v>27</v>
      </c>
      <c r="AT104" s="319">
        <v>7132</v>
      </c>
      <c r="AU104" s="315">
        <v>4</v>
      </c>
      <c r="AV104" s="315">
        <v>1472</v>
      </c>
      <c r="AW104" s="315"/>
      <c r="AX104" s="315">
        <v>123</v>
      </c>
      <c r="AY104" s="315">
        <v>5</v>
      </c>
      <c r="AZ104" s="315"/>
      <c r="BA104" s="315"/>
      <c r="BB104" s="315"/>
      <c r="BC104" s="318">
        <v>8736</v>
      </c>
      <c r="BD104" s="317">
        <v>3</v>
      </c>
      <c r="BE104" s="313">
        <v>26</v>
      </c>
      <c r="BF104" s="316">
        <v>511</v>
      </c>
      <c r="BG104" s="315">
        <v>2666</v>
      </c>
      <c r="BH104" s="315">
        <v>2701</v>
      </c>
      <c r="BI104" s="315">
        <v>446</v>
      </c>
      <c r="BJ104" s="315">
        <v>105</v>
      </c>
      <c r="BK104" s="314">
        <v>6429</v>
      </c>
      <c r="BL104" s="313">
        <v>3</v>
      </c>
      <c r="BM104" s="313"/>
      <c r="BN104" s="313">
        <v>8</v>
      </c>
      <c r="BO104" s="313">
        <v>17</v>
      </c>
      <c r="BP104" s="316">
        <v>111</v>
      </c>
      <c r="BQ104" s="315">
        <v>8</v>
      </c>
      <c r="BR104" s="314">
        <v>119</v>
      </c>
      <c r="BS104" s="313"/>
      <c r="BT104" s="316">
        <v>1</v>
      </c>
      <c r="BU104" s="315">
        <v>82</v>
      </c>
      <c r="BV104" s="314">
        <v>83</v>
      </c>
      <c r="BW104" s="319">
        <v>47</v>
      </c>
      <c r="BX104" s="315">
        <v>1</v>
      </c>
      <c r="BY104" s="315">
        <v>447</v>
      </c>
      <c r="BZ104" s="315"/>
      <c r="CA104" s="315"/>
      <c r="CB104" s="315">
        <v>1</v>
      </c>
      <c r="CC104" s="315"/>
      <c r="CD104" s="315"/>
      <c r="CE104" s="315">
        <v>1</v>
      </c>
      <c r="CF104" s="315"/>
      <c r="CG104" s="315"/>
      <c r="CH104" s="315"/>
      <c r="CI104" s="315"/>
      <c r="CJ104" s="315"/>
      <c r="CK104" s="315"/>
      <c r="CL104" s="315"/>
      <c r="CM104" s="318">
        <v>497</v>
      </c>
      <c r="CN104" s="316">
        <v>2</v>
      </c>
      <c r="CO104" s="315"/>
      <c r="CP104" s="314">
        <v>2</v>
      </c>
      <c r="CQ104" s="313">
        <v>4</v>
      </c>
      <c r="CR104" s="316">
        <v>884</v>
      </c>
      <c r="CS104" s="315">
        <v>12</v>
      </c>
      <c r="CT104" s="315">
        <v>611696</v>
      </c>
      <c r="CU104" s="315">
        <v>51576</v>
      </c>
      <c r="CV104" s="315">
        <v>50643</v>
      </c>
      <c r="CW104" s="315">
        <v>2</v>
      </c>
      <c r="CX104" s="315">
        <v>2</v>
      </c>
      <c r="CY104" s="315">
        <v>1</v>
      </c>
      <c r="CZ104" s="315">
        <v>2288</v>
      </c>
      <c r="DA104" s="315">
        <v>3</v>
      </c>
      <c r="DB104" s="315">
        <v>0</v>
      </c>
      <c r="DC104" s="314">
        <v>717107</v>
      </c>
      <c r="DD104" s="319">
        <v>12795</v>
      </c>
      <c r="DE104" s="315">
        <v>33</v>
      </c>
      <c r="DF104" s="315">
        <v>5512</v>
      </c>
      <c r="DG104" s="315">
        <v>3716</v>
      </c>
      <c r="DH104" s="315">
        <v>2223</v>
      </c>
      <c r="DI104" s="315">
        <v>84</v>
      </c>
      <c r="DJ104" s="315">
        <v>0</v>
      </c>
      <c r="DK104" s="318">
        <v>24363</v>
      </c>
      <c r="DL104" s="317"/>
      <c r="DM104" s="313"/>
      <c r="DN104" s="316"/>
      <c r="DO104" s="315">
        <v>1</v>
      </c>
      <c r="DP104" s="314">
        <v>1</v>
      </c>
      <c r="DQ104" s="313">
        <v>401</v>
      </c>
      <c r="DR104" s="316"/>
      <c r="DS104" s="315">
        <v>3</v>
      </c>
      <c r="DT104" s="314">
        <v>3</v>
      </c>
      <c r="DU104" s="319">
        <v>22</v>
      </c>
      <c r="DV104" s="315"/>
      <c r="DW104" s="318">
        <v>22</v>
      </c>
      <c r="DX104" s="317">
        <v>258</v>
      </c>
      <c r="DY104" s="313">
        <v>2</v>
      </c>
      <c r="DZ104" s="313">
        <v>775</v>
      </c>
      <c r="EA104" s="313"/>
      <c r="EB104" s="313"/>
      <c r="EC104" s="316">
        <v>116</v>
      </c>
      <c r="ED104" s="315">
        <v>31</v>
      </c>
      <c r="EE104" s="315">
        <v>0</v>
      </c>
      <c r="EF104" s="315">
        <v>2</v>
      </c>
      <c r="EG104" s="315"/>
      <c r="EH104" s="314">
        <v>149</v>
      </c>
      <c r="EI104" s="319">
        <v>2683</v>
      </c>
      <c r="EJ104" s="315">
        <v>2878</v>
      </c>
      <c r="EK104" s="315">
        <v>1334</v>
      </c>
      <c r="EL104" s="315">
        <v>4374</v>
      </c>
      <c r="EM104" s="315">
        <v>4215</v>
      </c>
      <c r="EN104" s="315">
        <v>700</v>
      </c>
      <c r="EO104" s="315">
        <v>199</v>
      </c>
      <c r="EP104" s="315">
        <v>9962</v>
      </c>
      <c r="EQ104" s="315">
        <v>276</v>
      </c>
      <c r="ER104" s="315">
        <v>410</v>
      </c>
      <c r="ES104" s="315">
        <v>114</v>
      </c>
      <c r="ET104" s="315"/>
      <c r="EU104" s="315">
        <v>0</v>
      </c>
      <c r="EV104" s="318">
        <v>27145</v>
      </c>
      <c r="EW104" s="317">
        <v>0</v>
      </c>
      <c r="EX104" s="313">
        <v>90</v>
      </c>
      <c r="EY104" s="316">
        <v>5</v>
      </c>
      <c r="EZ104" s="315"/>
      <c r="FA104" s="315"/>
      <c r="FB104" s="314">
        <v>5</v>
      </c>
      <c r="FC104" s="319"/>
      <c r="FD104" s="315"/>
      <c r="FE104" s="318"/>
      <c r="FF104" s="317"/>
      <c r="FG104" s="319"/>
      <c r="FH104" s="315">
        <v>167</v>
      </c>
      <c r="FI104" s="315"/>
      <c r="FJ104" s="315"/>
      <c r="FK104" s="318">
        <v>167</v>
      </c>
      <c r="FL104" s="316">
        <v>0</v>
      </c>
      <c r="FM104" s="315"/>
      <c r="FN104" s="314">
        <v>0</v>
      </c>
      <c r="FO104" s="319">
        <v>14</v>
      </c>
      <c r="FP104" s="315"/>
      <c r="FQ104" s="318">
        <v>14</v>
      </c>
      <c r="FR104" s="317">
        <v>1</v>
      </c>
      <c r="FS104" s="313">
        <v>1516</v>
      </c>
      <c r="FT104" s="316">
        <v>130</v>
      </c>
      <c r="FU104" s="315">
        <v>2</v>
      </c>
      <c r="FV104" s="315">
        <v>1</v>
      </c>
      <c r="FW104" s="315">
        <v>0</v>
      </c>
      <c r="FX104" s="315"/>
      <c r="FY104" s="314">
        <v>133</v>
      </c>
      <c r="FZ104" s="313"/>
      <c r="GA104" s="316">
        <v>551</v>
      </c>
      <c r="GB104" s="315"/>
      <c r="GC104" s="314">
        <v>551</v>
      </c>
      <c r="GD104" s="313">
        <v>1</v>
      </c>
      <c r="GE104" s="316">
        <v>8</v>
      </c>
      <c r="GF104" s="315">
        <v>1</v>
      </c>
      <c r="GG104" s="315"/>
      <c r="GH104" s="314">
        <v>9</v>
      </c>
      <c r="GI104" s="313">
        <v>17</v>
      </c>
      <c r="GJ104" s="316">
        <v>30</v>
      </c>
      <c r="GK104" s="315">
        <v>13</v>
      </c>
      <c r="GL104" s="315"/>
      <c r="GM104" s="315"/>
      <c r="GN104" s="314">
        <v>43</v>
      </c>
      <c r="GO104" s="313">
        <v>1013478</v>
      </c>
      <c r="GP104" s="312">
        <f>1013478/44564395</f>
        <v>2.2741877231812528E-2</v>
      </c>
    </row>
    <row r="105" spans="2:198" x14ac:dyDescent="0.2">
      <c r="B105" s="326" t="s">
        <v>33</v>
      </c>
      <c r="C105" s="325">
        <v>631</v>
      </c>
      <c r="D105" s="128"/>
      <c r="E105" s="128">
        <v>1</v>
      </c>
      <c r="F105" s="128">
        <v>0</v>
      </c>
      <c r="G105" s="324">
        <v>632</v>
      </c>
      <c r="H105" s="140"/>
      <c r="I105" s="136">
        <v>11</v>
      </c>
      <c r="J105" s="128"/>
      <c r="K105" s="137">
        <v>11</v>
      </c>
      <c r="L105" s="140"/>
      <c r="M105" s="134">
        <v>4340</v>
      </c>
      <c r="N105" s="140">
        <v>4119</v>
      </c>
      <c r="O105" s="128">
        <v>29</v>
      </c>
      <c r="P105" s="128">
        <v>1045</v>
      </c>
      <c r="Q105" s="128">
        <v>344</v>
      </c>
      <c r="R105" s="128">
        <v>18</v>
      </c>
      <c r="S105" s="128">
        <v>12</v>
      </c>
      <c r="T105" s="128"/>
      <c r="U105" s="128">
        <v>67</v>
      </c>
      <c r="V105" s="132">
        <v>5634</v>
      </c>
      <c r="W105" s="136">
        <v>25</v>
      </c>
      <c r="X105" s="128">
        <v>8</v>
      </c>
      <c r="Y105" s="137">
        <v>33</v>
      </c>
      <c r="Z105" s="130">
        <v>462</v>
      </c>
      <c r="AA105" s="128"/>
      <c r="AB105" s="128"/>
      <c r="AC105" s="132">
        <v>462</v>
      </c>
      <c r="AD105" s="136">
        <v>6616</v>
      </c>
      <c r="AE105" s="128">
        <v>18</v>
      </c>
      <c r="AF105" s="137">
        <v>6634</v>
      </c>
      <c r="AG105" s="130">
        <v>259</v>
      </c>
      <c r="AH105" s="128">
        <v>1</v>
      </c>
      <c r="AI105" s="128"/>
      <c r="AJ105" s="128"/>
      <c r="AK105" s="132">
        <v>260</v>
      </c>
      <c r="AL105" s="136"/>
      <c r="AM105" s="128"/>
      <c r="AN105" s="137"/>
      <c r="AO105" s="134"/>
      <c r="AP105" s="134"/>
      <c r="AQ105" s="130">
        <v>2</v>
      </c>
      <c r="AR105" s="128"/>
      <c r="AS105" s="132">
        <v>2</v>
      </c>
      <c r="AT105" s="136">
        <v>335</v>
      </c>
      <c r="AU105" s="128">
        <v>4</v>
      </c>
      <c r="AV105" s="128">
        <v>186</v>
      </c>
      <c r="AW105" s="128"/>
      <c r="AX105" s="128">
        <v>18</v>
      </c>
      <c r="AY105" s="128"/>
      <c r="AZ105" s="128"/>
      <c r="BA105" s="128"/>
      <c r="BB105" s="128"/>
      <c r="BC105" s="137">
        <v>543</v>
      </c>
      <c r="BD105" s="140"/>
      <c r="BE105" s="134">
        <v>6</v>
      </c>
      <c r="BF105" s="130">
        <v>74</v>
      </c>
      <c r="BG105" s="128">
        <v>685</v>
      </c>
      <c r="BH105" s="128">
        <v>683</v>
      </c>
      <c r="BI105" s="128">
        <v>96</v>
      </c>
      <c r="BJ105" s="128">
        <v>28</v>
      </c>
      <c r="BK105" s="132">
        <v>1566</v>
      </c>
      <c r="BL105" s="134">
        <v>1</v>
      </c>
      <c r="BM105" s="134"/>
      <c r="BN105" s="134"/>
      <c r="BO105" s="134">
        <v>2</v>
      </c>
      <c r="BP105" s="130">
        <v>19</v>
      </c>
      <c r="BQ105" s="128"/>
      <c r="BR105" s="132">
        <v>19</v>
      </c>
      <c r="BS105" s="134"/>
      <c r="BT105" s="130">
        <v>6</v>
      </c>
      <c r="BU105" s="128">
        <v>8</v>
      </c>
      <c r="BV105" s="132">
        <v>14</v>
      </c>
      <c r="BW105" s="136">
        <v>11</v>
      </c>
      <c r="BX105" s="128"/>
      <c r="BY105" s="128"/>
      <c r="BZ105" s="128"/>
      <c r="CA105" s="128"/>
      <c r="CB105" s="128"/>
      <c r="CC105" s="128"/>
      <c r="CD105" s="128"/>
      <c r="CE105" s="128"/>
      <c r="CF105" s="128"/>
      <c r="CG105" s="128"/>
      <c r="CH105" s="128"/>
      <c r="CI105" s="128"/>
      <c r="CJ105" s="128"/>
      <c r="CK105" s="128"/>
      <c r="CL105" s="128"/>
      <c r="CM105" s="137">
        <v>11</v>
      </c>
      <c r="CN105" s="130">
        <v>3</v>
      </c>
      <c r="CO105" s="128"/>
      <c r="CP105" s="132">
        <v>3</v>
      </c>
      <c r="CQ105" s="134">
        <v>0</v>
      </c>
      <c r="CR105" s="130">
        <v>78</v>
      </c>
      <c r="CS105" s="128">
        <v>3</v>
      </c>
      <c r="CT105" s="128">
        <v>73352</v>
      </c>
      <c r="CU105" s="128">
        <v>2251</v>
      </c>
      <c r="CV105" s="128">
        <v>13901</v>
      </c>
      <c r="CW105" s="128">
        <v>4</v>
      </c>
      <c r="CX105" s="128"/>
      <c r="CY105" s="128"/>
      <c r="CZ105" s="128">
        <v>179</v>
      </c>
      <c r="DA105" s="128">
        <v>0</v>
      </c>
      <c r="DB105" s="128"/>
      <c r="DC105" s="132">
        <v>89768</v>
      </c>
      <c r="DD105" s="136">
        <v>1073</v>
      </c>
      <c r="DE105" s="128"/>
      <c r="DF105" s="128">
        <v>625</v>
      </c>
      <c r="DG105" s="128">
        <v>254</v>
      </c>
      <c r="DH105" s="128">
        <v>89</v>
      </c>
      <c r="DI105" s="128">
        <v>18</v>
      </c>
      <c r="DJ105" s="128"/>
      <c r="DK105" s="137">
        <v>2059</v>
      </c>
      <c r="DL105" s="140"/>
      <c r="DM105" s="134"/>
      <c r="DN105" s="130"/>
      <c r="DO105" s="128"/>
      <c r="DP105" s="132"/>
      <c r="DQ105" s="134">
        <v>73</v>
      </c>
      <c r="DR105" s="130"/>
      <c r="DS105" s="128"/>
      <c r="DT105" s="132"/>
      <c r="DU105" s="136"/>
      <c r="DV105" s="128"/>
      <c r="DW105" s="137"/>
      <c r="DX105" s="140">
        <v>6</v>
      </c>
      <c r="DY105" s="134">
        <v>0</v>
      </c>
      <c r="DZ105" s="134">
        <v>189</v>
      </c>
      <c r="EA105" s="134"/>
      <c r="EB105" s="134"/>
      <c r="EC105" s="130">
        <v>31</v>
      </c>
      <c r="ED105" s="128">
        <v>3</v>
      </c>
      <c r="EE105" s="128"/>
      <c r="EF105" s="128"/>
      <c r="EG105" s="128"/>
      <c r="EH105" s="132">
        <v>34</v>
      </c>
      <c r="EI105" s="136">
        <v>1011</v>
      </c>
      <c r="EJ105" s="128">
        <v>1200</v>
      </c>
      <c r="EK105" s="128">
        <v>483</v>
      </c>
      <c r="EL105" s="128">
        <v>773</v>
      </c>
      <c r="EM105" s="128">
        <v>1041</v>
      </c>
      <c r="EN105" s="128">
        <v>118</v>
      </c>
      <c r="EO105" s="128">
        <v>52</v>
      </c>
      <c r="EP105" s="128">
        <v>1341</v>
      </c>
      <c r="EQ105" s="128">
        <v>30</v>
      </c>
      <c r="ER105" s="128">
        <v>57</v>
      </c>
      <c r="ES105" s="128">
        <v>28</v>
      </c>
      <c r="ET105" s="128"/>
      <c r="EU105" s="128"/>
      <c r="EV105" s="137">
        <v>6134</v>
      </c>
      <c r="EW105" s="140"/>
      <c r="EX105" s="134">
        <v>2</v>
      </c>
      <c r="EY105" s="130"/>
      <c r="EZ105" s="128"/>
      <c r="FA105" s="128"/>
      <c r="FB105" s="132"/>
      <c r="FC105" s="136"/>
      <c r="FD105" s="128"/>
      <c r="FE105" s="137"/>
      <c r="FF105" s="140"/>
      <c r="FG105" s="136">
        <v>0</v>
      </c>
      <c r="FH105" s="128">
        <v>56</v>
      </c>
      <c r="FI105" s="128"/>
      <c r="FJ105" s="128"/>
      <c r="FK105" s="137">
        <v>56</v>
      </c>
      <c r="FL105" s="130"/>
      <c r="FM105" s="128"/>
      <c r="FN105" s="132"/>
      <c r="FO105" s="136"/>
      <c r="FP105" s="128"/>
      <c r="FQ105" s="137"/>
      <c r="FR105" s="140"/>
      <c r="FS105" s="134">
        <v>263</v>
      </c>
      <c r="FT105" s="130">
        <v>8</v>
      </c>
      <c r="FU105" s="128"/>
      <c r="FV105" s="128"/>
      <c r="FW105" s="128"/>
      <c r="FX105" s="128"/>
      <c r="FY105" s="132">
        <v>8</v>
      </c>
      <c r="FZ105" s="134"/>
      <c r="GA105" s="130">
        <v>56</v>
      </c>
      <c r="GB105" s="128"/>
      <c r="GC105" s="132">
        <v>56</v>
      </c>
      <c r="GD105" s="134"/>
      <c r="GE105" s="130">
        <v>3</v>
      </c>
      <c r="GF105" s="128"/>
      <c r="GG105" s="128"/>
      <c r="GH105" s="132">
        <v>3</v>
      </c>
      <c r="GI105" s="134">
        <v>2</v>
      </c>
      <c r="GJ105" s="130">
        <v>20</v>
      </c>
      <c r="GK105" s="128">
        <v>1</v>
      </c>
      <c r="GL105" s="128"/>
      <c r="GM105" s="128"/>
      <c r="GN105" s="132">
        <v>21</v>
      </c>
      <c r="GO105" s="134">
        <v>118847</v>
      </c>
      <c r="GP105" s="323">
        <f>118847/44564395</f>
        <v>2.6668599450301077E-3</v>
      </c>
    </row>
    <row r="106" spans="2:198" x14ac:dyDescent="0.2">
      <c r="B106" s="326" t="s">
        <v>107</v>
      </c>
      <c r="C106" s="325">
        <v>58</v>
      </c>
      <c r="D106" s="128"/>
      <c r="E106" s="128">
        <v>0</v>
      </c>
      <c r="F106" s="128"/>
      <c r="G106" s="324">
        <v>58</v>
      </c>
      <c r="H106" s="140"/>
      <c r="I106" s="136">
        <v>3</v>
      </c>
      <c r="J106" s="128"/>
      <c r="K106" s="137">
        <v>3</v>
      </c>
      <c r="L106" s="140"/>
      <c r="M106" s="134">
        <v>4719</v>
      </c>
      <c r="N106" s="140">
        <v>2004</v>
      </c>
      <c r="O106" s="128"/>
      <c r="P106" s="128">
        <v>74</v>
      </c>
      <c r="Q106" s="128">
        <v>1</v>
      </c>
      <c r="R106" s="128">
        <v>3</v>
      </c>
      <c r="S106" s="128"/>
      <c r="T106" s="128"/>
      <c r="U106" s="128"/>
      <c r="V106" s="132">
        <v>2082</v>
      </c>
      <c r="W106" s="136">
        <v>7</v>
      </c>
      <c r="X106" s="128">
        <v>5</v>
      </c>
      <c r="Y106" s="137">
        <v>12</v>
      </c>
      <c r="Z106" s="130">
        <v>427</v>
      </c>
      <c r="AA106" s="128"/>
      <c r="AB106" s="128"/>
      <c r="AC106" s="132">
        <v>427</v>
      </c>
      <c r="AD106" s="136">
        <v>593</v>
      </c>
      <c r="AE106" s="128"/>
      <c r="AF106" s="137">
        <v>593</v>
      </c>
      <c r="AG106" s="130">
        <v>13</v>
      </c>
      <c r="AH106" s="128"/>
      <c r="AI106" s="128"/>
      <c r="AJ106" s="128"/>
      <c r="AK106" s="132">
        <v>13</v>
      </c>
      <c r="AL106" s="136"/>
      <c r="AM106" s="128"/>
      <c r="AN106" s="137"/>
      <c r="AO106" s="134"/>
      <c r="AP106" s="134"/>
      <c r="AQ106" s="130"/>
      <c r="AR106" s="128"/>
      <c r="AS106" s="132"/>
      <c r="AT106" s="136">
        <v>4</v>
      </c>
      <c r="AU106" s="128"/>
      <c r="AV106" s="128"/>
      <c r="AW106" s="128"/>
      <c r="AX106" s="128"/>
      <c r="AY106" s="128"/>
      <c r="AZ106" s="128"/>
      <c r="BA106" s="128"/>
      <c r="BB106" s="128"/>
      <c r="BC106" s="137">
        <v>4</v>
      </c>
      <c r="BD106" s="140"/>
      <c r="BE106" s="134">
        <v>3</v>
      </c>
      <c r="BF106" s="130">
        <v>54</v>
      </c>
      <c r="BG106" s="128">
        <v>2784</v>
      </c>
      <c r="BH106" s="128">
        <v>811</v>
      </c>
      <c r="BI106" s="128">
        <v>101</v>
      </c>
      <c r="BJ106" s="128">
        <v>3</v>
      </c>
      <c r="BK106" s="132">
        <v>3753</v>
      </c>
      <c r="BL106" s="134"/>
      <c r="BM106" s="134"/>
      <c r="BN106" s="134"/>
      <c r="BO106" s="134"/>
      <c r="BP106" s="130">
        <v>2</v>
      </c>
      <c r="BQ106" s="128"/>
      <c r="BR106" s="132">
        <v>2</v>
      </c>
      <c r="BS106" s="134"/>
      <c r="BT106" s="130">
        <v>1</v>
      </c>
      <c r="BU106" s="128"/>
      <c r="BV106" s="132">
        <v>1</v>
      </c>
      <c r="BW106" s="136">
        <v>1</v>
      </c>
      <c r="BX106" s="128"/>
      <c r="BY106" s="128">
        <v>1</v>
      </c>
      <c r="BZ106" s="128">
        <v>1</v>
      </c>
      <c r="CA106" s="128"/>
      <c r="CB106" s="128">
        <v>1</v>
      </c>
      <c r="CC106" s="128"/>
      <c r="CD106" s="128"/>
      <c r="CE106" s="128"/>
      <c r="CF106" s="128"/>
      <c r="CG106" s="128"/>
      <c r="CH106" s="128"/>
      <c r="CI106" s="128"/>
      <c r="CJ106" s="128">
        <v>1</v>
      </c>
      <c r="CK106" s="128">
        <v>2</v>
      </c>
      <c r="CL106" s="128">
        <v>0</v>
      </c>
      <c r="CM106" s="137">
        <v>7</v>
      </c>
      <c r="CN106" s="130">
        <v>28</v>
      </c>
      <c r="CO106" s="128"/>
      <c r="CP106" s="132">
        <v>28</v>
      </c>
      <c r="CQ106" s="134"/>
      <c r="CR106" s="130">
        <v>18</v>
      </c>
      <c r="CS106" s="128"/>
      <c r="CT106" s="128">
        <v>79411</v>
      </c>
      <c r="CU106" s="128">
        <v>88</v>
      </c>
      <c r="CV106" s="128">
        <v>6622</v>
      </c>
      <c r="CW106" s="128">
        <v>19</v>
      </c>
      <c r="CX106" s="128">
        <v>3</v>
      </c>
      <c r="CY106" s="128">
        <v>0</v>
      </c>
      <c r="CZ106" s="128">
        <v>0</v>
      </c>
      <c r="DA106" s="128"/>
      <c r="DB106" s="128"/>
      <c r="DC106" s="132">
        <v>86161</v>
      </c>
      <c r="DD106" s="136">
        <v>525</v>
      </c>
      <c r="DE106" s="128">
        <v>2</v>
      </c>
      <c r="DF106" s="128">
        <v>192</v>
      </c>
      <c r="DG106" s="128">
        <v>31</v>
      </c>
      <c r="DH106" s="128"/>
      <c r="DI106" s="128">
        <v>3</v>
      </c>
      <c r="DJ106" s="128"/>
      <c r="DK106" s="137">
        <v>753</v>
      </c>
      <c r="DL106" s="140"/>
      <c r="DM106" s="134"/>
      <c r="DN106" s="130"/>
      <c r="DO106" s="128"/>
      <c r="DP106" s="132"/>
      <c r="DQ106" s="134">
        <v>60</v>
      </c>
      <c r="DR106" s="130"/>
      <c r="DS106" s="128"/>
      <c r="DT106" s="132"/>
      <c r="DU106" s="136">
        <v>36</v>
      </c>
      <c r="DV106" s="128"/>
      <c r="DW106" s="137">
        <v>36</v>
      </c>
      <c r="DX106" s="140">
        <v>3</v>
      </c>
      <c r="DY106" s="134">
        <v>0</v>
      </c>
      <c r="DZ106" s="134">
        <v>254</v>
      </c>
      <c r="EA106" s="134"/>
      <c r="EB106" s="134"/>
      <c r="EC106" s="130">
        <v>18</v>
      </c>
      <c r="ED106" s="128">
        <v>8</v>
      </c>
      <c r="EE106" s="128"/>
      <c r="EF106" s="128"/>
      <c r="EG106" s="128"/>
      <c r="EH106" s="132">
        <v>26</v>
      </c>
      <c r="EI106" s="136">
        <v>102</v>
      </c>
      <c r="EJ106" s="128">
        <v>127</v>
      </c>
      <c r="EK106" s="128">
        <v>335</v>
      </c>
      <c r="EL106" s="128">
        <v>74</v>
      </c>
      <c r="EM106" s="128">
        <v>97</v>
      </c>
      <c r="EN106" s="128">
        <v>3</v>
      </c>
      <c r="EO106" s="128"/>
      <c r="EP106" s="128">
        <v>77</v>
      </c>
      <c r="EQ106" s="128"/>
      <c r="ER106" s="128"/>
      <c r="ES106" s="128">
        <v>1</v>
      </c>
      <c r="ET106" s="128"/>
      <c r="EU106" s="128"/>
      <c r="EV106" s="137">
        <v>816</v>
      </c>
      <c r="EW106" s="140"/>
      <c r="EX106" s="134"/>
      <c r="EY106" s="130"/>
      <c r="EZ106" s="128"/>
      <c r="FA106" s="128"/>
      <c r="FB106" s="132"/>
      <c r="FC106" s="136"/>
      <c r="FD106" s="128"/>
      <c r="FE106" s="137"/>
      <c r="FF106" s="140"/>
      <c r="FG106" s="136"/>
      <c r="FH106" s="128"/>
      <c r="FI106" s="128"/>
      <c r="FJ106" s="128"/>
      <c r="FK106" s="137"/>
      <c r="FL106" s="130"/>
      <c r="FM106" s="128"/>
      <c r="FN106" s="132"/>
      <c r="FO106" s="136">
        <v>2</v>
      </c>
      <c r="FP106" s="128"/>
      <c r="FQ106" s="137">
        <v>2</v>
      </c>
      <c r="FR106" s="140"/>
      <c r="FS106" s="134"/>
      <c r="FT106" s="130">
        <v>1</v>
      </c>
      <c r="FU106" s="128">
        <v>10</v>
      </c>
      <c r="FV106" s="128"/>
      <c r="FW106" s="128">
        <v>4</v>
      </c>
      <c r="FX106" s="128"/>
      <c r="FY106" s="132">
        <v>15</v>
      </c>
      <c r="FZ106" s="134"/>
      <c r="GA106" s="130">
        <v>24</v>
      </c>
      <c r="GB106" s="128">
        <v>0</v>
      </c>
      <c r="GC106" s="132">
        <v>24</v>
      </c>
      <c r="GD106" s="134"/>
      <c r="GE106" s="130">
        <v>8</v>
      </c>
      <c r="GF106" s="128"/>
      <c r="GG106" s="128"/>
      <c r="GH106" s="132">
        <v>8</v>
      </c>
      <c r="GI106" s="134">
        <v>2</v>
      </c>
      <c r="GJ106" s="130">
        <v>3</v>
      </c>
      <c r="GK106" s="128">
        <v>1</v>
      </c>
      <c r="GL106" s="128"/>
      <c r="GM106" s="128"/>
      <c r="GN106" s="132">
        <v>4</v>
      </c>
      <c r="GO106" s="134">
        <v>99869</v>
      </c>
      <c r="GP106" s="323">
        <f>99869/44564395</f>
        <v>2.2410042815570594E-3</v>
      </c>
    </row>
    <row r="107" spans="2:198" x14ac:dyDescent="0.2">
      <c r="B107" s="326" t="s">
        <v>129</v>
      </c>
      <c r="C107" s="325">
        <v>14</v>
      </c>
      <c r="D107" s="128"/>
      <c r="E107" s="128"/>
      <c r="F107" s="128"/>
      <c r="G107" s="324">
        <v>14</v>
      </c>
      <c r="H107" s="140"/>
      <c r="I107" s="136">
        <v>5</v>
      </c>
      <c r="J107" s="128"/>
      <c r="K107" s="137">
        <v>5</v>
      </c>
      <c r="L107" s="140"/>
      <c r="M107" s="134">
        <v>316</v>
      </c>
      <c r="N107" s="140">
        <v>827</v>
      </c>
      <c r="O107" s="128">
        <v>4</v>
      </c>
      <c r="P107" s="128">
        <v>106</v>
      </c>
      <c r="Q107" s="128">
        <v>26</v>
      </c>
      <c r="R107" s="128">
        <v>3</v>
      </c>
      <c r="S107" s="128"/>
      <c r="T107" s="128"/>
      <c r="U107" s="128"/>
      <c r="V107" s="132">
        <v>966</v>
      </c>
      <c r="W107" s="136">
        <v>4</v>
      </c>
      <c r="X107" s="128">
        <v>4</v>
      </c>
      <c r="Y107" s="137">
        <v>8</v>
      </c>
      <c r="Z107" s="130">
        <v>173</v>
      </c>
      <c r="AA107" s="128"/>
      <c r="AB107" s="128"/>
      <c r="AC107" s="132">
        <v>173</v>
      </c>
      <c r="AD107" s="136">
        <v>603</v>
      </c>
      <c r="AE107" s="128">
        <v>1</v>
      </c>
      <c r="AF107" s="137">
        <v>604</v>
      </c>
      <c r="AG107" s="130">
        <v>20</v>
      </c>
      <c r="AH107" s="128"/>
      <c r="AI107" s="128"/>
      <c r="AJ107" s="128"/>
      <c r="AK107" s="132">
        <v>20</v>
      </c>
      <c r="AL107" s="136"/>
      <c r="AM107" s="128"/>
      <c r="AN107" s="137"/>
      <c r="AO107" s="134"/>
      <c r="AP107" s="134"/>
      <c r="AQ107" s="130"/>
      <c r="AR107" s="128">
        <v>0</v>
      </c>
      <c r="AS107" s="132">
        <v>0</v>
      </c>
      <c r="AT107" s="136">
        <v>28</v>
      </c>
      <c r="AU107" s="128"/>
      <c r="AV107" s="128"/>
      <c r="AW107" s="128"/>
      <c r="AX107" s="128">
        <v>1</v>
      </c>
      <c r="AY107" s="128"/>
      <c r="AZ107" s="128"/>
      <c r="BA107" s="128"/>
      <c r="BB107" s="128"/>
      <c r="BC107" s="137">
        <v>29</v>
      </c>
      <c r="BD107" s="140"/>
      <c r="BE107" s="134">
        <v>0</v>
      </c>
      <c r="BF107" s="130">
        <v>22</v>
      </c>
      <c r="BG107" s="128">
        <v>88</v>
      </c>
      <c r="BH107" s="128">
        <v>224</v>
      </c>
      <c r="BI107" s="128">
        <v>43</v>
      </c>
      <c r="BJ107" s="128">
        <v>12</v>
      </c>
      <c r="BK107" s="132">
        <v>389</v>
      </c>
      <c r="BL107" s="134">
        <v>1</v>
      </c>
      <c r="BM107" s="134"/>
      <c r="BN107" s="134"/>
      <c r="BO107" s="134"/>
      <c r="BP107" s="130">
        <v>8</v>
      </c>
      <c r="BQ107" s="128"/>
      <c r="BR107" s="132">
        <v>8</v>
      </c>
      <c r="BS107" s="134"/>
      <c r="BT107" s="130"/>
      <c r="BU107" s="128"/>
      <c r="BV107" s="132"/>
      <c r="BW107" s="136">
        <v>2</v>
      </c>
      <c r="BX107" s="128"/>
      <c r="BY107" s="128"/>
      <c r="BZ107" s="128"/>
      <c r="CA107" s="128"/>
      <c r="CB107" s="128"/>
      <c r="CC107" s="128"/>
      <c r="CD107" s="128"/>
      <c r="CE107" s="128"/>
      <c r="CF107" s="128"/>
      <c r="CG107" s="128">
        <v>1</v>
      </c>
      <c r="CH107" s="128"/>
      <c r="CI107" s="128"/>
      <c r="CJ107" s="128"/>
      <c r="CK107" s="128"/>
      <c r="CL107" s="128"/>
      <c r="CM107" s="137">
        <v>3</v>
      </c>
      <c r="CN107" s="130">
        <v>2</v>
      </c>
      <c r="CO107" s="128"/>
      <c r="CP107" s="132">
        <v>2</v>
      </c>
      <c r="CQ107" s="134"/>
      <c r="CR107" s="130">
        <v>5</v>
      </c>
      <c r="CS107" s="128"/>
      <c r="CT107" s="128">
        <v>23915</v>
      </c>
      <c r="CU107" s="128">
        <v>171</v>
      </c>
      <c r="CV107" s="128">
        <v>2888</v>
      </c>
      <c r="CW107" s="128">
        <v>3</v>
      </c>
      <c r="CX107" s="128"/>
      <c r="CY107" s="128"/>
      <c r="CZ107" s="128">
        <v>8</v>
      </c>
      <c r="DA107" s="128"/>
      <c r="DB107" s="128"/>
      <c r="DC107" s="132">
        <v>26990</v>
      </c>
      <c r="DD107" s="136">
        <v>371</v>
      </c>
      <c r="DE107" s="128">
        <v>0</v>
      </c>
      <c r="DF107" s="128">
        <v>99</v>
      </c>
      <c r="DG107" s="128">
        <v>19</v>
      </c>
      <c r="DH107" s="128">
        <v>6</v>
      </c>
      <c r="DI107" s="128"/>
      <c r="DJ107" s="128"/>
      <c r="DK107" s="137">
        <v>495</v>
      </c>
      <c r="DL107" s="140"/>
      <c r="DM107" s="134"/>
      <c r="DN107" s="130"/>
      <c r="DO107" s="128"/>
      <c r="DP107" s="132"/>
      <c r="DQ107" s="134">
        <v>60</v>
      </c>
      <c r="DR107" s="130"/>
      <c r="DS107" s="128"/>
      <c r="DT107" s="132"/>
      <c r="DU107" s="136">
        <v>13</v>
      </c>
      <c r="DV107" s="128"/>
      <c r="DW107" s="137">
        <v>13</v>
      </c>
      <c r="DX107" s="140">
        <v>0</v>
      </c>
      <c r="DY107" s="134"/>
      <c r="DZ107" s="134">
        <v>52</v>
      </c>
      <c r="EA107" s="134"/>
      <c r="EB107" s="134"/>
      <c r="EC107" s="130">
        <v>6</v>
      </c>
      <c r="ED107" s="128">
        <v>1</v>
      </c>
      <c r="EE107" s="128"/>
      <c r="EF107" s="128"/>
      <c r="EG107" s="128"/>
      <c r="EH107" s="132">
        <v>7</v>
      </c>
      <c r="EI107" s="136">
        <v>54</v>
      </c>
      <c r="EJ107" s="128">
        <v>117</v>
      </c>
      <c r="EK107" s="128">
        <v>44</v>
      </c>
      <c r="EL107" s="128">
        <v>63</v>
      </c>
      <c r="EM107" s="128">
        <v>76</v>
      </c>
      <c r="EN107" s="128">
        <v>5</v>
      </c>
      <c r="EO107" s="128">
        <v>0</v>
      </c>
      <c r="EP107" s="128">
        <v>71</v>
      </c>
      <c r="EQ107" s="128">
        <v>0</v>
      </c>
      <c r="ER107" s="128">
        <v>7</v>
      </c>
      <c r="ES107" s="128"/>
      <c r="ET107" s="128"/>
      <c r="EU107" s="128"/>
      <c r="EV107" s="137">
        <v>437</v>
      </c>
      <c r="EW107" s="140"/>
      <c r="EX107" s="134"/>
      <c r="EY107" s="130"/>
      <c r="EZ107" s="128"/>
      <c r="FA107" s="128"/>
      <c r="FB107" s="132"/>
      <c r="FC107" s="136"/>
      <c r="FD107" s="128"/>
      <c r="FE107" s="137"/>
      <c r="FF107" s="140"/>
      <c r="FG107" s="136"/>
      <c r="FH107" s="128">
        <v>2</v>
      </c>
      <c r="FI107" s="128"/>
      <c r="FJ107" s="128"/>
      <c r="FK107" s="137">
        <v>2</v>
      </c>
      <c r="FL107" s="130"/>
      <c r="FM107" s="128"/>
      <c r="FN107" s="132"/>
      <c r="FO107" s="136"/>
      <c r="FP107" s="128"/>
      <c r="FQ107" s="137"/>
      <c r="FR107" s="140"/>
      <c r="FS107" s="134">
        <v>7</v>
      </c>
      <c r="FT107" s="130"/>
      <c r="FU107" s="128"/>
      <c r="FV107" s="128"/>
      <c r="FW107" s="128"/>
      <c r="FX107" s="128"/>
      <c r="FY107" s="132"/>
      <c r="FZ107" s="134"/>
      <c r="GA107" s="130">
        <v>5</v>
      </c>
      <c r="GB107" s="128"/>
      <c r="GC107" s="132">
        <v>5</v>
      </c>
      <c r="GD107" s="134"/>
      <c r="GE107" s="130">
        <v>3</v>
      </c>
      <c r="GF107" s="128"/>
      <c r="GG107" s="128"/>
      <c r="GH107" s="132">
        <v>3</v>
      </c>
      <c r="GI107" s="134">
        <v>0</v>
      </c>
      <c r="GJ107" s="130"/>
      <c r="GK107" s="128"/>
      <c r="GL107" s="128">
        <v>1</v>
      </c>
      <c r="GM107" s="128"/>
      <c r="GN107" s="132">
        <v>1</v>
      </c>
      <c r="GO107" s="134">
        <v>30610</v>
      </c>
      <c r="GP107" s="323">
        <f>30610/44564395</f>
        <v>6.8687121187216839E-4</v>
      </c>
    </row>
    <row r="108" spans="2:198" x14ac:dyDescent="0.2">
      <c r="B108" s="326" t="s">
        <v>132</v>
      </c>
      <c r="C108" s="325">
        <v>352</v>
      </c>
      <c r="D108" s="128"/>
      <c r="E108" s="128"/>
      <c r="F108" s="128"/>
      <c r="G108" s="324">
        <v>352</v>
      </c>
      <c r="H108" s="140"/>
      <c r="I108" s="136">
        <v>4</v>
      </c>
      <c r="J108" s="128"/>
      <c r="K108" s="137">
        <v>4</v>
      </c>
      <c r="L108" s="140"/>
      <c r="M108" s="134">
        <v>2333</v>
      </c>
      <c r="N108" s="140">
        <v>9877</v>
      </c>
      <c r="O108" s="128">
        <v>66</v>
      </c>
      <c r="P108" s="128">
        <v>310</v>
      </c>
      <c r="Q108" s="128">
        <v>453</v>
      </c>
      <c r="R108" s="128">
        <v>37</v>
      </c>
      <c r="S108" s="128">
        <v>5</v>
      </c>
      <c r="T108" s="128"/>
      <c r="U108" s="128">
        <v>75</v>
      </c>
      <c r="V108" s="132">
        <v>10823</v>
      </c>
      <c r="W108" s="136">
        <v>25</v>
      </c>
      <c r="X108" s="128">
        <v>0</v>
      </c>
      <c r="Y108" s="137">
        <v>25</v>
      </c>
      <c r="Z108" s="130">
        <v>339</v>
      </c>
      <c r="AA108" s="128"/>
      <c r="AB108" s="128"/>
      <c r="AC108" s="132">
        <v>339</v>
      </c>
      <c r="AD108" s="136">
        <v>21373</v>
      </c>
      <c r="AE108" s="128">
        <v>31</v>
      </c>
      <c r="AF108" s="137">
        <v>21404</v>
      </c>
      <c r="AG108" s="130">
        <v>181</v>
      </c>
      <c r="AH108" s="128">
        <v>0</v>
      </c>
      <c r="AI108" s="128"/>
      <c r="AJ108" s="128"/>
      <c r="AK108" s="132">
        <v>181</v>
      </c>
      <c r="AL108" s="136"/>
      <c r="AM108" s="128"/>
      <c r="AN108" s="137"/>
      <c r="AO108" s="134"/>
      <c r="AP108" s="134"/>
      <c r="AQ108" s="130">
        <v>1</v>
      </c>
      <c r="AR108" s="128"/>
      <c r="AS108" s="132">
        <v>1</v>
      </c>
      <c r="AT108" s="136">
        <v>387</v>
      </c>
      <c r="AU108" s="128">
        <v>0</v>
      </c>
      <c r="AV108" s="128">
        <v>224</v>
      </c>
      <c r="AW108" s="128"/>
      <c r="AX108" s="128">
        <v>33</v>
      </c>
      <c r="AY108" s="128"/>
      <c r="AZ108" s="128"/>
      <c r="BA108" s="128"/>
      <c r="BB108" s="128"/>
      <c r="BC108" s="137">
        <v>644</v>
      </c>
      <c r="BD108" s="140">
        <v>1</v>
      </c>
      <c r="BE108" s="134">
        <v>5</v>
      </c>
      <c r="BF108" s="130">
        <v>144</v>
      </c>
      <c r="BG108" s="128">
        <v>543</v>
      </c>
      <c r="BH108" s="128">
        <v>814</v>
      </c>
      <c r="BI108" s="128">
        <v>84</v>
      </c>
      <c r="BJ108" s="128">
        <v>44</v>
      </c>
      <c r="BK108" s="132">
        <v>1629</v>
      </c>
      <c r="BL108" s="134">
        <v>1</v>
      </c>
      <c r="BM108" s="134"/>
      <c r="BN108" s="134">
        <v>1</v>
      </c>
      <c r="BO108" s="134">
        <v>4</v>
      </c>
      <c r="BP108" s="130">
        <v>134</v>
      </c>
      <c r="BQ108" s="128"/>
      <c r="BR108" s="132">
        <v>134</v>
      </c>
      <c r="BS108" s="134"/>
      <c r="BT108" s="130">
        <v>6</v>
      </c>
      <c r="BU108" s="128">
        <v>10</v>
      </c>
      <c r="BV108" s="132">
        <v>16</v>
      </c>
      <c r="BW108" s="136">
        <v>15</v>
      </c>
      <c r="BX108" s="128"/>
      <c r="BY108" s="128"/>
      <c r="BZ108" s="128"/>
      <c r="CA108" s="128"/>
      <c r="CB108" s="128"/>
      <c r="CC108" s="128"/>
      <c r="CD108" s="128"/>
      <c r="CE108" s="128"/>
      <c r="CF108" s="128"/>
      <c r="CG108" s="128"/>
      <c r="CH108" s="128"/>
      <c r="CI108" s="128"/>
      <c r="CJ108" s="128"/>
      <c r="CK108" s="128"/>
      <c r="CL108" s="128"/>
      <c r="CM108" s="137">
        <v>15</v>
      </c>
      <c r="CN108" s="130">
        <v>2</v>
      </c>
      <c r="CO108" s="128"/>
      <c r="CP108" s="132">
        <v>2</v>
      </c>
      <c r="CQ108" s="134"/>
      <c r="CR108" s="130">
        <v>146</v>
      </c>
      <c r="CS108" s="128">
        <v>15</v>
      </c>
      <c r="CT108" s="128">
        <v>121455</v>
      </c>
      <c r="CU108" s="128">
        <v>7705</v>
      </c>
      <c r="CV108" s="128">
        <v>17025</v>
      </c>
      <c r="CW108" s="128">
        <v>1</v>
      </c>
      <c r="CX108" s="128">
        <v>1</v>
      </c>
      <c r="CY108" s="128"/>
      <c r="CZ108" s="128">
        <v>257</v>
      </c>
      <c r="DA108" s="128"/>
      <c r="DB108" s="128"/>
      <c r="DC108" s="132">
        <v>146605</v>
      </c>
      <c r="DD108" s="136">
        <v>3320</v>
      </c>
      <c r="DE108" s="128"/>
      <c r="DF108" s="128">
        <v>724</v>
      </c>
      <c r="DG108" s="128">
        <v>613</v>
      </c>
      <c r="DH108" s="128">
        <v>148</v>
      </c>
      <c r="DI108" s="128">
        <v>13</v>
      </c>
      <c r="DJ108" s="128">
        <v>1</v>
      </c>
      <c r="DK108" s="137">
        <v>4819</v>
      </c>
      <c r="DL108" s="140"/>
      <c r="DM108" s="134"/>
      <c r="DN108" s="130"/>
      <c r="DO108" s="128"/>
      <c r="DP108" s="132"/>
      <c r="DQ108" s="134">
        <v>132</v>
      </c>
      <c r="DR108" s="130"/>
      <c r="DS108" s="128"/>
      <c r="DT108" s="132"/>
      <c r="DU108" s="136">
        <v>1</v>
      </c>
      <c r="DV108" s="128"/>
      <c r="DW108" s="137">
        <v>1</v>
      </c>
      <c r="DX108" s="140">
        <v>53</v>
      </c>
      <c r="DY108" s="134"/>
      <c r="DZ108" s="134">
        <v>235</v>
      </c>
      <c r="EA108" s="134">
        <v>0</v>
      </c>
      <c r="EB108" s="134"/>
      <c r="EC108" s="130">
        <v>42</v>
      </c>
      <c r="ED108" s="128">
        <v>3</v>
      </c>
      <c r="EE108" s="128">
        <v>0</v>
      </c>
      <c r="EF108" s="128"/>
      <c r="EG108" s="128"/>
      <c r="EH108" s="132">
        <v>45</v>
      </c>
      <c r="EI108" s="136">
        <v>805</v>
      </c>
      <c r="EJ108" s="128">
        <v>1331</v>
      </c>
      <c r="EK108" s="128">
        <v>411</v>
      </c>
      <c r="EL108" s="128">
        <v>703</v>
      </c>
      <c r="EM108" s="128">
        <v>1729</v>
      </c>
      <c r="EN108" s="128">
        <v>152</v>
      </c>
      <c r="EO108" s="128">
        <v>40</v>
      </c>
      <c r="EP108" s="128">
        <v>1418</v>
      </c>
      <c r="EQ108" s="128">
        <v>49</v>
      </c>
      <c r="ER108" s="128">
        <v>49</v>
      </c>
      <c r="ES108" s="128">
        <v>21</v>
      </c>
      <c r="ET108" s="128"/>
      <c r="EU108" s="128"/>
      <c r="EV108" s="137">
        <v>6708</v>
      </c>
      <c r="EW108" s="140"/>
      <c r="EX108" s="134">
        <v>3</v>
      </c>
      <c r="EY108" s="130">
        <v>2</v>
      </c>
      <c r="EZ108" s="128"/>
      <c r="FA108" s="128"/>
      <c r="FB108" s="132">
        <v>2</v>
      </c>
      <c r="FC108" s="136"/>
      <c r="FD108" s="128"/>
      <c r="FE108" s="137"/>
      <c r="FF108" s="140"/>
      <c r="FG108" s="136"/>
      <c r="FH108" s="128">
        <v>38</v>
      </c>
      <c r="FI108" s="128"/>
      <c r="FJ108" s="128"/>
      <c r="FK108" s="137">
        <v>38</v>
      </c>
      <c r="FL108" s="130"/>
      <c r="FM108" s="128"/>
      <c r="FN108" s="132"/>
      <c r="FO108" s="136"/>
      <c r="FP108" s="128"/>
      <c r="FQ108" s="137"/>
      <c r="FR108" s="140">
        <v>0</v>
      </c>
      <c r="FS108" s="134">
        <v>510</v>
      </c>
      <c r="FT108" s="130">
        <v>31</v>
      </c>
      <c r="FU108" s="128">
        <v>0</v>
      </c>
      <c r="FV108" s="128"/>
      <c r="FW108" s="128"/>
      <c r="FX108" s="128"/>
      <c r="FY108" s="132">
        <v>31</v>
      </c>
      <c r="FZ108" s="134"/>
      <c r="GA108" s="130">
        <v>295</v>
      </c>
      <c r="GB108" s="128"/>
      <c r="GC108" s="132">
        <v>295</v>
      </c>
      <c r="GD108" s="134">
        <v>8</v>
      </c>
      <c r="GE108" s="130">
        <v>7</v>
      </c>
      <c r="GF108" s="128"/>
      <c r="GG108" s="128"/>
      <c r="GH108" s="132">
        <v>7</v>
      </c>
      <c r="GI108" s="134">
        <v>1</v>
      </c>
      <c r="GJ108" s="130">
        <v>9</v>
      </c>
      <c r="GK108" s="128"/>
      <c r="GL108" s="128"/>
      <c r="GM108" s="128"/>
      <c r="GN108" s="132">
        <v>9</v>
      </c>
      <c r="GO108" s="134">
        <v>197416</v>
      </c>
      <c r="GP108" s="323">
        <f>197416/44564395</f>
        <v>4.4299041869636062E-3</v>
      </c>
    </row>
    <row r="109" spans="2:198" x14ac:dyDescent="0.2">
      <c r="B109" s="326" t="s">
        <v>172</v>
      </c>
      <c r="C109" s="325">
        <v>17</v>
      </c>
      <c r="D109" s="128"/>
      <c r="E109" s="128"/>
      <c r="F109" s="128"/>
      <c r="G109" s="324">
        <v>17</v>
      </c>
      <c r="H109" s="140"/>
      <c r="I109" s="136">
        <v>0</v>
      </c>
      <c r="J109" s="128"/>
      <c r="K109" s="137">
        <v>0</v>
      </c>
      <c r="L109" s="140"/>
      <c r="M109" s="134">
        <v>197</v>
      </c>
      <c r="N109" s="140">
        <v>839</v>
      </c>
      <c r="O109" s="128">
        <v>3</v>
      </c>
      <c r="P109" s="128">
        <v>29</v>
      </c>
      <c r="Q109" s="128">
        <v>164</v>
      </c>
      <c r="R109" s="128">
        <v>2</v>
      </c>
      <c r="S109" s="128"/>
      <c r="T109" s="128"/>
      <c r="U109" s="128">
        <v>4</v>
      </c>
      <c r="V109" s="132">
        <v>1041</v>
      </c>
      <c r="W109" s="136">
        <v>1</v>
      </c>
      <c r="X109" s="128">
        <v>0</v>
      </c>
      <c r="Y109" s="137">
        <v>1</v>
      </c>
      <c r="Z109" s="130">
        <v>34</v>
      </c>
      <c r="AA109" s="128"/>
      <c r="AB109" s="128"/>
      <c r="AC109" s="132">
        <v>34</v>
      </c>
      <c r="AD109" s="136">
        <v>11894</v>
      </c>
      <c r="AE109" s="128">
        <v>4</v>
      </c>
      <c r="AF109" s="137">
        <v>11898</v>
      </c>
      <c r="AG109" s="130">
        <v>16</v>
      </c>
      <c r="AH109" s="128"/>
      <c r="AI109" s="128"/>
      <c r="AJ109" s="128"/>
      <c r="AK109" s="132">
        <v>16</v>
      </c>
      <c r="AL109" s="136"/>
      <c r="AM109" s="128"/>
      <c r="AN109" s="137"/>
      <c r="AO109" s="134"/>
      <c r="AP109" s="134"/>
      <c r="AQ109" s="130">
        <v>2</v>
      </c>
      <c r="AR109" s="128"/>
      <c r="AS109" s="132">
        <v>2</v>
      </c>
      <c r="AT109" s="136">
        <v>60</v>
      </c>
      <c r="AU109" s="128"/>
      <c r="AV109" s="128">
        <v>20</v>
      </c>
      <c r="AW109" s="128"/>
      <c r="AX109" s="128">
        <v>6</v>
      </c>
      <c r="AY109" s="128"/>
      <c r="AZ109" s="128"/>
      <c r="BA109" s="128"/>
      <c r="BB109" s="128"/>
      <c r="BC109" s="137">
        <v>86</v>
      </c>
      <c r="BD109" s="140"/>
      <c r="BE109" s="134"/>
      <c r="BF109" s="130">
        <v>31</v>
      </c>
      <c r="BG109" s="128">
        <v>75</v>
      </c>
      <c r="BH109" s="128">
        <v>307</v>
      </c>
      <c r="BI109" s="128">
        <v>28</v>
      </c>
      <c r="BJ109" s="128">
        <v>4</v>
      </c>
      <c r="BK109" s="132">
        <v>445</v>
      </c>
      <c r="BL109" s="134"/>
      <c r="BM109" s="134"/>
      <c r="BN109" s="134">
        <v>1</v>
      </c>
      <c r="BO109" s="134">
        <v>5</v>
      </c>
      <c r="BP109" s="130">
        <v>3</v>
      </c>
      <c r="BQ109" s="128"/>
      <c r="BR109" s="132">
        <v>3</v>
      </c>
      <c r="BS109" s="134"/>
      <c r="BT109" s="130">
        <v>2</v>
      </c>
      <c r="BU109" s="128"/>
      <c r="BV109" s="132">
        <v>2</v>
      </c>
      <c r="BW109" s="136"/>
      <c r="BX109" s="128"/>
      <c r="BY109" s="128"/>
      <c r="BZ109" s="128"/>
      <c r="CA109" s="128"/>
      <c r="CB109" s="128"/>
      <c r="CC109" s="128"/>
      <c r="CD109" s="128"/>
      <c r="CE109" s="128"/>
      <c r="CF109" s="128"/>
      <c r="CG109" s="128"/>
      <c r="CH109" s="128"/>
      <c r="CI109" s="128"/>
      <c r="CJ109" s="128"/>
      <c r="CK109" s="128"/>
      <c r="CL109" s="128"/>
      <c r="CM109" s="137"/>
      <c r="CN109" s="130"/>
      <c r="CO109" s="128"/>
      <c r="CP109" s="132"/>
      <c r="CQ109" s="134"/>
      <c r="CR109" s="130">
        <v>89</v>
      </c>
      <c r="CS109" s="128">
        <v>1</v>
      </c>
      <c r="CT109" s="128">
        <v>74584</v>
      </c>
      <c r="CU109" s="128">
        <v>3168</v>
      </c>
      <c r="CV109" s="128">
        <v>7674</v>
      </c>
      <c r="CW109" s="128">
        <v>0</v>
      </c>
      <c r="CX109" s="128">
        <v>1</v>
      </c>
      <c r="CY109" s="128">
        <v>0</v>
      </c>
      <c r="CZ109" s="128">
        <v>55</v>
      </c>
      <c r="DA109" s="128">
        <v>0</v>
      </c>
      <c r="DB109" s="128"/>
      <c r="DC109" s="132">
        <v>85572</v>
      </c>
      <c r="DD109" s="136">
        <v>368</v>
      </c>
      <c r="DE109" s="128">
        <v>2</v>
      </c>
      <c r="DF109" s="128">
        <v>12678</v>
      </c>
      <c r="DG109" s="128">
        <v>374</v>
      </c>
      <c r="DH109" s="128">
        <v>37</v>
      </c>
      <c r="DI109" s="128"/>
      <c r="DJ109" s="128"/>
      <c r="DK109" s="137">
        <v>13459</v>
      </c>
      <c r="DL109" s="140"/>
      <c r="DM109" s="134"/>
      <c r="DN109" s="130"/>
      <c r="DO109" s="128"/>
      <c r="DP109" s="132"/>
      <c r="DQ109" s="134">
        <v>66</v>
      </c>
      <c r="DR109" s="130"/>
      <c r="DS109" s="128"/>
      <c r="DT109" s="132"/>
      <c r="DU109" s="136">
        <v>2</v>
      </c>
      <c r="DV109" s="128"/>
      <c r="DW109" s="137">
        <v>2</v>
      </c>
      <c r="DX109" s="140">
        <v>9</v>
      </c>
      <c r="DY109" s="134"/>
      <c r="DZ109" s="134">
        <v>58</v>
      </c>
      <c r="EA109" s="134"/>
      <c r="EB109" s="134"/>
      <c r="EC109" s="130">
        <v>1</v>
      </c>
      <c r="ED109" s="128"/>
      <c r="EE109" s="128"/>
      <c r="EF109" s="128"/>
      <c r="EG109" s="128"/>
      <c r="EH109" s="132">
        <v>1</v>
      </c>
      <c r="EI109" s="136">
        <v>76</v>
      </c>
      <c r="EJ109" s="128">
        <v>121</v>
      </c>
      <c r="EK109" s="128">
        <v>65</v>
      </c>
      <c r="EL109" s="128">
        <v>232</v>
      </c>
      <c r="EM109" s="128">
        <v>162</v>
      </c>
      <c r="EN109" s="128">
        <v>16</v>
      </c>
      <c r="EO109" s="128">
        <v>24</v>
      </c>
      <c r="EP109" s="128">
        <v>567</v>
      </c>
      <c r="EQ109" s="128">
        <v>17</v>
      </c>
      <c r="ER109" s="128">
        <v>6</v>
      </c>
      <c r="ES109" s="128">
        <v>28</v>
      </c>
      <c r="ET109" s="128"/>
      <c r="EU109" s="128"/>
      <c r="EV109" s="137">
        <v>1314</v>
      </c>
      <c r="EW109" s="140"/>
      <c r="EX109" s="134">
        <v>11</v>
      </c>
      <c r="EY109" s="130"/>
      <c r="EZ109" s="128"/>
      <c r="FA109" s="128"/>
      <c r="FB109" s="132"/>
      <c r="FC109" s="136"/>
      <c r="FD109" s="128"/>
      <c r="FE109" s="137"/>
      <c r="FF109" s="140"/>
      <c r="FG109" s="136"/>
      <c r="FH109" s="128"/>
      <c r="FI109" s="128"/>
      <c r="FJ109" s="128">
        <v>1</v>
      </c>
      <c r="FK109" s="137">
        <v>1</v>
      </c>
      <c r="FL109" s="130"/>
      <c r="FM109" s="128"/>
      <c r="FN109" s="132"/>
      <c r="FO109" s="136"/>
      <c r="FP109" s="128"/>
      <c r="FQ109" s="137"/>
      <c r="FR109" s="140"/>
      <c r="FS109" s="134">
        <v>4</v>
      </c>
      <c r="FT109" s="130"/>
      <c r="FU109" s="128"/>
      <c r="FV109" s="128">
        <v>1</v>
      </c>
      <c r="FW109" s="128"/>
      <c r="FX109" s="128"/>
      <c r="FY109" s="132">
        <v>1</v>
      </c>
      <c r="FZ109" s="134"/>
      <c r="GA109" s="130">
        <v>6</v>
      </c>
      <c r="GB109" s="128"/>
      <c r="GC109" s="132">
        <v>6</v>
      </c>
      <c r="GD109" s="134"/>
      <c r="GE109" s="130">
        <v>1</v>
      </c>
      <c r="GF109" s="128"/>
      <c r="GG109" s="128"/>
      <c r="GH109" s="132">
        <v>1</v>
      </c>
      <c r="GI109" s="134">
        <v>8</v>
      </c>
      <c r="GJ109" s="130">
        <v>6</v>
      </c>
      <c r="GK109" s="128"/>
      <c r="GL109" s="128"/>
      <c r="GM109" s="128"/>
      <c r="GN109" s="132">
        <v>6</v>
      </c>
      <c r="GO109" s="134">
        <v>114267</v>
      </c>
      <c r="GP109" s="323">
        <f>114267/44564395</f>
        <v>2.564087316791802E-3</v>
      </c>
    </row>
    <row r="110" spans="2:198" ht="12.75" thickBot="1" x14ac:dyDescent="0.25">
      <c r="B110" s="322" t="s">
        <v>259</v>
      </c>
      <c r="C110" s="321">
        <v>9</v>
      </c>
      <c r="D110" s="315"/>
      <c r="E110" s="315"/>
      <c r="F110" s="315"/>
      <c r="G110" s="320">
        <v>9</v>
      </c>
      <c r="H110" s="317"/>
      <c r="I110" s="319">
        <v>13</v>
      </c>
      <c r="J110" s="315"/>
      <c r="K110" s="318">
        <v>13</v>
      </c>
      <c r="L110" s="317"/>
      <c r="M110" s="313">
        <v>144</v>
      </c>
      <c r="N110" s="317">
        <v>777</v>
      </c>
      <c r="O110" s="315">
        <v>6</v>
      </c>
      <c r="P110" s="315">
        <v>101</v>
      </c>
      <c r="Q110" s="315">
        <v>69</v>
      </c>
      <c r="R110" s="315">
        <v>3</v>
      </c>
      <c r="S110" s="315">
        <v>4</v>
      </c>
      <c r="T110" s="315"/>
      <c r="U110" s="315">
        <v>3</v>
      </c>
      <c r="V110" s="314">
        <v>963</v>
      </c>
      <c r="W110" s="319">
        <v>5</v>
      </c>
      <c r="X110" s="315">
        <v>1</v>
      </c>
      <c r="Y110" s="318">
        <v>6</v>
      </c>
      <c r="Z110" s="316">
        <v>47</v>
      </c>
      <c r="AA110" s="315"/>
      <c r="AB110" s="315"/>
      <c r="AC110" s="314">
        <v>47</v>
      </c>
      <c r="AD110" s="319">
        <v>850</v>
      </c>
      <c r="AE110" s="315">
        <v>12</v>
      </c>
      <c r="AF110" s="318">
        <v>862</v>
      </c>
      <c r="AG110" s="316">
        <v>37</v>
      </c>
      <c r="AH110" s="315"/>
      <c r="AI110" s="315"/>
      <c r="AJ110" s="315"/>
      <c r="AK110" s="314">
        <v>37</v>
      </c>
      <c r="AL110" s="319"/>
      <c r="AM110" s="315"/>
      <c r="AN110" s="318"/>
      <c r="AO110" s="313"/>
      <c r="AP110" s="313"/>
      <c r="AQ110" s="316"/>
      <c r="AR110" s="315"/>
      <c r="AS110" s="314"/>
      <c r="AT110" s="319">
        <v>36</v>
      </c>
      <c r="AU110" s="315"/>
      <c r="AV110" s="315">
        <v>60</v>
      </c>
      <c r="AW110" s="315"/>
      <c r="AX110" s="315">
        <v>4</v>
      </c>
      <c r="AY110" s="315"/>
      <c r="AZ110" s="315"/>
      <c r="BA110" s="315"/>
      <c r="BB110" s="315"/>
      <c r="BC110" s="318">
        <v>100</v>
      </c>
      <c r="BD110" s="317"/>
      <c r="BE110" s="313"/>
      <c r="BF110" s="316">
        <v>17</v>
      </c>
      <c r="BG110" s="315">
        <v>128</v>
      </c>
      <c r="BH110" s="315">
        <v>123</v>
      </c>
      <c r="BI110" s="315">
        <v>29</v>
      </c>
      <c r="BJ110" s="315">
        <v>4</v>
      </c>
      <c r="BK110" s="314">
        <v>301</v>
      </c>
      <c r="BL110" s="313"/>
      <c r="BM110" s="313"/>
      <c r="BN110" s="313"/>
      <c r="BO110" s="313"/>
      <c r="BP110" s="316">
        <v>2</v>
      </c>
      <c r="BQ110" s="315"/>
      <c r="BR110" s="314">
        <v>2</v>
      </c>
      <c r="BS110" s="313"/>
      <c r="BT110" s="316"/>
      <c r="BU110" s="315"/>
      <c r="BV110" s="314"/>
      <c r="BW110" s="319"/>
      <c r="BX110" s="315"/>
      <c r="BY110" s="315">
        <v>0</v>
      </c>
      <c r="BZ110" s="315"/>
      <c r="CA110" s="315"/>
      <c r="CB110" s="315"/>
      <c r="CC110" s="315"/>
      <c r="CD110" s="315"/>
      <c r="CE110" s="315"/>
      <c r="CF110" s="315"/>
      <c r="CG110" s="315"/>
      <c r="CH110" s="315"/>
      <c r="CI110" s="315"/>
      <c r="CJ110" s="315"/>
      <c r="CK110" s="315"/>
      <c r="CL110" s="315"/>
      <c r="CM110" s="318">
        <v>0</v>
      </c>
      <c r="CN110" s="316">
        <v>2</v>
      </c>
      <c r="CO110" s="315"/>
      <c r="CP110" s="314">
        <v>2</v>
      </c>
      <c r="CQ110" s="313"/>
      <c r="CR110" s="316">
        <v>30</v>
      </c>
      <c r="CS110" s="315"/>
      <c r="CT110" s="315">
        <v>8446</v>
      </c>
      <c r="CU110" s="315">
        <v>295</v>
      </c>
      <c r="CV110" s="315">
        <v>2032</v>
      </c>
      <c r="CW110" s="315">
        <v>0</v>
      </c>
      <c r="CX110" s="315">
        <v>0</v>
      </c>
      <c r="CY110" s="315"/>
      <c r="CZ110" s="315">
        <v>14</v>
      </c>
      <c r="DA110" s="315">
        <v>2</v>
      </c>
      <c r="DB110" s="315"/>
      <c r="DC110" s="314">
        <v>10819</v>
      </c>
      <c r="DD110" s="319">
        <v>172</v>
      </c>
      <c r="DE110" s="315"/>
      <c r="DF110" s="315">
        <v>83</v>
      </c>
      <c r="DG110" s="315">
        <v>28</v>
      </c>
      <c r="DH110" s="315">
        <v>37</v>
      </c>
      <c r="DI110" s="315">
        <v>3</v>
      </c>
      <c r="DJ110" s="315"/>
      <c r="DK110" s="318">
        <v>323</v>
      </c>
      <c r="DL110" s="317"/>
      <c r="DM110" s="313"/>
      <c r="DN110" s="316"/>
      <c r="DO110" s="315"/>
      <c r="DP110" s="314"/>
      <c r="DQ110" s="313">
        <v>9</v>
      </c>
      <c r="DR110" s="316"/>
      <c r="DS110" s="315"/>
      <c r="DT110" s="314"/>
      <c r="DU110" s="319">
        <v>1</v>
      </c>
      <c r="DV110" s="315"/>
      <c r="DW110" s="318">
        <v>1</v>
      </c>
      <c r="DX110" s="317">
        <v>2</v>
      </c>
      <c r="DY110" s="313"/>
      <c r="DZ110" s="313">
        <v>40</v>
      </c>
      <c r="EA110" s="313"/>
      <c r="EB110" s="313"/>
      <c r="EC110" s="316">
        <v>3</v>
      </c>
      <c r="ED110" s="315"/>
      <c r="EE110" s="315"/>
      <c r="EF110" s="315"/>
      <c r="EG110" s="315"/>
      <c r="EH110" s="314">
        <v>3</v>
      </c>
      <c r="EI110" s="319">
        <v>148</v>
      </c>
      <c r="EJ110" s="315">
        <v>585</v>
      </c>
      <c r="EK110" s="315">
        <v>141</v>
      </c>
      <c r="EL110" s="315">
        <v>253</v>
      </c>
      <c r="EM110" s="315">
        <v>290</v>
      </c>
      <c r="EN110" s="315">
        <v>18</v>
      </c>
      <c r="EO110" s="315">
        <v>27</v>
      </c>
      <c r="EP110" s="315">
        <v>187</v>
      </c>
      <c r="EQ110" s="315">
        <v>16</v>
      </c>
      <c r="ER110" s="315">
        <v>29</v>
      </c>
      <c r="ES110" s="315">
        <v>15</v>
      </c>
      <c r="ET110" s="315"/>
      <c r="EU110" s="315"/>
      <c r="EV110" s="318">
        <v>1709</v>
      </c>
      <c r="EW110" s="317"/>
      <c r="EX110" s="313">
        <v>1</v>
      </c>
      <c r="EY110" s="316"/>
      <c r="EZ110" s="315"/>
      <c r="FA110" s="315">
        <v>6</v>
      </c>
      <c r="FB110" s="314">
        <v>6</v>
      </c>
      <c r="FC110" s="319"/>
      <c r="FD110" s="315"/>
      <c r="FE110" s="318"/>
      <c r="FF110" s="317"/>
      <c r="FG110" s="319"/>
      <c r="FH110" s="315"/>
      <c r="FI110" s="315"/>
      <c r="FJ110" s="315"/>
      <c r="FK110" s="318"/>
      <c r="FL110" s="316"/>
      <c r="FM110" s="315"/>
      <c r="FN110" s="314"/>
      <c r="FO110" s="319"/>
      <c r="FP110" s="315"/>
      <c r="FQ110" s="318"/>
      <c r="FR110" s="317"/>
      <c r="FS110" s="313">
        <v>26</v>
      </c>
      <c r="FT110" s="316">
        <v>2</v>
      </c>
      <c r="FU110" s="315"/>
      <c r="FV110" s="315"/>
      <c r="FW110" s="315"/>
      <c r="FX110" s="315"/>
      <c r="FY110" s="314">
        <v>2</v>
      </c>
      <c r="FZ110" s="313"/>
      <c r="GA110" s="316">
        <v>14</v>
      </c>
      <c r="GB110" s="315"/>
      <c r="GC110" s="314">
        <v>14</v>
      </c>
      <c r="GD110" s="313"/>
      <c r="GE110" s="316"/>
      <c r="GF110" s="315"/>
      <c r="GG110" s="315"/>
      <c r="GH110" s="314"/>
      <c r="GI110" s="313"/>
      <c r="GJ110" s="316">
        <v>7</v>
      </c>
      <c r="GK110" s="315"/>
      <c r="GL110" s="315"/>
      <c r="GM110" s="315"/>
      <c r="GN110" s="314">
        <v>7</v>
      </c>
      <c r="GO110" s="313">
        <v>15448</v>
      </c>
      <c r="GP110" s="312">
        <f>15448/44564395</f>
        <v>3.4664444563872125E-4</v>
      </c>
    </row>
    <row r="111" spans="2:198" ht="12.75" thickBot="1" x14ac:dyDescent="0.25">
      <c r="B111" s="311" t="s">
        <v>553</v>
      </c>
      <c r="C111" s="310">
        <v>2329</v>
      </c>
      <c r="D111" s="129"/>
      <c r="E111" s="129">
        <v>1</v>
      </c>
      <c r="F111" s="129">
        <v>0</v>
      </c>
      <c r="G111" s="309">
        <v>2330</v>
      </c>
      <c r="H111" s="141"/>
      <c r="I111" s="138">
        <v>42</v>
      </c>
      <c r="J111" s="129"/>
      <c r="K111" s="139">
        <v>42</v>
      </c>
      <c r="L111" s="141">
        <v>0</v>
      </c>
      <c r="M111" s="135">
        <v>20560</v>
      </c>
      <c r="N111" s="141">
        <v>41651</v>
      </c>
      <c r="O111" s="129">
        <v>256</v>
      </c>
      <c r="P111" s="129">
        <v>3048</v>
      </c>
      <c r="Q111" s="129">
        <v>4506</v>
      </c>
      <c r="R111" s="129">
        <v>217</v>
      </c>
      <c r="S111" s="129">
        <v>46</v>
      </c>
      <c r="T111" s="129">
        <v>1</v>
      </c>
      <c r="U111" s="129">
        <v>446</v>
      </c>
      <c r="V111" s="133">
        <v>50171</v>
      </c>
      <c r="W111" s="138">
        <v>192</v>
      </c>
      <c r="X111" s="129">
        <v>70</v>
      </c>
      <c r="Y111" s="139">
        <v>262</v>
      </c>
      <c r="Z111" s="131">
        <v>2865</v>
      </c>
      <c r="AA111" s="129"/>
      <c r="AB111" s="129">
        <v>1</v>
      </c>
      <c r="AC111" s="133">
        <v>2866</v>
      </c>
      <c r="AD111" s="138">
        <v>225633</v>
      </c>
      <c r="AE111" s="129">
        <v>120</v>
      </c>
      <c r="AF111" s="139">
        <v>225753</v>
      </c>
      <c r="AG111" s="131">
        <v>1524</v>
      </c>
      <c r="AH111" s="129">
        <v>8</v>
      </c>
      <c r="AI111" s="129"/>
      <c r="AJ111" s="129"/>
      <c r="AK111" s="133">
        <v>1532</v>
      </c>
      <c r="AL111" s="138"/>
      <c r="AM111" s="129"/>
      <c r="AN111" s="139"/>
      <c r="AO111" s="135"/>
      <c r="AP111" s="135"/>
      <c r="AQ111" s="131">
        <v>32</v>
      </c>
      <c r="AR111" s="129">
        <v>0</v>
      </c>
      <c r="AS111" s="133">
        <v>32</v>
      </c>
      <c r="AT111" s="138">
        <v>7982</v>
      </c>
      <c r="AU111" s="129">
        <v>8</v>
      </c>
      <c r="AV111" s="129">
        <v>1962</v>
      </c>
      <c r="AW111" s="129"/>
      <c r="AX111" s="129">
        <v>185</v>
      </c>
      <c r="AY111" s="129">
        <v>5</v>
      </c>
      <c r="AZ111" s="129"/>
      <c r="BA111" s="129"/>
      <c r="BB111" s="129"/>
      <c r="BC111" s="139">
        <v>10142</v>
      </c>
      <c r="BD111" s="141">
        <v>4</v>
      </c>
      <c r="BE111" s="135">
        <v>40</v>
      </c>
      <c r="BF111" s="131">
        <v>853</v>
      </c>
      <c r="BG111" s="129">
        <v>6969</v>
      </c>
      <c r="BH111" s="129">
        <v>5663</v>
      </c>
      <c r="BI111" s="129">
        <v>827</v>
      </c>
      <c r="BJ111" s="129">
        <v>200</v>
      </c>
      <c r="BK111" s="133">
        <v>14512</v>
      </c>
      <c r="BL111" s="135">
        <v>6</v>
      </c>
      <c r="BM111" s="135"/>
      <c r="BN111" s="135">
        <v>10</v>
      </c>
      <c r="BO111" s="135">
        <v>28</v>
      </c>
      <c r="BP111" s="131">
        <v>279</v>
      </c>
      <c r="BQ111" s="129">
        <v>8</v>
      </c>
      <c r="BR111" s="133">
        <v>287</v>
      </c>
      <c r="BS111" s="135"/>
      <c r="BT111" s="131">
        <v>16</v>
      </c>
      <c r="BU111" s="129">
        <v>100</v>
      </c>
      <c r="BV111" s="133">
        <v>116</v>
      </c>
      <c r="BW111" s="138">
        <v>76</v>
      </c>
      <c r="BX111" s="129">
        <v>1</v>
      </c>
      <c r="BY111" s="129">
        <v>448</v>
      </c>
      <c r="BZ111" s="129">
        <v>1</v>
      </c>
      <c r="CA111" s="129"/>
      <c r="CB111" s="129">
        <v>2</v>
      </c>
      <c r="CC111" s="129"/>
      <c r="CD111" s="129"/>
      <c r="CE111" s="129">
        <v>1</v>
      </c>
      <c r="CF111" s="129"/>
      <c r="CG111" s="129">
        <v>1</v>
      </c>
      <c r="CH111" s="129"/>
      <c r="CI111" s="129"/>
      <c r="CJ111" s="129">
        <v>1</v>
      </c>
      <c r="CK111" s="129">
        <v>2</v>
      </c>
      <c r="CL111" s="129">
        <v>0</v>
      </c>
      <c r="CM111" s="139">
        <v>533</v>
      </c>
      <c r="CN111" s="131">
        <v>39</v>
      </c>
      <c r="CO111" s="129"/>
      <c r="CP111" s="133">
        <v>39</v>
      </c>
      <c r="CQ111" s="135">
        <v>4</v>
      </c>
      <c r="CR111" s="131">
        <v>1250</v>
      </c>
      <c r="CS111" s="129">
        <v>31</v>
      </c>
      <c r="CT111" s="129">
        <v>992859</v>
      </c>
      <c r="CU111" s="129">
        <v>65254</v>
      </c>
      <c r="CV111" s="129">
        <v>100785</v>
      </c>
      <c r="CW111" s="129">
        <v>29</v>
      </c>
      <c r="CX111" s="129">
        <v>7</v>
      </c>
      <c r="CY111" s="129">
        <v>1</v>
      </c>
      <c r="CZ111" s="129">
        <v>2801</v>
      </c>
      <c r="DA111" s="129">
        <v>5</v>
      </c>
      <c r="DB111" s="129">
        <v>0</v>
      </c>
      <c r="DC111" s="133">
        <v>1163022</v>
      </c>
      <c r="DD111" s="138">
        <v>18624</v>
      </c>
      <c r="DE111" s="129">
        <v>37</v>
      </c>
      <c r="DF111" s="129">
        <v>19913</v>
      </c>
      <c r="DG111" s="129">
        <v>5035</v>
      </c>
      <c r="DH111" s="129">
        <v>2540</v>
      </c>
      <c r="DI111" s="129">
        <v>121</v>
      </c>
      <c r="DJ111" s="129">
        <v>1</v>
      </c>
      <c r="DK111" s="139">
        <v>46271</v>
      </c>
      <c r="DL111" s="141"/>
      <c r="DM111" s="135"/>
      <c r="DN111" s="131"/>
      <c r="DO111" s="129">
        <v>1</v>
      </c>
      <c r="DP111" s="133">
        <v>1</v>
      </c>
      <c r="DQ111" s="135">
        <v>801</v>
      </c>
      <c r="DR111" s="131"/>
      <c r="DS111" s="129">
        <v>3</v>
      </c>
      <c r="DT111" s="133">
        <v>3</v>
      </c>
      <c r="DU111" s="138">
        <v>75</v>
      </c>
      <c r="DV111" s="129"/>
      <c r="DW111" s="139">
        <v>75</v>
      </c>
      <c r="DX111" s="141">
        <v>331</v>
      </c>
      <c r="DY111" s="135">
        <v>2</v>
      </c>
      <c r="DZ111" s="135">
        <v>1603</v>
      </c>
      <c r="EA111" s="135">
        <v>0</v>
      </c>
      <c r="EB111" s="135"/>
      <c r="EC111" s="131">
        <v>217</v>
      </c>
      <c r="ED111" s="129">
        <v>46</v>
      </c>
      <c r="EE111" s="129">
        <v>0</v>
      </c>
      <c r="EF111" s="129">
        <v>2</v>
      </c>
      <c r="EG111" s="129"/>
      <c r="EH111" s="133">
        <v>265</v>
      </c>
      <c r="EI111" s="138">
        <v>4879</v>
      </c>
      <c r="EJ111" s="129">
        <v>6359</v>
      </c>
      <c r="EK111" s="129">
        <v>2813</v>
      </c>
      <c r="EL111" s="129">
        <v>6472</v>
      </c>
      <c r="EM111" s="129">
        <v>7610</v>
      </c>
      <c r="EN111" s="129">
        <v>1012</v>
      </c>
      <c r="EO111" s="129">
        <v>342</v>
      </c>
      <c r="EP111" s="129">
        <v>13623</v>
      </c>
      <c r="EQ111" s="129">
        <v>388</v>
      </c>
      <c r="ER111" s="129">
        <v>558</v>
      </c>
      <c r="ES111" s="129">
        <v>207</v>
      </c>
      <c r="ET111" s="129"/>
      <c r="EU111" s="129">
        <v>0</v>
      </c>
      <c r="EV111" s="139">
        <v>44263</v>
      </c>
      <c r="EW111" s="141">
        <v>0</v>
      </c>
      <c r="EX111" s="135">
        <v>107</v>
      </c>
      <c r="EY111" s="131">
        <v>7</v>
      </c>
      <c r="EZ111" s="129"/>
      <c r="FA111" s="129">
        <v>6</v>
      </c>
      <c r="FB111" s="133">
        <v>13</v>
      </c>
      <c r="FC111" s="138"/>
      <c r="FD111" s="129"/>
      <c r="FE111" s="139"/>
      <c r="FF111" s="141"/>
      <c r="FG111" s="138">
        <v>0</v>
      </c>
      <c r="FH111" s="129">
        <v>263</v>
      </c>
      <c r="FI111" s="129"/>
      <c r="FJ111" s="129">
        <v>1</v>
      </c>
      <c r="FK111" s="139">
        <v>264</v>
      </c>
      <c r="FL111" s="131">
        <v>0</v>
      </c>
      <c r="FM111" s="129"/>
      <c r="FN111" s="133">
        <v>0</v>
      </c>
      <c r="FO111" s="138">
        <v>16</v>
      </c>
      <c r="FP111" s="129"/>
      <c r="FQ111" s="139">
        <v>16</v>
      </c>
      <c r="FR111" s="141">
        <v>1</v>
      </c>
      <c r="FS111" s="135">
        <v>2326</v>
      </c>
      <c r="FT111" s="131">
        <v>172</v>
      </c>
      <c r="FU111" s="129">
        <v>12</v>
      </c>
      <c r="FV111" s="129">
        <v>2</v>
      </c>
      <c r="FW111" s="129">
        <v>4</v>
      </c>
      <c r="FX111" s="129"/>
      <c r="FY111" s="133">
        <v>190</v>
      </c>
      <c r="FZ111" s="135"/>
      <c r="GA111" s="131">
        <v>951</v>
      </c>
      <c r="GB111" s="129">
        <v>0</v>
      </c>
      <c r="GC111" s="133">
        <v>951</v>
      </c>
      <c r="GD111" s="135">
        <v>9</v>
      </c>
      <c r="GE111" s="131">
        <v>30</v>
      </c>
      <c r="GF111" s="129">
        <v>1</v>
      </c>
      <c r="GG111" s="129"/>
      <c r="GH111" s="133">
        <v>31</v>
      </c>
      <c r="GI111" s="135">
        <v>30</v>
      </c>
      <c r="GJ111" s="131">
        <v>75</v>
      </c>
      <c r="GK111" s="129">
        <v>15</v>
      </c>
      <c r="GL111" s="129">
        <v>1</v>
      </c>
      <c r="GM111" s="129"/>
      <c r="GN111" s="133">
        <v>91</v>
      </c>
      <c r="GO111" s="135">
        <v>1589935</v>
      </c>
      <c r="GP111" s="308">
        <f>1589935/44564395</f>
        <v>3.5677248619665994E-2</v>
      </c>
    </row>
    <row r="112" spans="2:198" ht="12.75" thickBot="1" x14ac:dyDescent="0.25">
      <c r="B112" s="311" t="s">
        <v>554</v>
      </c>
      <c r="C112" s="310">
        <v>1636</v>
      </c>
      <c r="D112" s="129">
        <v>0</v>
      </c>
      <c r="E112" s="129"/>
      <c r="F112" s="129"/>
      <c r="G112" s="309">
        <v>1636</v>
      </c>
      <c r="H112" s="141"/>
      <c r="I112" s="138">
        <v>2</v>
      </c>
      <c r="J112" s="129"/>
      <c r="K112" s="139">
        <v>2</v>
      </c>
      <c r="L112" s="141"/>
      <c r="M112" s="135">
        <v>1039</v>
      </c>
      <c r="N112" s="141">
        <v>19178</v>
      </c>
      <c r="O112" s="129">
        <v>74</v>
      </c>
      <c r="P112" s="129">
        <v>3</v>
      </c>
      <c r="Q112" s="129">
        <v>0</v>
      </c>
      <c r="R112" s="129"/>
      <c r="S112" s="129"/>
      <c r="T112" s="129"/>
      <c r="U112" s="129"/>
      <c r="V112" s="133">
        <v>19255</v>
      </c>
      <c r="W112" s="138"/>
      <c r="X112" s="129">
        <v>0</v>
      </c>
      <c r="Y112" s="139">
        <v>0</v>
      </c>
      <c r="Z112" s="131">
        <v>29</v>
      </c>
      <c r="AA112" s="129"/>
      <c r="AB112" s="129"/>
      <c r="AC112" s="133">
        <v>29</v>
      </c>
      <c r="AD112" s="138">
        <v>2</v>
      </c>
      <c r="AE112" s="129"/>
      <c r="AF112" s="139">
        <v>2</v>
      </c>
      <c r="AG112" s="131"/>
      <c r="AH112" s="129"/>
      <c r="AI112" s="129"/>
      <c r="AJ112" s="129"/>
      <c r="AK112" s="133"/>
      <c r="AL112" s="138">
        <v>2</v>
      </c>
      <c r="AM112" s="129"/>
      <c r="AN112" s="139">
        <v>2</v>
      </c>
      <c r="AO112" s="135"/>
      <c r="AP112" s="135"/>
      <c r="AQ112" s="131"/>
      <c r="AR112" s="129">
        <v>0</v>
      </c>
      <c r="AS112" s="133">
        <v>0</v>
      </c>
      <c r="AT112" s="138"/>
      <c r="AU112" s="129"/>
      <c r="AV112" s="129"/>
      <c r="AW112" s="129"/>
      <c r="AX112" s="129"/>
      <c r="AY112" s="129"/>
      <c r="AZ112" s="129"/>
      <c r="BA112" s="129"/>
      <c r="BB112" s="129"/>
      <c r="BC112" s="139"/>
      <c r="BD112" s="141"/>
      <c r="BE112" s="135">
        <v>218</v>
      </c>
      <c r="BF112" s="131">
        <v>283</v>
      </c>
      <c r="BG112" s="129">
        <v>130</v>
      </c>
      <c r="BH112" s="129">
        <v>1613</v>
      </c>
      <c r="BI112" s="129">
        <v>1</v>
      </c>
      <c r="BJ112" s="129">
        <v>7</v>
      </c>
      <c r="BK112" s="133">
        <v>2034</v>
      </c>
      <c r="BL112" s="135">
        <v>20</v>
      </c>
      <c r="BM112" s="135"/>
      <c r="BN112" s="135">
        <v>1</v>
      </c>
      <c r="BO112" s="135">
        <v>13</v>
      </c>
      <c r="BP112" s="131">
        <v>1066</v>
      </c>
      <c r="BQ112" s="129"/>
      <c r="BR112" s="133">
        <v>1066</v>
      </c>
      <c r="BS112" s="135"/>
      <c r="BT112" s="131">
        <v>8</v>
      </c>
      <c r="BU112" s="129">
        <v>7</v>
      </c>
      <c r="BV112" s="133">
        <v>15</v>
      </c>
      <c r="BW112" s="138">
        <v>13</v>
      </c>
      <c r="BX112" s="129"/>
      <c r="BY112" s="129">
        <v>1</v>
      </c>
      <c r="BZ112" s="129">
        <v>2</v>
      </c>
      <c r="CA112" s="129"/>
      <c r="CB112" s="129">
        <v>1</v>
      </c>
      <c r="CC112" s="129"/>
      <c r="CD112" s="129"/>
      <c r="CE112" s="129">
        <v>1</v>
      </c>
      <c r="CF112" s="129">
        <v>2</v>
      </c>
      <c r="CG112" s="129">
        <v>1</v>
      </c>
      <c r="CH112" s="129"/>
      <c r="CI112" s="129"/>
      <c r="CJ112" s="129">
        <v>1</v>
      </c>
      <c r="CK112" s="129"/>
      <c r="CL112" s="129"/>
      <c r="CM112" s="139">
        <v>22</v>
      </c>
      <c r="CN112" s="131"/>
      <c r="CO112" s="129"/>
      <c r="CP112" s="133"/>
      <c r="CQ112" s="135"/>
      <c r="CR112" s="131">
        <v>4</v>
      </c>
      <c r="CS112" s="129"/>
      <c r="CT112" s="129">
        <v>32738</v>
      </c>
      <c r="CU112" s="129">
        <v>5</v>
      </c>
      <c r="CV112" s="129">
        <v>28292</v>
      </c>
      <c r="CW112" s="129">
        <v>21</v>
      </c>
      <c r="CX112" s="129">
        <v>22</v>
      </c>
      <c r="CY112" s="129">
        <v>1</v>
      </c>
      <c r="CZ112" s="129"/>
      <c r="DA112" s="129"/>
      <c r="DB112" s="129">
        <v>0</v>
      </c>
      <c r="DC112" s="133">
        <v>61083</v>
      </c>
      <c r="DD112" s="138">
        <v>1735</v>
      </c>
      <c r="DE112" s="129">
        <v>25</v>
      </c>
      <c r="DF112" s="129">
        <v>1</v>
      </c>
      <c r="DG112" s="129"/>
      <c r="DH112" s="129">
        <v>1</v>
      </c>
      <c r="DI112" s="129"/>
      <c r="DJ112" s="129"/>
      <c r="DK112" s="139">
        <v>1762</v>
      </c>
      <c r="DL112" s="141"/>
      <c r="DM112" s="135"/>
      <c r="DN112" s="131"/>
      <c r="DO112" s="129"/>
      <c r="DP112" s="133"/>
      <c r="DQ112" s="135">
        <v>135</v>
      </c>
      <c r="DR112" s="131"/>
      <c r="DS112" s="129"/>
      <c r="DT112" s="133"/>
      <c r="DU112" s="138">
        <v>11</v>
      </c>
      <c r="DV112" s="129"/>
      <c r="DW112" s="139">
        <v>11</v>
      </c>
      <c r="DX112" s="141">
        <v>50</v>
      </c>
      <c r="DY112" s="135">
        <v>2</v>
      </c>
      <c r="DZ112" s="135">
        <v>49</v>
      </c>
      <c r="EA112" s="135">
        <v>2</v>
      </c>
      <c r="EB112" s="135"/>
      <c r="EC112" s="131">
        <v>6</v>
      </c>
      <c r="ED112" s="129">
        <v>11</v>
      </c>
      <c r="EE112" s="129"/>
      <c r="EF112" s="129"/>
      <c r="EG112" s="129"/>
      <c r="EH112" s="133">
        <v>17</v>
      </c>
      <c r="EI112" s="138">
        <v>6</v>
      </c>
      <c r="EJ112" s="129">
        <v>316</v>
      </c>
      <c r="EK112" s="129">
        <v>9</v>
      </c>
      <c r="EL112" s="129">
        <v>17</v>
      </c>
      <c r="EM112" s="129">
        <v>214</v>
      </c>
      <c r="EN112" s="129"/>
      <c r="EO112" s="129">
        <v>1</v>
      </c>
      <c r="EP112" s="129"/>
      <c r="EQ112" s="129"/>
      <c r="ER112" s="129"/>
      <c r="ES112" s="129">
        <v>1</v>
      </c>
      <c r="ET112" s="129"/>
      <c r="EU112" s="129"/>
      <c r="EV112" s="139">
        <v>564</v>
      </c>
      <c r="EW112" s="141"/>
      <c r="EX112" s="135"/>
      <c r="EY112" s="131">
        <v>0</v>
      </c>
      <c r="EZ112" s="129"/>
      <c r="FA112" s="129"/>
      <c r="FB112" s="133">
        <v>0</v>
      </c>
      <c r="FC112" s="138"/>
      <c r="FD112" s="129"/>
      <c r="FE112" s="139"/>
      <c r="FF112" s="141"/>
      <c r="FG112" s="138">
        <v>14</v>
      </c>
      <c r="FH112" s="129">
        <v>20</v>
      </c>
      <c r="FI112" s="129"/>
      <c r="FJ112" s="129">
        <v>1</v>
      </c>
      <c r="FK112" s="139">
        <v>35</v>
      </c>
      <c r="FL112" s="131"/>
      <c r="FM112" s="129"/>
      <c r="FN112" s="133"/>
      <c r="FO112" s="138"/>
      <c r="FP112" s="129"/>
      <c r="FQ112" s="139"/>
      <c r="FR112" s="141"/>
      <c r="FS112" s="135">
        <v>110</v>
      </c>
      <c r="FT112" s="131">
        <v>3</v>
      </c>
      <c r="FU112" s="129">
        <v>3</v>
      </c>
      <c r="FV112" s="129">
        <v>2</v>
      </c>
      <c r="FW112" s="129"/>
      <c r="FX112" s="129"/>
      <c r="FY112" s="133">
        <v>8</v>
      </c>
      <c r="FZ112" s="135"/>
      <c r="GA112" s="131">
        <v>124</v>
      </c>
      <c r="GB112" s="129"/>
      <c r="GC112" s="133">
        <v>124</v>
      </c>
      <c r="GD112" s="135"/>
      <c r="GE112" s="131">
        <v>3</v>
      </c>
      <c r="GF112" s="129"/>
      <c r="GG112" s="129"/>
      <c r="GH112" s="133">
        <v>3</v>
      </c>
      <c r="GI112" s="135">
        <v>12</v>
      </c>
      <c r="GJ112" s="131"/>
      <c r="GK112" s="129">
        <v>0</v>
      </c>
      <c r="GL112" s="129">
        <v>1</v>
      </c>
      <c r="GM112" s="129"/>
      <c r="GN112" s="133">
        <v>1</v>
      </c>
      <c r="GO112" s="135">
        <v>89322</v>
      </c>
      <c r="GP112" s="308">
        <f>89322/44564395</f>
        <v>2.0043355239087166E-3</v>
      </c>
    </row>
    <row r="113" spans="2:198" ht="12.75" thickBot="1" x14ac:dyDescent="0.25">
      <c r="B113" s="311" t="s">
        <v>555</v>
      </c>
      <c r="C113" s="310"/>
      <c r="D113" s="129"/>
      <c r="E113" s="129"/>
      <c r="F113" s="129"/>
      <c r="G113" s="309"/>
      <c r="H113" s="141"/>
      <c r="I113" s="138"/>
      <c r="J113" s="129"/>
      <c r="K113" s="139"/>
      <c r="L113" s="141"/>
      <c r="M113" s="135">
        <v>7</v>
      </c>
      <c r="N113" s="141">
        <v>51</v>
      </c>
      <c r="O113" s="129"/>
      <c r="P113" s="129"/>
      <c r="Q113" s="129"/>
      <c r="R113" s="129"/>
      <c r="S113" s="129"/>
      <c r="T113" s="129"/>
      <c r="U113" s="129"/>
      <c r="V113" s="133">
        <v>51</v>
      </c>
      <c r="W113" s="138">
        <v>2</v>
      </c>
      <c r="X113" s="129"/>
      <c r="Y113" s="139">
        <v>2</v>
      </c>
      <c r="Z113" s="131">
        <v>11</v>
      </c>
      <c r="AA113" s="129"/>
      <c r="AB113" s="129"/>
      <c r="AC113" s="133">
        <v>11</v>
      </c>
      <c r="AD113" s="138">
        <v>6</v>
      </c>
      <c r="AE113" s="129"/>
      <c r="AF113" s="139">
        <v>6</v>
      </c>
      <c r="AG113" s="131">
        <v>1</v>
      </c>
      <c r="AH113" s="129"/>
      <c r="AI113" s="129"/>
      <c r="AJ113" s="129"/>
      <c r="AK113" s="133">
        <v>1</v>
      </c>
      <c r="AL113" s="138"/>
      <c r="AM113" s="129"/>
      <c r="AN113" s="139"/>
      <c r="AO113" s="135"/>
      <c r="AP113" s="135"/>
      <c r="AQ113" s="131"/>
      <c r="AR113" s="129"/>
      <c r="AS113" s="133"/>
      <c r="AT113" s="138"/>
      <c r="AU113" s="129"/>
      <c r="AV113" s="129"/>
      <c r="AW113" s="129"/>
      <c r="AX113" s="129"/>
      <c r="AY113" s="129"/>
      <c r="AZ113" s="129"/>
      <c r="BA113" s="129"/>
      <c r="BB113" s="129"/>
      <c r="BC113" s="139"/>
      <c r="BD113" s="141"/>
      <c r="BE113" s="135"/>
      <c r="BF113" s="131"/>
      <c r="BG113" s="129">
        <v>0</v>
      </c>
      <c r="BH113" s="129">
        <v>20</v>
      </c>
      <c r="BI113" s="129"/>
      <c r="BJ113" s="129"/>
      <c r="BK113" s="133">
        <v>20</v>
      </c>
      <c r="BL113" s="135"/>
      <c r="BM113" s="135"/>
      <c r="BN113" s="135"/>
      <c r="BO113" s="135"/>
      <c r="BP113" s="131"/>
      <c r="BQ113" s="129"/>
      <c r="BR113" s="133"/>
      <c r="BS113" s="135"/>
      <c r="BT113" s="131"/>
      <c r="BU113" s="129"/>
      <c r="BV113" s="133"/>
      <c r="BW113" s="138"/>
      <c r="BX113" s="129"/>
      <c r="BY113" s="129"/>
      <c r="BZ113" s="129"/>
      <c r="CA113" s="129"/>
      <c r="CB113" s="129"/>
      <c r="CC113" s="129"/>
      <c r="CD113" s="129"/>
      <c r="CE113" s="129"/>
      <c r="CF113" s="129"/>
      <c r="CG113" s="129"/>
      <c r="CH113" s="129"/>
      <c r="CI113" s="129"/>
      <c r="CJ113" s="129"/>
      <c r="CK113" s="129"/>
      <c r="CL113" s="129"/>
      <c r="CM113" s="139"/>
      <c r="CN113" s="131"/>
      <c r="CO113" s="129"/>
      <c r="CP113" s="133"/>
      <c r="CQ113" s="135"/>
      <c r="CR113" s="131">
        <v>8</v>
      </c>
      <c r="CS113" s="129"/>
      <c r="CT113" s="129">
        <v>484</v>
      </c>
      <c r="CU113" s="129">
        <v>2</v>
      </c>
      <c r="CV113" s="129">
        <v>53</v>
      </c>
      <c r="CW113" s="129"/>
      <c r="CX113" s="129"/>
      <c r="CY113" s="129"/>
      <c r="CZ113" s="129"/>
      <c r="DA113" s="129"/>
      <c r="DB113" s="129"/>
      <c r="DC113" s="133">
        <v>547</v>
      </c>
      <c r="DD113" s="138">
        <v>26</v>
      </c>
      <c r="DE113" s="129"/>
      <c r="DF113" s="129"/>
      <c r="DG113" s="129"/>
      <c r="DH113" s="129"/>
      <c r="DI113" s="129"/>
      <c r="DJ113" s="129"/>
      <c r="DK113" s="139">
        <v>26</v>
      </c>
      <c r="DL113" s="141"/>
      <c r="DM113" s="135"/>
      <c r="DN113" s="131"/>
      <c r="DO113" s="129"/>
      <c r="DP113" s="133"/>
      <c r="DQ113" s="135"/>
      <c r="DR113" s="131"/>
      <c r="DS113" s="129"/>
      <c r="DT113" s="133"/>
      <c r="DU113" s="138"/>
      <c r="DV113" s="129"/>
      <c r="DW113" s="139"/>
      <c r="DX113" s="141"/>
      <c r="DY113" s="135"/>
      <c r="DZ113" s="135">
        <v>0</v>
      </c>
      <c r="EA113" s="135"/>
      <c r="EB113" s="135"/>
      <c r="EC113" s="131"/>
      <c r="ED113" s="129">
        <v>5</v>
      </c>
      <c r="EE113" s="129"/>
      <c r="EF113" s="129"/>
      <c r="EG113" s="129"/>
      <c r="EH113" s="133">
        <v>5</v>
      </c>
      <c r="EI113" s="138"/>
      <c r="EJ113" s="129">
        <v>10</v>
      </c>
      <c r="EK113" s="129">
        <v>1</v>
      </c>
      <c r="EL113" s="129">
        <v>0</v>
      </c>
      <c r="EM113" s="129">
        <v>8</v>
      </c>
      <c r="EN113" s="129">
        <v>2</v>
      </c>
      <c r="EO113" s="129"/>
      <c r="EP113" s="129">
        <v>5</v>
      </c>
      <c r="EQ113" s="129">
        <v>1</v>
      </c>
      <c r="ER113" s="129"/>
      <c r="ES113" s="129"/>
      <c r="ET113" s="129"/>
      <c r="EU113" s="129"/>
      <c r="EV113" s="139">
        <v>27</v>
      </c>
      <c r="EW113" s="141"/>
      <c r="EX113" s="135">
        <v>0</v>
      </c>
      <c r="EY113" s="131"/>
      <c r="EZ113" s="129"/>
      <c r="FA113" s="129"/>
      <c r="FB113" s="133"/>
      <c r="FC113" s="138"/>
      <c r="FD113" s="129"/>
      <c r="FE113" s="139"/>
      <c r="FF113" s="141"/>
      <c r="FG113" s="138"/>
      <c r="FH113" s="129"/>
      <c r="FI113" s="129"/>
      <c r="FJ113" s="129"/>
      <c r="FK113" s="139"/>
      <c r="FL113" s="131"/>
      <c r="FM113" s="129"/>
      <c r="FN113" s="133"/>
      <c r="FO113" s="138"/>
      <c r="FP113" s="129"/>
      <c r="FQ113" s="139"/>
      <c r="FR113" s="141"/>
      <c r="FS113" s="135">
        <v>1</v>
      </c>
      <c r="FT113" s="131">
        <v>2</v>
      </c>
      <c r="FU113" s="129">
        <v>1</v>
      </c>
      <c r="FV113" s="129">
        <v>1</v>
      </c>
      <c r="FW113" s="129"/>
      <c r="FX113" s="129"/>
      <c r="FY113" s="133">
        <v>4</v>
      </c>
      <c r="FZ113" s="135"/>
      <c r="GA113" s="131">
        <v>1</v>
      </c>
      <c r="GB113" s="129"/>
      <c r="GC113" s="133">
        <v>1</v>
      </c>
      <c r="GD113" s="135"/>
      <c r="GE113" s="131"/>
      <c r="GF113" s="129"/>
      <c r="GG113" s="129"/>
      <c r="GH113" s="133"/>
      <c r="GI113" s="135"/>
      <c r="GJ113" s="131"/>
      <c r="GK113" s="129"/>
      <c r="GL113" s="129"/>
      <c r="GM113" s="129"/>
      <c r="GN113" s="133"/>
      <c r="GO113" s="135">
        <v>709</v>
      </c>
      <c r="GP113" s="308">
        <f>709/44564395</f>
        <v>1.5909561882305369E-5</v>
      </c>
    </row>
    <row r="114" spans="2:198" ht="12.75" thickBot="1" x14ac:dyDescent="0.25">
      <c r="B114" s="311" t="s">
        <v>539</v>
      </c>
      <c r="C114" s="310">
        <v>144689</v>
      </c>
      <c r="D114" s="129">
        <v>487</v>
      </c>
      <c r="E114" s="129">
        <v>868</v>
      </c>
      <c r="F114" s="129">
        <v>332</v>
      </c>
      <c r="G114" s="309">
        <v>146376</v>
      </c>
      <c r="H114" s="141">
        <v>4</v>
      </c>
      <c r="I114" s="138">
        <v>315188</v>
      </c>
      <c r="J114" s="129">
        <v>120</v>
      </c>
      <c r="K114" s="139">
        <v>315308</v>
      </c>
      <c r="L114" s="141">
        <v>2</v>
      </c>
      <c r="M114" s="135">
        <v>495724</v>
      </c>
      <c r="N114" s="141">
        <v>12627330</v>
      </c>
      <c r="O114" s="129">
        <v>130412</v>
      </c>
      <c r="P114" s="129">
        <v>22139</v>
      </c>
      <c r="Q114" s="129">
        <v>35629</v>
      </c>
      <c r="R114" s="129">
        <v>1614</v>
      </c>
      <c r="S114" s="129">
        <v>542</v>
      </c>
      <c r="T114" s="129">
        <v>37</v>
      </c>
      <c r="U114" s="129">
        <v>769</v>
      </c>
      <c r="V114" s="133">
        <v>12818472</v>
      </c>
      <c r="W114" s="138">
        <v>56143</v>
      </c>
      <c r="X114" s="129">
        <v>22730</v>
      </c>
      <c r="Y114" s="139">
        <v>78873</v>
      </c>
      <c r="Z114" s="131">
        <v>1720455</v>
      </c>
      <c r="AA114" s="129">
        <v>620</v>
      </c>
      <c r="AB114" s="129">
        <v>385</v>
      </c>
      <c r="AC114" s="133">
        <v>1721460</v>
      </c>
      <c r="AD114" s="138">
        <v>510971</v>
      </c>
      <c r="AE114" s="129">
        <v>846</v>
      </c>
      <c r="AF114" s="139">
        <v>511817</v>
      </c>
      <c r="AG114" s="131">
        <v>19074</v>
      </c>
      <c r="AH114" s="129">
        <v>4581</v>
      </c>
      <c r="AI114" s="129">
        <v>975</v>
      </c>
      <c r="AJ114" s="129">
        <v>33</v>
      </c>
      <c r="AK114" s="133">
        <v>24663</v>
      </c>
      <c r="AL114" s="138">
        <v>1487</v>
      </c>
      <c r="AM114" s="129">
        <v>5239</v>
      </c>
      <c r="AN114" s="139">
        <v>6726</v>
      </c>
      <c r="AO114" s="135">
        <v>1</v>
      </c>
      <c r="AP114" s="135">
        <v>5</v>
      </c>
      <c r="AQ114" s="131">
        <v>5521</v>
      </c>
      <c r="AR114" s="129">
        <v>2164</v>
      </c>
      <c r="AS114" s="133">
        <v>7685</v>
      </c>
      <c r="AT114" s="138">
        <v>14749</v>
      </c>
      <c r="AU114" s="129">
        <v>115</v>
      </c>
      <c r="AV114" s="129">
        <v>6605</v>
      </c>
      <c r="AW114" s="129">
        <v>474</v>
      </c>
      <c r="AX114" s="129">
        <v>381</v>
      </c>
      <c r="AY114" s="129">
        <v>115</v>
      </c>
      <c r="AZ114" s="129">
        <v>89</v>
      </c>
      <c r="BA114" s="129">
        <v>99</v>
      </c>
      <c r="BB114" s="129">
        <v>19</v>
      </c>
      <c r="BC114" s="139">
        <v>22646</v>
      </c>
      <c r="BD114" s="141">
        <v>24319</v>
      </c>
      <c r="BE114" s="135">
        <v>33267</v>
      </c>
      <c r="BF114" s="131">
        <v>850996</v>
      </c>
      <c r="BG114" s="129">
        <v>626035</v>
      </c>
      <c r="BH114" s="129">
        <v>2985380</v>
      </c>
      <c r="BI114" s="129">
        <v>17185</v>
      </c>
      <c r="BJ114" s="129">
        <v>156841</v>
      </c>
      <c r="BK114" s="133">
        <v>4636437</v>
      </c>
      <c r="BL114" s="135">
        <v>19033</v>
      </c>
      <c r="BM114" s="135">
        <v>0</v>
      </c>
      <c r="BN114" s="135">
        <v>1195</v>
      </c>
      <c r="BO114" s="135">
        <v>44703</v>
      </c>
      <c r="BP114" s="131">
        <v>66975</v>
      </c>
      <c r="BQ114" s="129">
        <v>30294</v>
      </c>
      <c r="BR114" s="133">
        <v>97269</v>
      </c>
      <c r="BS114" s="135">
        <v>680</v>
      </c>
      <c r="BT114" s="131">
        <v>101000</v>
      </c>
      <c r="BU114" s="129">
        <v>49505</v>
      </c>
      <c r="BV114" s="133">
        <v>150505</v>
      </c>
      <c r="BW114" s="138">
        <v>16090</v>
      </c>
      <c r="BX114" s="129">
        <v>1369</v>
      </c>
      <c r="BY114" s="129">
        <v>2444</v>
      </c>
      <c r="BZ114" s="129">
        <v>989</v>
      </c>
      <c r="CA114" s="129">
        <v>579</v>
      </c>
      <c r="CB114" s="129">
        <v>552</v>
      </c>
      <c r="CC114" s="129">
        <v>657</v>
      </c>
      <c r="CD114" s="129">
        <v>18353</v>
      </c>
      <c r="CE114" s="129">
        <v>573</v>
      </c>
      <c r="CF114" s="129">
        <v>1229</v>
      </c>
      <c r="CG114" s="129">
        <v>1416</v>
      </c>
      <c r="CH114" s="129">
        <v>69289</v>
      </c>
      <c r="CI114" s="129">
        <v>523</v>
      </c>
      <c r="CJ114" s="129">
        <v>422</v>
      </c>
      <c r="CK114" s="129">
        <v>207</v>
      </c>
      <c r="CL114" s="129">
        <v>96</v>
      </c>
      <c r="CM114" s="139">
        <v>114788</v>
      </c>
      <c r="CN114" s="131">
        <v>214070</v>
      </c>
      <c r="CO114" s="129">
        <v>287</v>
      </c>
      <c r="CP114" s="133">
        <v>214357</v>
      </c>
      <c r="CQ114" s="135">
        <v>13014</v>
      </c>
      <c r="CR114" s="131">
        <v>17349</v>
      </c>
      <c r="CS114" s="129">
        <v>9182</v>
      </c>
      <c r="CT114" s="129">
        <v>11296941</v>
      </c>
      <c r="CU114" s="129">
        <v>171247</v>
      </c>
      <c r="CV114" s="129">
        <v>4470890</v>
      </c>
      <c r="CW114" s="129">
        <v>21741</v>
      </c>
      <c r="CX114" s="129">
        <v>12483</v>
      </c>
      <c r="CY114" s="129">
        <v>2241</v>
      </c>
      <c r="CZ114" s="129">
        <v>15783</v>
      </c>
      <c r="DA114" s="129">
        <v>251</v>
      </c>
      <c r="DB114" s="129">
        <v>618</v>
      </c>
      <c r="DC114" s="133">
        <v>16018726</v>
      </c>
      <c r="DD114" s="138">
        <v>1337270</v>
      </c>
      <c r="DE114" s="129">
        <v>8966</v>
      </c>
      <c r="DF114" s="129">
        <v>72810</v>
      </c>
      <c r="DG114" s="129">
        <v>37065</v>
      </c>
      <c r="DH114" s="129">
        <v>5314</v>
      </c>
      <c r="DI114" s="129">
        <v>1024</v>
      </c>
      <c r="DJ114" s="129">
        <v>9</v>
      </c>
      <c r="DK114" s="139">
        <v>1462458</v>
      </c>
      <c r="DL114" s="141">
        <v>20</v>
      </c>
      <c r="DM114" s="135">
        <v>6</v>
      </c>
      <c r="DN114" s="131">
        <v>419</v>
      </c>
      <c r="DO114" s="129">
        <v>43</v>
      </c>
      <c r="DP114" s="133">
        <v>462</v>
      </c>
      <c r="DQ114" s="135">
        <v>164777</v>
      </c>
      <c r="DR114" s="131">
        <v>63305</v>
      </c>
      <c r="DS114" s="129">
        <v>1420</v>
      </c>
      <c r="DT114" s="133">
        <v>64725</v>
      </c>
      <c r="DU114" s="138">
        <v>15728</v>
      </c>
      <c r="DV114" s="129">
        <v>202</v>
      </c>
      <c r="DW114" s="139">
        <v>15930</v>
      </c>
      <c r="DX114" s="141">
        <v>51360</v>
      </c>
      <c r="DY114" s="135">
        <v>7831</v>
      </c>
      <c r="DZ114" s="135">
        <v>632477</v>
      </c>
      <c r="EA114" s="135">
        <v>3453</v>
      </c>
      <c r="EB114" s="135">
        <v>6</v>
      </c>
      <c r="EC114" s="131">
        <v>27399</v>
      </c>
      <c r="ED114" s="129">
        <v>14894</v>
      </c>
      <c r="EE114" s="129">
        <v>509</v>
      </c>
      <c r="EF114" s="129">
        <v>41</v>
      </c>
      <c r="EG114" s="129">
        <v>53</v>
      </c>
      <c r="EH114" s="133">
        <v>42896</v>
      </c>
      <c r="EI114" s="138">
        <v>225134</v>
      </c>
      <c r="EJ114" s="129">
        <v>1521017</v>
      </c>
      <c r="EK114" s="129">
        <v>28436</v>
      </c>
      <c r="EL114" s="129">
        <v>107624</v>
      </c>
      <c r="EM114" s="129">
        <v>939339</v>
      </c>
      <c r="EN114" s="129">
        <v>13361</v>
      </c>
      <c r="EO114" s="129">
        <v>2372</v>
      </c>
      <c r="EP114" s="129">
        <v>145646</v>
      </c>
      <c r="EQ114" s="129">
        <v>2115</v>
      </c>
      <c r="ER114" s="129">
        <v>2783</v>
      </c>
      <c r="ES114" s="129">
        <v>1720</v>
      </c>
      <c r="ET114" s="129">
        <v>143</v>
      </c>
      <c r="EU114" s="129">
        <v>41</v>
      </c>
      <c r="EV114" s="139">
        <v>2989731</v>
      </c>
      <c r="EW114" s="141">
        <v>2</v>
      </c>
      <c r="EX114" s="135">
        <v>7264</v>
      </c>
      <c r="EY114" s="131">
        <v>5616</v>
      </c>
      <c r="EZ114" s="129">
        <v>182</v>
      </c>
      <c r="FA114" s="129">
        <v>1028</v>
      </c>
      <c r="FB114" s="133">
        <v>6826</v>
      </c>
      <c r="FC114" s="138">
        <v>320</v>
      </c>
      <c r="FD114" s="129">
        <v>2</v>
      </c>
      <c r="FE114" s="139">
        <v>322</v>
      </c>
      <c r="FF114" s="141">
        <v>4861</v>
      </c>
      <c r="FG114" s="138">
        <v>11745</v>
      </c>
      <c r="FH114" s="129">
        <v>55901</v>
      </c>
      <c r="FI114" s="129">
        <v>811</v>
      </c>
      <c r="FJ114" s="129">
        <v>5452</v>
      </c>
      <c r="FK114" s="139">
        <v>73909</v>
      </c>
      <c r="FL114" s="131">
        <v>5</v>
      </c>
      <c r="FM114" s="129">
        <v>332</v>
      </c>
      <c r="FN114" s="133">
        <v>337</v>
      </c>
      <c r="FO114" s="138">
        <v>11878</v>
      </c>
      <c r="FP114" s="129">
        <v>5</v>
      </c>
      <c r="FQ114" s="139">
        <v>11883</v>
      </c>
      <c r="FR114" s="141">
        <v>393</v>
      </c>
      <c r="FS114" s="135">
        <v>653439</v>
      </c>
      <c r="FT114" s="131">
        <v>9738</v>
      </c>
      <c r="FU114" s="129">
        <v>4119</v>
      </c>
      <c r="FV114" s="129">
        <v>1228</v>
      </c>
      <c r="FW114" s="129">
        <v>600</v>
      </c>
      <c r="FX114" s="129">
        <v>0</v>
      </c>
      <c r="FY114" s="133">
        <v>15685</v>
      </c>
      <c r="FZ114" s="135">
        <v>0</v>
      </c>
      <c r="GA114" s="131">
        <v>351212</v>
      </c>
      <c r="GB114" s="129">
        <v>7068</v>
      </c>
      <c r="GC114" s="133">
        <v>358280</v>
      </c>
      <c r="GD114" s="135">
        <v>41</v>
      </c>
      <c r="GE114" s="131">
        <v>436049</v>
      </c>
      <c r="GF114" s="129">
        <v>205</v>
      </c>
      <c r="GG114" s="129">
        <v>133</v>
      </c>
      <c r="GH114" s="133">
        <v>436387</v>
      </c>
      <c r="GI114" s="135">
        <v>6770</v>
      </c>
      <c r="GJ114" s="131">
        <v>4337</v>
      </c>
      <c r="GK114" s="129">
        <v>20990</v>
      </c>
      <c r="GL114" s="129">
        <v>4396</v>
      </c>
      <c r="GM114" s="129">
        <v>4086</v>
      </c>
      <c r="GN114" s="133">
        <v>33809</v>
      </c>
      <c r="GO114" s="135">
        <v>44564395</v>
      </c>
      <c r="GP114" s="308">
        <f>44564395/44564395</f>
        <v>1</v>
      </c>
    </row>
  </sheetData>
  <mergeCells count="43">
    <mergeCell ref="GO2:GO3"/>
    <mergeCell ref="GP2:GP3"/>
    <mergeCell ref="FC2:FE2"/>
    <mergeCell ref="FG2:FK2"/>
    <mergeCell ref="FL2:FN2"/>
    <mergeCell ref="FO2:FQ2"/>
    <mergeCell ref="FT2:FY2"/>
    <mergeCell ref="GA2:GC2"/>
    <mergeCell ref="GJ2:GN2"/>
    <mergeCell ref="DR2:DT2"/>
    <mergeCell ref="DU2:DW2"/>
    <mergeCell ref="EC2:EH2"/>
    <mergeCell ref="EI2:EV2"/>
    <mergeCell ref="GE2:GH2"/>
    <mergeCell ref="EY2:FB2"/>
    <mergeCell ref="CN2:CP2"/>
    <mergeCell ref="BF2:BK2"/>
    <mergeCell ref="AD2:AF2"/>
    <mergeCell ref="AG2:AK2"/>
    <mergeCell ref="AL2:AN2"/>
    <mergeCell ref="AQ2:AS2"/>
    <mergeCell ref="AT2:BC2"/>
    <mergeCell ref="EI1:FE1"/>
    <mergeCell ref="FF1:FY1"/>
    <mergeCell ref="FZ1:GP1"/>
    <mergeCell ref="CR1:DM1"/>
    <mergeCell ref="DN1:EH1"/>
    <mergeCell ref="CR2:DC2"/>
    <mergeCell ref="DD2:DK2"/>
    <mergeCell ref="DN2:DP2"/>
    <mergeCell ref="Z2:AC2"/>
    <mergeCell ref="B1:AC1"/>
    <mergeCell ref="AD1:BC1"/>
    <mergeCell ref="BD1:BV1"/>
    <mergeCell ref="BW1:CQ1"/>
    <mergeCell ref="B2:B3"/>
    <mergeCell ref="C2:G2"/>
    <mergeCell ref="I2:K2"/>
    <mergeCell ref="N2:V2"/>
    <mergeCell ref="W2:Y2"/>
    <mergeCell ref="BP2:BR2"/>
    <mergeCell ref="BT2:BV2"/>
    <mergeCell ref="BW2:CM2"/>
  </mergeCells>
  <printOptions horizontalCentered="1" verticalCentered="1"/>
  <pageMargins left="0.11811023622047245" right="0.11811023622047245" top="0.15748031496062992" bottom="0.11811023622047245" header="0.15748031496062992" footer="0.11811023622047245"/>
  <pageSetup scale="55" orientation="landscape" r:id="rId1"/>
  <headerFooter alignWithMargins="0"/>
  <rowBreaks count="1" manualBreakCount="1">
    <brk id="57" min="1" max="197" man="1"/>
  </rowBreaks>
  <colBreaks count="8" manualBreakCount="8">
    <brk id="29" max="113" man="1"/>
    <brk id="55" max="113" man="1"/>
    <brk id="74" max="113" man="1"/>
    <brk id="95" max="113" man="1"/>
    <brk id="117" max="113" man="1"/>
    <brk id="138" max="113" man="1"/>
    <brk id="161" max="113" man="1"/>
    <brk id="181" max="11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7"/>
  <sheetViews>
    <sheetView view="pageBreakPreview" zoomScaleNormal="100" zoomScaleSheetLayoutView="100" workbookViewId="0">
      <selection activeCell="H1" sqref="H1"/>
    </sheetView>
  </sheetViews>
  <sheetFormatPr defaultColWidth="9.140625" defaultRowHeight="12.75" x14ac:dyDescent="0.2"/>
  <cols>
    <col min="1" max="1" width="9.140625" style="123"/>
    <col min="2" max="2" width="10.7109375" customWidth="1"/>
    <col min="3" max="7" width="15.140625" customWidth="1"/>
  </cols>
  <sheetData>
    <row r="1" spans="2:7" s="125" customFormat="1" ht="30" customHeight="1" x14ac:dyDescent="0.2">
      <c r="B1" s="452" t="s">
        <v>625</v>
      </c>
      <c r="C1" s="453"/>
      <c r="D1" s="453"/>
      <c r="E1" s="453"/>
      <c r="F1" s="453"/>
      <c r="G1" s="453"/>
    </row>
    <row r="2" spans="2:7" s="125" customFormat="1" ht="15" customHeight="1" thickBot="1" x14ac:dyDescent="0.25">
      <c r="B2" s="124"/>
    </row>
    <row r="3" spans="2:7" ht="15" customHeight="1" thickBot="1" x14ac:dyDescent="0.25">
      <c r="B3" s="146" t="s">
        <v>264</v>
      </c>
      <c r="C3" s="454" t="s">
        <v>1</v>
      </c>
      <c r="D3" s="454"/>
      <c r="E3" s="454"/>
      <c r="F3" s="454" t="s">
        <v>266</v>
      </c>
      <c r="G3" s="454"/>
    </row>
    <row r="4" spans="2:7" ht="15" customHeight="1" thickBot="1" x14ac:dyDescent="0.25">
      <c r="B4" s="127" t="s">
        <v>265</v>
      </c>
      <c r="C4" s="147">
        <v>2020</v>
      </c>
      <c r="D4" s="147">
        <v>2021</v>
      </c>
      <c r="E4" s="147">
        <v>2022</v>
      </c>
      <c r="F4" s="147" t="s">
        <v>267</v>
      </c>
      <c r="G4" s="147" t="s">
        <v>594</v>
      </c>
    </row>
    <row r="5" spans="2:7" ht="15" customHeight="1" x14ac:dyDescent="0.2">
      <c r="B5" s="126" t="s">
        <v>5</v>
      </c>
      <c r="C5" s="145">
        <v>15315</v>
      </c>
      <c r="D5" s="145">
        <v>2901</v>
      </c>
      <c r="E5" s="145">
        <v>2189</v>
      </c>
      <c r="F5" s="144">
        <v>-81.057786483839379</v>
      </c>
      <c r="G5" s="144">
        <v>-24.543260944501895</v>
      </c>
    </row>
    <row r="6" spans="2:7" ht="15" customHeight="1" x14ac:dyDescent="0.2">
      <c r="B6" s="126" t="s">
        <v>6</v>
      </c>
      <c r="C6" s="145">
        <v>8341</v>
      </c>
      <c r="D6" s="145">
        <v>2420</v>
      </c>
      <c r="E6" s="145">
        <v>1642</v>
      </c>
      <c r="F6" s="144">
        <v>-70.986692243136318</v>
      </c>
      <c r="G6" s="144">
        <v>-32.148760330578511</v>
      </c>
    </row>
    <row r="7" spans="2:7" ht="15" customHeight="1" x14ac:dyDescent="0.2">
      <c r="B7" s="126" t="s">
        <v>7</v>
      </c>
      <c r="C7" s="145">
        <v>6427</v>
      </c>
      <c r="D7" s="145">
        <v>2980</v>
      </c>
      <c r="E7" s="145">
        <v>569</v>
      </c>
      <c r="F7" s="144">
        <v>-53.633110315854985</v>
      </c>
      <c r="G7" s="144">
        <v>-80.90604026845638</v>
      </c>
    </row>
    <row r="8" spans="2:7" ht="15" customHeight="1" x14ac:dyDescent="0.2">
      <c r="B8" s="126" t="s">
        <v>8</v>
      </c>
      <c r="C8" s="145">
        <v>2557</v>
      </c>
      <c r="D8" s="145">
        <v>3185</v>
      </c>
      <c r="E8" s="145">
        <v>32130</v>
      </c>
      <c r="F8" s="144">
        <v>24.56003128666406</v>
      </c>
      <c r="G8" s="144">
        <v>908.79120879120876</v>
      </c>
    </row>
    <row r="9" spans="2:7" ht="15" customHeight="1" x14ac:dyDescent="0.2">
      <c r="B9" s="126" t="s">
        <v>9</v>
      </c>
      <c r="C9" s="145">
        <v>2090</v>
      </c>
      <c r="D9" s="145">
        <v>2277</v>
      </c>
      <c r="E9" s="145">
        <v>86259</v>
      </c>
      <c r="F9" s="144">
        <v>8.9473684210526319</v>
      </c>
      <c r="G9" s="144">
        <v>3688.274044795784</v>
      </c>
    </row>
    <row r="10" spans="2:7" ht="15" customHeight="1" x14ac:dyDescent="0.2">
      <c r="B10" s="126" t="s">
        <v>10</v>
      </c>
      <c r="C10" s="145">
        <v>3865</v>
      </c>
      <c r="D10" s="145">
        <v>6369</v>
      </c>
      <c r="E10" s="145">
        <v>108199</v>
      </c>
      <c r="F10" s="144">
        <v>64.786545924967655</v>
      </c>
      <c r="G10" s="144">
        <v>1598.8381221541842</v>
      </c>
    </row>
    <row r="11" spans="2:7" ht="15" customHeight="1" x14ac:dyDescent="0.2">
      <c r="B11" s="126" t="s">
        <v>11</v>
      </c>
      <c r="C11" s="145">
        <v>3412</v>
      </c>
      <c r="D11" s="145">
        <v>11439</v>
      </c>
      <c r="E11" s="145">
        <v>124327</v>
      </c>
      <c r="F11" s="144">
        <v>235.25791324736224</v>
      </c>
      <c r="G11" s="144">
        <v>986.86948159804183</v>
      </c>
    </row>
    <row r="12" spans="2:7" ht="15" customHeight="1" x14ac:dyDescent="0.2">
      <c r="B12" s="126" t="s">
        <v>12</v>
      </c>
      <c r="C12" s="145">
        <v>5227</v>
      </c>
      <c r="D12" s="145">
        <v>20883</v>
      </c>
      <c r="E12" s="145">
        <v>164355</v>
      </c>
      <c r="F12" s="144">
        <v>299.52171417639181</v>
      </c>
      <c r="G12" s="144">
        <v>687.02772590145094</v>
      </c>
    </row>
    <row r="13" spans="2:7" ht="15" customHeight="1" x14ac:dyDescent="0.2">
      <c r="B13" s="126" t="s">
        <v>13</v>
      </c>
      <c r="C13" s="145">
        <v>4182</v>
      </c>
      <c r="D13" s="145">
        <v>13739</v>
      </c>
      <c r="E13" s="145">
        <v>157817</v>
      </c>
      <c r="F13" s="144">
        <v>228.52702056432329</v>
      </c>
      <c r="G13" s="144">
        <v>1048.6789431545237</v>
      </c>
    </row>
    <row r="14" spans="2:7" ht="15" customHeight="1" x14ac:dyDescent="0.2">
      <c r="B14" s="126" t="s">
        <v>14</v>
      </c>
      <c r="C14" s="145">
        <v>3852</v>
      </c>
      <c r="D14" s="145">
        <v>10075</v>
      </c>
      <c r="E14" s="145">
        <v>176193</v>
      </c>
      <c r="F14" s="144">
        <v>161.55244029075806</v>
      </c>
      <c r="G14" s="144">
        <v>1648.8138957816377</v>
      </c>
    </row>
    <row r="15" spans="2:7" ht="15" customHeight="1" x14ac:dyDescent="0.2">
      <c r="B15" s="126" t="s">
        <v>15</v>
      </c>
      <c r="C15" s="145">
        <v>3546</v>
      </c>
      <c r="D15" s="145">
        <v>10241</v>
      </c>
      <c r="E15" s="145">
        <v>57293</v>
      </c>
      <c r="F15" s="144">
        <v>188.80428652002257</v>
      </c>
      <c r="G15" s="144">
        <v>459.44731959769553</v>
      </c>
    </row>
    <row r="16" spans="2:7" ht="15" customHeight="1" thickBot="1" x14ac:dyDescent="0.25">
      <c r="B16" s="126" t="s">
        <v>16</v>
      </c>
      <c r="C16" s="145">
        <v>3627</v>
      </c>
      <c r="D16" s="145">
        <v>2782</v>
      </c>
      <c r="E16" s="145">
        <v>10775</v>
      </c>
      <c r="F16" s="144">
        <v>-23.297491039426522</v>
      </c>
      <c r="G16" s="144">
        <v>287.31128684399715</v>
      </c>
    </row>
    <row r="17" spans="2:7" ht="15" customHeight="1" thickBot="1" x14ac:dyDescent="0.25">
      <c r="B17" s="38" t="s">
        <v>17</v>
      </c>
      <c r="C17" s="290">
        <v>62441</v>
      </c>
      <c r="D17" s="290">
        <v>89291</v>
      </c>
      <c r="E17" s="290">
        <v>921748</v>
      </c>
      <c r="F17" s="148">
        <v>43.000592559376052</v>
      </c>
      <c r="G17" s="148">
        <v>932.29664803843616</v>
      </c>
    </row>
  </sheetData>
  <mergeCells count="3">
    <mergeCell ref="B1:G1"/>
    <mergeCell ref="C3:E3"/>
    <mergeCell ref="F3:G3"/>
  </mergeCells>
  <printOptions horizontalCentered="1"/>
  <pageMargins left="0.74803149606299213" right="0.74803149606299213" top="0.59055118110236227" bottom="0.19685039370078741" header="0.51181102362204722" footer="0.118110236220472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D1:H19"/>
  <sheetViews>
    <sheetView view="pageBreakPreview" topLeftCell="B1" zoomScale="80" zoomScaleNormal="85" zoomScaleSheetLayoutView="80" workbookViewId="0">
      <selection activeCell="K16" sqref="K16"/>
    </sheetView>
  </sheetViews>
  <sheetFormatPr defaultColWidth="9.140625" defaultRowHeight="12.75" x14ac:dyDescent="0.2"/>
  <cols>
    <col min="1" max="1" width="0" style="237" hidden="1" customWidth="1"/>
    <col min="2" max="2" width="20.85546875" style="237" customWidth="1"/>
    <col min="3" max="3" width="9.28515625" style="237" customWidth="1"/>
    <col min="4" max="4" width="18.7109375" style="6" customWidth="1"/>
    <col min="5" max="7" width="18.7109375" style="237" customWidth="1"/>
    <col min="8" max="8" width="14.28515625" style="237" bestFit="1" customWidth="1"/>
    <col min="9" max="16384" width="9.140625" style="237"/>
  </cols>
  <sheetData>
    <row r="1" spans="4:8" ht="60" customHeight="1" x14ac:dyDescent="0.2">
      <c r="D1" s="431" t="s">
        <v>588</v>
      </c>
      <c r="E1" s="431"/>
      <c r="F1" s="431"/>
      <c r="G1" s="431"/>
    </row>
    <row r="2" spans="4:8" ht="12.75" customHeight="1" x14ac:dyDescent="0.2"/>
    <row r="3" spans="4:8" ht="47.25" x14ac:dyDescent="0.2">
      <c r="D3" s="12"/>
      <c r="E3" s="21" t="s">
        <v>2</v>
      </c>
      <c r="F3" s="21" t="s">
        <v>3</v>
      </c>
      <c r="G3" s="21" t="s">
        <v>4</v>
      </c>
      <c r="H3" s="268"/>
    </row>
    <row r="4" spans="4:8" ht="23.25" customHeight="1" x14ac:dyDescent="0.2">
      <c r="D4" s="12" t="s">
        <v>5</v>
      </c>
      <c r="E4" s="43">
        <v>1281666</v>
      </c>
      <c r="F4" s="43">
        <v>472638</v>
      </c>
      <c r="G4" s="43">
        <v>1754304</v>
      </c>
      <c r="H4" s="268"/>
    </row>
    <row r="5" spans="4:8" ht="23.25" customHeight="1" x14ac:dyDescent="0.2">
      <c r="D5" s="12" t="s">
        <v>6</v>
      </c>
      <c r="E5" s="43">
        <v>1541393</v>
      </c>
      <c r="F5" s="43">
        <v>463623</v>
      </c>
      <c r="G5" s="43">
        <v>2005016</v>
      </c>
      <c r="H5" s="268"/>
    </row>
    <row r="6" spans="4:8" ht="23.25" customHeight="1" x14ac:dyDescent="0.2">
      <c r="D6" s="12" t="s">
        <v>7</v>
      </c>
      <c r="E6" s="43">
        <v>2079565</v>
      </c>
      <c r="F6" s="43">
        <v>472568</v>
      </c>
      <c r="G6" s="43">
        <v>2552133</v>
      </c>
      <c r="H6" s="268"/>
    </row>
    <row r="7" spans="4:8" ht="23.25" customHeight="1" x14ac:dyDescent="0.2">
      <c r="D7" s="12" t="s">
        <v>8</v>
      </c>
      <c r="E7" s="43">
        <v>2574423</v>
      </c>
      <c r="F7" s="43">
        <v>549793</v>
      </c>
      <c r="G7" s="43">
        <v>3124216</v>
      </c>
      <c r="H7" s="268"/>
    </row>
    <row r="8" spans="4:8" ht="23.25" customHeight="1" x14ac:dyDescent="0.2">
      <c r="D8" s="12" t="s">
        <v>9</v>
      </c>
      <c r="E8" s="43">
        <v>3873212</v>
      </c>
      <c r="F8" s="43">
        <v>656919</v>
      </c>
      <c r="G8" s="43">
        <v>4530131</v>
      </c>
      <c r="H8" s="268"/>
    </row>
    <row r="9" spans="4:8" ht="23.25" customHeight="1" x14ac:dyDescent="0.2">
      <c r="D9" s="12" t="s">
        <v>10</v>
      </c>
      <c r="E9" s="43">
        <v>5014821</v>
      </c>
      <c r="F9" s="43">
        <v>549997</v>
      </c>
      <c r="G9" s="43">
        <v>5564818</v>
      </c>
      <c r="H9" s="268"/>
    </row>
    <row r="10" spans="4:8" ht="23.25" customHeight="1" x14ac:dyDescent="0.2">
      <c r="D10" s="12" t="s">
        <v>11</v>
      </c>
      <c r="E10" s="43">
        <v>6664970</v>
      </c>
      <c r="F10" s="43">
        <v>1055722</v>
      </c>
      <c r="G10" s="43">
        <v>7720692</v>
      </c>
      <c r="H10" s="268"/>
    </row>
    <row r="11" spans="4:8" ht="23.25" customHeight="1" x14ac:dyDescent="0.2">
      <c r="D11" s="12" t="s">
        <v>12</v>
      </c>
      <c r="E11" s="43">
        <v>6304770</v>
      </c>
      <c r="F11" s="43">
        <v>697452</v>
      </c>
      <c r="G11" s="43">
        <v>7002222</v>
      </c>
      <c r="H11" s="268"/>
    </row>
    <row r="12" spans="4:8" ht="23.25" customHeight="1" x14ac:dyDescent="0.2">
      <c r="D12" s="12" t="s">
        <v>13</v>
      </c>
      <c r="E12" s="43">
        <v>5475453</v>
      </c>
      <c r="F12" s="43">
        <v>517914</v>
      </c>
      <c r="G12" s="43">
        <v>5993367</v>
      </c>
      <c r="H12" s="268"/>
    </row>
    <row r="13" spans="4:8" ht="23.25" customHeight="1" x14ac:dyDescent="0.2">
      <c r="D13" s="12" t="s">
        <v>14</v>
      </c>
      <c r="E13" s="43">
        <v>4803198</v>
      </c>
      <c r="F13" s="43">
        <v>569922</v>
      </c>
      <c r="G13" s="43">
        <v>5373120</v>
      </c>
      <c r="H13" s="268"/>
    </row>
    <row r="14" spans="4:8" ht="23.25" customHeight="1" x14ac:dyDescent="0.2">
      <c r="D14" s="12" t="s">
        <v>15</v>
      </c>
      <c r="E14" s="43">
        <v>2551483</v>
      </c>
      <c r="F14" s="43">
        <v>402877</v>
      </c>
      <c r="G14" s="43">
        <v>2954360</v>
      </c>
      <c r="H14" s="268"/>
    </row>
    <row r="15" spans="4:8" ht="23.25" customHeight="1" x14ac:dyDescent="0.2">
      <c r="D15" s="12" t="s">
        <v>16</v>
      </c>
      <c r="E15" s="43">
        <v>2399441</v>
      </c>
      <c r="F15" s="43">
        <v>413693</v>
      </c>
      <c r="G15" s="43">
        <v>2813134</v>
      </c>
      <c r="H15" s="268"/>
    </row>
    <row r="16" spans="4:8" ht="23.25" customHeight="1" x14ac:dyDescent="0.2">
      <c r="D16" s="257" t="s">
        <v>17</v>
      </c>
      <c r="E16" s="258">
        <v>44564395</v>
      </c>
      <c r="F16" s="258">
        <v>6823118</v>
      </c>
      <c r="G16" s="258">
        <v>51387513</v>
      </c>
      <c r="H16" s="268"/>
    </row>
    <row r="17" spans="4:7" ht="11.25" customHeight="1" x14ac:dyDescent="0.2">
      <c r="D17" s="239"/>
      <c r="E17" s="1"/>
      <c r="F17" s="1"/>
      <c r="G17" s="1"/>
    </row>
    <row r="18" spans="4:7" ht="45.75" customHeight="1" x14ac:dyDescent="0.2">
      <c r="D18" s="432" t="s">
        <v>18</v>
      </c>
      <c r="E18" s="433"/>
      <c r="F18" s="433"/>
      <c r="G18" s="433"/>
    </row>
    <row r="19" spans="4:7" ht="33.75" customHeight="1" x14ac:dyDescent="0.2">
      <c r="D19" s="432" t="s">
        <v>19</v>
      </c>
      <c r="E19" s="433"/>
      <c r="F19" s="433"/>
      <c r="G19" s="433"/>
    </row>
  </sheetData>
  <mergeCells count="3">
    <mergeCell ref="D1:G1"/>
    <mergeCell ref="D18:G18"/>
    <mergeCell ref="D19:G19"/>
  </mergeCells>
  <printOptions horizontalCentered="1"/>
  <pageMargins left="0.70866141732283472" right="0.70866141732283472" top="0.74803149606299213" bottom="0.74803149606299213" header="0.31496062992125984" footer="0.31496062992125984"/>
  <pageSetup paperSize="9" scale="60"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50"/>
  <sheetViews>
    <sheetView view="pageBreakPreview" zoomScaleNormal="100" zoomScaleSheetLayoutView="100" workbookViewId="0"/>
  </sheetViews>
  <sheetFormatPr defaultColWidth="9.140625" defaultRowHeight="12.75" x14ac:dyDescent="0.2"/>
  <cols>
    <col min="1" max="1" width="9.140625" style="123"/>
    <col min="2" max="2" width="11.28515625" style="6" customWidth="1"/>
    <col min="3" max="3" width="29" style="6" bestFit="1" customWidth="1"/>
    <col min="4" max="4" width="8.140625" customWidth="1"/>
    <col min="5" max="5" width="6.28515625" customWidth="1"/>
    <col min="6" max="6" width="7.28515625" customWidth="1"/>
    <col min="7" max="7" width="6.28515625" customWidth="1"/>
    <col min="8" max="8" width="6.7109375" customWidth="1"/>
    <col min="9" max="9" width="6.85546875" customWidth="1"/>
    <col min="10" max="10" width="9" customWidth="1"/>
    <col min="11" max="11" width="8.7109375" customWidth="1"/>
    <col min="12" max="12" width="10.140625" customWidth="1"/>
    <col min="13" max="14" width="7.85546875" bestFit="1" customWidth="1"/>
    <col min="15" max="15" width="7.140625" customWidth="1"/>
    <col min="16" max="16" width="7.85546875" customWidth="1"/>
    <col min="17" max="17" width="8.85546875" customWidth="1"/>
  </cols>
  <sheetData>
    <row r="1" spans="2:17" ht="30" customHeight="1" thickBot="1" x14ac:dyDescent="0.25">
      <c r="B1" s="502" t="s">
        <v>626</v>
      </c>
      <c r="C1" s="503"/>
      <c r="D1" s="503"/>
      <c r="E1" s="503"/>
      <c r="F1" s="503"/>
      <c r="G1" s="503"/>
      <c r="H1" s="503"/>
      <c r="I1" s="503"/>
      <c r="J1" s="503"/>
      <c r="K1" s="503"/>
      <c r="L1" s="503"/>
      <c r="M1" s="503"/>
      <c r="N1" s="503"/>
      <c r="O1" s="503"/>
      <c r="P1" s="503"/>
      <c r="Q1" s="503"/>
    </row>
    <row r="2" spans="2:17" ht="15" customHeight="1" thickBot="1" x14ac:dyDescent="0.25">
      <c r="B2" s="350" t="s">
        <v>0</v>
      </c>
      <c r="C2" s="350" t="s">
        <v>0</v>
      </c>
      <c r="D2" s="304" t="s">
        <v>0</v>
      </c>
      <c r="E2" s="504" t="s">
        <v>265</v>
      </c>
      <c r="F2" s="504"/>
      <c r="G2" s="504"/>
      <c r="H2" s="504"/>
      <c r="I2" s="504"/>
      <c r="J2" s="504"/>
      <c r="K2" s="504"/>
      <c r="L2" s="504"/>
      <c r="M2" s="504"/>
      <c r="N2" s="504"/>
      <c r="O2" s="504"/>
      <c r="P2" s="504"/>
      <c r="Q2" s="304"/>
    </row>
    <row r="3" spans="2:17" ht="15" customHeight="1" thickBot="1" x14ac:dyDescent="0.25">
      <c r="B3" s="505" t="s">
        <v>559</v>
      </c>
      <c r="C3" s="505"/>
      <c r="D3" s="505"/>
      <c r="E3" s="214" t="s">
        <v>5</v>
      </c>
      <c r="F3" s="214" t="s">
        <v>6</v>
      </c>
      <c r="G3" s="214" t="s">
        <v>7</v>
      </c>
      <c r="H3" s="214" t="s">
        <v>8</v>
      </c>
      <c r="I3" s="214" t="s">
        <v>9</v>
      </c>
      <c r="J3" s="214" t="s">
        <v>10</v>
      </c>
      <c r="K3" s="214" t="s">
        <v>11</v>
      </c>
      <c r="L3" s="214" t="s">
        <v>12</v>
      </c>
      <c r="M3" s="214" t="s">
        <v>13</v>
      </c>
      <c r="N3" s="214" t="s">
        <v>14</v>
      </c>
      <c r="O3" s="214" t="s">
        <v>15</v>
      </c>
      <c r="P3" s="214" t="s">
        <v>16</v>
      </c>
      <c r="Q3" s="356" t="s">
        <v>17</v>
      </c>
    </row>
    <row r="4" spans="2:17" ht="15" customHeight="1" x14ac:dyDescent="0.2">
      <c r="B4" s="473" t="s">
        <v>307</v>
      </c>
      <c r="C4" s="352" t="s">
        <v>370</v>
      </c>
      <c r="D4" s="467" t="s">
        <v>270</v>
      </c>
      <c r="E4" s="153"/>
      <c r="F4" s="153"/>
      <c r="G4" s="153">
        <v>134</v>
      </c>
      <c r="H4" s="153"/>
      <c r="I4" s="153">
        <v>2792</v>
      </c>
      <c r="J4" s="153">
        <v>1813</v>
      </c>
      <c r="K4" s="153">
        <v>2127</v>
      </c>
      <c r="L4" s="153">
        <v>1796</v>
      </c>
      <c r="M4" s="153">
        <v>4098</v>
      </c>
      <c r="N4" s="153">
        <v>5152</v>
      </c>
      <c r="O4" s="153">
        <v>4869</v>
      </c>
      <c r="P4" s="153">
        <v>386</v>
      </c>
      <c r="Q4" s="154">
        <v>23167</v>
      </c>
    </row>
    <row r="5" spans="2:17" ht="15" customHeight="1" x14ac:dyDescent="0.2">
      <c r="B5" s="474"/>
      <c r="C5" s="353" t="s">
        <v>606</v>
      </c>
      <c r="D5" s="501"/>
      <c r="E5" s="155"/>
      <c r="F5" s="155"/>
      <c r="G5" s="155"/>
      <c r="H5" s="155"/>
      <c r="I5" s="155"/>
      <c r="J5" s="155"/>
      <c r="K5" s="155">
        <v>888</v>
      </c>
      <c r="L5" s="155">
        <v>41</v>
      </c>
      <c r="M5" s="155">
        <v>37</v>
      </c>
      <c r="N5" s="155">
        <v>12</v>
      </c>
      <c r="O5" s="155"/>
      <c r="P5" s="155"/>
      <c r="Q5" s="156">
        <v>978</v>
      </c>
    </row>
    <row r="6" spans="2:17" ht="15" customHeight="1" x14ac:dyDescent="0.2">
      <c r="B6" s="474"/>
      <c r="C6" s="353" t="s">
        <v>369</v>
      </c>
      <c r="D6" s="501"/>
      <c r="E6" s="155"/>
      <c r="F6" s="155"/>
      <c r="G6" s="155"/>
      <c r="H6" s="155"/>
      <c r="I6" s="155"/>
      <c r="J6" s="155"/>
      <c r="K6" s="155"/>
      <c r="L6" s="155"/>
      <c r="M6" s="155"/>
      <c r="N6" s="155">
        <v>39</v>
      </c>
      <c r="O6" s="155"/>
      <c r="P6" s="155"/>
      <c r="Q6" s="156">
        <v>39</v>
      </c>
    </row>
    <row r="7" spans="2:17" ht="15" customHeight="1" x14ac:dyDescent="0.2">
      <c r="B7" s="474"/>
      <c r="C7" s="353" t="s">
        <v>367</v>
      </c>
      <c r="D7" s="501"/>
      <c r="E7" s="155"/>
      <c r="F7" s="155"/>
      <c r="G7" s="155"/>
      <c r="H7" s="155"/>
      <c r="I7" s="155"/>
      <c r="J7" s="155"/>
      <c r="K7" s="155"/>
      <c r="L7" s="155"/>
      <c r="M7" s="155"/>
      <c r="N7" s="155"/>
      <c r="O7" s="155">
        <v>526</v>
      </c>
      <c r="P7" s="155"/>
      <c r="Q7" s="156">
        <v>526</v>
      </c>
    </row>
    <row r="8" spans="2:17" ht="15" customHeight="1" x14ac:dyDescent="0.2">
      <c r="B8" s="474"/>
      <c r="C8" s="353" t="s">
        <v>368</v>
      </c>
      <c r="D8" s="501"/>
      <c r="E8" s="155"/>
      <c r="F8" s="155"/>
      <c r="G8" s="155"/>
      <c r="H8" s="155"/>
      <c r="I8" s="155"/>
      <c r="J8" s="155"/>
      <c r="K8" s="155"/>
      <c r="L8" s="155"/>
      <c r="M8" s="155"/>
      <c r="N8" s="155"/>
      <c r="O8" s="155">
        <v>479</v>
      </c>
      <c r="P8" s="155"/>
      <c r="Q8" s="156">
        <v>479</v>
      </c>
    </row>
    <row r="9" spans="2:17" ht="15" customHeight="1" thickBot="1" x14ac:dyDescent="0.25">
      <c r="B9" s="475"/>
      <c r="C9" s="306" t="s">
        <v>17</v>
      </c>
      <c r="D9" s="305" t="s">
        <v>264</v>
      </c>
      <c r="E9" s="158"/>
      <c r="F9" s="158"/>
      <c r="G9" s="158">
        <v>134</v>
      </c>
      <c r="H9" s="158"/>
      <c r="I9" s="158">
        <v>2792</v>
      </c>
      <c r="J9" s="158">
        <v>1813</v>
      </c>
      <c r="K9" s="158">
        <v>3015</v>
      </c>
      <c r="L9" s="158">
        <v>1837</v>
      </c>
      <c r="M9" s="158">
        <v>4135</v>
      </c>
      <c r="N9" s="158">
        <v>5203</v>
      </c>
      <c r="O9" s="158">
        <v>5874</v>
      </c>
      <c r="P9" s="158">
        <v>386</v>
      </c>
      <c r="Q9" s="159">
        <v>25189</v>
      </c>
    </row>
    <row r="10" spans="2:17" ht="15" customHeight="1" thickBot="1" x14ac:dyDescent="0.25">
      <c r="B10" s="351" t="s">
        <v>310</v>
      </c>
      <c r="C10" s="303" t="s">
        <v>378</v>
      </c>
      <c r="D10" s="302" t="s">
        <v>270</v>
      </c>
      <c r="E10" s="149">
        <v>814</v>
      </c>
      <c r="F10" s="149">
        <v>294</v>
      </c>
      <c r="G10" s="149">
        <v>287</v>
      </c>
      <c r="H10" s="149">
        <v>18834</v>
      </c>
      <c r="I10" s="149">
        <v>51947</v>
      </c>
      <c r="J10" s="149">
        <v>65292</v>
      </c>
      <c r="K10" s="149">
        <v>59901</v>
      </c>
      <c r="L10" s="149">
        <v>79632</v>
      </c>
      <c r="M10" s="149">
        <v>63313</v>
      </c>
      <c r="N10" s="149">
        <v>89750</v>
      </c>
      <c r="O10" s="149">
        <v>30477</v>
      </c>
      <c r="P10" s="149">
        <v>6156</v>
      </c>
      <c r="Q10" s="150">
        <v>466697</v>
      </c>
    </row>
    <row r="11" spans="2:17" ht="15" customHeight="1" thickBot="1" x14ac:dyDescent="0.25">
      <c r="B11" s="105" t="s">
        <v>314</v>
      </c>
      <c r="C11" s="64" t="s">
        <v>384</v>
      </c>
      <c r="D11" s="307" t="s">
        <v>270</v>
      </c>
      <c r="E11" s="151">
        <v>7</v>
      </c>
      <c r="F11" s="151">
        <v>39</v>
      </c>
      <c r="G11" s="151">
        <v>21</v>
      </c>
      <c r="H11" s="151">
        <v>13</v>
      </c>
      <c r="I11" s="151">
        <v>27</v>
      </c>
      <c r="J11" s="151">
        <v>61</v>
      </c>
      <c r="K11" s="151">
        <v>40</v>
      </c>
      <c r="L11" s="151">
        <v>70</v>
      </c>
      <c r="M11" s="151">
        <v>21</v>
      </c>
      <c r="N11" s="151">
        <v>90</v>
      </c>
      <c r="O11" s="151">
        <v>107</v>
      </c>
      <c r="P11" s="151">
        <v>83</v>
      </c>
      <c r="Q11" s="59">
        <v>579</v>
      </c>
    </row>
    <row r="12" spans="2:17" ht="15" customHeight="1" x14ac:dyDescent="0.2">
      <c r="B12" s="499" t="s">
        <v>315</v>
      </c>
      <c r="C12" s="354" t="s">
        <v>385</v>
      </c>
      <c r="D12" s="500" t="s">
        <v>270</v>
      </c>
      <c r="E12" s="47">
        <v>1</v>
      </c>
      <c r="F12" s="47"/>
      <c r="G12" s="47">
        <v>1</v>
      </c>
      <c r="H12" s="47">
        <v>2</v>
      </c>
      <c r="I12" s="47"/>
      <c r="J12" s="47"/>
      <c r="K12" s="47"/>
      <c r="L12" s="47">
        <v>1</v>
      </c>
      <c r="M12" s="47"/>
      <c r="N12" s="47"/>
      <c r="O12" s="47"/>
      <c r="P12" s="47"/>
      <c r="Q12" s="120">
        <v>5</v>
      </c>
    </row>
    <row r="13" spans="2:17" ht="15" customHeight="1" x14ac:dyDescent="0.2">
      <c r="B13" s="499"/>
      <c r="C13" s="354" t="s">
        <v>390</v>
      </c>
      <c r="D13" s="500"/>
      <c r="E13" s="47"/>
      <c r="F13" s="47">
        <v>4</v>
      </c>
      <c r="G13" s="47">
        <v>1</v>
      </c>
      <c r="H13" s="47"/>
      <c r="I13" s="47">
        <v>2</v>
      </c>
      <c r="J13" s="47">
        <v>3</v>
      </c>
      <c r="K13" s="47">
        <v>1</v>
      </c>
      <c r="L13" s="47">
        <v>8</v>
      </c>
      <c r="M13" s="47">
        <v>5</v>
      </c>
      <c r="N13" s="47"/>
      <c r="O13" s="47"/>
      <c r="P13" s="47">
        <v>22</v>
      </c>
      <c r="Q13" s="120">
        <v>46</v>
      </c>
    </row>
    <row r="14" spans="2:17" ht="15" customHeight="1" x14ac:dyDescent="0.2">
      <c r="B14" s="499"/>
      <c r="C14" s="354" t="s">
        <v>387</v>
      </c>
      <c r="D14" s="500"/>
      <c r="E14" s="47"/>
      <c r="F14" s="47"/>
      <c r="G14" s="47">
        <v>6</v>
      </c>
      <c r="H14" s="47">
        <v>1</v>
      </c>
      <c r="I14" s="47">
        <v>2302</v>
      </c>
      <c r="J14" s="47">
        <v>1833</v>
      </c>
      <c r="K14" s="47">
        <v>1911</v>
      </c>
      <c r="L14" s="47">
        <v>2385</v>
      </c>
      <c r="M14" s="47">
        <v>381</v>
      </c>
      <c r="N14" s="47">
        <v>2443</v>
      </c>
      <c r="O14" s="47">
        <v>2409</v>
      </c>
      <c r="P14" s="47"/>
      <c r="Q14" s="120">
        <v>13671</v>
      </c>
    </row>
    <row r="15" spans="2:17" ht="15" customHeight="1" x14ac:dyDescent="0.2">
      <c r="B15" s="499"/>
      <c r="C15" s="354" t="s">
        <v>391</v>
      </c>
      <c r="D15" s="500"/>
      <c r="E15" s="47"/>
      <c r="F15" s="47"/>
      <c r="G15" s="47"/>
      <c r="H15" s="47">
        <v>689</v>
      </c>
      <c r="I15" s="47">
        <v>1151</v>
      </c>
      <c r="J15" s="47">
        <v>404</v>
      </c>
      <c r="K15" s="47">
        <v>1084</v>
      </c>
      <c r="L15" s="47">
        <v>822</v>
      </c>
      <c r="M15" s="47">
        <v>912</v>
      </c>
      <c r="N15" s="47">
        <v>748</v>
      </c>
      <c r="O15" s="47">
        <v>580</v>
      </c>
      <c r="P15" s="47"/>
      <c r="Q15" s="120">
        <v>6390</v>
      </c>
    </row>
    <row r="16" spans="2:17" ht="15" customHeight="1" x14ac:dyDescent="0.2">
      <c r="B16" s="499"/>
      <c r="C16" s="354" t="s">
        <v>386</v>
      </c>
      <c r="D16" s="500"/>
      <c r="E16" s="47"/>
      <c r="F16" s="47"/>
      <c r="G16" s="47"/>
      <c r="H16" s="47"/>
      <c r="I16" s="47"/>
      <c r="J16" s="47">
        <v>1</v>
      </c>
      <c r="K16" s="47"/>
      <c r="L16" s="47"/>
      <c r="M16" s="47"/>
      <c r="N16" s="47">
        <v>1</v>
      </c>
      <c r="O16" s="47"/>
      <c r="P16" s="47">
        <v>2</v>
      </c>
      <c r="Q16" s="120">
        <v>4</v>
      </c>
    </row>
    <row r="17" spans="2:17" ht="15" customHeight="1" x14ac:dyDescent="0.2">
      <c r="B17" s="499"/>
      <c r="C17" s="354" t="s">
        <v>608</v>
      </c>
      <c r="D17" s="500"/>
      <c r="E17" s="47"/>
      <c r="F17" s="47"/>
      <c r="G17" s="47"/>
      <c r="H17" s="47"/>
      <c r="I17" s="47"/>
      <c r="J17" s="47"/>
      <c r="K17" s="47"/>
      <c r="L17" s="47"/>
      <c r="M17" s="47">
        <v>381</v>
      </c>
      <c r="N17" s="47"/>
      <c r="O17" s="47"/>
      <c r="P17" s="47"/>
      <c r="Q17" s="120">
        <v>381</v>
      </c>
    </row>
    <row r="18" spans="2:17" ht="15" customHeight="1" thickBot="1" x14ac:dyDescent="0.25">
      <c r="B18" s="499"/>
      <c r="C18" s="303" t="s">
        <v>17</v>
      </c>
      <c r="D18" s="302" t="s">
        <v>264</v>
      </c>
      <c r="E18" s="149">
        <v>1</v>
      </c>
      <c r="F18" s="149">
        <v>4</v>
      </c>
      <c r="G18" s="149">
        <v>8</v>
      </c>
      <c r="H18" s="149">
        <v>692</v>
      </c>
      <c r="I18" s="149">
        <v>3455</v>
      </c>
      <c r="J18" s="149">
        <v>2241</v>
      </c>
      <c r="K18" s="149">
        <v>2996</v>
      </c>
      <c r="L18" s="149">
        <v>3216</v>
      </c>
      <c r="M18" s="149">
        <v>1679</v>
      </c>
      <c r="N18" s="149">
        <v>3192</v>
      </c>
      <c r="O18" s="149">
        <v>2989</v>
      </c>
      <c r="P18" s="149">
        <v>24</v>
      </c>
      <c r="Q18" s="150">
        <v>20497</v>
      </c>
    </row>
    <row r="19" spans="2:17" ht="15" customHeight="1" thickBot="1" x14ac:dyDescent="0.25">
      <c r="B19" s="105" t="s">
        <v>324</v>
      </c>
      <c r="C19" s="64" t="s">
        <v>406</v>
      </c>
      <c r="D19" s="307" t="s">
        <v>270</v>
      </c>
      <c r="E19" s="151">
        <v>60</v>
      </c>
      <c r="F19" s="151">
        <v>39</v>
      </c>
      <c r="G19" s="151">
        <v>27</v>
      </c>
      <c r="H19" s="151">
        <v>16</v>
      </c>
      <c r="I19" s="151">
        <v>22</v>
      </c>
      <c r="J19" s="151"/>
      <c r="K19" s="151"/>
      <c r="L19" s="151">
        <v>2</v>
      </c>
      <c r="M19" s="151">
        <v>12</v>
      </c>
      <c r="N19" s="151"/>
      <c r="O19" s="151"/>
      <c r="P19" s="151">
        <v>58</v>
      </c>
      <c r="Q19" s="59">
        <v>236</v>
      </c>
    </row>
    <row r="20" spans="2:17" ht="15" customHeight="1" x14ac:dyDescent="0.2">
      <c r="B20" s="499" t="s">
        <v>329</v>
      </c>
      <c r="C20" s="354" t="s">
        <v>440</v>
      </c>
      <c r="D20" s="500" t="s">
        <v>270</v>
      </c>
      <c r="E20" s="47">
        <v>8</v>
      </c>
      <c r="F20" s="47"/>
      <c r="G20" s="47">
        <v>63</v>
      </c>
      <c r="H20" s="47">
        <v>9365</v>
      </c>
      <c r="I20" s="47">
        <v>9463</v>
      </c>
      <c r="J20" s="47">
        <v>13830</v>
      </c>
      <c r="K20" s="47">
        <v>14826</v>
      </c>
      <c r="L20" s="47">
        <v>15839</v>
      </c>
      <c r="M20" s="47">
        <v>19771</v>
      </c>
      <c r="N20" s="47">
        <v>28570</v>
      </c>
      <c r="O20" s="47">
        <v>6429</v>
      </c>
      <c r="P20" s="47">
        <v>473</v>
      </c>
      <c r="Q20" s="120">
        <v>118637</v>
      </c>
    </row>
    <row r="21" spans="2:17" ht="15" customHeight="1" x14ac:dyDescent="0.2">
      <c r="B21" s="499"/>
      <c r="C21" s="354" t="s">
        <v>439</v>
      </c>
      <c r="D21" s="500"/>
      <c r="E21" s="47"/>
      <c r="F21" s="47"/>
      <c r="G21" s="47"/>
      <c r="H21" s="47"/>
      <c r="I21" s="47">
        <v>734</v>
      </c>
      <c r="J21" s="47">
        <v>95</v>
      </c>
      <c r="K21" s="47">
        <v>557</v>
      </c>
      <c r="L21" s="47">
        <v>1784</v>
      </c>
      <c r="M21" s="47">
        <v>3453</v>
      </c>
      <c r="N21" s="47">
        <v>3329</v>
      </c>
      <c r="O21" s="47">
        <v>1360</v>
      </c>
      <c r="P21" s="47">
        <v>439</v>
      </c>
      <c r="Q21" s="120">
        <v>11751</v>
      </c>
    </row>
    <row r="22" spans="2:17" ht="15" customHeight="1" thickBot="1" x14ac:dyDescent="0.25">
      <c r="B22" s="499"/>
      <c r="C22" s="303" t="s">
        <v>17</v>
      </c>
      <c r="D22" s="302" t="s">
        <v>264</v>
      </c>
      <c r="E22" s="149">
        <v>8</v>
      </c>
      <c r="F22" s="149"/>
      <c r="G22" s="149">
        <v>63</v>
      </c>
      <c r="H22" s="149">
        <v>9365</v>
      </c>
      <c r="I22" s="149">
        <v>10197</v>
      </c>
      <c r="J22" s="149">
        <v>13925</v>
      </c>
      <c r="K22" s="149">
        <v>15383</v>
      </c>
      <c r="L22" s="149">
        <v>17623</v>
      </c>
      <c r="M22" s="149">
        <v>23224</v>
      </c>
      <c r="N22" s="149">
        <v>31899</v>
      </c>
      <c r="O22" s="149">
        <v>7789</v>
      </c>
      <c r="P22" s="149">
        <v>912</v>
      </c>
      <c r="Q22" s="150">
        <v>130388</v>
      </c>
    </row>
    <row r="23" spans="2:17" ht="15" customHeight="1" x14ac:dyDescent="0.2">
      <c r="B23" s="473" t="s">
        <v>330</v>
      </c>
      <c r="C23" s="352" t="s">
        <v>445</v>
      </c>
      <c r="D23" s="467" t="s">
        <v>270</v>
      </c>
      <c r="E23" s="153"/>
      <c r="F23" s="153"/>
      <c r="G23" s="153"/>
      <c r="H23" s="153">
        <v>389</v>
      </c>
      <c r="I23" s="153"/>
      <c r="J23" s="153">
        <v>1177</v>
      </c>
      <c r="K23" s="153">
        <v>147</v>
      </c>
      <c r="L23" s="153">
        <v>1109</v>
      </c>
      <c r="M23" s="153">
        <v>773</v>
      </c>
      <c r="N23" s="153">
        <v>384</v>
      </c>
      <c r="O23" s="153">
        <v>694</v>
      </c>
      <c r="P23" s="153"/>
      <c r="Q23" s="154">
        <v>4673</v>
      </c>
    </row>
    <row r="24" spans="2:17" ht="15" customHeight="1" x14ac:dyDescent="0.2">
      <c r="B24" s="474"/>
      <c r="C24" s="353" t="s">
        <v>442</v>
      </c>
      <c r="D24" s="501"/>
      <c r="E24" s="155"/>
      <c r="F24" s="155"/>
      <c r="G24" s="155"/>
      <c r="H24" s="155"/>
      <c r="I24" s="155">
        <v>4011</v>
      </c>
      <c r="J24" s="155">
        <v>3636</v>
      </c>
      <c r="K24" s="155">
        <v>3691</v>
      </c>
      <c r="L24" s="155">
        <v>5710</v>
      </c>
      <c r="M24" s="155">
        <v>10755</v>
      </c>
      <c r="N24" s="155">
        <v>1803</v>
      </c>
      <c r="O24" s="155">
        <v>3492</v>
      </c>
      <c r="P24" s="155">
        <v>474</v>
      </c>
      <c r="Q24" s="156">
        <v>33572</v>
      </c>
    </row>
    <row r="25" spans="2:17" ht="15" customHeight="1" x14ac:dyDescent="0.2">
      <c r="B25" s="474"/>
      <c r="C25" s="353" t="s">
        <v>441</v>
      </c>
      <c r="D25" s="501"/>
      <c r="E25" s="155"/>
      <c r="F25" s="155"/>
      <c r="G25" s="155"/>
      <c r="H25" s="155"/>
      <c r="I25" s="155"/>
      <c r="J25" s="155">
        <v>404</v>
      </c>
      <c r="K25" s="155">
        <v>999</v>
      </c>
      <c r="L25" s="155">
        <v>2887</v>
      </c>
      <c r="M25" s="155">
        <v>1650</v>
      </c>
      <c r="N25" s="155">
        <v>1187</v>
      </c>
      <c r="O25" s="155">
        <v>644</v>
      </c>
      <c r="P25" s="155"/>
      <c r="Q25" s="156">
        <v>7771</v>
      </c>
    </row>
    <row r="26" spans="2:17" ht="15" customHeight="1" thickBot="1" x14ac:dyDescent="0.25">
      <c r="B26" s="475"/>
      <c r="C26" s="306" t="s">
        <v>17</v>
      </c>
      <c r="D26" s="305" t="s">
        <v>264</v>
      </c>
      <c r="E26" s="158"/>
      <c r="F26" s="158"/>
      <c r="G26" s="158"/>
      <c r="H26" s="158">
        <v>389</v>
      </c>
      <c r="I26" s="158">
        <v>4011</v>
      </c>
      <c r="J26" s="158">
        <v>5217</v>
      </c>
      <c r="K26" s="158">
        <v>4837</v>
      </c>
      <c r="L26" s="158">
        <v>9706</v>
      </c>
      <c r="M26" s="158">
        <v>13178</v>
      </c>
      <c r="N26" s="158">
        <v>3374</v>
      </c>
      <c r="O26" s="158">
        <v>4830</v>
      </c>
      <c r="P26" s="158">
        <v>474</v>
      </c>
      <c r="Q26" s="159">
        <v>46016</v>
      </c>
    </row>
    <row r="27" spans="2:17" ht="15" customHeight="1" x14ac:dyDescent="0.2">
      <c r="B27" s="499" t="s">
        <v>343</v>
      </c>
      <c r="C27" s="354" t="s">
        <v>460</v>
      </c>
      <c r="D27" s="500" t="s">
        <v>270</v>
      </c>
      <c r="E27" s="47"/>
      <c r="F27" s="47"/>
      <c r="G27" s="47"/>
      <c r="H27" s="47">
        <v>446</v>
      </c>
      <c r="I27" s="47">
        <v>7965</v>
      </c>
      <c r="J27" s="47">
        <v>11256</v>
      </c>
      <c r="K27" s="47">
        <v>17200</v>
      </c>
      <c r="L27" s="47">
        <v>18724</v>
      </c>
      <c r="M27" s="47">
        <v>15854</v>
      </c>
      <c r="N27" s="47">
        <v>12140</v>
      </c>
      <c r="O27" s="47">
        <v>399</v>
      </c>
      <c r="P27" s="47">
        <v>189</v>
      </c>
      <c r="Q27" s="120">
        <v>84173</v>
      </c>
    </row>
    <row r="28" spans="2:17" ht="15" customHeight="1" x14ac:dyDescent="0.2">
      <c r="B28" s="499"/>
      <c r="C28" s="354" t="s">
        <v>462</v>
      </c>
      <c r="D28" s="500"/>
      <c r="E28" s="47"/>
      <c r="F28" s="47"/>
      <c r="G28" s="47"/>
      <c r="H28" s="47">
        <v>2164</v>
      </c>
      <c r="I28" s="47">
        <v>2178</v>
      </c>
      <c r="J28" s="47">
        <v>2757</v>
      </c>
      <c r="K28" s="47">
        <v>14467</v>
      </c>
      <c r="L28" s="47">
        <v>20942</v>
      </c>
      <c r="M28" s="47">
        <v>20739</v>
      </c>
      <c r="N28" s="47">
        <v>9715</v>
      </c>
      <c r="O28" s="47">
        <v>2070</v>
      </c>
      <c r="P28" s="47"/>
      <c r="Q28" s="120">
        <v>75032</v>
      </c>
    </row>
    <row r="29" spans="2:17" ht="15" customHeight="1" x14ac:dyDescent="0.2">
      <c r="B29" s="499"/>
      <c r="C29" s="354" t="s">
        <v>466</v>
      </c>
      <c r="D29" s="500"/>
      <c r="E29" s="47"/>
      <c r="F29" s="47"/>
      <c r="G29" s="47"/>
      <c r="H29" s="47">
        <v>179</v>
      </c>
      <c r="I29" s="47">
        <v>3470</v>
      </c>
      <c r="J29" s="47">
        <v>4262</v>
      </c>
      <c r="K29" s="47">
        <v>4183</v>
      </c>
      <c r="L29" s="47">
        <v>7001</v>
      </c>
      <c r="M29" s="47">
        <v>6776</v>
      </c>
      <c r="N29" s="47">
        <v>9295</v>
      </c>
      <c r="O29" s="47">
        <v>640</v>
      </c>
      <c r="P29" s="47">
        <v>310</v>
      </c>
      <c r="Q29" s="120">
        <v>36116</v>
      </c>
    </row>
    <row r="30" spans="2:17" ht="15" customHeight="1" x14ac:dyDescent="0.2">
      <c r="B30" s="499"/>
      <c r="C30" s="354" t="s">
        <v>467</v>
      </c>
      <c r="D30" s="500"/>
      <c r="E30" s="47"/>
      <c r="F30" s="47"/>
      <c r="G30" s="47"/>
      <c r="H30" s="47"/>
      <c r="I30" s="47"/>
      <c r="J30" s="47"/>
      <c r="K30" s="47">
        <v>942</v>
      </c>
      <c r="L30" s="47">
        <v>75</v>
      </c>
      <c r="M30" s="47">
        <v>25</v>
      </c>
      <c r="N30" s="47"/>
      <c r="O30" s="47">
        <v>465</v>
      </c>
      <c r="P30" s="47"/>
      <c r="Q30" s="120">
        <v>1507</v>
      </c>
    </row>
    <row r="31" spans="2:17" ht="15" customHeight="1" x14ac:dyDescent="0.2">
      <c r="B31" s="499"/>
      <c r="C31" s="354" t="s">
        <v>461</v>
      </c>
      <c r="D31" s="500"/>
      <c r="E31" s="47"/>
      <c r="F31" s="47"/>
      <c r="G31" s="47"/>
      <c r="H31" s="47"/>
      <c r="I31" s="47"/>
      <c r="J31" s="47"/>
      <c r="K31" s="47"/>
      <c r="L31" s="47"/>
      <c r="M31" s="47"/>
      <c r="N31" s="47">
        <v>114</v>
      </c>
      <c r="O31" s="47">
        <v>83</v>
      </c>
      <c r="P31" s="47">
        <v>19</v>
      </c>
      <c r="Q31" s="120">
        <v>216</v>
      </c>
    </row>
    <row r="32" spans="2:17" ht="15" customHeight="1" x14ac:dyDescent="0.2">
      <c r="B32" s="499"/>
      <c r="C32" s="354" t="s">
        <v>469</v>
      </c>
      <c r="D32" s="500"/>
      <c r="E32" s="47"/>
      <c r="F32" s="47"/>
      <c r="G32" s="47"/>
      <c r="H32" s="47"/>
      <c r="I32" s="47"/>
      <c r="J32" s="47"/>
      <c r="K32" s="47"/>
      <c r="L32" s="47"/>
      <c r="M32" s="47"/>
      <c r="N32" s="47"/>
      <c r="O32" s="47">
        <v>181</v>
      </c>
      <c r="P32" s="47"/>
      <c r="Q32" s="120">
        <v>181</v>
      </c>
    </row>
    <row r="33" spans="2:17" ht="15" customHeight="1" thickBot="1" x14ac:dyDescent="0.25">
      <c r="B33" s="499"/>
      <c r="C33" s="303" t="s">
        <v>17</v>
      </c>
      <c r="D33" s="302" t="s">
        <v>264</v>
      </c>
      <c r="E33" s="149"/>
      <c r="F33" s="149"/>
      <c r="G33" s="149"/>
      <c r="H33" s="149">
        <v>2789</v>
      </c>
      <c r="I33" s="149">
        <v>13613</v>
      </c>
      <c r="J33" s="149">
        <v>18275</v>
      </c>
      <c r="K33" s="149">
        <v>36792</v>
      </c>
      <c r="L33" s="149">
        <v>46742</v>
      </c>
      <c r="M33" s="149">
        <v>43394</v>
      </c>
      <c r="N33" s="149">
        <v>31264</v>
      </c>
      <c r="O33" s="149">
        <v>3838</v>
      </c>
      <c r="P33" s="149">
        <v>518</v>
      </c>
      <c r="Q33" s="150">
        <v>197225</v>
      </c>
    </row>
    <row r="34" spans="2:17" ht="15" customHeight="1" x14ac:dyDescent="0.2">
      <c r="B34" s="473" t="s">
        <v>345</v>
      </c>
      <c r="C34" s="352" t="s">
        <v>474</v>
      </c>
      <c r="D34" s="467" t="s">
        <v>270</v>
      </c>
      <c r="E34" s="153">
        <v>37</v>
      </c>
      <c r="F34" s="153">
        <v>27</v>
      </c>
      <c r="G34" s="153">
        <v>1</v>
      </c>
      <c r="H34" s="153">
        <v>16</v>
      </c>
      <c r="I34" s="153">
        <v>4</v>
      </c>
      <c r="J34" s="153">
        <v>4</v>
      </c>
      <c r="K34" s="153">
        <v>18</v>
      </c>
      <c r="L34" s="153">
        <v>38</v>
      </c>
      <c r="M34" s="153">
        <v>38</v>
      </c>
      <c r="N34" s="153">
        <v>2</v>
      </c>
      <c r="O34" s="153">
        <v>30</v>
      </c>
      <c r="P34" s="153">
        <v>121</v>
      </c>
      <c r="Q34" s="154">
        <v>336</v>
      </c>
    </row>
    <row r="35" spans="2:17" ht="15" customHeight="1" x14ac:dyDescent="0.2">
      <c r="B35" s="474"/>
      <c r="C35" s="353" t="s">
        <v>473</v>
      </c>
      <c r="D35" s="501"/>
      <c r="E35" s="155"/>
      <c r="F35" s="155"/>
      <c r="G35" s="155"/>
      <c r="H35" s="155"/>
      <c r="I35" s="155"/>
      <c r="J35" s="155"/>
      <c r="K35" s="155"/>
      <c r="L35" s="155"/>
      <c r="M35" s="155"/>
      <c r="N35" s="155"/>
      <c r="O35" s="155"/>
      <c r="P35" s="155">
        <v>9</v>
      </c>
      <c r="Q35" s="156">
        <v>9</v>
      </c>
    </row>
    <row r="36" spans="2:17" ht="15" customHeight="1" thickBot="1" x14ac:dyDescent="0.25">
      <c r="B36" s="475"/>
      <c r="C36" s="306" t="s">
        <v>17</v>
      </c>
      <c r="D36" s="305" t="s">
        <v>264</v>
      </c>
      <c r="E36" s="158">
        <v>37</v>
      </c>
      <c r="F36" s="158">
        <v>27</v>
      </c>
      <c r="G36" s="158">
        <v>1</v>
      </c>
      <c r="H36" s="158">
        <v>16</v>
      </c>
      <c r="I36" s="158">
        <v>4</v>
      </c>
      <c r="J36" s="158">
        <v>4</v>
      </c>
      <c r="K36" s="158">
        <v>18</v>
      </c>
      <c r="L36" s="158">
        <v>38</v>
      </c>
      <c r="M36" s="158">
        <v>38</v>
      </c>
      <c r="N36" s="158">
        <v>2</v>
      </c>
      <c r="O36" s="158">
        <v>30</v>
      </c>
      <c r="P36" s="158">
        <v>130</v>
      </c>
      <c r="Q36" s="159">
        <v>345</v>
      </c>
    </row>
    <row r="37" spans="2:17" ht="15" customHeight="1" x14ac:dyDescent="0.2">
      <c r="B37" s="499" t="s">
        <v>348</v>
      </c>
      <c r="C37" s="354" t="s">
        <v>478</v>
      </c>
      <c r="D37" s="500" t="s">
        <v>270</v>
      </c>
      <c r="E37" s="47">
        <v>337</v>
      </c>
      <c r="F37" s="47">
        <v>550</v>
      </c>
      <c r="G37" s="47"/>
      <c r="H37" s="47"/>
      <c r="I37" s="47"/>
      <c r="J37" s="47">
        <v>256</v>
      </c>
      <c r="K37" s="47">
        <v>264</v>
      </c>
      <c r="L37" s="47">
        <v>290</v>
      </c>
      <c r="M37" s="47">
        <v>260</v>
      </c>
      <c r="N37" s="47">
        <v>180</v>
      </c>
      <c r="O37" s="47">
        <v>244</v>
      </c>
      <c r="P37" s="47">
        <v>203</v>
      </c>
      <c r="Q37" s="120">
        <v>2584</v>
      </c>
    </row>
    <row r="38" spans="2:17" ht="15" customHeight="1" x14ac:dyDescent="0.2">
      <c r="B38" s="499"/>
      <c r="C38" s="354" t="s">
        <v>479</v>
      </c>
      <c r="D38" s="500"/>
      <c r="E38" s="47">
        <v>793</v>
      </c>
      <c r="F38" s="47">
        <v>517</v>
      </c>
      <c r="G38" s="47"/>
      <c r="H38" s="47"/>
      <c r="I38" s="47"/>
      <c r="J38" s="47">
        <v>412</v>
      </c>
      <c r="K38" s="47">
        <v>458</v>
      </c>
      <c r="L38" s="47">
        <v>572</v>
      </c>
      <c r="M38" s="47">
        <v>582</v>
      </c>
      <c r="N38" s="47">
        <v>548</v>
      </c>
      <c r="O38" s="47">
        <v>493</v>
      </c>
      <c r="P38" s="47">
        <v>375</v>
      </c>
      <c r="Q38" s="120">
        <v>4750</v>
      </c>
    </row>
    <row r="39" spans="2:17" ht="15" customHeight="1" x14ac:dyDescent="0.2">
      <c r="B39" s="499"/>
      <c r="C39" s="354" t="s">
        <v>359</v>
      </c>
      <c r="D39" s="500"/>
      <c r="E39" s="47">
        <v>119</v>
      </c>
      <c r="F39" s="47">
        <v>152</v>
      </c>
      <c r="G39" s="47"/>
      <c r="H39" s="47"/>
      <c r="I39" s="47"/>
      <c r="J39" s="47">
        <v>49</v>
      </c>
      <c r="K39" s="47">
        <v>37</v>
      </c>
      <c r="L39" s="47">
        <v>17</v>
      </c>
      <c r="M39" s="47">
        <v>42</v>
      </c>
      <c r="N39" s="47">
        <v>19</v>
      </c>
      <c r="O39" s="47">
        <v>33</v>
      </c>
      <c r="P39" s="47">
        <v>11</v>
      </c>
      <c r="Q39" s="120">
        <v>479</v>
      </c>
    </row>
    <row r="40" spans="2:17" ht="15" customHeight="1" thickBot="1" x14ac:dyDescent="0.25">
      <c r="B40" s="499"/>
      <c r="C40" s="303" t="s">
        <v>17</v>
      </c>
      <c r="D40" s="302" t="s">
        <v>264</v>
      </c>
      <c r="E40" s="149">
        <v>1249</v>
      </c>
      <c r="F40" s="149">
        <v>1219</v>
      </c>
      <c r="G40" s="149"/>
      <c r="H40" s="149"/>
      <c r="I40" s="149"/>
      <c r="J40" s="149">
        <v>717</v>
      </c>
      <c r="K40" s="149">
        <v>759</v>
      </c>
      <c r="L40" s="149">
        <v>879</v>
      </c>
      <c r="M40" s="149">
        <v>884</v>
      </c>
      <c r="N40" s="149">
        <v>747</v>
      </c>
      <c r="O40" s="149">
        <v>770</v>
      </c>
      <c r="P40" s="149">
        <v>589</v>
      </c>
      <c r="Q40" s="150">
        <v>7813</v>
      </c>
    </row>
    <row r="41" spans="2:17" ht="15" customHeight="1" thickBot="1" x14ac:dyDescent="0.25">
      <c r="B41" s="105" t="s">
        <v>349</v>
      </c>
      <c r="C41" s="64" t="s">
        <v>481</v>
      </c>
      <c r="D41" s="307" t="s">
        <v>270</v>
      </c>
      <c r="E41" s="151"/>
      <c r="F41" s="151"/>
      <c r="G41" s="151"/>
      <c r="H41" s="151"/>
      <c r="I41" s="151"/>
      <c r="J41" s="151"/>
      <c r="K41" s="151"/>
      <c r="L41" s="151">
        <v>3533</v>
      </c>
      <c r="M41" s="151">
        <v>3978</v>
      </c>
      <c r="N41" s="151">
        <v>4091</v>
      </c>
      <c r="O41" s="151"/>
      <c r="P41" s="151"/>
      <c r="Q41" s="59">
        <v>11602</v>
      </c>
    </row>
    <row r="42" spans="2:17" ht="15" customHeight="1" thickBot="1" x14ac:dyDescent="0.25">
      <c r="B42" s="105" t="s">
        <v>353</v>
      </c>
      <c r="C42" s="64" t="s">
        <v>487</v>
      </c>
      <c r="D42" s="307" t="s">
        <v>270</v>
      </c>
      <c r="E42" s="151">
        <v>13</v>
      </c>
      <c r="F42" s="151">
        <v>20</v>
      </c>
      <c r="G42" s="151">
        <v>28</v>
      </c>
      <c r="H42" s="151">
        <v>16</v>
      </c>
      <c r="I42" s="151">
        <v>49</v>
      </c>
      <c r="J42" s="151">
        <v>215</v>
      </c>
      <c r="K42" s="151">
        <v>242</v>
      </c>
      <c r="L42" s="151">
        <v>216</v>
      </c>
      <c r="M42" s="151">
        <v>230</v>
      </c>
      <c r="N42" s="151">
        <v>294</v>
      </c>
      <c r="O42" s="151">
        <v>246</v>
      </c>
      <c r="P42" s="151">
        <v>300</v>
      </c>
      <c r="Q42" s="59">
        <v>1869</v>
      </c>
    </row>
    <row r="43" spans="2:17" ht="15" customHeight="1" thickBot="1" x14ac:dyDescent="0.25">
      <c r="B43" s="105" t="s">
        <v>354</v>
      </c>
      <c r="C43" s="64" t="s">
        <v>488</v>
      </c>
      <c r="D43" s="307" t="s">
        <v>270</v>
      </c>
      <c r="E43" s="151"/>
      <c r="F43" s="151"/>
      <c r="G43" s="151"/>
      <c r="H43" s="151"/>
      <c r="I43" s="151"/>
      <c r="J43" s="151"/>
      <c r="K43" s="151"/>
      <c r="L43" s="151"/>
      <c r="M43" s="151">
        <v>1611</v>
      </c>
      <c r="N43" s="151">
        <v>2764</v>
      </c>
      <c r="O43" s="151"/>
      <c r="P43" s="151">
        <v>177</v>
      </c>
      <c r="Q43" s="59">
        <v>4552</v>
      </c>
    </row>
    <row r="44" spans="2:17" ht="15" customHeight="1" x14ac:dyDescent="0.2">
      <c r="B44" s="499" t="s">
        <v>358</v>
      </c>
      <c r="C44" s="354" t="s">
        <v>496</v>
      </c>
      <c r="D44" s="500" t="s">
        <v>270</v>
      </c>
      <c r="E44" s="47"/>
      <c r="F44" s="47"/>
      <c r="G44" s="47"/>
      <c r="H44" s="47"/>
      <c r="I44" s="47">
        <v>17</v>
      </c>
      <c r="J44" s="47">
        <v>231</v>
      </c>
      <c r="K44" s="47">
        <v>215</v>
      </c>
      <c r="L44" s="47">
        <v>414</v>
      </c>
      <c r="M44" s="47">
        <v>371</v>
      </c>
      <c r="N44" s="47">
        <v>308</v>
      </c>
      <c r="O44" s="47">
        <v>60</v>
      </c>
      <c r="P44" s="47">
        <v>328</v>
      </c>
      <c r="Q44" s="120">
        <v>1944</v>
      </c>
    </row>
    <row r="45" spans="2:17" ht="15" customHeight="1" x14ac:dyDescent="0.2">
      <c r="B45" s="499"/>
      <c r="C45" s="354" t="s">
        <v>497</v>
      </c>
      <c r="D45" s="500"/>
      <c r="E45" s="47"/>
      <c r="F45" s="47"/>
      <c r="G45" s="47"/>
      <c r="H45" s="47"/>
      <c r="I45" s="47">
        <v>14</v>
      </c>
      <c r="J45" s="47">
        <v>43</v>
      </c>
      <c r="K45" s="47">
        <v>50</v>
      </c>
      <c r="L45" s="47">
        <v>26</v>
      </c>
      <c r="M45" s="47">
        <v>6</v>
      </c>
      <c r="N45" s="47">
        <v>126</v>
      </c>
      <c r="O45" s="47">
        <v>113</v>
      </c>
      <c r="P45" s="47">
        <v>64</v>
      </c>
      <c r="Q45" s="120">
        <v>442</v>
      </c>
    </row>
    <row r="46" spans="2:17" ht="15" customHeight="1" x14ac:dyDescent="0.2">
      <c r="B46" s="499"/>
      <c r="C46" s="354" t="s">
        <v>498</v>
      </c>
      <c r="D46" s="500"/>
      <c r="E46" s="47"/>
      <c r="F46" s="47"/>
      <c r="G46" s="47"/>
      <c r="H46" s="47"/>
      <c r="I46" s="47">
        <v>111</v>
      </c>
      <c r="J46" s="47">
        <v>165</v>
      </c>
      <c r="K46" s="47">
        <v>79</v>
      </c>
      <c r="L46" s="47">
        <v>94</v>
      </c>
      <c r="M46" s="47">
        <v>99</v>
      </c>
      <c r="N46" s="47">
        <v>293</v>
      </c>
      <c r="O46" s="47">
        <v>170</v>
      </c>
      <c r="P46" s="47">
        <v>129</v>
      </c>
      <c r="Q46" s="120">
        <v>1140</v>
      </c>
    </row>
    <row r="47" spans="2:17" ht="15" customHeight="1" thickBot="1" x14ac:dyDescent="0.25">
      <c r="B47" s="499"/>
      <c r="C47" s="303" t="s">
        <v>17</v>
      </c>
      <c r="D47" s="302" t="s">
        <v>264</v>
      </c>
      <c r="E47" s="149"/>
      <c r="F47" s="149"/>
      <c r="G47" s="149"/>
      <c r="H47" s="149"/>
      <c r="I47" s="149">
        <v>142</v>
      </c>
      <c r="J47" s="149">
        <v>439</v>
      </c>
      <c r="K47" s="149">
        <v>344</v>
      </c>
      <c r="L47" s="149">
        <v>534</v>
      </c>
      <c r="M47" s="149">
        <v>476</v>
      </c>
      <c r="N47" s="149">
        <v>727</v>
      </c>
      <c r="O47" s="149">
        <v>343</v>
      </c>
      <c r="P47" s="149">
        <v>521</v>
      </c>
      <c r="Q47" s="150">
        <v>3526</v>
      </c>
    </row>
    <row r="48" spans="2:17" ht="15" customHeight="1" thickBot="1" x14ac:dyDescent="0.25">
      <c r="B48" s="105" t="s">
        <v>312</v>
      </c>
      <c r="C48" s="64" t="s">
        <v>614</v>
      </c>
      <c r="D48" s="307" t="s">
        <v>270</v>
      </c>
      <c r="E48" s="151"/>
      <c r="F48" s="151"/>
      <c r="G48" s="151"/>
      <c r="H48" s="151"/>
      <c r="I48" s="151"/>
      <c r="J48" s="151"/>
      <c r="K48" s="151"/>
      <c r="L48" s="151">
        <v>327</v>
      </c>
      <c r="M48" s="151">
        <v>1644</v>
      </c>
      <c r="N48" s="151">
        <v>2796</v>
      </c>
      <c r="O48" s="151"/>
      <c r="P48" s="151">
        <v>447</v>
      </c>
      <c r="Q48" s="59">
        <v>5214</v>
      </c>
    </row>
    <row r="49" spans="2:17" ht="15" customHeight="1" thickBot="1" x14ac:dyDescent="0.25">
      <c r="B49" s="203" t="s">
        <v>17</v>
      </c>
      <c r="C49" s="203" t="s">
        <v>264</v>
      </c>
      <c r="D49" s="355"/>
      <c r="E49" s="59">
        <v>2189</v>
      </c>
      <c r="F49" s="59">
        <v>1642</v>
      </c>
      <c r="G49" s="59">
        <v>569</v>
      </c>
      <c r="H49" s="59">
        <v>32130</v>
      </c>
      <c r="I49" s="59">
        <v>86259</v>
      </c>
      <c r="J49" s="59">
        <v>108199</v>
      </c>
      <c r="K49" s="59">
        <v>124327</v>
      </c>
      <c r="L49" s="59">
        <v>164355</v>
      </c>
      <c r="M49" s="59">
        <v>157817</v>
      </c>
      <c r="N49" s="59">
        <v>176193</v>
      </c>
      <c r="O49" s="59">
        <v>57293</v>
      </c>
      <c r="P49" s="59">
        <v>10775</v>
      </c>
      <c r="Q49" s="59">
        <v>921748</v>
      </c>
    </row>
    <row r="50" spans="2:17" ht="15" customHeight="1" thickBot="1" x14ac:dyDescent="0.25">
      <c r="B50" s="64" t="s">
        <v>296</v>
      </c>
      <c r="C50" s="64" t="s">
        <v>0</v>
      </c>
      <c r="D50" s="307" t="s">
        <v>0</v>
      </c>
      <c r="E50" s="160">
        <v>0.23748356383740457</v>
      </c>
      <c r="F50" s="160">
        <v>0.17813979525857393</v>
      </c>
      <c r="G50" s="160">
        <v>6.1730538064633717E-2</v>
      </c>
      <c r="H50" s="160">
        <v>3.4857683444932888</v>
      </c>
      <c r="I50" s="160">
        <v>9.358197685267557</v>
      </c>
      <c r="J50" s="160">
        <v>11.738457799745701</v>
      </c>
      <c r="K50" s="160">
        <v>13.488176811883509</v>
      </c>
      <c r="L50" s="160">
        <v>17.830795401780097</v>
      </c>
      <c r="M50" s="160">
        <v>17.121490906408258</v>
      </c>
      <c r="N50" s="160">
        <v>19.115094364186305</v>
      </c>
      <c r="O50" s="160">
        <v>6.215690188641581</v>
      </c>
      <c r="P50" s="160">
        <v>1.1689746004330901</v>
      </c>
      <c r="Q50" s="357">
        <v>100</v>
      </c>
    </row>
  </sheetData>
  <mergeCells count="19">
    <mergeCell ref="B1:Q1"/>
    <mergeCell ref="E2:P2"/>
    <mergeCell ref="B4:B9"/>
    <mergeCell ref="D4:D8"/>
    <mergeCell ref="B37:B40"/>
    <mergeCell ref="D37:D39"/>
    <mergeCell ref="B12:B18"/>
    <mergeCell ref="D12:D17"/>
    <mergeCell ref="B20:B22"/>
    <mergeCell ref="D20:D21"/>
    <mergeCell ref="B3:D3"/>
    <mergeCell ref="B44:B47"/>
    <mergeCell ref="D44:D46"/>
    <mergeCell ref="B23:B26"/>
    <mergeCell ref="D23:D25"/>
    <mergeCell ref="B27:B33"/>
    <mergeCell ref="D27:D32"/>
    <mergeCell ref="B34:B36"/>
    <mergeCell ref="D34:D35"/>
  </mergeCells>
  <printOptions horizontalCentered="1"/>
  <pageMargins left="0.74803149606299213" right="0.74803149606299213" top="0.47244094488188981" bottom="0.47244094488188981" header="0.47244094488188981" footer="0.47244094488188981"/>
  <pageSetup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DC114"/>
  <sheetViews>
    <sheetView view="pageBreakPreview" zoomScaleNormal="100" zoomScaleSheetLayoutView="100" workbookViewId="0"/>
  </sheetViews>
  <sheetFormatPr defaultColWidth="9.140625" defaultRowHeight="12.75" x14ac:dyDescent="0.2"/>
  <cols>
    <col min="1" max="1" width="9.140625" style="358"/>
    <col min="2" max="2" width="27.42578125" style="358" bestFit="1" customWidth="1"/>
    <col min="3" max="3" width="7.140625" style="358" customWidth="1"/>
    <col min="4" max="4" width="6" style="358" customWidth="1"/>
    <col min="5" max="5" width="6.42578125" style="358" customWidth="1"/>
    <col min="6" max="6" width="7.85546875" style="358" customWidth="1"/>
    <col min="7" max="7" width="7.42578125" style="358" customWidth="1"/>
    <col min="8" max="8" width="7.85546875" style="358" customWidth="1"/>
    <col min="9" max="9" width="5.140625" style="358" customWidth="1"/>
    <col min="10" max="10" width="6.5703125" style="358" customWidth="1"/>
    <col min="11" max="11" width="7" style="358" customWidth="1"/>
    <col min="12" max="12" width="7.28515625" style="358" customWidth="1"/>
    <col min="13" max="13" width="7.85546875" style="358" customWidth="1"/>
    <col min="14" max="14" width="6.28515625" style="358" customWidth="1"/>
    <col min="15" max="15" width="9.140625" style="358" customWidth="1"/>
    <col min="16" max="16" width="7.28515625" style="358" customWidth="1"/>
    <col min="17" max="17" width="7.85546875" style="358" customWidth="1"/>
    <col min="18" max="18" width="8.140625" style="358" customWidth="1"/>
    <col min="19" max="19" width="9.85546875" style="358" customWidth="1"/>
    <col min="20" max="20" width="6.85546875" style="358" customWidth="1"/>
    <col min="21" max="21" width="8.85546875" style="358" customWidth="1"/>
    <col min="22" max="22" width="7.28515625" style="358" customWidth="1"/>
    <col min="23" max="24" width="7.85546875" style="358" customWidth="1"/>
    <col min="25" max="25" width="7.42578125" style="358" customWidth="1"/>
    <col min="26" max="26" width="7.140625" style="358" customWidth="1"/>
    <col min="27" max="27" width="9" style="358" customWidth="1"/>
    <col min="28" max="28" width="10" style="358" customWidth="1"/>
    <col min="29" max="29" width="5.5703125" style="358" customWidth="1"/>
    <col min="30" max="30" width="10.5703125" style="358" customWidth="1"/>
    <col min="31" max="31" width="9.28515625" style="358" customWidth="1"/>
    <col min="32" max="32" width="10.5703125" style="358" customWidth="1"/>
    <col min="33" max="33" width="9.28515625" style="358" customWidth="1"/>
    <col min="34" max="34" width="10.7109375" style="358" customWidth="1"/>
    <col min="35" max="35" width="8" style="358" customWidth="1"/>
    <col min="36" max="36" width="9" style="358" customWidth="1"/>
    <col min="37" max="37" width="10.7109375" style="358" customWidth="1"/>
    <col min="38" max="38" width="7" style="358" customWidth="1"/>
    <col min="39" max="39" width="7.42578125" style="358" customWidth="1"/>
    <col min="40" max="40" width="9.5703125" style="358" customWidth="1"/>
    <col min="41" max="41" width="7.85546875" style="358" customWidth="1"/>
    <col min="42" max="42" width="8.85546875" style="358" customWidth="1"/>
    <col min="43" max="43" width="7.42578125" style="358" customWidth="1"/>
    <col min="44" max="44" width="7.140625" style="358" customWidth="1"/>
    <col min="45" max="45" width="10" style="358" customWidth="1"/>
    <col min="46" max="47" width="7.28515625" style="358" customWidth="1"/>
    <col min="48" max="48" width="7.7109375" style="358" customWidth="1"/>
    <col min="49" max="49" width="11.7109375" style="358" customWidth="1"/>
    <col min="50" max="50" width="8.140625" style="358" customWidth="1"/>
    <col min="51" max="51" width="6" style="358" customWidth="1"/>
    <col min="52" max="52" width="11.7109375" style="358" customWidth="1"/>
    <col min="53" max="53" width="8.140625" style="358" customWidth="1"/>
    <col min="54" max="54" width="11.5703125" style="358" customWidth="1"/>
    <col min="55" max="55" width="9.140625" style="358" customWidth="1"/>
    <col min="56" max="56" width="7.28515625" style="358" customWidth="1"/>
    <col min="57" max="57" width="8.140625" style="358" customWidth="1"/>
    <col min="58" max="58" width="6.85546875" style="358" customWidth="1"/>
    <col min="59" max="59" width="7" style="358" customWidth="1"/>
    <col min="60" max="60" width="7.28515625" style="358" customWidth="1"/>
    <col min="61" max="61" width="6.140625" style="358" customWidth="1"/>
    <col min="62" max="62" width="10.85546875" style="358" customWidth="1"/>
    <col min="63" max="63" width="5.140625" style="358" customWidth="1"/>
    <col min="64" max="64" width="7.85546875" style="358" customWidth="1"/>
    <col min="65" max="65" width="11.42578125" style="358" customWidth="1"/>
    <col min="66" max="66" width="8" style="358" customWidth="1"/>
    <col min="67" max="67" width="7.140625" style="358" customWidth="1"/>
    <col min="68" max="68" width="7.28515625" style="358" customWidth="1"/>
    <col min="69" max="69" width="11.140625" style="358" customWidth="1"/>
    <col min="70" max="70" width="9.5703125" style="358" customWidth="1"/>
    <col min="71" max="71" width="8.7109375" style="358" customWidth="1"/>
    <col min="72" max="72" width="7.85546875" style="358" customWidth="1"/>
    <col min="73" max="73" width="8.140625" style="358" customWidth="1"/>
    <col min="74" max="74" width="7.7109375" style="358" customWidth="1"/>
    <col min="75" max="75" width="9.42578125" style="358" customWidth="1"/>
    <col min="76" max="76" width="10.140625" style="358" customWidth="1"/>
    <col min="77" max="77" width="9.7109375" style="358" customWidth="1"/>
    <col min="78" max="78" width="9.5703125" style="358" customWidth="1"/>
    <col min="79" max="79" width="9.7109375" style="358" customWidth="1"/>
    <col min="80" max="80" width="6" style="358" customWidth="1"/>
    <col min="81" max="81" width="6.5703125" style="358" customWidth="1"/>
    <col min="82" max="82" width="9.85546875" style="358" customWidth="1"/>
    <col min="83" max="83" width="6.85546875" style="358" customWidth="1"/>
    <col min="84" max="84" width="8" style="358" customWidth="1"/>
    <col min="85" max="85" width="5.85546875" style="358" customWidth="1"/>
    <col min="86" max="86" width="5.42578125" style="358" customWidth="1"/>
    <col min="87" max="87" width="7.85546875" style="358" customWidth="1"/>
    <col min="88" max="88" width="7.28515625" style="358" customWidth="1"/>
    <col min="89" max="89" width="8.42578125" style="358" customWidth="1"/>
    <col min="90" max="90" width="8" style="358" customWidth="1"/>
    <col min="91" max="91" width="7.7109375" style="358" customWidth="1"/>
    <col min="92" max="92" width="8.5703125" style="358" customWidth="1"/>
    <col min="93" max="93" width="8.28515625" style="358" customWidth="1"/>
    <col min="94" max="94" width="7.28515625" style="358" customWidth="1"/>
    <col min="95" max="95" width="9" style="358" customWidth="1"/>
    <col min="96" max="96" width="8.5703125" style="358" customWidth="1"/>
    <col min="97" max="97" width="9" style="358" customWidth="1"/>
    <col min="98" max="98" width="11.7109375" style="358" customWidth="1"/>
    <col min="99" max="99" width="9" style="358" customWidth="1"/>
    <col min="100" max="100" width="8.5703125" style="358" customWidth="1"/>
    <col min="101" max="101" width="9.140625" style="358" customWidth="1"/>
    <col min="102" max="102" width="5.140625" style="358" customWidth="1"/>
    <col min="103" max="103" width="10.28515625" style="358" customWidth="1"/>
    <col min="104" max="104" width="10.5703125" style="358" customWidth="1"/>
    <col min="105" max="105" width="10.42578125" style="358" customWidth="1"/>
    <col min="106" max="106" width="7.85546875" style="358" customWidth="1"/>
    <col min="107" max="107" width="9" style="358" bestFit="1" customWidth="1"/>
    <col min="108" max="16384" width="9.140625" style="358"/>
  </cols>
  <sheetData>
    <row r="1" spans="2:107" s="347" customFormat="1" ht="30" customHeight="1" thickBot="1" x14ac:dyDescent="0.25">
      <c r="B1" s="479" t="s">
        <v>627</v>
      </c>
      <c r="C1" s="479"/>
      <c r="D1" s="479"/>
      <c r="E1" s="479"/>
      <c r="F1" s="479"/>
      <c r="G1" s="479"/>
      <c r="H1" s="479"/>
      <c r="I1" s="479"/>
      <c r="J1" s="479"/>
      <c r="K1" s="479"/>
      <c r="L1" s="479"/>
      <c r="M1" s="479"/>
      <c r="N1" s="479"/>
      <c r="O1" s="479"/>
      <c r="P1" s="479"/>
      <c r="Q1" s="479"/>
      <c r="R1" s="479"/>
      <c r="S1" s="479"/>
      <c r="T1" s="479"/>
      <c r="U1" s="479"/>
      <c r="V1" s="479"/>
      <c r="W1" s="479"/>
      <c r="X1" s="479"/>
      <c r="Y1" s="479"/>
      <c r="Z1" s="511" t="s">
        <v>627</v>
      </c>
      <c r="AA1" s="511"/>
      <c r="AB1" s="511"/>
      <c r="AC1" s="511"/>
      <c r="AD1" s="511"/>
      <c r="AE1" s="511"/>
      <c r="AF1" s="511"/>
      <c r="AG1" s="511"/>
      <c r="AH1" s="511"/>
      <c r="AI1" s="511"/>
      <c r="AJ1" s="511"/>
      <c r="AK1" s="511"/>
      <c r="AL1" s="511"/>
      <c r="AM1" s="511"/>
      <c r="AN1" s="511"/>
      <c r="AO1" s="511"/>
      <c r="AP1" s="511"/>
      <c r="AQ1" s="511"/>
      <c r="AR1" s="511"/>
      <c r="AS1" s="511"/>
      <c r="AT1" s="511"/>
      <c r="AU1" s="511"/>
      <c r="AV1" s="511"/>
      <c r="AW1" s="511" t="s">
        <v>627</v>
      </c>
      <c r="AX1" s="511"/>
      <c r="AY1" s="511"/>
      <c r="AZ1" s="511"/>
      <c r="BA1" s="511"/>
      <c r="BB1" s="511"/>
      <c r="BC1" s="511"/>
      <c r="BD1" s="511"/>
      <c r="BE1" s="511"/>
      <c r="BF1" s="511"/>
      <c r="BG1" s="511"/>
      <c r="BH1" s="511"/>
      <c r="BI1" s="511"/>
      <c r="BJ1" s="511"/>
      <c r="BK1" s="511"/>
      <c r="BL1" s="511"/>
      <c r="BM1" s="511"/>
      <c r="BN1" s="511"/>
      <c r="BO1" s="511" t="s">
        <v>627</v>
      </c>
      <c r="BP1" s="511"/>
      <c r="BQ1" s="511"/>
      <c r="BR1" s="511"/>
      <c r="BS1" s="511"/>
      <c r="BT1" s="511"/>
      <c r="BU1" s="511"/>
      <c r="BV1" s="511"/>
      <c r="BW1" s="511"/>
      <c r="BX1" s="511"/>
      <c r="BY1" s="511"/>
      <c r="BZ1" s="511"/>
      <c r="CA1" s="511"/>
      <c r="CB1" s="511"/>
      <c r="CC1" s="511"/>
      <c r="CD1" s="511"/>
      <c r="CE1" s="511"/>
      <c r="CF1" s="511"/>
      <c r="CG1" s="511"/>
      <c r="CH1" s="511"/>
      <c r="CI1" s="511"/>
      <c r="CJ1" s="511" t="s">
        <v>627</v>
      </c>
      <c r="CK1" s="511"/>
      <c r="CL1" s="511"/>
      <c r="CM1" s="511"/>
      <c r="CN1" s="511"/>
      <c r="CO1" s="511"/>
      <c r="CP1" s="511"/>
      <c r="CQ1" s="511"/>
      <c r="CR1" s="511"/>
      <c r="CS1" s="511"/>
      <c r="CT1" s="511"/>
      <c r="CU1" s="511"/>
      <c r="CV1" s="511"/>
      <c r="CW1" s="511"/>
      <c r="CX1" s="511"/>
      <c r="CY1" s="511"/>
      <c r="CZ1" s="511"/>
      <c r="DA1" s="511"/>
      <c r="DB1" s="511"/>
      <c r="DC1" s="511"/>
    </row>
    <row r="2" spans="2:107" s="168" customFormat="1" ht="16.5" customHeight="1" x14ac:dyDescent="0.2">
      <c r="B2" s="512" t="s">
        <v>268</v>
      </c>
      <c r="C2" s="509" t="s">
        <v>302</v>
      </c>
      <c r="D2" s="508"/>
      <c r="E2" s="508"/>
      <c r="F2" s="510"/>
      <c r="G2" s="508" t="s">
        <v>307</v>
      </c>
      <c r="H2" s="508"/>
      <c r="I2" s="508"/>
      <c r="J2" s="508"/>
      <c r="K2" s="508"/>
      <c r="L2" s="508"/>
      <c r="M2" s="508"/>
      <c r="N2" s="402" t="s">
        <v>309</v>
      </c>
      <c r="O2" s="508" t="s">
        <v>310</v>
      </c>
      <c r="P2" s="508"/>
      <c r="Q2" s="508"/>
      <c r="R2" s="509" t="s">
        <v>311</v>
      </c>
      <c r="S2" s="508"/>
      <c r="T2" s="508"/>
      <c r="U2" s="510"/>
      <c r="V2" s="508" t="s">
        <v>312</v>
      </c>
      <c r="W2" s="508"/>
      <c r="X2" s="508"/>
      <c r="Y2" s="402" t="s">
        <v>314</v>
      </c>
      <c r="Z2" s="508" t="s">
        <v>315</v>
      </c>
      <c r="AA2" s="508"/>
      <c r="AB2" s="508"/>
      <c r="AC2" s="508"/>
      <c r="AD2" s="508"/>
      <c r="AE2" s="508"/>
      <c r="AF2" s="508"/>
      <c r="AG2" s="508"/>
      <c r="AH2" s="508"/>
      <c r="AI2" s="402" t="s">
        <v>324</v>
      </c>
      <c r="AJ2" s="508" t="s">
        <v>326</v>
      </c>
      <c r="AK2" s="508"/>
      <c r="AL2" s="508"/>
      <c r="AM2" s="508"/>
      <c r="AN2" s="508"/>
      <c r="AO2" s="508"/>
      <c r="AP2" s="508"/>
      <c r="AQ2" s="508"/>
      <c r="AR2" s="508"/>
      <c r="AS2" s="508"/>
      <c r="AT2" s="508"/>
      <c r="AU2" s="508"/>
      <c r="AV2" s="508"/>
      <c r="AW2" s="509" t="s">
        <v>329</v>
      </c>
      <c r="AX2" s="508"/>
      <c r="AY2" s="508"/>
      <c r="AZ2" s="508"/>
      <c r="BA2" s="508"/>
      <c r="BB2" s="508"/>
      <c r="BC2" s="508"/>
      <c r="BD2" s="508"/>
      <c r="BE2" s="510"/>
      <c r="BF2" s="508" t="s">
        <v>330</v>
      </c>
      <c r="BG2" s="508"/>
      <c r="BH2" s="508"/>
      <c r="BI2" s="508"/>
      <c r="BJ2" s="508"/>
      <c r="BK2" s="508"/>
      <c r="BL2" s="508"/>
      <c r="BM2" s="402" t="s">
        <v>333</v>
      </c>
      <c r="BN2" s="401" t="s">
        <v>337</v>
      </c>
      <c r="BO2" s="509" t="s">
        <v>342</v>
      </c>
      <c r="BP2" s="508"/>
      <c r="BQ2" s="508"/>
      <c r="BR2" s="508"/>
      <c r="BS2" s="508"/>
      <c r="BT2" s="510"/>
      <c r="BU2" s="508" t="s">
        <v>343</v>
      </c>
      <c r="BV2" s="508"/>
      <c r="BW2" s="508"/>
      <c r="BX2" s="508"/>
      <c r="BY2" s="508"/>
      <c r="BZ2" s="508"/>
      <c r="CA2" s="508"/>
      <c r="CB2" s="508"/>
      <c r="CC2" s="508"/>
      <c r="CD2" s="508"/>
      <c r="CE2" s="508"/>
      <c r="CF2" s="508"/>
      <c r="CG2" s="509" t="s">
        <v>345</v>
      </c>
      <c r="CH2" s="508"/>
      <c r="CI2" s="510"/>
      <c r="CJ2" s="401" t="s">
        <v>346</v>
      </c>
      <c r="CK2" s="402" t="s">
        <v>347</v>
      </c>
      <c r="CL2" s="508" t="s">
        <v>348</v>
      </c>
      <c r="CM2" s="508"/>
      <c r="CN2" s="508"/>
      <c r="CO2" s="508"/>
      <c r="CP2" s="402" t="s">
        <v>349</v>
      </c>
      <c r="CQ2" s="508" t="s">
        <v>353</v>
      </c>
      <c r="CR2" s="508"/>
      <c r="CS2" s="508"/>
      <c r="CT2" s="508"/>
      <c r="CU2" s="508"/>
      <c r="CV2" s="402" t="s">
        <v>354</v>
      </c>
      <c r="CW2" s="401" t="s">
        <v>357</v>
      </c>
      <c r="CX2" s="509" t="s">
        <v>358</v>
      </c>
      <c r="CY2" s="508"/>
      <c r="CZ2" s="508"/>
      <c r="DA2" s="510"/>
      <c r="DB2" s="506" t="s">
        <v>539</v>
      </c>
      <c r="DC2" s="506" t="s">
        <v>540</v>
      </c>
    </row>
    <row r="3" spans="2:107" s="168" customFormat="1" ht="62.25" customHeight="1" thickBot="1" x14ac:dyDescent="0.25">
      <c r="B3" s="513"/>
      <c r="C3" s="400" t="s">
        <v>359</v>
      </c>
      <c r="D3" s="171" t="s">
        <v>361</v>
      </c>
      <c r="E3" s="171" t="s">
        <v>362</v>
      </c>
      <c r="F3" s="399" t="s">
        <v>511</v>
      </c>
      <c r="G3" s="176" t="s">
        <v>606</v>
      </c>
      <c r="H3" s="171" t="s">
        <v>370</v>
      </c>
      <c r="I3" s="171" t="s">
        <v>368</v>
      </c>
      <c r="J3" s="171" t="s">
        <v>369</v>
      </c>
      <c r="K3" s="171" t="s">
        <v>373</v>
      </c>
      <c r="L3" s="171" t="s">
        <v>367</v>
      </c>
      <c r="M3" s="176" t="s">
        <v>512</v>
      </c>
      <c r="N3" s="360" t="s">
        <v>374</v>
      </c>
      <c r="O3" s="176" t="s">
        <v>378</v>
      </c>
      <c r="P3" s="171" t="s">
        <v>377</v>
      </c>
      <c r="Q3" s="176" t="s">
        <v>515</v>
      </c>
      <c r="R3" s="400" t="s">
        <v>381</v>
      </c>
      <c r="S3" s="171" t="s">
        <v>380</v>
      </c>
      <c r="T3" s="171" t="s">
        <v>379</v>
      </c>
      <c r="U3" s="399" t="s">
        <v>516</v>
      </c>
      <c r="V3" s="176" t="s">
        <v>501</v>
      </c>
      <c r="W3" s="171" t="s">
        <v>622</v>
      </c>
      <c r="X3" s="176" t="s">
        <v>621</v>
      </c>
      <c r="Y3" s="360" t="s">
        <v>384</v>
      </c>
      <c r="Z3" s="176" t="s">
        <v>387</v>
      </c>
      <c r="AA3" s="171" t="s">
        <v>388</v>
      </c>
      <c r="AB3" s="171" t="s">
        <v>391</v>
      </c>
      <c r="AC3" s="171" t="s">
        <v>390</v>
      </c>
      <c r="AD3" s="171" t="s">
        <v>608</v>
      </c>
      <c r="AE3" s="171" t="s">
        <v>386</v>
      </c>
      <c r="AF3" s="171" t="s">
        <v>385</v>
      </c>
      <c r="AG3" s="171" t="s">
        <v>389</v>
      </c>
      <c r="AH3" s="176" t="s">
        <v>518</v>
      </c>
      <c r="AI3" s="360" t="s">
        <v>406</v>
      </c>
      <c r="AJ3" s="176" t="s">
        <v>609</v>
      </c>
      <c r="AK3" s="171" t="s">
        <v>423</v>
      </c>
      <c r="AL3" s="171" t="s">
        <v>418</v>
      </c>
      <c r="AM3" s="171" t="s">
        <v>414</v>
      </c>
      <c r="AN3" s="171" t="s">
        <v>420</v>
      </c>
      <c r="AO3" s="171" t="s">
        <v>415</v>
      </c>
      <c r="AP3" s="171" t="s">
        <v>421</v>
      </c>
      <c r="AQ3" s="171" t="s">
        <v>416</v>
      </c>
      <c r="AR3" s="171" t="s">
        <v>422</v>
      </c>
      <c r="AS3" s="171" t="s">
        <v>410</v>
      </c>
      <c r="AT3" s="171" t="s">
        <v>412</v>
      </c>
      <c r="AU3" s="171" t="s">
        <v>411</v>
      </c>
      <c r="AV3" s="176" t="s">
        <v>522</v>
      </c>
      <c r="AW3" s="400" t="s">
        <v>437</v>
      </c>
      <c r="AX3" s="171" t="s">
        <v>440</v>
      </c>
      <c r="AY3" s="171" t="s">
        <v>436</v>
      </c>
      <c r="AZ3" s="171" t="s">
        <v>430</v>
      </c>
      <c r="BA3" s="171" t="s">
        <v>435</v>
      </c>
      <c r="BB3" s="171" t="s">
        <v>439</v>
      </c>
      <c r="BC3" s="171" t="s">
        <v>438</v>
      </c>
      <c r="BD3" s="171" t="s">
        <v>432</v>
      </c>
      <c r="BE3" s="399" t="s">
        <v>524</v>
      </c>
      <c r="BF3" s="176" t="s">
        <v>443</v>
      </c>
      <c r="BG3" s="171" t="s">
        <v>441</v>
      </c>
      <c r="BH3" s="171" t="s">
        <v>442</v>
      </c>
      <c r="BI3" s="171" t="s">
        <v>445</v>
      </c>
      <c r="BJ3" s="171" t="s">
        <v>447</v>
      </c>
      <c r="BK3" s="171" t="s">
        <v>446</v>
      </c>
      <c r="BL3" s="176" t="s">
        <v>525</v>
      </c>
      <c r="BM3" s="360" t="s">
        <v>449</v>
      </c>
      <c r="BN3" s="176" t="s">
        <v>453</v>
      </c>
      <c r="BO3" s="400" t="s">
        <v>425</v>
      </c>
      <c r="BP3" s="171" t="s">
        <v>426</v>
      </c>
      <c r="BQ3" s="171" t="s">
        <v>427</v>
      </c>
      <c r="BR3" s="171" t="s">
        <v>428</v>
      </c>
      <c r="BS3" s="171" t="s">
        <v>610</v>
      </c>
      <c r="BT3" s="399" t="s">
        <v>529</v>
      </c>
      <c r="BU3" s="176" t="s">
        <v>460</v>
      </c>
      <c r="BV3" s="171" t="s">
        <v>467</v>
      </c>
      <c r="BW3" s="171" t="s">
        <v>466</v>
      </c>
      <c r="BX3" s="171" t="s">
        <v>461</v>
      </c>
      <c r="BY3" s="171" t="s">
        <v>471</v>
      </c>
      <c r="BZ3" s="171" t="s">
        <v>462</v>
      </c>
      <c r="CA3" s="171" t="s">
        <v>611</v>
      </c>
      <c r="CB3" s="171" t="s">
        <v>469</v>
      </c>
      <c r="CC3" s="171" t="s">
        <v>464</v>
      </c>
      <c r="CD3" s="171" t="s">
        <v>468</v>
      </c>
      <c r="CE3" s="171" t="s">
        <v>470</v>
      </c>
      <c r="CF3" s="176" t="s">
        <v>530</v>
      </c>
      <c r="CG3" s="400" t="s">
        <v>473</v>
      </c>
      <c r="CH3" s="171" t="s">
        <v>474</v>
      </c>
      <c r="CI3" s="399" t="s">
        <v>531</v>
      </c>
      <c r="CJ3" s="176" t="s">
        <v>476</v>
      </c>
      <c r="CK3" s="360" t="s">
        <v>477</v>
      </c>
      <c r="CL3" s="176" t="s">
        <v>479</v>
      </c>
      <c r="CM3" s="171" t="s">
        <v>359</v>
      </c>
      <c r="CN3" s="171" t="s">
        <v>478</v>
      </c>
      <c r="CO3" s="176" t="s">
        <v>532</v>
      </c>
      <c r="CP3" s="360" t="s">
        <v>481</v>
      </c>
      <c r="CQ3" s="176" t="s">
        <v>487</v>
      </c>
      <c r="CR3" s="171" t="s">
        <v>485</v>
      </c>
      <c r="CS3" s="171" t="s">
        <v>486</v>
      </c>
      <c r="CT3" s="171" t="s">
        <v>618</v>
      </c>
      <c r="CU3" s="176" t="s">
        <v>535</v>
      </c>
      <c r="CV3" s="360" t="s">
        <v>488</v>
      </c>
      <c r="CW3" s="176" t="s">
        <v>505</v>
      </c>
      <c r="CX3" s="400" t="s">
        <v>497</v>
      </c>
      <c r="CY3" s="171" t="s">
        <v>498</v>
      </c>
      <c r="CZ3" s="171" t="s">
        <v>496</v>
      </c>
      <c r="DA3" s="399" t="s">
        <v>538</v>
      </c>
      <c r="DB3" s="507"/>
      <c r="DC3" s="507"/>
    </row>
    <row r="4" spans="2:107" x14ac:dyDescent="0.2">
      <c r="B4" s="398" t="s">
        <v>63</v>
      </c>
      <c r="C4" s="396"/>
      <c r="D4" s="395"/>
      <c r="E4" s="395"/>
      <c r="F4" s="394"/>
      <c r="G4" s="397">
        <v>0</v>
      </c>
      <c r="H4" s="395"/>
      <c r="I4" s="395"/>
      <c r="J4" s="395"/>
      <c r="K4" s="395"/>
      <c r="L4" s="395"/>
      <c r="M4" s="397">
        <v>0</v>
      </c>
      <c r="N4" s="393"/>
      <c r="O4" s="397">
        <v>6</v>
      </c>
      <c r="P4" s="395"/>
      <c r="Q4" s="397">
        <v>6</v>
      </c>
      <c r="R4" s="396">
        <v>0</v>
      </c>
      <c r="S4" s="395"/>
      <c r="T4" s="395"/>
      <c r="U4" s="394">
        <v>0</v>
      </c>
      <c r="V4" s="397"/>
      <c r="W4" s="395"/>
      <c r="X4" s="397"/>
      <c r="Y4" s="393"/>
      <c r="Z4" s="397"/>
      <c r="AA4" s="395"/>
      <c r="AB4" s="395"/>
      <c r="AC4" s="395"/>
      <c r="AD4" s="395"/>
      <c r="AE4" s="395"/>
      <c r="AF4" s="395"/>
      <c r="AG4" s="395"/>
      <c r="AH4" s="397"/>
      <c r="AI4" s="393"/>
      <c r="AJ4" s="397"/>
      <c r="AK4" s="395"/>
      <c r="AL4" s="395"/>
      <c r="AM4" s="395"/>
      <c r="AN4" s="395"/>
      <c r="AO4" s="395"/>
      <c r="AP4" s="395"/>
      <c r="AQ4" s="395"/>
      <c r="AR4" s="395"/>
      <c r="AS4" s="395"/>
      <c r="AT4" s="395"/>
      <c r="AU4" s="395"/>
      <c r="AV4" s="397"/>
      <c r="AW4" s="396">
        <v>0</v>
      </c>
      <c r="AX4" s="395">
        <v>12</v>
      </c>
      <c r="AY4" s="395">
        <v>0</v>
      </c>
      <c r="AZ4" s="395">
        <v>0</v>
      </c>
      <c r="BA4" s="395"/>
      <c r="BB4" s="395"/>
      <c r="BC4" s="395"/>
      <c r="BD4" s="395"/>
      <c r="BE4" s="394">
        <v>12</v>
      </c>
      <c r="BF4" s="397">
        <v>0</v>
      </c>
      <c r="BG4" s="395">
        <v>0</v>
      </c>
      <c r="BH4" s="395">
        <v>4</v>
      </c>
      <c r="BI4" s="395"/>
      <c r="BJ4" s="395"/>
      <c r="BK4" s="395"/>
      <c r="BL4" s="397">
        <v>4</v>
      </c>
      <c r="BM4" s="393"/>
      <c r="BN4" s="397"/>
      <c r="BO4" s="396">
        <v>0</v>
      </c>
      <c r="BP4" s="395"/>
      <c r="BQ4" s="395"/>
      <c r="BR4" s="395"/>
      <c r="BS4" s="395"/>
      <c r="BT4" s="394">
        <v>0</v>
      </c>
      <c r="BU4" s="397">
        <v>9</v>
      </c>
      <c r="BV4" s="395">
        <v>3</v>
      </c>
      <c r="BW4" s="395">
        <v>9</v>
      </c>
      <c r="BX4" s="395">
        <v>0</v>
      </c>
      <c r="BY4" s="395">
        <v>0</v>
      </c>
      <c r="BZ4" s="395">
        <v>3</v>
      </c>
      <c r="CA4" s="395"/>
      <c r="CB4" s="395"/>
      <c r="CC4" s="395"/>
      <c r="CD4" s="395"/>
      <c r="CE4" s="395"/>
      <c r="CF4" s="397">
        <v>24</v>
      </c>
      <c r="CG4" s="396"/>
      <c r="CH4" s="395"/>
      <c r="CI4" s="394"/>
      <c r="CJ4" s="397"/>
      <c r="CK4" s="393"/>
      <c r="CL4" s="397">
        <v>1</v>
      </c>
      <c r="CM4" s="395"/>
      <c r="CN4" s="395"/>
      <c r="CO4" s="397">
        <v>1</v>
      </c>
      <c r="CP4" s="393"/>
      <c r="CQ4" s="397">
        <v>43</v>
      </c>
      <c r="CR4" s="395"/>
      <c r="CS4" s="395"/>
      <c r="CT4" s="395"/>
      <c r="CU4" s="397">
        <v>43</v>
      </c>
      <c r="CV4" s="393"/>
      <c r="CW4" s="397">
        <v>0</v>
      </c>
      <c r="CX4" s="396">
        <v>0</v>
      </c>
      <c r="CY4" s="395"/>
      <c r="CZ4" s="395"/>
      <c r="DA4" s="394">
        <v>0</v>
      </c>
      <c r="DB4" s="393">
        <v>90</v>
      </c>
      <c r="DC4" s="392">
        <f>90/921748</f>
        <v>9.764056987376159E-5</v>
      </c>
    </row>
    <row r="5" spans="2:107" x14ac:dyDescent="0.2">
      <c r="B5" s="172" t="s">
        <v>85</v>
      </c>
      <c r="C5" s="377"/>
      <c r="D5" s="169"/>
      <c r="E5" s="169"/>
      <c r="F5" s="376"/>
      <c r="G5" s="177">
        <v>0</v>
      </c>
      <c r="H5" s="169">
        <v>21</v>
      </c>
      <c r="I5" s="169">
        <v>0</v>
      </c>
      <c r="J5" s="169"/>
      <c r="K5" s="169"/>
      <c r="L5" s="169"/>
      <c r="M5" s="177">
        <v>21</v>
      </c>
      <c r="N5" s="174"/>
      <c r="O5" s="177">
        <v>274</v>
      </c>
      <c r="P5" s="169"/>
      <c r="Q5" s="177">
        <v>274</v>
      </c>
      <c r="R5" s="377">
        <v>0</v>
      </c>
      <c r="S5" s="169"/>
      <c r="T5" s="169"/>
      <c r="U5" s="376">
        <v>0</v>
      </c>
      <c r="V5" s="177"/>
      <c r="W5" s="169"/>
      <c r="X5" s="177"/>
      <c r="Y5" s="174"/>
      <c r="Z5" s="177">
        <v>4</v>
      </c>
      <c r="AA5" s="169"/>
      <c r="AB5" s="169"/>
      <c r="AC5" s="169"/>
      <c r="AD5" s="169"/>
      <c r="AE5" s="169"/>
      <c r="AF5" s="169"/>
      <c r="AG5" s="169"/>
      <c r="AH5" s="177">
        <v>4</v>
      </c>
      <c r="AI5" s="174"/>
      <c r="AJ5" s="177">
        <v>0</v>
      </c>
      <c r="AK5" s="169"/>
      <c r="AL5" s="169"/>
      <c r="AM5" s="169"/>
      <c r="AN5" s="169"/>
      <c r="AO5" s="169"/>
      <c r="AP5" s="169"/>
      <c r="AQ5" s="169"/>
      <c r="AR5" s="169"/>
      <c r="AS5" s="169"/>
      <c r="AT5" s="169"/>
      <c r="AU5" s="169"/>
      <c r="AV5" s="177">
        <v>0</v>
      </c>
      <c r="AW5" s="377">
        <v>0</v>
      </c>
      <c r="AX5" s="169">
        <v>54</v>
      </c>
      <c r="AY5" s="169">
        <v>0</v>
      </c>
      <c r="AZ5" s="169">
        <v>0</v>
      </c>
      <c r="BA5" s="169">
        <v>0</v>
      </c>
      <c r="BB5" s="169">
        <v>0</v>
      </c>
      <c r="BC5" s="169"/>
      <c r="BD5" s="169"/>
      <c r="BE5" s="376">
        <v>54</v>
      </c>
      <c r="BF5" s="177">
        <v>0</v>
      </c>
      <c r="BG5" s="169">
        <v>0</v>
      </c>
      <c r="BH5" s="169">
        <v>68</v>
      </c>
      <c r="BI5" s="169"/>
      <c r="BJ5" s="169"/>
      <c r="BK5" s="169"/>
      <c r="BL5" s="177">
        <v>68</v>
      </c>
      <c r="BM5" s="174"/>
      <c r="BN5" s="177">
        <v>0</v>
      </c>
      <c r="BO5" s="377">
        <v>0</v>
      </c>
      <c r="BP5" s="169">
        <v>0</v>
      </c>
      <c r="BQ5" s="169"/>
      <c r="BR5" s="169"/>
      <c r="BS5" s="169"/>
      <c r="BT5" s="376">
        <v>0</v>
      </c>
      <c r="BU5" s="177">
        <v>29</v>
      </c>
      <c r="BV5" s="169">
        <v>2</v>
      </c>
      <c r="BW5" s="169">
        <v>9</v>
      </c>
      <c r="BX5" s="169">
        <v>1</v>
      </c>
      <c r="BY5" s="169">
        <v>0</v>
      </c>
      <c r="BZ5" s="169">
        <v>100</v>
      </c>
      <c r="CA5" s="169">
        <v>0</v>
      </c>
      <c r="CB5" s="169"/>
      <c r="CC5" s="169"/>
      <c r="CD5" s="169"/>
      <c r="CE5" s="169"/>
      <c r="CF5" s="177">
        <v>141</v>
      </c>
      <c r="CG5" s="377"/>
      <c r="CH5" s="169"/>
      <c r="CI5" s="376"/>
      <c r="CJ5" s="177"/>
      <c r="CK5" s="174">
        <v>0</v>
      </c>
      <c r="CL5" s="177"/>
      <c r="CM5" s="169"/>
      <c r="CN5" s="169"/>
      <c r="CO5" s="177"/>
      <c r="CP5" s="174"/>
      <c r="CQ5" s="177"/>
      <c r="CR5" s="169"/>
      <c r="CS5" s="169"/>
      <c r="CT5" s="169"/>
      <c r="CU5" s="177"/>
      <c r="CV5" s="174"/>
      <c r="CW5" s="177"/>
      <c r="CX5" s="377"/>
      <c r="CY5" s="169">
        <v>0</v>
      </c>
      <c r="CZ5" s="169"/>
      <c r="DA5" s="376">
        <v>0</v>
      </c>
      <c r="DB5" s="174">
        <v>562</v>
      </c>
      <c r="DC5" s="179">
        <f>562/921748</f>
        <v>6.0971111410060015E-4</v>
      </c>
    </row>
    <row r="6" spans="2:107" x14ac:dyDescent="0.2">
      <c r="B6" s="172" t="s">
        <v>105</v>
      </c>
      <c r="C6" s="377">
        <v>0</v>
      </c>
      <c r="D6" s="169"/>
      <c r="E6" s="169"/>
      <c r="F6" s="376">
        <v>0</v>
      </c>
      <c r="G6" s="177">
        <v>2</v>
      </c>
      <c r="H6" s="169">
        <v>145</v>
      </c>
      <c r="I6" s="169">
        <v>9</v>
      </c>
      <c r="J6" s="169">
        <v>0</v>
      </c>
      <c r="K6" s="169">
        <v>0</v>
      </c>
      <c r="L6" s="169"/>
      <c r="M6" s="177">
        <v>156</v>
      </c>
      <c r="N6" s="174"/>
      <c r="O6" s="177">
        <v>1126</v>
      </c>
      <c r="P6" s="169">
        <v>0</v>
      </c>
      <c r="Q6" s="177">
        <v>1126</v>
      </c>
      <c r="R6" s="377">
        <v>0</v>
      </c>
      <c r="S6" s="169"/>
      <c r="T6" s="169"/>
      <c r="U6" s="376">
        <v>0</v>
      </c>
      <c r="V6" s="177"/>
      <c r="W6" s="169"/>
      <c r="X6" s="177"/>
      <c r="Y6" s="174">
        <v>0</v>
      </c>
      <c r="Z6" s="177">
        <v>20</v>
      </c>
      <c r="AA6" s="169">
        <v>0</v>
      </c>
      <c r="AB6" s="169">
        <v>263</v>
      </c>
      <c r="AC6" s="169"/>
      <c r="AD6" s="169"/>
      <c r="AE6" s="169"/>
      <c r="AF6" s="169"/>
      <c r="AG6" s="169"/>
      <c r="AH6" s="177">
        <v>283</v>
      </c>
      <c r="AI6" s="174"/>
      <c r="AJ6" s="177"/>
      <c r="AK6" s="169">
        <v>0</v>
      </c>
      <c r="AL6" s="169"/>
      <c r="AM6" s="169"/>
      <c r="AN6" s="169"/>
      <c r="AO6" s="169"/>
      <c r="AP6" s="169"/>
      <c r="AQ6" s="169"/>
      <c r="AR6" s="169"/>
      <c r="AS6" s="169"/>
      <c r="AT6" s="169"/>
      <c r="AU6" s="169"/>
      <c r="AV6" s="177">
        <v>0</v>
      </c>
      <c r="AW6" s="377">
        <v>0</v>
      </c>
      <c r="AX6" s="169">
        <v>297</v>
      </c>
      <c r="AY6" s="169">
        <v>0</v>
      </c>
      <c r="AZ6" s="169">
        <v>0</v>
      </c>
      <c r="BA6" s="169">
        <v>0</v>
      </c>
      <c r="BB6" s="169">
        <v>8</v>
      </c>
      <c r="BC6" s="169">
        <v>0</v>
      </c>
      <c r="BD6" s="169"/>
      <c r="BE6" s="376">
        <v>305</v>
      </c>
      <c r="BF6" s="177">
        <v>0</v>
      </c>
      <c r="BG6" s="169">
        <v>13</v>
      </c>
      <c r="BH6" s="169">
        <v>123</v>
      </c>
      <c r="BI6" s="169">
        <v>11</v>
      </c>
      <c r="BJ6" s="169">
        <v>0</v>
      </c>
      <c r="BK6" s="169"/>
      <c r="BL6" s="177">
        <v>147</v>
      </c>
      <c r="BM6" s="174"/>
      <c r="BN6" s="177">
        <v>0</v>
      </c>
      <c r="BO6" s="377">
        <v>0</v>
      </c>
      <c r="BP6" s="169">
        <v>0</v>
      </c>
      <c r="BQ6" s="169"/>
      <c r="BR6" s="169"/>
      <c r="BS6" s="169"/>
      <c r="BT6" s="376">
        <v>0</v>
      </c>
      <c r="BU6" s="177">
        <v>11</v>
      </c>
      <c r="BV6" s="169">
        <v>10</v>
      </c>
      <c r="BW6" s="169">
        <v>28</v>
      </c>
      <c r="BX6" s="169">
        <v>0</v>
      </c>
      <c r="BY6" s="169">
        <v>0</v>
      </c>
      <c r="BZ6" s="169">
        <v>96</v>
      </c>
      <c r="CA6" s="169">
        <v>0</v>
      </c>
      <c r="CB6" s="169">
        <v>0</v>
      </c>
      <c r="CC6" s="169">
        <v>0</v>
      </c>
      <c r="CD6" s="169"/>
      <c r="CE6" s="169"/>
      <c r="CF6" s="177">
        <v>145</v>
      </c>
      <c r="CG6" s="377"/>
      <c r="CH6" s="169"/>
      <c r="CI6" s="376"/>
      <c r="CJ6" s="177"/>
      <c r="CK6" s="174"/>
      <c r="CL6" s="177"/>
      <c r="CM6" s="169"/>
      <c r="CN6" s="169"/>
      <c r="CO6" s="177"/>
      <c r="CP6" s="174"/>
      <c r="CQ6" s="177">
        <v>6</v>
      </c>
      <c r="CR6" s="169">
        <v>0</v>
      </c>
      <c r="CS6" s="169">
        <v>0</v>
      </c>
      <c r="CT6" s="169"/>
      <c r="CU6" s="177">
        <v>6</v>
      </c>
      <c r="CV6" s="174"/>
      <c r="CW6" s="177">
        <v>0</v>
      </c>
      <c r="CX6" s="377">
        <v>4</v>
      </c>
      <c r="CY6" s="169"/>
      <c r="CZ6" s="169"/>
      <c r="DA6" s="376">
        <v>4</v>
      </c>
      <c r="DB6" s="174">
        <v>2172</v>
      </c>
      <c r="DC6" s="179">
        <f>2172/921748</f>
        <v>2.3563924196201131E-3</v>
      </c>
    </row>
    <row r="7" spans="2:107" x14ac:dyDescent="0.2">
      <c r="B7" s="172" t="s">
        <v>155</v>
      </c>
      <c r="C7" s="377"/>
      <c r="D7" s="169"/>
      <c r="E7" s="169"/>
      <c r="F7" s="376"/>
      <c r="G7" s="177"/>
      <c r="H7" s="169">
        <v>0</v>
      </c>
      <c r="I7" s="169"/>
      <c r="J7" s="169"/>
      <c r="K7" s="169"/>
      <c r="L7" s="169"/>
      <c r="M7" s="177">
        <v>0</v>
      </c>
      <c r="N7" s="174"/>
      <c r="O7" s="177">
        <v>1</v>
      </c>
      <c r="P7" s="169"/>
      <c r="Q7" s="177">
        <v>1</v>
      </c>
      <c r="R7" s="377">
        <v>0</v>
      </c>
      <c r="S7" s="169"/>
      <c r="T7" s="169"/>
      <c r="U7" s="376">
        <v>0</v>
      </c>
      <c r="V7" s="177"/>
      <c r="W7" s="169"/>
      <c r="X7" s="177"/>
      <c r="Y7" s="174">
        <v>0</v>
      </c>
      <c r="Z7" s="177"/>
      <c r="AA7" s="169"/>
      <c r="AB7" s="169"/>
      <c r="AC7" s="169"/>
      <c r="AD7" s="169"/>
      <c r="AE7" s="169"/>
      <c r="AF7" s="169"/>
      <c r="AG7" s="169"/>
      <c r="AH7" s="177"/>
      <c r="AI7" s="174"/>
      <c r="AJ7" s="177"/>
      <c r="AK7" s="169">
        <v>0</v>
      </c>
      <c r="AL7" s="169"/>
      <c r="AM7" s="169"/>
      <c r="AN7" s="169"/>
      <c r="AO7" s="169"/>
      <c r="AP7" s="169"/>
      <c r="AQ7" s="169"/>
      <c r="AR7" s="169"/>
      <c r="AS7" s="169"/>
      <c r="AT7" s="169"/>
      <c r="AU7" s="169"/>
      <c r="AV7" s="177">
        <v>0</v>
      </c>
      <c r="AW7" s="377">
        <v>0</v>
      </c>
      <c r="AX7" s="169"/>
      <c r="AY7" s="169">
        <v>0</v>
      </c>
      <c r="AZ7" s="169">
        <v>0</v>
      </c>
      <c r="BA7" s="169"/>
      <c r="BB7" s="169"/>
      <c r="BC7" s="169"/>
      <c r="BD7" s="169"/>
      <c r="BE7" s="376">
        <v>0</v>
      </c>
      <c r="BF7" s="177"/>
      <c r="BG7" s="169">
        <v>0</v>
      </c>
      <c r="BH7" s="169">
        <v>0</v>
      </c>
      <c r="BI7" s="169"/>
      <c r="BJ7" s="169"/>
      <c r="BK7" s="169"/>
      <c r="BL7" s="177">
        <v>0</v>
      </c>
      <c r="BM7" s="174"/>
      <c r="BN7" s="177"/>
      <c r="BO7" s="377">
        <v>0</v>
      </c>
      <c r="BP7" s="169">
        <v>0</v>
      </c>
      <c r="BQ7" s="169"/>
      <c r="BR7" s="169"/>
      <c r="BS7" s="169"/>
      <c r="BT7" s="376">
        <v>0</v>
      </c>
      <c r="BU7" s="177">
        <v>3</v>
      </c>
      <c r="BV7" s="169">
        <v>0</v>
      </c>
      <c r="BW7" s="169"/>
      <c r="BX7" s="169"/>
      <c r="BY7" s="169"/>
      <c r="BZ7" s="169">
        <v>0</v>
      </c>
      <c r="CA7" s="169"/>
      <c r="CB7" s="169"/>
      <c r="CC7" s="169"/>
      <c r="CD7" s="169"/>
      <c r="CE7" s="169"/>
      <c r="CF7" s="177">
        <v>3</v>
      </c>
      <c r="CG7" s="377"/>
      <c r="CH7" s="169"/>
      <c r="CI7" s="376"/>
      <c r="CJ7" s="177"/>
      <c r="CK7" s="174"/>
      <c r="CL7" s="177"/>
      <c r="CM7" s="169"/>
      <c r="CN7" s="169">
        <v>3</v>
      </c>
      <c r="CO7" s="177">
        <v>3</v>
      </c>
      <c r="CP7" s="174"/>
      <c r="CQ7" s="177"/>
      <c r="CR7" s="169"/>
      <c r="CS7" s="169"/>
      <c r="CT7" s="169"/>
      <c r="CU7" s="177"/>
      <c r="CV7" s="174"/>
      <c r="CW7" s="177">
        <v>0</v>
      </c>
      <c r="CX7" s="377">
        <v>0</v>
      </c>
      <c r="CY7" s="169"/>
      <c r="CZ7" s="169"/>
      <c r="DA7" s="376">
        <v>0</v>
      </c>
      <c r="DB7" s="174">
        <v>7</v>
      </c>
      <c r="DC7" s="179">
        <f>7/921748</f>
        <v>7.5942665457370131E-6</v>
      </c>
    </row>
    <row r="8" spans="2:107" x14ac:dyDescent="0.2">
      <c r="B8" s="172" t="s">
        <v>173</v>
      </c>
      <c r="C8" s="377">
        <v>0</v>
      </c>
      <c r="D8" s="169">
        <v>0</v>
      </c>
      <c r="E8" s="169">
        <v>0</v>
      </c>
      <c r="F8" s="376">
        <v>0</v>
      </c>
      <c r="G8" s="177">
        <v>0</v>
      </c>
      <c r="H8" s="169">
        <v>410</v>
      </c>
      <c r="I8" s="169"/>
      <c r="J8" s="169">
        <v>6</v>
      </c>
      <c r="K8" s="169"/>
      <c r="L8" s="169"/>
      <c r="M8" s="177">
        <v>416</v>
      </c>
      <c r="N8" s="174">
        <v>0</v>
      </c>
      <c r="O8" s="177">
        <v>173</v>
      </c>
      <c r="P8" s="169">
        <v>0</v>
      </c>
      <c r="Q8" s="177">
        <v>173</v>
      </c>
      <c r="R8" s="377">
        <v>0</v>
      </c>
      <c r="S8" s="169">
        <v>0</v>
      </c>
      <c r="T8" s="169"/>
      <c r="U8" s="376">
        <v>0</v>
      </c>
      <c r="V8" s="177">
        <v>0</v>
      </c>
      <c r="W8" s="169"/>
      <c r="X8" s="177">
        <v>0</v>
      </c>
      <c r="Y8" s="174">
        <v>65</v>
      </c>
      <c r="Z8" s="177">
        <v>3</v>
      </c>
      <c r="AA8" s="169"/>
      <c r="AB8" s="169"/>
      <c r="AC8" s="169">
        <v>0</v>
      </c>
      <c r="AD8" s="169"/>
      <c r="AE8" s="169"/>
      <c r="AF8" s="169"/>
      <c r="AG8" s="169"/>
      <c r="AH8" s="177">
        <v>3</v>
      </c>
      <c r="AI8" s="174">
        <v>0</v>
      </c>
      <c r="AJ8" s="177"/>
      <c r="AK8" s="169">
        <v>0</v>
      </c>
      <c r="AL8" s="169">
        <v>0</v>
      </c>
      <c r="AM8" s="169">
        <v>0</v>
      </c>
      <c r="AN8" s="169">
        <v>0</v>
      </c>
      <c r="AO8" s="169">
        <v>0</v>
      </c>
      <c r="AP8" s="169">
        <v>0</v>
      </c>
      <c r="AQ8" s="169">
        <v>0</v>
      </c>
      <c r="AR8" s="169">
        <v>0</v>
      </c>
      <c r="AS8" s="169"/>
      <c r="AT8" s="169"/>
      <c r="AU8" s="169"/>
      <c r="AV8" s="177">
        <v>0</v>
      </c>
      <c r="AW8" s="377">
        <v>0</v>
      </c>
      <c r="AX8" s="169">
        <v>27</v>
      </c>
      <c r="AY8" s="169">
        <v>0</v>
      </c>
      <c r="AZ8" s="169">
        <v>0</v>
      </c>
      <c r="BA8" s="169">
        <v>0</v>
      </c>
      <c r="BB8" s="169">
        <v>1</v>
      </c>
      <c r="BC8" s="169"/>
      <c r="BD8" s="169">
        <v>0</v>
      </c>
      <c r="BE8" s="376">
        <v>28</v>
      </c>
      <c r="BF8" s="177">
        <v>0</v>
      </c>
      <c r="BG8" s="169">
        <v>0</v>
      </c>
      <c r="BH8" s="169">
        <v>21</v>
      </c>
      <c r="BI8" s="169">
        <v>0</v>
      </c>
      <c r="BJ8" s="169"/>
      <c r="BK8" s="169"/>
      <c r="BL8" s="177">
        <v>21</v>
      </c>
      <c r="BM8" s="174"/>
      <c r="BN8" s="177">
        <v>0</v>
      </c>
      <c r="BO8" s="377">
        <v>0</v>
      </c>
      <c r="BP8" s="169">
        <v>0</v>
      </c>
      <c r="BQ8" s="169">
        <v>0</v>
      </c>
      <c r="BR8" s="169"/>
      <c r="BS8" s="169"/>
      <c r="BT8" s="376">
        <v>0</v>
      </c>
      <c r="BU8" s="177">
        <v>12</v>
      </c>
      <c r="BV8" s="169">
        <v>0</v>
      </c>
      <c r="BW8" s="169">
        <v>17</v>
      </c>
      <c r="BX8" s="169">
        <v>0</v>
      </c>
      <c r="BY8" s="169">
        <v>0</v>
      </c>
      <c r="BZ8" s="169">
        <v>16</v>
      </c>
      <c r="CA8" s="169">
        <v>0</v>
      </c>
      <c r="CB8" s="169">
        <v>0</v>
      </c>
      <c r="CC8" s="169">
        <v>0</v>
      </c>
      <c r="CD8" s="169">
        <v>0</v>
      </c>
      <c r="CE8" s="169"/>
      <c r="CF8" s="177">
        <v>45</v>
      </c>
      <c r="CG8" s="377">
        <v>0</v>
      </c>
      <c r="CH8" s="169">
        <v>16</v>
      </c>
      <c r="CI8" s="376">
        <v>16</v>
      </c>
      <c r="CJ8" s="177"/>
      <c r="CK8" s="174">
        <v>0</v>
      </c>
      <c r="CL8" s="177">
        <v>374</v>
      </c>
      <c r="CM8" s="169">
        <v>5</v>
      </c>
      <c r="CN8" s="169">
        <v>37</v>
      </c>
      <c r="CO8" s="177">
        <v>416</v>
      </c>
      <c r="CP8" s="174">
        <v>26</v>
      </c>
      <c r="CQ8" s="177">
        <v>126</v>
      </c>
      <c r="CR8" s="169">
        <v>0</v>
      </c>
      <c r="CS8" s="169">
        <v>0</v>
      </c>
      <c r="CT8" s="169"/>
      <c r="CU8" s="177">
        <v>126</v>
      </c>
      <c r="CV8" s="174">
        <v>0</v>
      </c>
      <c r="CW8" s="177">
        <v>0</v>
      </c>
      <c r="CX8" s="377">
        <v>14</v>
      </c>
      <c r="CY8" s="169">
        <v>19</v>
      </c>
      <c r="CZ8" s="169">
        <v>36</v>
      </c>
      <c r="DA8" s="376">
        <v>69</v>
      </c>
      <c r="DB8" s="174">
        <v>1404</v>
      </c>
      <c r="DC8" s="179">
        <f>1404/921748</f>
        <v>1.5231928900306809E-3</v>
      </c>
    </row>
    <row r="9" spans="2:107" x14ac:dyDescent="0.2">
      <c r="B9" s="172" t="s">
        <v>227</v>
      </c>
      <c r="C9" s="377"/>
      <c r="D9" s="169"/>
      <c r="E9" s="169"/>
      <c r="F9" s="376"/>
      <c r="G9" s="177"/>
      <c r="H9" s="169"/>
      <c r="I9" s="169"/>
      <c r="J9" s="169"/>
      <c r="K9" s="169"/>
      <c r="L9" s="169"/>
      <c r="M9" s="177"/>
      <c r="N9" s="174"/>
      <c r="O9" s="177">
        <v>8</v>
      </c>
      <c r="P9" s="169"/>
      <c r="Q9" s="177">
        <v>8</v>
      </c>
      <c r="R9" s="377"/>
      <c r="S9" s="169">
        <v>0</v>
      </c>
      <c r="T9" s="169"/>
      <c r="U9" s="376">
        <v>0</v>
      </c>
      <c r="V9" s="177"/>
      <c r="W9" s="169"/>
      <c r="X9" s="177"/>
      <c r="Y9" s="174"/>
      <c r="Z9" s="177"/>
      <c r="AA9" s="169"/>
      <c r="AB9" s="169"/>
      <c r="AC9" s="169"/>
      <c r="AD9" s="169"/>
      <c r="AE9" s="169"/>
      <c r="AF9" s="169"/>
      <c r="AG9" s="169"/>
      <c r="AH9" s="177"/>
      <c r="AI9" s="174"/>
      <c r="AJ9" s="177"/>
      <c r="AK9" s="169"/>
      <c r="AL9" s="169"/>
      <c r="AM9" s="169"/>
      <c r="AN9" s="169"/>
      <c r="AO9" s="169"/>
      <c r="AP9" s="169">
        <v>0</v>
      </c>
      <c r="AQ9" s="169">
        <v>0</v>
      </c>
      <c r="AR9" s="169"/>
      <c r="AS9" s="169"/>
      <c r="AT9" s="169"/>
      <c r="AU9" s="169"/>
      <c r="AV9" s="177">
        <v>0</v>
      </c>
      <c r="AW9" s="377">
        <v>0</v>
      </c>
      <c r="AX9" s="169">
        <v>0</v>
      </c>
      <c r="AY9" s="169">
        <v>0</v>
      </c>
      <c r="AZ9" s="169">
        <v>0</v>
      </c>
      <c r="BA9" s="169"/>
      <c r="BB9" s="169"/>
      <c r="BC9" s="169"/>
      <c r="BD9" s="169"/>
      <c r="BE9" s="376">
        <v>0</v>
      </c>
      <c r="BF9" s="177">
        <v>0</v>
      </c>
      <c r="BG9" s="169"/>
      <c r="BH9" s="169"/>
      <c r="BI9" s="169"/>
      <c r="BJ9" s="169"/>
      <c r="BK9" s="169"/>
      <c r="BL9" s="177">
        <v>0</v>
      </c>
      <c r="BM9" s="174"/>
      <c r="BN9" s="177"/>
      <c r="BO9" s="377">
        <v>0</v>
      </c>
      <c r="BP9" s="169">
        <v>0</v>
      </c>
      <c r="BQ9" s="169"/>
      <c r="BR9" s="169"/>
      <c r="BS9" s="169"/>
      <c r="BT9" s="376">
        <v>0</v>
      </c>
      <c r="BU9" s="177"/>
      <c r="BV9" s="169"/>
      <c r="BW9" s="169">
        <v>1</v>
      </c>
      <c r="BX9" s="169"/>
      <c r="BY9" s="169"/>
      <c r="BZ9" s="169"/>
      <c r="CA9" s="169"/>
      <c r="CB9" s="169"/>
      <c r="CC9" s="169"/>
      <c r="CD9" s="169"/>
      <c r="CE9" s="169"/>
      <c r="CF9" s="177">
        <v>1</v>
      </c>
      <c r="CG9" s="377"/>
      <c r="CH9" s="169"/>
      <c r="CI9" s="376"/>
      <c r="CJ9" s="177"/>
      <c r="CK9" s="174">
        <v>0</v>
      </c>
      <c r="CL9" s="177">
        <v>1</v>
      </c>
      <c r="CM9" s="169"/>
      <c r="CN9" s="169"/>
      <c r="CO9" s="177">
        <v>1</v>
      </c>
      <c r="CP9" s="174"/>
      <c r="CQ9" s="177"/>
      <c r="CR9" s="169"/>
      <c r="CS9" s="169"/>
      <c r="CT9" s="169"/>
      <c r="CU9" s="177"/>
      <c r="CV9" s="174"/>
      <c r="CW9" s="177">
        <v>0</v>
      </c>
      <c r="CX9" s="377"/>
      <c r="CY9" s="169"/>
      <c r="CZ9" s="169"/>
      <c r="DA9" s="376"/>
      <c r="DB9" s="174">
        <v>10</v>
      </c>
      <c r="DC9" s="179">
        <f>10/921748</f>
        <v>1.0848952208195732E-5</v>
      </c>
    </row>
    <row r="10" spans="2:107" ht="13.5" thickBot="1" x14ac:dyDescent="0.25">
      <c r="B10" s="391" t="s">
        <v>243</v>
      </c>
      <c r="C10" s="389"/>
      <c r="D10" s="388"/>
      <c r="E10" s="388"/>
      <c r="F10" s="387"/>
      <c r="G10" s="390">
        <v>20</v>
      </c>
      <c r="H10" s="388">
        <v>138</v>
      </c>
      <c r="I10" s="388">
        <v>1</v>
      </c>
      <c r="J10" s="388">
        <v>0</v>
      </c>
      <c r="K10" s="388"/>
      <c r="L10" s="388"/>
      <c r="M10" s="390">
        <v>159</v>
      </c>
      <c r="N10" s="386"/>
      <c r="O10" s="390">
        <v>79</v>
      </c>
      <c r="P10" s="388"/>
      <c r="Q10" s="390">
        <v>79</v>
      </c>
      <c r="R10" s="389">
        <v>0</v>
      </c>
      <c r="S10" s="388"/>
      <c r="T10" s="388"/>
      <c r="U10" s="387">
        <v>0</v>
      </c>
      <c r="V10" s="390"/>
      <c r="W10" s="388"/>
      <c r="X10" s="390"/>
      <c r="Y10" s="386"/>
      <c r="Z10" s="390"/>
      <c r="AA10" s="388"/>
      <c r="AB10" s="388"/>
      <c r="AC10" s="388"/>
      <c r="AD10" s="388"/>
      <c r="AE10" s="388"/>
      <c r="AF10" s="388"/>
      <c r="AG10" s="388"/>
      <c r="AH10" s="390"/>
      <c r="AI10" s="386"/>
      <c r="AJ10" s="390"/>
      <c r="AK10" s="388"/>
      <c r="AL10" s="388"/>
      <c r="AM10" s="388"/>
      <c r="AN10" s="388"/>
      <c r="AO10" s="388"/>
      <c r="AP10" s="388"/>
      <c r="AQ10" s="388"/>
      <c r="AR10" s="388"/>
      <c r="AS10" s="388"/>
      <c r="AT10" s="388"/>
      <c r="AU10" s="388"/>
      <c r="AV10" s="390"/>
      <c r="AW10" s="389">
        <v>0</v>
      </c>
      <c r="AX10" s="388">
        <v>62</v>
      </c>
      <c r="AY10" s="388">
        <v>0</v>
      </c>
      <c r="AZ10" s="388">
        <v>0</v>
      </c>
      <c r="BA10" s="388"/>
      <c r="BB10" s="388">
        <v>0</v>
      </c>
      <c r="BC10" s="388"/>
      <c r="BD10" s="388"/>
      <c r="BE10" s="387">
        <v>62</v>
      </c>
      <c r="BF10" s="390"/>
      <c r="BG10" s="388">
        <v>1</v>
      </c>
      <c r="BH10" s="388">
        <v>190</v>
      </c>
      <c r="BI10" s="388">
        <v>2</v>
      </c>
      <c r="BJ10" s="388">
        <v>0</v>
      </c>
      <c r="BK10" s="388"/>
      <c r="BL10" s="390">
        <v>193</v>
      </c>
      <c r="BM10" s="386"/>
      <c r="BN10" s="390">
        <v>0</v>
      </c>
      <c r="BO10" s="389">
        <v>0</v>
      </c>
      <c r="BP10" s="388">
        <v>0</v>
      </c>
      <c r="BQ10" s="388"/>
      <c r="BR10" s="388"/>
      <c r="BS10" s="388"/>
      <c r="BT10" s="387">
        <v>0</v>
      </c>
      <c r="BU10" s="390">
        <v>29</v>
      </c>
      <c r="BV10" s="388">
        <v>21</v>
      </c>
      <c r="BW10" s="388">
        <v>17</v>
      </c>
      <c r="BX10" s="388">
        <v>0</v>
      </c>
      <c r="BY10" s="388">
        <v>0</v>
      </c>
      <c r="BZ10" s="388">
        <v>170</v>
      </c>
      <c r="CA10" s="388">
        <v>0</v>
      </c>
      <c r="CB10" s="388">
        <v>0</v>
      </c>
      <c r="CC10" s="388"/>
      <c r="CD10" s="388"/>
      <c r="CE10" s="388"/>
      <c r="CF10" s="390">
        <v>237</v>
      </c>
      <c r="CG10" s="389"/>
      <c r="CH10" s="388"/>
      <c r="CI10" s="387"/>
      <c r="CJ10" s="390"/>
      <c r="CK10" s="386"/>
      <c r="CL10" s="390">
        <v>0</v>
      </c>
      <c r="CM10" s="388"/>
      <c r="CN10" s="388"/>
      <c r="CO10" s="390">
        <v>0</v>
      </c>
      <c r="CP10" s="386"/>
      <c r="CQ10" s="390"/>
      <c r="CR10" s="388"/>
      <c r="CS10" s="388"/>
      <c r="CT10" s="388"/>
      <c r="CU10" s="390"/>
      <c r="CV10" s="386"/>
      <c r="CW10" s="390"/>
      <c r="CX10" s="389">
        <v>0</v>
      </c>
      <c r="CY10" s="388"/>
      <c r="CZ10" s="388"/>
      <c r="DA10" s="387">
        <v>0</v>
      </c>
      <c r="DB10" s="386">
        <v>730</v>
      </c>
      <c r="DC10" s="385">
        <f>730/921748</f>
        <v>7.9197351119828852E-4</v>
      </c>
    </row>
    <row r="11" spans="2:107" ht="13.5" thickBot="1" x14ac:dyDescent="0.25">
      <c r="B11" s="384" t="s">
        <v>556</v>
      </c>
      <c r="C11" s="382"/>
      <c r="D11" s="381"/>
      <c r="E11" s="381"/>
      <c r="F11" s="380"/>
      <c r="G11" s="383">
        <v>65</v>
      </c>
      <c r="H11" s="381">
        <v>355</v>
      </c>
      <c r="I11" s="381">
        <v>4</v>
      </c>
      <c r="J11" s="381"/>
      <c r="K11" s="381"/>
      <c r="L11" s="381"/>
      <c r="M11" s="383">
        <v>424</v>
      </c>
      <c r="N11" s="379"/>
      <c r="O11" s="383">
        <v>409</v>
      </c>
      <c r="P11" s="381">
        <v>0</v>
      </c>
      <c r="Q11" s="383">
        <v>409</v>
      </c>
      <c r="R11" s="382">
        <v>0</v>
      </c>
      <c r="S11" s="381">
        <v>0</v>
      </c>
      <c r="T11" s="381"/>
      <c r="U11" s="380">
        <v>0</v>
      </c>
      <c r="V11" s="383">
        <v>0</v>
      </c>
      <c r="W11" s="381"/>
      <c r="X11" s="383">
        <v>0</v>
      </c>
      <c r="Y11" s="379">
        <v>0</v>
      </c>
      <c r="Z11" s="383">
        <v>7</v>
      </c>
      <c r="AA11" s="381"/>
      <c r="AB11" s="381">
        <v>38</v>
      </c>
      <c r="AC11" s="381"/>
      <c r="AD11" s="381"/>
      <c r="AE11" s="381"/>
      <c r="AF11" s="381"/>
      <c r="AG11" s="381"/>
      <c r="AH11" s="383">
        <v>45</v>
      </c>
      <c r="AI11" s="379"/>
      <c r="AJ11" s="383"/>
      <c r="AK11" s="381">
        <v>0</v>
      </c>
      <c r="AL11" s="381"/>
      <c r="AM11" s="381">
        <v>0</v>
      </c>
      <c r="AN11" s="381"/>
      <c r="AO11" s="381">
        <v>0</v>
      </c>
      <c r="AP11" s="381"/>
      <c r="AQ11" s="381">
        <v>0</v>
      </c>
      <c r="AR11" s="381">
        <v>0</v>
      </c>
      <c r="AS11" s="381"/>
      <c r="AT11" s="381"/>
      <c r="AU11" s="381"/>
      <c r="AV11" s="383">
        <v>0</v>
      </c>
      <c r="AW11" s="382">
        <v>0</v>
      </c>
      <c r="AX11" s="381">
        <v>193</v>
      </c>
      <c r="AY11" s="381">
        <v>0</v>
      </c>
      <c r="AZ11" s="381">
        <v>0</v>
      </c>
      <c r="BA11" s="381">
        <v>0</v>
      </c>
      <c r="BB11" s="381">
        <v>1</v>
      </c>
      <c r="BC11" s="381"/>
      <c r="BD11" s="381"/>
      <c r="BE11" s="380">
        <v>194</v>
      </c>
      <c r="BF11" s="383">
        <v>0</v>
      </c>
      <c r="BG11" s="381">
        <v>6</v>
      </c>
      <c r="BH11" s="381">
        <v>177</v>
      </c>
      <c r="BI11" s="381">
        <v>4</v>
      </c>
      <c r="BJ11" s="381"/>
      <c r="BK11" s="381"/>
      <c r="BL11" s="383">
        <v>187</v>
      </c>
      <c r="BM11" s="379"/>
      <c r="BN11" s="383">
        <v>0</v>
      </c>
      <c r="BO11" s="382">
        <v>0</v>
      </c>
      <c r="BP11" s="381">
        <v>0</v>
      </c>
      <c r="BQ11" s="381"/>
      <c r="BR11" s="381"/>
      <c r="BS11" s="381"/>
      <c r="BT11" s="380">
        <v>0</v>
      </c>
      <c r="BU11" s="383">
        <v>30</v>
      </c>
      <c r="BV11" s="381">
        <v>65</v>
      </c>
      <c r="BW11" s="381">
        <v>23</v>
      </c>
      <c r="BX11" s="381">
        <v>0</v>
      </c>
      <c r="BY11" s="381">
        <v>0</v>
      </c>
      <c r="BZ11" s="381">
        <v>36</v>
      </c>
      <c r="CA11" s="381"/>
      <c r="CB11" s="381">
        <v>0</v>
      </c>
      <c r="CC11" s="381">
        <v>0</v>
      </c>
      <c r="CD11" s="381"/>
      <c r="CE11" s="381"/>
      <c r="CF11" s="383">
        <v>154</v>
      </c>
      <c r="CG11" s="382"/>
      <c r="CH11" s="381"/>
      <c r="CI11" s="380"/>
      <c r="CJ11" s="383">
        <v>0</v>
      </c>
      <c r="CK11" s="379"/>
      <c r="CL11" s="383">
        <v>14</v>
      </c>
      <c r="CM11" s="381">
        <v>2</v>
      </c>
      <c r="CN11" s="381">
        <v>1</v>
      </c>
      <c r="CO11" s="383">
        <v>17</v>
      </c>
      <c r="CP11" s="379">
        <v>4</v>
      </c>
      <c r="CQ11" s="383">
        <v>1</v>
      </c>
      <c r="CR11" s="381">
        <v>0</v>
      </c>
      <c r="CS11" s="381"/>
      <c r="CT11" s="381"/>
      <c r="CU11" s="383">
        <v>1</v>
      </c>
      <c r="CV11" s="379"/>
      <c r="CW11" s="383">
        <v>0</v>
      </c>
      <c r="CX11" s="382">
        <v>8</v>
      </c>
      <c r="CY11" s="381">
        <v>0</v>
      </c>
      <c r="CZ11" s="381">
        <v>3</v>
      </c>
      <c r="DA11" s="380">
        <v>11</v>
      </c>
      <c r="DB11" s="379">
        <v>1446</v>
      </c>
      <c r="DC11" s="378">
        <f>1446/921748</f>
        <v>1.5687584893051029E-3</v>
      </c>
    </row>
    <row r="12" spans="2:107" ht="13.5" thickBot="1" x14ac:dyDescent="0.25">
      <c r="B12" s="173" t="s">
        <v>541</v>
      </c>
      <c r="C12" s="369">
        <v>0</v>
      </c>
      <c r="D12" s="170">
        <v>0</v>
      </c>
      <c r="E12" s="170">
        <v>0</v>
      </c>
      <c r="F12" s="368">
        <v>0</v>
      </c>
      <c r="G12" s="178">
        <v>87</v>
      </c>
      <c r="H12" s="170">
        <v>1069</v>
      </c>
      <c r="I12" s="170">
        <v>14</v>
      </c>
      <c r="J12" s="170">
        <v>6</v>
      </c>
      <c r="K12" s="170">
        <v>0</v>
      </c>
      <c r="L12" s="170"/>
      <c r="M12" s="178">
        <v>1176</v>
      </c>
      <c r="N12" s="175">
        <v>0</v>
      </c>
      <c r="O12" s="178">
        <v>2076</v>
      </c>
      <c r="P12" s="170">
        <v>0</v>
      </c>
      <c r="Q12" s="178">
        <v>2076</v>
      </c>
      <c r="R12" s="369">
        <v>0</v>
      </c>
      <c r="S12" s="170">
        <v>0</v>
      </c>
      <c r="T12" s="170"/>
      <c r="U12" s="368">
        <v>0</v>
      </c>
      <c r="V12" s="178">
        <v>0</v>
      </c>
      <c r="W12" s="170"/>
      <c r="X12" s="178">
        <v>0</v>
      </c>
      <c r="Y12" s="175">
        <v>65</v>
      </c>
      <c r="Z12" s="178">
        <v>34</v>
      </c>
      <c r="AA12" s="170">
        <v>0</v>
      </c>
      <c r="AB12" s="170">
        <v>301</v>
      </c>
      <c r="AC12" s="170">
        <v>0</v>
      </c>
      <c r="AD12" s="170"/>
      <c r="AE12" s="170"/>
      <c r="AF12" s="170"/>
      <c r="AG12" s="170"/>
      <c r="AH12" s="178">
        <v>335</v>
      </c>
      <c r="AI12" s="175">
        <v>0</v>
      </c>
      <c r="AJ12" s="178">
        <v>0</v>
      </c>
      <c r="AK12" s="170">
        <v>0</v>
      </c>
      <c r="AL12" s="170">
        <v>0</v>
      </c>
      <c r="AM12" s="170">
        <v>0</v>
      </c>
      <c r="AN12" s="170">
        <v>0</v>
      </c>
      <c r="AO12" s="170">
        <v>0</v>
      </c>
      <c r="AP12" s="170">
        <v>0</v>
      </c>
      <c r="AQ12" s="170">
        <v>0</v>
      </c>
      <c r="AR12" s="170">
        <v>0</v>
      </c>
      <c r="AS12" s="170"/>
      <c r="AT12" s="170"/>
      <c r="AU12" s="170"/>
      <c r="AV12" s="178">
        <v>0</v>
      </c>
      <c r="AW12" s="369">
        <v>0</v>
      </c>
      <c r="AX12" s="170">
        <v>645</v>
      </c>
      <c r="AY12" s="170">
        <v>0</v>
      </c>
      <c r="AZ12" s="170">
        <v>0</v>
      </c>
      <c r="BA12" s="170">
        <v>0</v>
      </c>
      <c r="BB12" s="170">
        <v>10</v>
      </c>
      <c r="BC12" s="170">
        <v>0</v>
      </c>
      <c r="BD12" s="170">
        <v>0</v>
      </c>
      <c r="BE12" s="368">
        <v>655</v>
      </c>
      <c r="BF12" s="178">
        <v>0</v>
      </c>
      <c r="BG12" s="170">
        <v>20</v>
      </c>
      <c r="BH12" s="170">
        <v>583</v>
      </c>
      <c r="BI12" s="170">
        <v>17</v>
      </c>
      <c r="BJ12" s="170">
        <v>0</v>
      </c>
      <c r="BK12" s="170"/>
      <c r="BL12" s="178">
        <v>620</v>
      </c>
      <c r="BM12" s="175"/>
      <c r="BN12" s="178">
        <v>0</v>
      </c>
      <c r="BO12" s="369">
        <v>0</v>
      </c>
      <c r="BP12" s="170">
        <v>0</v>
      </c>
      <c r="BQ12" s="170">
        <v>0</v>
      </c>
      <c r="BR12" s="170"/>
      <c r="BS12" s="170"/>
      <c r="BT12" s="368">
        <v>0</v>
      </c>
      <c r="BU12" s="178">
        <v>123</v>
      </c>
      <c r="BV12" s="170">
        <v>101</v>
      </c>
      <c r="BW12" s="170">
        <v>104</v>
      </c>
      <c r="BX12" s="170">
        <v>1</v>
      </c>
      <c r="BY12" s="170">
        <v>0</v>
      </c>
      <c r="BZ12" s="170">
        <v>421</v>
      </c>
      <c r="CA12" s="170">
        <v>0</v>
      </c>
      <c r="CB12" s="170">
        <v>0</v>
      </c>
      <c r="CC12" s="170">
        <v>0</v>
      </c>
      <c r="CD12" s="170">
        <v>0</v>
      </c>
      <c r="CE12" s="170"/>
      <c r="CF12" s="178">
        <v>750</v>
      </c>
      <c r="CG12" s="369">
        <v>0</v>
      </c>
      <c r="CH12" s="170">
        <v>16</v>
      </c>
      <c r="CI12" s="368">
        <v>16</v>
      </c>
      <c r="CJ12" s="178">
        <v>0</v>
      </c>
      <c r="CK12" s="175">
        <v>0</v>
      </c>
      <c r="CL12" s="178">
        <v>390</v>
      </c>
      <c r="CM12" s="170">
        <v>7</v>
      </c>
      <c r="CN12" s="170">
        <v>41</v>
      </c>
      <c r="CO12" s="178">
        <v>438</v>
      </c>
      <c r="CP12" s="175">
        <v>30</v>
      </c>
      <c r="CQ12" s="178">
        <v>176</v>
      </c>
      <c r="CR12" s="170">
        <v>0</v>
      </c>
      <c r="CS12" s="170">
        <v>0</v>
      </c>
      <c r="CT12" s="170"/>
      <c r="CU12" s="178">
        <v>176</v>
      </c>
      <c r="CV12" s="175">
        <v>0</v>
      </c>
      <c r="CW12" s="178">
        <v>0</v>
      </c>
      <c r="CX12" s="369">
        <v>26</v>
      </c>
      <c r="CY12" s="170">
        <v>19</v>
      </c>
      <c r="CZ12" s="170">
        <v>39</v>
      </c>
      <c r="DA12" s="368">
        <v>84</v>
      </c>
      <c r="DB12" s="175">
        <v>6421</v>
      </c>
      <c r="DC12" s="180">
        <f>6421/921748</f>
        <v>6.9661122128824799E-3</v>
      </c>
    </row>
    <row r="13" spans="2:107" x14ac:dyDescent="0.2">
      <c r="B13" s="286" t="s">
        <v>29</v>
      </c>
      <c r="C13" s="374"/>
      <c r="D13" s="373"/>
      <c r="E13" s="373"/>
      <c r="F13" s="372"/>
      <c r="G13" s="375">
        <v>0</v>
      </c>
      <c r="H13" s="373">
        <v>46</v>
      </c>
      <c r="I13" s="373">
        <v>1</v>
      </c>
      <c r="J13" s="373"/>
      <c r="K13" s="373"/>
      <c r="L13" s="373">
        <v>4</v>
      </c>
      <c r="M13" s="375">
        <v>51</v>
      </c>
      <c r="N13" s="371"/>
      <c r="O13" s="375">
        <v>1881</v>
      </c>
      <c r="P13" s="373">
        <v>0</v>
      </c>
      <c r="Q13" s="375">
        <v>1881</v>
      </c>
      <c r="R13" s="374">
        <v>0</v>
      </c>
      <c r="S13" s="373"/>
      <c r="T13" s="373"/>
      <c r="U13" s="372">
        <v>0</v>
      </c>
      <c r="V13" s="375"/>
      <c r="W13" s="373"/>
      <c r="X13" s="375"/>
      <c r="Y13" s="371">
        <v>0</v>
      </c>
      <c r="Z13" s="375">
        <v>6</v>
      </c>
      <c r="AA13" s="373">
        <v>0</v>
      </c>
      <c r="AB13" s="373"/>
      <c r="AC13" s="373"/>
      <c r="AD13" s="373"/>
      <c r="AE13" s="373"/>
      <c r="AF13" s="373"/>
      <c r="AG13" s="373"/>
      <c r="AH13" s="375">
        <v>6</v>
      </c>
      <c r="AI13" s="371"/>
      <c r="AJ13" s="375"/>
      <c r="AK13" s="373"/>
      <c r="AL13" s="373"/>
      <c r="AM13" s="373"/>
      <c r="AN13" s="373"/>
      <c r="AO13" s="373"/>
      <c r="AP13" s="373"/>
      <c r="AQ13" s="373"/>
      <c r="AR13" s="373">
        <v>0</v>
      </c>
      <c r="AS13" s="373"/>
      <c r="AT13" s="373"/>
      <c r="AU13" s="373"/>
      <c r="AV13" s="375">
        <v>0</v>
      </c>
      <c r="AW13" s="374">
        <v>0</v>
      </c>
      <c r="AX13" s="373">
        <v>551</v>
      </c>
      <c r="AY13" s="373">
        <v>0</v>
      </c>
      <c r="AZ13" s="373"/>
      <c r="BA13" s="373"/>
      <c r="BB13" s="373">
        <v>7</v>
      </c>
      <c r="BC13" s="373"/>
      <c r="BD13" s="373"/>
      <c r="BE13" s="372">
        <v>558</v>
      </c>
      <c r="BF13" s="375"/>
      <c r="BG13" s="373">
        <v>7</v>
      </c>
      <c r="BH13" s="373">
        <v>72</v>
      </c>
      <c r="BI13" s="373">
        <v>14</v>
      </c>
      <c r="BJ13" s="373">
        <v>0</v>
      </c>
      <c r="BK13" s="373">
        <v>0</v>
      </c>
      <c r="BL13" s="375">
        <v>93</v>
      </c>
      <c r="BM13" s="371"/>
      <c r="BN13" s="375"/>
      <c r="BO13" s="374">
        <v>0</v>
      </c>
      <c r="BP13" s="373"/>
      <c r="BQ13" s="373"/>
      <c r="BR13" s="373"/>
      <c r="BS13" s="373"/>
      <c r="BT13" s="372">
        <v>0</v>
      </c>
      <c r="BU13" s="375">
        <v>12</v>
      </c>
      <c r="BV13" s="373">
        <v>0</v>
      </c>
      <c r="BW13" s="373">
        <v>14</v>
      </c>
      <c r="BX13" s="373">
        <v>0</v>
      </c>
      <c r="BY13" s="373">
        <v>0</v>
      </c>
      <c r="BZ13" s="373">
        <v>68</v>
      </c>
      <c r="CA13" s="373"/>
      <c r="CB13" s="373">
        <v>1</v>
      </c>
      <c r="CC13" s="373">
        <v>0</v>
      </c>
      <c r="CD13" s="373"/>
      <c r="CE13" s="373"/>
      <c r="CF13" s="375">
        <v>95</v>
      </c>
      <c r="CG13" s="374"/>
      <c r="CH13" s="373"/>
      <c r="CI13" s="372"/>
      <c r="CJ13" s="375"/>
      <c r="CK13" s="371">
        <v>0</v>
      </c>
      <c r="CL13" s="375"/>
      <c r="CM13" s="373"/>
      <c r="CN13" s="373"/>
      <c r="CO13" s="375"/>
      <c r="CP13" s="371"/>
      <c r="CQ13" s="375"/>
      <c r="CR13" s="373"/>
      <c r="CS13" s="373"/>
      <c r="CT13" s="373"/>
      <c r="CU13" s="375"/>
      <c r="CV13" s="371"/>
      <c r="CW13" s="375"/>
      <c r="CX13" s="374"/>
      <c r="CY13" s="373"/>
      <c r="CZ13" s="373"/>
      <c r="DA13" s="372"/>
      <c r="DB13" s="371">
        <v>2684</v>
      </c>
      <c r="DC13" s="370">
        <f>2684/921748</f>
        <v>2.9118587726797347E-3</v>
      </c>
    </row>
    <row r="14" spans="2:107" x14ac:dyDescent="0.2">
      <c r="B14" s="172" t="s">
        <v>56</v>
      </c>
      <c r="C14" s="377"/>
      <c r="D14" s="169"/>
      <c r="E14" s="169"/>
      <c r="F14" s="376"/>
      <c r="G14" s="177">
        <v>4</v>
      </c>
      <c r="H14" s="169">
        <v>137</v>
      </c>
      <c r="I14" s="169">
        <v>1</v>
      </c>
      <c r="J14" s="169"/>
      <c r="K14" s="169"/>
      <c r="L14" s="169"/>
      <c r="M14" s="177">
        <v>142</v>
      </c>
      <c r="N14" s="174"/>
      <c r="O14" s="177">
        <v>5830</v>
      </c>
      <c r="P14" s="169">
        <v>0</v>
      </c>
      <c r="Q14" s="177">
        <v>5830</v>
      </c>
      <c r="R14" s="377">
        <v>0</v>
      </c>
      <c r="S14" s="169"/>
      <c r="T14" s="169"/>
      <c r="U14" s="376">
        <v>0</v>
      </c>
      <c r="V14" s="177"/>
      <c r="W14" s="169"/>
      <c r="X14" s="177"/>
      <c r="Y14" s="174"/>
      <c r="Z14" s="177">
        <v>25</v>
      </c>
      <c r="AA14" s="169"/>
      <c r="AB14" s="169">
        <v>165</v>
      </c>
      <c r="AC14" s="169"/>
      <c r="AD14" s="169"/>
      <c r="AE14" s="169"/>
      <c r="AF14" s="169"/>
      <c r="AG14" s="169"/>
      <c r="AH14" s="177">
        <v>190</v>
      </c>
      <c r="AI14" s="174"/>
      <c r="AJ14" s="177"/>
      <c r="AK14" s="169">
        <v>0</v>
      </c>
      <c r="AL14" s="169"/>
      <c r="AM14" s="169"/>
      <c r="AN14" s="169"/>
      <c r="AO14" s="169"/>
      <c r="AP14" s="169"/>
      <c r="AQ14" s="169"/>
      <c r="AR14" s="169"/>
      <c r="AS14" s="169"/>
      <c r="AT14" s="169"/>
      <c r="AU14" s="169"/>
      <c r="AV14" s="177">
        <v>0</v>
      </c>
      <c r="AW14" s="377">
        <v>0</v>
      </c>
      <c r="AX14" s="169">
        <v>1091</v>
      </c>
      <c r="AY14" s="169">
        <v>0</v>
      </c>
      <c r="AZ14" s="169">
        <v>0</v>
      </c>
      <c r="BA14" s="169"/>
      <c r="BB14" s="169">
        <v>4</v>
      </c>
      <c r="BC14" s="169">
        <v>0</v>
      </c>
      <c r="BD14" s="169"/>
      <c r="BE14" s="376">
        <v>1095</v>
      </c>
      <c r="BF14" s="177"/>
      <c r="BG14" s="169">
        <v>17</v>
      </c>
      <c r="BH14" s="169">
        <v>192</v>
      </c>
      <c r="BI14" s="169">
        <v>14</v>
      </c>
      <c r="BJ14" s="169"/>
      <c r="BK14" s="169">
        <v>0</v>
      </c>
      <c r="BL14" s="177">
        <v>223</v>
      </c>
      <c r="BM14" s="174"/>
      <c r="BN14" s="177"/>
      <c r="BO14" s="377">
        <v>0</v>
      </c>
      <c r="BP14" s="169">
        <v>0</v>
      </c>
      <c r="BQ14" s="169"/>
      <c r="BR14" s="169"/>
      <c r="BS14" s="169"/>
      <c r="BT14" s="376">
        <v>0</v>
      </c>
      <c r="BU14" s="177">
        <v>80</v>
      </c>
      <c r="BV14" s="169">
        <v>3</v>
      </c>
      <c r="BW14" s="169">
        <v>45</v>
      </c>
      <c r="BX14" s="169">
        <v>0</v>
      </c>
      <c r="BY14" s="169">
        <v>0</v>
      </c>
      <c r="BZ14" s="169">
        <v>374</v>
      </c>
      <c r="CA14" s="169">
        <v>0</v>
      </c>
      <c r="CB14" s="169">
        <v>0</v>
      </c>
      <c r="CC14" s="169">
        <v>0</v>
      </c>
      <c r="CD14" s="169"/>
      <c r="CE14" s="169">
        <v>0</v>
      </c>
      <c r="CF14" s="177">
        <v>502</v>
      </c>
      <c r="CG14" s="377"/>
      <c r="CH14" s="169"/>
      <c r="CI14" s="376"/>
      <c r="CJ14" s="177"/>
      <c r="CK14" s="174"/>
      <c r="CL14" s="177"/>
      <c r="CM14" s="169"/>
      <c r="CN14" s="169"/>
      <c r="CO14" s="177"/>
      <c r="CP14" s="174"/>
      <c r="CQ14" s="177"/>
      <c r="CR14" s="169"/>
      <c r="CS14" s="169">
        <v>0</v>
      </c>
      <c r="CT14" s="169"/>
      <c r="CU14" s="177">
        <v>0</v>
      </c>
      <c r="CV14" s="174"/>
      <c r="CW14" s="177"/>
      <c r="CX14" s="377">
        <v>0</v>
      </c>
      <c r="CY14" s="169"/>
      <c r="CZ14" s="169"/>
      <c r="DA14" s="376">
        <v>0</v>
      </c>
      <c r="DB14" s="174">
        <v>7982</v>
      </c>
      <c r="DC14" s="179">
        <f>7982/921748</f>
        <v>8.659633652581834E-3</v>
      </c>
    </row>
    <row r="15" spans="2:107" x14ac:dyDescent="0.2">
      <c r="B15" s="172" t="s">
        <v>140</v>
      </c>
      <c r="C15" s="377"/>
      <c r="D15" s="169"/>
      <c r="E15" s="169"/>
      <c r="F15" s="376"/>
      <c r="G15" s="177">
        <v>1</v>
      </c>
      <c r="H15" s="169">
        <v>39</v>
      </c>
      <c r="I15" s="169">
        <v>1</v>
      </c>
      <c r="J15" s="169"/>
      <c r="K15" s="169"/>
      <c r="L15" s="169">
        <v>1</v>
      </c>
      <c r="M15" s="177">
        <v>42</v>
      </c>
      <c r="N15" s="174"/>
      <c r="O15" s="177">
        <v>3089</v>
      </c>
      <c r="P15" s="169"/>
      <c r="Q15" s="177">
        <v>3089</v>
      </c>
      <c r="R15" s="377">
        <v>0</v>
      </c>
      <c r="S15" s="169"/>
      <c r="T15" s="169"/>
      <c r="U15" s="376">
        <v>0</v>
      </c>
      <c r="V15" s="177"/>
      <c r="W15" s="169"/>
      <c r="X15" s="177"/>
      <c r="Y15" s="174"/>
      <c r="Z15" s="177">
        <v>56</v>
      </c>
      <c r="AA15" s="169"/>
      <c r="AB15" s="169">
        <v>14</v>
      </c>
      <c r="AC15" s="169"/>
      <c r="AD15" s="169"/>
      <c r="AE15" s="169"/>
      <c r="AF15" s="169"/>
      <c r="AG15" s="169"/>
      <c r="AH15" s="177">
        <v>70</v>
      </c>
      <c r="AI15" s="174"/>
      <c r="AJ15" s="177"/>
      <c r="AK15" s="169"/>
      <c r="AL15" s="169"/>
      <c r="AM15" s="169"/>
      <c r="AN15" s="169"/>
      <c r="AO15" s="169"/>
      <c r="AP15" s="169"/>
      <c r="AQ15" s="169"/>
      <c r="AR15" s="169"/>
      <c r="AS15" s="169"/>
      <c r="AT15" s="169"/>
      <c r="AU15" s="169"/>
      <c r="AV15" s="177"/>
      <c r="AW15" s="377">
        <v>0</v>
      </c>
      <c r="AX15" s="169">
        <v>595</v>
      </c>
      <c r="AY15" s="169">
        <v>0</v>
      </c>
      <c r="AZ15" s="169"/>
      <c r="BA15" s="169"/>
      <c r="BB15" s="169">
        <v>0</v>
      </c>
      <c r="BC15" s="169"/>
      <c r="BD15" s="169"/>
      <c r="BE15" s="376">
        <v>595</v>
      </c>
      <c r="BF15" s="177">
        <v>0</v>
      </c>
      <c r="BG15" s="169">
        <v>8</v>
      </c>
      <c r="BH15" s="169">
        <v>104</v>
      </c>
      <c r="BI15" s="169">
        <v>12</v>
      </c>
      <c r="BJ15" s="169">
        <v>0</v>
      </c>
      <c r="BK15" s="169">
        <v>0</v>
      </c>
      <c r="BL15" s="177">
        <v>124</v>
      </c>
      <c r="BM15" s="174"/>
      <c r="BN15" s="177">
        <v>0</v>
      </c>
      <c r="BO15" s="377">
        <v>0</v>
      </c>
      <c r="BP15" s="169">
        <v>0</v>
      </c>
      <c r="BQ15" s="169"/>
      <c r="BR15" s="169"/>
      <c r="BS15" s="169"/>
      <c r="BT15" s="376">
        <v>0</v>
      </c>
      <c r="BU15" s="177">
        <v>26</v>
      </c>
      <c r="BV15" s="169">
        <v>1</v>
      </c>
      <c r="BW15" s="169">
        <v>16</v>
      </c>
      <c r="BX15" s="169">
        <v>0</v>
      </c>
      <c r="BY15" s="169">
        <v>0</v>
      </c>
      <c r="BZ15" s="169">
        <v>103</v>
      </c>
      <c r="CA15" s="169"/>
      <c r="CB15" s="169">
        <v>0</v>
      </c>
      <c r="CC15" s="169">
        <v>0</v>
      </c>
      <c r="CD15" s="169"/>
      <c r="CE15" s="169"/>
      <c r="CF15" s="177">
        <v>146</v>
      </c>
      <c r="CG15" s="377"/>
      <c r="CH15" s="169"/>
      <c r="CI15" s="376"/>
      <c r="CJ15" s="177"/>
      <c r="CK15" s="174"/>
      <c r="CL15" s="177"/>
      <c r="CM15" s="169"/>
      <c r="CN15" s="169"/>
      <c r="CO15" s="177"/>
      <c r="CP15" s="174">
        <v>52</v>
      </c>
      <c r="CQ15" s="177"/>
      <c r="CR15" s="169"/>
      <c r="CS15" s="169"/>
      <c r="CT15" s="169"/>
      <c r="CU15" s="177"/>
      <c r="CV15" s="174"/>
      <c r="CW15" s="177">
        <v>0</v>
      </c>
      <c r="CX15" s="377">
        <v>0</v>
      </c>
      <c r="CY15" s="169"/>
      <c r="CZ15" s="169"/>
      <c r="DA15" s="376">
        <v>0</v>
      </c>
      <c r="DB15" s="174">
        <v>4118</v>
      </c>
      <c r="DC15" s="179">
        <f>4118/921748</f>
        <v>4.4675985193350027E-3</v>
      </c>
    </row>
    <row r="16" spans="2:107" x14ac:dyDescent="0.2">
      <c r="B16" s="172" t="s">
        <v>233</v>
      </c>
      <c r="C16" s="377"/>
      <c r="D16" s="169"/>
      <c r="E16" s="169"/>
      <c r="F16" s="376"/>
      <c r="G16" s="177">
        <v>0</v>
      </c>
      <c r="H16" s="169">
        <v>21</v>
      </c>
      <c r="I16" s="169"/>
      <c r="J16" s="169"/>
      <c r="K16" s="169"/>
      <c r="L16" s="169"/>
      <c r="M16" s="177">
        <v>21</v>
      </c>
      <c r="N16" s="174"/>
      <c r="O16" s="177">
        <v>2128</v>
      </c>
      <c r="P16" s="169">
        <v>0</v>
      </c>
      <c r="Q16" s="177">
        <v>2128</v>
      </c>
      <c r="R16" s="377">
        <v>0</v>
      </c>
      <c r="S16" s="169"/>
      <c r="T16" s="169"/>
      <c r="U16" s="376">
        <v>0</v>
      </c>
      <c r="V16" s="177"/>
      <c r="W16" s="169"/>
      <c r="X16" s="177"/>
      <c r="Y16" s="174"/>
      <c r="Z16" s="177">
        <v>6</v>
      </c>
      <c r="AA16" s="169">
        <v>0</v>
      </c>
      <c r="AB16" s="169">
        <v>3</v>
      </c>
      <c r="AC16" s="169"/>
      <c r="AD16" s="169"/>
      <c r="AE16" s="169"/>
      <c r="AF16" s="169"/>
      <c r="AG16" s="169"/>
      <c r="AH16" s="177">
        <v>9</v>
      </c>
      <c r="AI16" s="174"/>
      <c r="AJ16" s="177"/>
      <c r="AK16" s="169"/>
      <c r="AL16" s="169"/>
      <c r="AM16" s="169"/>
      <c r="AN16" s="169"/>
      <c r="AO16" s="169"/>
      <c r="AP16" s="169"/>
      <c r="AQ16" s="169"/>
      <c r="AR16" s="169"/>
      <c r="AS16" s="169"/>
      <c r="AT16" s="169"/>
      <c r="AU16" s="169"/>
      <c r="AV16" s="177"/>
      <c r="AW16" s="377"/>
      <c r="AX16" s="169">
        <v>761</v>
      </c>
      <c r="AY16" s="169">
        <v>0</v>
      </c>
      <c r="AZ16" s="169"/>
      <c r="BA16" s="169"/>
      <c r="BB16" s="169">
        <v>0</v>
      </c>
      <c r="BC16" s="169"/>
      <c r="BD16" s="169"/>
      <c r="BE16" s="376">
        <v>761</v>
      </c>
      <c r="BF16" s="177">
        <v>0</v>
      </c>
      <c r="BG16" s="169">
        <v>11</v>
      </c>
      <c r="BH16" s="169">
        <v>92</v>
      </c>
      <c r="BI16" s="169">
        <v>4</v>
      </c>
      <c r="BJ16" s="169"/>
      <c r="BK16" s="169"/>
      <c r="BL16" s="177">
        <v>107</v>
      </c>
      <c r="BM16" s="174"/>
      <c r="BN16" s="177"/>
      <c r="BO16" s="377">
        <v>0</v>
      </c>
      <c r="BP16" s="169"/>
      <c r="BQ16" s="169"/>
      <c r="BR16" s="169"/>
      <c r="BS16" s="169"/>
      <c r="BT16" s="376">
        <v>0</v>
      </c>
      <c r="BU16" s="177">
        <v>8</v>
      </c>
      <c r="BV16" s="169">
        <v>0</v>
      </c>
      <c r="BW16" s="169">
        <v>23</v>
      </c>
      <c r="BX16" s="169">
        <v>0</v>
      </c>
      <c r="BY16" s="169">
        <v>0</v>
      </c>
      <c r="BZ16" s="169">
        <v>92</v>
      </c>
      <c r="CA16" s="169"/>
      <c r="CB16" s="169">
        <v>0</v>
      </c>
      <c r="CC16" s="169">
        <v>0</v>
      </c>
      <c r="CD16" s="169"/>
      <c r="CE16" s="169">
        <v>0</v>
      </c>
      <c r="CF16" s="177">
        <v>123</v>
      </c>
      <c r="CG16" s="377"/>
      <c r="CH16" s="169"/>
      <c r="CI16" s="376"/>
      <c r="CJ16" s="177"/>
      <c r="CK16" s="174"/>
      <c r="CL16" s="177"/>
      <c r="CM16" s="169"/>
      <c r="CN16" s="169"/>
      <c r="CO16" s="177"/>
      <c r="CP16" s="174">
        <v>0</v>
      </c>
      <c r="CQ16" s="177"/>
      <c r="CR16" s="169"/>
      <c r="CS16" s="169"/>
      <c r="CT16" s="169"/>
      <c r="CU16" s="177"/>
      <c r="CV16" s="174"/>
      <c r="CW16" s="177">
        <v>0</v>
      </c>
      <c r="CX16" s="377"/>
      <c r="CY16" s="169"/>
      <c r="CZ16" s="169"/>
      <c r="DA16" s="376"/>
      <c r="DB16" s="174">
        <v>3149</v>
      </c>
      <c r="DC16" s="179">
        <f>3149/921748</f>
        <v>3.4163350503608361E-3</v>
      </c>
    </row>
    <row r="17" spans="2:107" x14ac:dyDescent="0.2">
      <c r="B17" s="172" t="s">
        <v>253</v>
      </c>
      <c r="C17" s="377"/>
      <c r="D17" s="169"/>
      <c r="E17" s="169"/>
      <c r="F17" s="376"/>
      <c r="G17" s="177">
        <v>0</v>
      </c>
      <c r="H17" s="169">
        <v>9</v>
      </c>
      <c r="I17" s="169"/>
      <c r="J17" s="169">
        <v>0</v>
      </c>
      <c r="K17" s="169"/>
      <c r="L17" s="169"/>
      <c r="M17" s="177">
        <v>9</v>
      </c>
      <c r="N17" s="174"/>
      <c r="O17" s="177">
        <v>429</v>
      </c>
      <c r="P17" s="169">
        <v>0</v>
      </c>
      <c r="Q17" s="177">
        <v>429</v>
      </c>
      <c r="R17" s="377">
        <v>0</v>
      </c>
      <c r="S17" s="169">
        <v>0</v>
      </c>
      <c r="T17" s="169"/>
      <c r="U17" s="376">
        <v>0</v>
      </c>
      <c r="V17" s="177"/>
      <c r="W17" s="169"/>
      <c r="X17" s="177"/>
      <c r="Y17" s="174"/>
      <c r="Z17" s="177">
        <v>7</v>
      </c>
      <c r="AA17" s="169"/>
      <c r="AB17" s="169"/>
      <c r="AC17" s="169"/>
      <c r="AD17" s="169">
        <v>1</v>
      </c>
      <c r="AE17" s="169"/>
      <c r="AF17" s="169"/>
      <c r="AG17" s="169"/>
      <c r="AH17" s="177">
        <v>8</v>
      </c>
      <c r="AI17" s="174"/>
      <c r="AJ17" s="177"/>
      <c r="AK17" s="169"/>
      <c r="AL17" s="169"/>
      <c r="AM17" s="169"/>
      <c r="AN17" s="169"/>
      <c r="AO17" s="169"/>
      <c r="AP17" s="169"/>
      <c r="AQ17" s="169"/>
      <c r="AR17" s="169"/>
      <c r="AS17" s="169"/>
      <c r="AT17" s="169"/>
      <c r="AU17" s="169"/>
      <c r="AV17" s="177"/>
      <c r="AW17" s="377">
        <v>0</v>
      </c>
      <c r="AX17" s="169">
        <v>101</v>
      </c>
      <c r="AY17" s="169">
        <v>0</v>
      </c>
      <c r="AZ17" s="169">
        <v>0</v>
      </c>
      <c r="BA17" s="169"/>
      <c r="BB17" s="169">
        <v>0</v>
      </c>
      <c r="BC17" s="169"/>
      <c r="BD17" s="169"/>
      <c r="BE17" s="376">
        <v>101</v>
      </c>
      <c r="BF17" s="177">
        <v>0</v>
      </c>
      <c r="BG17" s="169">
        <v>1</v>
      </c>
      <c r="BH17" s="169">
        <v>14</v>
      </c>
      <c r="BI17" s="169">
        <v>1</v>
      </c>
      <c r="BJ17" s="169"/>
      <c r="BK17" s="169"/>
      <c r="BL17" s="177">
        <v>16</v>
      </c>
      <c r="BM17" s="174"/>
      <c r="BN17" s="177">
        <v>0</v>
      </c>
      <c r="BO17" s="377">
        <v>0</v>
      </c>
      <c r="BP17" s="169">
        <v>0</v>
      </c>
      <c r="BQ17" s="169">
        <v>0</v>
      </c>
      <c r="BR17" s="169"/>
      <c r="BS17" s="169"/>
      <c r="BT17" s="376">
        <v>0</v>
      </c>
      <c r="BU17" s="177">
        <v>7</v>
      </c>
      <c r="BV17" s="169">
        <v>0</v>
      </c>
      <c r="BW17" s="169">
        <v>2</v>
      </c>
      <c r="BX17" s="169">
        <v>0</v>
      </c>
      <c r="BY17" s="169">
        <v>0</v>
      </c>
      <c r="BZ17" s="169">
        <v>28</v>
      </c>
      <c r="CA17" s="169"/>
      <c r="CB17" s="169">
        <v>0</v>
      </c>
      <c r="CC17" s="169">
        <v>0</v>
      </c>
      <c r="CD17" s="169"/>
      <c r="CE17" s="169"/>
      <c r="CF17" s="177">
        <v>37</v>
      </c>
      <c r="CG17" s="377"/>
      <c r="CH17" s="169"/>
      <c r="CI17" s="376"/>
      <c r="CJ17" s="177"/>
      <c r="CK17" s="174"/>
      <c r="CL17" s="177">
        <v>43</v>
      </c>
      <c r="CM17" s="169"/>
      <c r="CN17" s="169"/>
      <c r="CO17" s="177">
        <v>43</v>
      </c>
      <c r="CP17" s="174"/>
      <c r="CQ17" s="177"/>
      <c r="CR17" s="169"/>
      <c r="CS17" s="169"/>
      <c r="CT17" s="169"/>
      <c r="CU17" s="177"/>
      <c r="CV17" s="174"/>
      <c r="CW17" s="177">
        <v>0</v>
      </c>
      <c r="CX17" s="377">
        <v>0</v>
      </c>
      <c r="CY17" s="169"/>
      <c r="CZ17" s="169"/>
      <c r="DA17" s="376">
        <v>0</v>
      </c>
      <c r="DB17" s="174">
        <v>643</v>
      </c>
      <c r="DC17" s="179">
        <f>643/921748</f>
        <v>6.9758762698698561E-4</v>
      </c>
    </row>
    <row r="18" spans="2:107" ht="13.5" thickBot="1" x14ac:dyDescent="0.25">
      <c r="B18" s="286" t="s">
        <v>556</v>
      </c>
      <c r="C18" s="374"/>
      <c r="D18" s="373">
        <v>0</v>
      </c>
      <c r="E18" s="373"/>
      <c r="F18" s="372">
        <v>0</v>
      </c>
      <c r="G18" s="375">
        <v>0</v>
      </c>
      <c r="H18" s="373">
        <v>134</v>
      </c>
      <c r="I18" s="373">
        <v>3</v>
      </c>
      <c r="J18" s="373"/>
      <c r="K18" s="373"/>
      <c r="L18" s="373">
        <v>0</v>
      </c>
      <c r="M18" s="375">
        <v>137</v>
      </c>
      <c r="N18" s="371"/>
      <c r="O18" s="375">
        <v>2103</v>
      </c>
      <c r="P18" s="373">
        <v>0</v>
      </c>
      <c r="Q18" s="375">
        <v>2103</v>
      </c>
      <c r="R18" s="374">
        <v>0</v>
      </c>
      <c r="S18" s="373"/>
      <c r="T18" s="373"/>
      <c r="U18" s="372">
        <v>0</v>
      </c>
      <c r="V18" s="375">
        <v>0</v>
      </c>
      <c r="W18" s="373"/>
      <c r="X18" s="375">
        <v>0</v>
      </c>
      <c r="Y18" s="371">
        <v>0</v>
      </c>
      <c r="Z18" s="375">
        <v>16</v>
      </c>
      <c r="AA18" s="373"/>
      <c r="AB18" s="373">
        <v>181</v>
      </c>
      <c r="AC18" s="373"/>
      <c r="AD18" s="373">
        <v>2</v>
      </c>
      <c r="AE18" s="373"/>
      <c r="AF18" s="373"/>
      <c r="AG18" s="373"/>
      <c r="AH18" s="375">
        <v>199</v>
      </c>
      <c r="AI18" s="371"/>
      <c r="AJ18" s="375"/>
      <c r="AK18" s="373">
        <v>0</v>
      </c>
      <c r="AL18" s="373">
        <v>0</v>
      </c>
      <c r="AM18" s="373">
        <v>0</v>
      </c>
      <c r="AN18" s="373"/>
      <c r="AO18" s="373"/>
      <c r="AP18" s="373"/>
      <c r="AQ18" s="373"/>
      <c r="AR18" s="373"/>
      <c r="AS18" s="373"/>
      <c r="AT18" s="373"/>
      <c r="AU18" s="373"/>
      <c r="AV18" s="375">
        <v>0</v>
      </c>
      <c r="AW18" s="374"/>
      <c r="AX18" s="373">
        <v>438</v>
      </c>
      <c r="AY18" s="373">
        <v>0</v>
      </c>
      <c r="AZ18" s="373">
        <v>0</v>
      </c>
      <c r="BA18" s="373"/>
      <c r="BB18" s="373">
        <v>1</v>
      </c>
      <c r="BC18" s="373"/>
      <c r="BD18" s="373"/>
      <c r="BE18" s="372">
        <v>439</v>
      </c>
      <c r="BF18" s="375">
        <v>0</v>
      </c>
      <c r="BG18" s="373">
        <v>11</v>
      </c>
      <c r="BH18" s="373">
        <v>47</v>
      </c>
      <c r="BI18" s="373">
        <v>8</v>
      </c>
      <c r="BJ18" s="373">
        <v>0</v>
      </c>
      <c r="BK18" s="373"/>
      <c r="BL18" s="375">
        <v>66</v>
      </c>
      <c r="BM18" s="371"/>
      <c r="BN18" s="375">
        <v>0</v>
      </c>
      <c r="BO18" s="374">
        <v>0</v>
      </c>
      <c r="BP18" s="373">
        <v>0</v>
      </c>
      <c r="BQ18" s="373"/>
      <c r="BR18" s="373">
        <v>0</v>
      </c>
      <c r="BS18" s="373"/>
      <c r="BT18" s="372">
        <v>0</v>
      </c>
      <c r="BU18" s="375">
        <v>36</v>
      </c>
      <c r="BV18" s="373">
        <v>0</v>
      </c>
      <c r="BW18" s="373">
        <v>94</v>
      </c>
      <c r="BX18" s="373">
        <v>0</v>
      </c>
      <c r="BY18" s="373">
        <v>0</v>
      </c>
      <c r="BZ18" s="373">
        <v>93</v>
      </c>
      <c r="CA18" s="373"/>
      <c r="CB18" s="373">
        <v>2</v>
      </c>
      <c r="CC18" s="373">
        <v>0</v>
      </c>
      <c r="CD18" s="373"/>
      <c r="CE18" s="373"/>
      <c r="CF18" s="375">
        <v>225</v>
      </c>
      <c r="CG18" s="374"/>
      <c r="CH18" s="373"/>
      <c r="CI18" s="372"/>
      <c r="CJ18" s="375"/>
      <c r="CK18" s="371"/>
      <c r="CL18" s="375">
        <v>0</v>
      </c>
      <c r="CM18" s="373"/>
      <c r="CN18" s="373">
        <v>0</v>
      </c>
      <c r="CO18" s="375">
        <v>0</v>
      </c>
      <c r="CP18" s="371"/>
      <c r="CQ18" s="375"/>
      <c r="CR18" s="373"/>
      <c r="CS18" s="373"/>
      <c r="CT18" s="373"/>
      <c r="CU18" s="375"/>
      <c r="CV18" s="371"/>
      <c r="CW18" s="375">
        <v>0</v>
      </c>
      <c r="CX18" s="374"/>
      <c r="CY18" s="373"/>
      <c r="CZ18" s="373"/>
      <c r="DA18" s="372"/>
      <c r="DB18" s="371">
        <v>3169</v>
      </c>
      <c r="DC18" s="370">
        <f>3169/921748</f>
        <v>3.4380329547772275E-3</v>
      </c>
    </row>
    <row r="19" spans="2:107" ht="13.5" thickBot="1" x14ac:dyDescent="0.25">
      <c r="B19" s="173" t="s">
        <v>542</v>
      </c>
      <c r="C19" s="369"/>
      <c r="D19" s="170">
        <v>0</v>
      </c>
      <c r="E19" s="170"/>
      <c r="F19" s="368">
        <v>0</v>
      </c>
      <c r="G19" s="178">
        <v>5</v>
      </c>
      <c r="H19" s="170">
        <v>386</v>
      </c>
      <c r="I19" s="170">
        <v>6</v>
      </c>
      <c r="J19" s="170">
        <v>0</v>
      </c>
      <c r="K19" s="170"/>
      <c r="L19" s="170">
        <v>5</v>
      </c>
      <c r="M19" s="178">
        <v>402</v>
      </c>
      <c r="N19" s="175"/>
      <c r="O19" s="178">
        <v>15460</v>
      </c>
      <c r="P19" s="170">
        <v>0</v>
      </c>
      <c r="Q19" s="178">
        <v>15460</v>
      </c>
      <c r="R19" s="369">
        <v>0</v>
      </c>
      <c r="S19" s="170">
        <v>0</v>
      </c>
      <c r="T19" s="170"/>
      <c r="U19" s="368">
        <v>0</v>
      </c>
      <c r="V19" s="178">
        <v>0</v>
      </c>
      <c r="W19" s="170"/>
      <c r="X19" s="178">
        <v>0</v>
      </c>
      <c r="Y19" s="175">
        <v>0</v>
      </c>
      <c r="Z19" s="178">
        <v>116</v>
      </c>
      <c r="AA19" s="170">
        <v>0</v>
      </c>
      <c r="AB19" s="170">
        <v>363</v>
      </c>
      <c r="AC19" s="170"/>
      <c r="AD19" s="170">
        <v>3</v>
      </c>
      <c r="AE19" s="170"/>
      <c r="AF19" s="170"/>
      <c r="AG19" s="170"/>
      <c r="AH19" s="178">
        <v>482</v>
      </c>
      <c r="AI19" s="175"/>
      <c r="AJ19" s="178"/>
      <c r="AK19" s="170">
        <v>0</v>
      </c>
      <c r="AL19" s="170">
        <v>0</v>
      </c>
      <c r="AM19" s="170">
        <v>0</v>
      </c>
      <c r="AN19" s="170"/>
      <c r="AO19" s="170"/>
      <c r="AP19" s="170"/>
      <c r="AQ19" s="170"/>
      <c r="AR19" s="170">
        <v>0</v>
      </c>
      <c r="AS19" s="170"/>
      <c r="AT19" s="170"/>
      <c r="AU19" s="170"/>
      <c r="AV19" s="178">
        <v>0</v>
      </c>
      <c r="AW19" s="369">
        <v>0</v>
      </c>
      <c r="AX19" s="170">
        <v>3537</v>
      </c>
      <c r="AY19" s="170">
        <v>0</v>
      </c>
      <c r="AZ19" s="170">
        <v>0</v>
      </c>
      <c r="BA19" s="170"/>
      <c r="BB19" s="170">
        <v>12</v>
      </c>
      <c r="BC19" s="170">
        <v>0</v>
      </c>
      <c r="BD19" s="170"/>
      <c r="BE19" s="368">
        <v>3549</v>
      </c>
      <c r="BF19" s="178">
        <v>0</v>
      </c>
      <c r="BG19" s="170">
        <v>55</v>
      </c>
      <c r="BH19" s="170">
        <v>521</v>
      </c>
      <c r="BI19" s="170">
        <v>53</v>
      </c>
      <c r="BJ19" s="170">
        <v>0</v>
      </c>
      <c r="BK19" s="170">
        <v>0</v>
      </c>
      <c r="BL19" s="178">
        <v>629</v>
      </c>
      <c r="BM19" s="175"/>
      <c r="BN19" s="178">
        <v>0</v>
      </c>
      <c r="BO19" s="369">
        <v>0</v>
      </c>
      <c r="BP19" s="170">
        <v>0</v>
      </c>
      <c r="BQ19" s="170">
        <v>0</v>
      </c>
      <c r="BR19" s="170">
        <v>0</v>
      </c>
      <c r="BS19" s="170"/>
      <c r="BT19" s="368">
        <v>0</v>
      </c>
      <c r="BU19" s="178">
        <v>169</v>
      </c>
      <c r="BV19" s="170">
        <v>4</v>
      </c>
      <c r="BW19" s="170">
        <v>194</v>
      </c>
      <c r="BX19" s="170">
        <v>0</v>
      </c>
      <c r="BY19" s="170">
        <v>0</v>
      </c>
      <c r="BZ19" s="170">
        <v>758</v>
      </c>
      <c r="CA19" s="170">
        <v>0</v>
      </c>
      <c r="CB19" s="170">
        <v>3</v>
      </c>
      <c r="CC19" s="170">
        <v>0</v>
      </c>
      <c r="CD19" s="170"/>
      <c r="CE19" s="170">
        <v>0</v>
      </c>
      <c r="CF19" s="178">
        <v>1128</v>
      </c>
      <c r="CG19" s="369"/>
      <c r="CH19" s="170"/>
      <c r="CI19" s="368"/>
      <c r="CJ19" s="178"/>
      <c r="CK19" s="175">
        <v>0</v>
      </c>
      <c r="CL19" s="178">
        <v>43</v>
      </c>
      <c r="CM19" s="170"/>
      <c r="CN19" s="170">
        <v>0</v>
      </c>
      <c r="CO19" s="178">
        <v>43</v>
      </c>
      <c r="CP19" s="175">
        <v>52</v>
      </c>
      <c r="CQ19" s="178"/>
      <c r="CR19" s="170"/>
      <c r="CS19" s="170">
        <v>0</v>
      </c>
      <c r="CT19" s="170"/>
      <c r="CU19" s="178">
        <v>0</v>
      </c>
      <c r="CV19" s="175"/>
      <c r="CW19" s="178">
        <v>0</v>
      </c>
      <c r="CX19" s="369">
        <v>0</v>
      </c>
      <c r="CY19" s="170"/>
      <c r="CZ19" s="170"/>
      <c r="DA19" s="368">
        <v>0</v>
      </c>
      <c r="DB19" s="175">
        <v>21745</v>
      </c>
      <c r="DC19" s="180">
        <f>21745/921748</f>
        <v>2.3591046576721619E-2</v>
      </c>
    </row>
    <row r="20" spans="2:107" ht="13.5" thickBot="1" x14ac:dyDescent="0.25">
      <c r="B20" s="173" t="s">
        <v>543</v>
      </c>
      <c r="C20" s="369"/>
      <c r="D20" s="170"/>
      <c r="E20" s="170"/>
      <c r="F20" s="368"/>
      <c r="G20" s="178">
        <v>2</v>
      </c>
      <c r="H20" s="170">
        <v>46</v>
      </c>
      <c r="I20" s="170">
        <v>1</v>
      </c>
      <c r="J20" s="170">
        <v>1</v>
      </c>
      <c r="K20" s="170"/>
      <c r="L20" s="170"/>
      <c r="M20" s="178">
        <v>50</v>
      </c>
      <c r="N20" s="175"/>
      <c r="O20" s="178">
        <v>569</v>
      </c>
      <c r="P20" s="170">
        <v>0</v>
      </c>
      <c r="Q20" s="178">
        <v>569</v>
      </c>
      <c r="R20" s="369">
        <v>0</v>
      </c>
      <c r="S20" s="170"/>
      <c r="T20" s="170"/>
      <c r="U20" s="368">
        <v>0</v>
      </c>
      <c r="V20" s="178"/>
      <c r="W20" s="170"/>
      <c r="X20" s="178"/>
      <c r="Y20" s="175">
        <v>0</v>
      </c>
      <c r="Z20" s="178">
        <v>1</v>
      </c>
      <c r="AA20" s="170"/>
      <c r="AB20" s="170"/>
      <c r="AC20" s="170"/>
      <c r="AD20" s="170"/>
      <c r="AE20" s="170"/>
      <c r="AF20" s="170"/>
      <c r="AG20" s="170"/>
      <c r="AH20" s="178">
        <v>1</v>
      </c>
      <c r="AI20" s="175"/>
      <c r="AJ20" s="178"/>
      <c r="AK20" s="170"/>
      <c r="AL20" s="170"/>
      <c r="AM20" s="170">
        <v>0</v>
      </c>
      <c r="AN20" s="170"/>
      <c r="AO20" s="170"/>
      <c r="AP20" s="170"/>
      <c r="AQ20" s="170"/>
      <c r="AR20" s="170"/>
      <c r="AS20" s="170"/>
      <c r="AT20" s="170"/>
      <c r="AU20" s="170"/>
      <c r="AV20" s="178">
        <v>0</v>
      </c>
      <c r="AW20" s="369">
        <v>0</v>
      </c>
      <c r="AX20" s="170">
        <v>125</v>
      </c>
      <c r="AY20" s="170">
        <v>0</v>
      </c>
      <c r="AZ20" s="170">
        <v>0</v>
      </c>
      <c r="BA20" s="170"/>
      <c r="BB20" s="170">
        <v>0</v>
      </c>
      <c r="BC20" s="170"/>
      <c r="BD20" s="170"/>
      <c r="BE20" s="368">
        <v>125</v>
      </c>
      <c r="BF20" s="178">
        <v>0</v>
      </c>
      <c r="BG20" s="170">
        <v>6</v>
      </c>
      <c r="BH20" s="170">
        <v>11</v>
      </c>
      <c r="BI20" s="170">
        <v>4</v>
      </c>
      <c r="BJ20" s="170">
        <v>0</v>
      </c>
      <c r="BK20" s="170"/>
      <c r="BL20" s="178">
        <v>21</v>
      </c>
      <c r="BM20" s="175"/>
      <c r="BN20" s="178">
        <v>0</v>
      </c>
      <c r="BO20" s="369">
        <v>0</v>
      </c>
      <c r="BP20" s="170">
        <v>0</v>
      </c>
      <c r="BQ20" s="170"/>
      <c r="BR20" s="170"/>
      <c r="BS20" s="170"/>
      <c r="BT20" s="368">
        <v>0</v>
      </c>
      <c r="BU20" s="178">
        <v>16</v>
      </c>
      <c r="BV20" s="170">
        <v>3</v>
      </c>
      <c r="BW20" s="170">
        <v>5</v>
      </c>
      <c r="BX20" s="170">
        <v>0</v>
      </c>
      <c r="BY20" s="170">
        <v>0</v>
      </c>
      <c r="BZ20" s="170">
        <v>28</v>
      </c>
      <c r="CA20" s="170">
        <v>0</v>
      </c>
      <c r="CB20" s="170">
        <v>0</v>
      </c>
      <c r="CC20" s="170">
        <v>0</v>
      </c>
      <c r="CD20" s="170"/>
      <c r="CE20" s="170"/>
      <c r="CF20" s="178">
        <v>52</v>
      </c>
      <c r="CG20" s="369"/>
      <c r="CH20" s="170"/>
      <c r="CI20" s="368"/>
      <c r="CJ20" s="178"/>
      <c r="CK20" s="175">
        <v>0</v>
      </c>
      <c r="CL20" s="178"/>
      <c r="CM20" s="170"/>
      <c r="CN20" s="170">
        <v>1</v>
      </c>
      <c r="CO20" s="178">
        <v>1</v>
      </c>
      <c r="CP20" s="175">
        <v>16</v>
      </c>
      <c r="CQ20" s="178">
        <v>4</v>
      </c>
      <c r="CR20" s="170"/>
      <c r="CS20" s="170">
        <v>0</v>
      </c>
      <c r="CT20" s="170"/>
      <c r="CU20" s="178">
        <v>4</v>
      </c>
      <c r="CV20" s="175"/>
      <c r="CW20" s="178">
        <v>0</v>
      </c>
      <c r="CX20" s="369">
        <v>0</v>
      </c>
      <c r="CY20" s="170"/>
      <c r="CZ20" s="170"/>
      <c r="DA20" s="368">
        <v>0</v>
      </c>
      <c r="DB20" s="175">
        <v>839</v>
      </c>
      <c r="DC20" s="180">
        <f>839/921748</f>
        <v>9.1022709026762193E-4</v>
      </c>
    </row>
    <row r="21" spans="2:107" ht="13.5" thickBot="1" x14ac:dyDescent="0.25">
      <c r="B21" s="173" t="s">
        <v>544</v>
      </c>
      <c r="C21" s="369"/>
      <c r="D21" s="170">
        <v>0</v>
      </c>
      <c r="E21" s="170"/>
      <c r="F21" s="368">
        <v>0</v>
      </c>
      <c r="G21" s="178">
        <v>12</v>
      </c>
      <c r="H21" s="170">
        <v>265</v>
      </c>
      <c r="I21" s="170">
        <v>1</v>
      </c>
      <c r="J21" s="170">
        <v>1</v>
      </c>
      <c r="K21" s="170"/>
      <c r="L21" s="170">
        <v>2</v>
      </c>
      <c r="M21" s="178">
        <v>281</v>
      </c>
      <c r="N21" s="175"/>
      <c r="O21" s="178">
        <v>2310</v>
      </c>
      <c r="P21" s="170"/>
      <c r="Q21" s="178">
        <v>2310</v>
      </c>
      <c r="R21" s="369">
        <v>0</v>
      </c>
      <c r="S21" s="170"/>
      <c r="T21" s="170"/>
      <c r="U21" s="368">
        <v>0</v>
      </c>
      <c r="V21" s="178">
        <v>0</v>
      </c>
      <c r="W21" s="170"/>
      <c r="X21" s="178">
        <v>0</v>
      </c>
      <c r="Y21" s="175"/>
      <c r="Z21" s="178">
        <v>13</v>
      </c>
      <c r="AA21" s="170"/>
      <c r="AB21" s="170"/>
      <c r="AC21" s="170"/>
      <c r="AD21" s="170"/>
      <c r="AE21" s="170"/>
      <c r="AF21" s="170"/>
      <c r="AG21" s="170"/>
      <c r="AH21" s="178">
        <v>13</v>
      </c>
      <c r="AI21" s="175"/>
      <c r="AJ21" s="178"/>
      <c r="AK21" s="170">
        <v>0</v>
      </c>
      <c r="AL21" s="170">
        <v>0</v>
      </c>
      <c r="AM21" s="170">
        <v>0</v>
      </c>
      <c r="AN21" s="170"/>
      <c r="AO21" s="170">
        <v>0</v>
      </c>
      <c r="AP21" s="170"/>
      <c r="AQ21" s="170"/>
      <c r="AR21" s="170"/>
      <c r="AS21" s="170"/>
      <c r="AT21" s="170"/>
      <c r="AU21" s="170"/>
      <c r="AV21" s="178">
        <v>0</v>
      </c>
      <c r="AW21" s="369">
        <v>0</v>
      </c>
      <c r="AX21" s="170">
        <v>382</v>
      </c>
      <c r="AY21" s="170">
        <v>0</v>
      </c>
      <c r="AZ21" s="170"/>
      <c r="BA21" s="170">
        <v>0</v>
      </c>
      <c r="BB21" s="170">
        <v>5</v>
      </c>
      <c r="BC21" s="170"/>
      <c r="BD21" s="170"/>
      <c r="BE21" s="368">
        <v>387</v>
      </c>
      <c r="BF21" s="178">
        <v>0</v>
      </c>
      <c r="BG21" s="170">
        <v>5</v>
      </c>
      <c r="BH21" s="170">
        <v>82</v>
      </c>
      <c r="BI21" s="170">
        <v>9</v>
      </c>
      <c r="BJ21" s="170"/>
      <c r="BK21" s="170"/>
      <c r="BL21" s="178">
        <v>96</v>
      </c>
      <c r="BM21" s="175">
        <v>0</v>
      </c>
      <c r="BN21" s="178">
        <v>0</v>
      </c>
      <c r="BO21" s="369">
        <v>0</v>
      </c>
      <c r="BP21" s="170">
        <v>0</v>
      </c>
      <c r="BQ21" s="170"/>
      <c r="BR21" s="170"/>
      <c r="BS21" s="170"/>
      <c r="BT21" s="368">
        <v>0</v>
      </c>
      <c r="BU21" s="178">
        <v>10</v>
      </c>
      <c r="BV21" s="170">
        <v>14</v>
      </c>
      <c r="BW21" s="170">
        <v>37</v>
      </c>
      <c r="BX21" s="170">
        <v>0</v>
      </c>
      <c r="BY21" s="170">
        <v>0</v>
      </c>
      <c r="BZ21" s="170">
        <v>94</v>
      </c>
      <c r="CA21" s="170"/>
      <c r="CB21" s="170">
        <v>0</v>
      </c>
      <c r="CC21" s="170"/>
      <c r="CD21" s="170"/>
      <c r="CE21" s="170"/>
      <c r="CF21" s="178">
        <v>155</v>
      </c>
      <c r="CG21" s="369"/>
      <c r="CH21" s="170"/>
      <c r="CI21" s="368"/>
      <c r="CJ21" s="178"/>
      <c r="CK21" s="175"/>
      <c r="CL21" s="178"/>
      <c r="CM21" s="170"/>
      <c r="CN21" s="170"/>
      <c r="CO21" s="178"/>
      <c r="CP21" s="175"/>
      <c r="CQ21" s="178"/>
      <c r="CR21" s="170"/>
      <c r="CS21" s="170"/>
      <c r="CT21" s="170"/>
      <c r="CU21" s="178"/>
      <c r="CV21" s="175"/>
      <c r="CW21" s="178">
        <v>0</v>
      </c>
      <c r="CX21" s="369"/>
      <c r="CY21" s="170"/>
      <c r="CZ21" s="170"/>
      <c r="DA21" s="368"/>
      <c r="DB21" s="175">
        <v>3242</v>
      </c>
      <c r="DC21" s="180">
        <f>3242/921748</f>
        <v>3.5172303058970565E-3</v>
      </c>
    </row>
    <row r="22" spans="2:107" ht="13.5" thickBot="1" x14ac:dyDescent="0.25">
      <c r="B22" s="173" t="s">
        <v>545</v>
      </c>
      <c r="C22" s="369"/>
      <c r="D22" s="170">
        <v>0</v>
      </c>
      <c r="E22" s="170"/>
      <c r="F22" s="368">
        <v>0</v>
      </c>
      <c r="G22" s="178">
        <v>19</v>
      </c>
      <c r="H22" s="170">
        <v>697</v>
      </c>
      <c r="I22" s="170">
        <v>8</v>
      </c>
      <c r="J22" s="170">
        <v>2</v>
      </c>
      <c r="K22" s="170"/>
      <c r="L22" s="170">
        <v>7</v>
      </c>
      <c r="M22" s="178">
        <v>733</v>
      </c>
      <c r="N22" s="175"/>
      <c r="O22" s="178">
        <v>18339</v>
      </c>
      <c r="P22" s="170">
        <v>0</v>
      </c>
      <c r="Q22" s="178">
        <v>18339</v>
      </c>
      <c r="R22" s="369">
        <v>0</v>
      </c>
      <c r="S22" s="170">
        <v>0</v>
      </c>
      <c r="T22" s="170"/>
      <c r="U22" s="368">
        <v>0</v>
      </c>
      <c r="V22" s="178">
        <v>0</v>
      </c>
      <c r="W22" s="170"/>
      <c r="X22" s="178">
        <v>0</v>
      </c>
      <c r="Y22" s="175">
        <v>0</v>
      </c>
      <c r="Z22" s="178">
        <v>130</v>
      </c>
      <c r="AA22" s="170">
        <v>0</v>
      </c>
      <c r="AB22" s="170">
        <v>363</v>
      </c>
      <c r="AC22" s="170"/>
      <c r="AD22" s="170">
        <v>3</v>
      </c>
      <c r="AE22" s="170"/>
      <c r="AF22" s="170"/>
      <c r="AG22" s="170"/>
      <c r="AH22" s="178">
        <v>496</v>
      </c>
      <c r="AI22" s="175"/>
      <c r="AJ22" s="178"/>
      <c r="AK22" s="170">
        <v>0</v>
      </c>
      <c r="AL22" s="170">
        <v>0</v>
      </c>
      <c r="AM22" s="170">
        <v>0</v>
      </c>
      <c r="AN22" s="170"/>
      <c r="AO22" s="170">
        <v>0</v>
      </c>
      <c r="AP22" s="170"/>
      <c r="AQ22" s="170"/>
      <c r="AR22" s="170">
        <v>0</v>
      </c>
      <c r="AS22" s="170"/>
      <c r="AT22" s="170"/>
      <c r="AU22" s="170"/>
      <c r="AV22" s="178">
        <v>0</v>
      </c>
      <c r="AW22" s="369">
        <v>0</v>
      </c>
      <c r="AX22" s="170">
        <v>4044</v>
      </c>
      <c r="AY22" s="170">
        <v>0</v>
      </c>
      <c r="AZ22" s="170">
        <v>0</v>
      </c>
      <c r="BA22" s="170">
        <v>0</v>
      </c>
      <c r="BB22" s="170">
        <v>17</v>
      </c>
      <c r="BC22" s="170">
        <v>0</v>
      </c>
      <c r="BD22" s="170"/>
      <c r="BE22" s="368">
        <v>4061</v>
      </c>
      <c r="BF22" s="178">
        <v>0</v>
      </c>
      <c r="BG22" s="170">
        <v>66</v>
      </c>
      <c r="BH22" s="170">
        <v>614</v>
      </c>
      <c r="BI22" s="170">
        <v>66</v>
      </c>
      <c r="BJ22" s="170">
        <v>0</v>
      </c>
      <c r="BK22" s="170">
        <v>0</v>
      </c>
      <c r="BL22" s="178">
        <v>746</v>
      </c>
      <c r="BM22" s="175">
        <v>0</v>
      </c>
      <c r="BN22" s="178">
        <v>0</v>
      </c>
      <c r="BO22" s="369">
        <v>0</v>
      </c>
      <c r="BP22" s="170">
        <v>0</v>
      </c>
      <c r="BQ22" s="170">
        <v>0</v>
      </c>
      <c r="BR22" s="170">
        <v>0</v>
      </c>
      <c r="BS22" s="170"/>
      <c r="BT22" s="368">
        <v>0</v>
      </c>
      <c r="BU22" s="178">
        <v>195</v>
      </c>
      <c r="BV22" s="170">
        <v>21</v>
      </c>
      <c r="BW22" s="170">
        <v>236</v>
      </c>
      <c r="BX22" s="170">
        <v>0</v>
      </c>
      <c r="BY22" s="170">
        <v>0</v>
      </c>
      <c r="BZ22" s="170">
        <v>880</v>
      </c>
      <c r="CA22" s="170">
        <v>0</v>
      </c>
      <c r="CB22" s="170">
        <v>3</v>
      </c>
      <c r="CC22" s="170">
        <v>0</v>
      </c>
      <c r="CD22" s="170"/>
      <c r="CE22" s="170">
        <v>0</v>
      </c>
      <c r="CF22" s="178">
        <v>1335</v>
      </c>
      <c r="CG22" s="369"/>
      <c r="CH22" s="170"/>
      <c r="CI22" s="368"/>
      <c r="CJ22" s="178"/>
      <c r="CK22" s="175">
        <v>0</v>
      </c>
      <c r="CL22" s="178">
        <v>43</v>
      </c>
      <c r="CM22" s="170"/>
      <c r="CN22" s="170">
        <v>1</v>
      </c>
      <c r="CO22" s="178">
        <v>44</v>
      </c>
      <c r="CP22" s="175">
        <v>68</v>
      </c>
      <c r="CQ22" s="178">
        <v>4</v>
      </c>
      <c r="CR22" s="170"/>
      <c r="CS22" s="170">
        <v>0</v>
      </c>
      <c r="CT22" s="170"/>
      <c r="CU22" s="178">
        <v>4</v>
      </c>
      <c r="CV22" s="175"/>
      <c r="CW22" s="178">
        <v>0</v>
      </c>
      <c r="CX22" s="369">
        <v>0</v>
      </c>
      <c r="CY22" s="170"/>
      <c r="CZ22" s="170"/>
      <c r="DA22" s="368">
        <v>0</v>
      </c>
      <c r="DB22" s="175">
        <v>25826</v>
      </c>
      <c r="DC22" s="180">
        <f>25826/921748</f>
        <v>2.8018503972886299E-2</v>
      </c>
    </row>
    <row r="23" spans="2:107" x14ac:dyDescent="0.2">
      <c r="B23" s="286" t="s">
        <v>37</v>
      </c>
      <c r="C23" s="374"/>
      <c r="D23" s="373"/>
      <c r="E23" s="373"/>
      <c r="F23" s="372"/>
      <c r="G23" s="375">
        <v>0</v>
      </c>
      <c r="H23" s="373"/>
      <c r="I23" s="373"/>
      <c r="J23" s="373"/>
      <c r="K23" s="373"/>
      <c r="L23" s="373"/>
      <c r="M23" s="375">
        <v>0</v>
      </c>
      <c r="N23" s="371"/>
      <c r="O23" s="375">
        <v>89</v>
      </c>
      <c r="P23" s="373"/>
      <c r="Q23" s="375">
        <v>89</v>
      </c>
      <c r="R23" s="374"/>
      <c r="S23" s="373"/>
      <c r="T23" s="373"/>
      <c r="U23" s="372"/>
      <c r="V23" s="375"/>
      <c r="W23" s="373"/>
      <c r="X23" s="375"/>
      <c r="Y23" s="371"/>
      <c r="Z23" s="375"/>
      <c r="AA23" s="373"/>
      <c r="AB23" s="373"/>
      <c r="AC23" s="373"/>
      <c r="AD23" s="373"/>
      <c r="AE23" s="373"/>
      <c r="AF23" s="373"/>
      <c r="AG23" s="373"/>
      <c r="AH23" s="375"/>
      <c r="AI23" s="371"/>
      <c r="AJ23" s="375"/>
      <c r="AK23" s="373"/>
      <c r="AL23" s="373"/>
      <c r="AM23" s="373"/>
      <c r="AN23" s="373"/>
      <c r="AO23" s="373"/>
      <c r="AP23" s="373"/>
      <c r="AQ23" s="373"/>
      <c r="AR23" s="373"/>
      <c r="AS23" s="373"/>
      <c r="AT23" s="373"/>
      <c r="AU23" s="373"/>
      <c r="AV23" s="375"/>
      <c r="AW23" s="374"/>
      <c r="AX23" s="373">
        <v>30</v>
      </c>
      <c r="AY23" s="373"/>
      <c r="AZ23" s="373"/>
      <c r="BA23" s="373"/>
      <c r="BB23" s="373"/>
      <c r="BC23" s="373"/>
      <c r="BD23" s="373"/>
      <c r="BE23" s="372">
        <v>30</v>
      </c>
      <c r="BF23" s="375"/>
      <c r="BG23" s="373">
        <v>0</v>
      </c>
      <c r="BH23" s="373">
        <v>215</v>
      </c>
      <c r="BI23" s="373"/>
      <c r="BJ23" s="373"/>
      <c r="BK23" s="373"/>
      <c r="BL23" s="375">
        <v>215</v>
      </c>
      <c r="BM23" s="371"/>
      <c r="BN23" s="375"/>
      <c r="BO23" s="374">
        <v>0</v>
      </c>
      <c r="BP23" s="373"/>
      <c r="BQ23" s="373"/>
      <c r="BR23" s="373"/>
      <c r="BS23" s="373"/>
      <c r="BT23" s="372">
        <v>0</v>
      </c>
      <c r="BU23" s="375">
        <v>0</v>
      </c>
      <c r="BV23" s="373"/>
      <c r="BW23" s="373">
        <v>0</v>
      </c>
      <c r="BX23" s="373"/>
      <c r="BY23" s="373">
        <v>0</v>
      </c>
      <c r="BZ23" s="373">
        <v>190</v>
      </c>
      <c r="CA23" s="373"/>
      <c r="CB23" s="373"/>
      <c r="CC23" s="373">
        <v>0</v>
      </c>
      <c r="CD23" s="373"/>
      <c r="CE23" s="373"/>
      <c r="CF23" s="375">
        <v>190</v>
      </c>
      <c r="CG23" s="374"/>
      <c r="CH23" s="373"/>
      <c r="CI23" s="372"/>
      <c r="CJ23" s="375"/>
      <c r="CK23" s="371"/>
      <c r="CL23" s="375"/>
      <c r="CM23" s="373"/>
      <c r="CN23" s="373"/>
      <c r="CO23" s="375"/>
      <c r="CP23" s="371"/>
      <c r="CQ23" s="375"/>
      <c r="CR23" s="373"/>
      <c r="CS23" s="373"/>
      <c r="CT23" s="373"/>
      <c r="CU23" s="375"/>
      <c r="CV23" s="371"/>
      <c r="CW23" s="375"/>
      <c r="CX23" s="374"/>
      <c r="CY23" s="373"/>
      <c r="CZ23" s="373"/>
      <c r="DA23" s="372"/>
      <c r="DB23" s="371">
        <v>524</v>
      </c>
      <c r="DC23" s="370">
        <f>524/921748</f>
        <v>5.6848509570945639E-4</v>
      </c>
    </row>
    <row r="24" spans="2:107" x14ac:dyDescent="0.2">
      <c r="B24" s="172" t="s">
        <v>49</v>
      </c>
      <c r="C24" s="377"/>
      <c r="D24" s="169"/>
      <c r="E24" s="169"/>
      <c r="F24" s="376"/>
      <c r="G24" s="177"/>
      <c r="H24" s="169"/>
      <c r="I24" s="169"/>
      <c r="J24" s="169"/>
      <c r="K24" s="169"/>
      <c r="L24" s="169"/>
      <c r="M24" s="177"/>
      <c r="N24" s="174"/>
      <c r="O24" s="177">
        <v>75</v>
      </c>
      <c r="P24" s="169"/>
      <c r="Q24" s="177">
        <v>75</v>
      </c>
      <c r="R24" s="377"/>
      <c r="S24" s="169"/>
      <c r="T24" s="169"/>
      <c r="U24" s="376"/>
      <c r="V24" s="177"/>
      <c r="W24" s="169"/>
      <c r="X24" s="177"/>
      <c r="Y24" s="174"/>
      <c r="Z24" s="177">
        <v>1</v>
      </c>
      <c r="AA24" s="169"/>
      <c r="AB24" s="169"/>
      <c r="AC24" s="169"/>
      <c r="AD24" s="169"/>
      <c r="AE24" s="169"/>
      <c r="AF24" s="169"/>
      <c r="AG24" s="169"/>
      <c r="AH24" s="177">
        <v>1</v>
      </c>
      <c r="AI24" s="174"/>
      <c r="AJ24" s="177"/>
      <c r="AK24" s="169"/>
      <c r="AL24" s="169"/>
      <c r="AM24" s="169"/>
      <c r="AN24" s="169"/>
      <c r="AO24" s="169"/>
      <c r="AP24" s="169"/>
      <c r="AQ24" s="169"/>
      <c r="AR24" s="169"/>
      <c r="AS24" s="169"/>
      <c r="AT24" s="169"/>
      <c r="AU24" s="169"/>
      <c r="AV24" s="177"/>
      <c r="AW24" s="377"/>
      <c r="AX24" s="169">
        <v>35</v>
      </c>
      <c r="AY24" s="169"/>
      <c r="AZ24" s="169">
        <v>0</v>
      </c>
      <c r="BA24" s="169"/>
      <c r="BB24" s="169"/>
      <c r="BC24" s="169"/>
      <c r="BD24" s="169"/>
      <c r="BE24" s="376">
        <v>35</v>
      </c>
      <c r="BF24" s="177"/>
      <c r="BG24" s="169">
        <v>0</v>
      </c>
      <c r="BH24" s="169">
        <v>63</v>
      </c>
      <c r="BI24" s="169"/>
      <c r="BJ24" s="169"/>
      <c r="BK24" s="169"/>
      <c r="BL24" s="177">
        <v>63</v>
      </c>
      <c r="BM24" s="174"/>
      <c r="BN24" s="177"/>
      <c r="BO24" s="377"/>
      <c r="BP24" s="169"/>
      <c r="BQ24" s="169"/>
      <c r="BR24" s="169"/>
      <c r="BS24" s="169"/>
      <c r="BT24" s="376"/>
      <c r="BU24" s="177">
        <v>2</v>
      </c>
      <c r="BV24" s="169"/>
      <c r="BW24" s="169">
        <v>0</v>
      </c>
      <c r="BX24" s="169">
        <v>0</v>
      </c>
      <c r="BY24" s="169">
        <v>0</v>
      </c>
      <c r="BZ24" s="169">
        <v>64</v>
      </c>
      <c r="CA24" s="169"/>
      <c r="CB24" s="169"/>
      <c r="CC24" s="169">
        <v>0</v>
      </c>
      <c r="CD24" s="169"/>
      <c r="CE24" s="169"/>
      <c r="CF24" s="177">
        <v>66</v>
      </c>
      <c r="CG24" s="377"/>
      <c r="CH24" s="169"/>
      <c r="CI24" s="376"/>
      <c r="CJ24" s="177"/>
      <c r="CK24" s="174"/>
      <c r="CL24" s="177"/>
      <c r="CM24" s="169"/>
      <c r="CN24" s="169"/>
      <c r="CO24" s="177"/>
      <c r="CP24" s="174"/>
      <c r="CQ24" s="177"/>
      <c r="CR24" s="169"/>
      <c r="CS24" s="169"/>
      <c r="CT24" s="169"/>
      <c r="CU24" s="177"/>
      <c r="CV24" s="174"/>
      <c r="CW24" s="177"/>
      <c r="CX24" s="377"/>
      <c r="CY24" s="169"/>
      <c r="CZ24" s="169"/>
      <c r="DA24" s="376"/>
      <c r="DB24" s="174">
        <v>240</v>
      </c>
      <c r="DC24" s="179">
        <f>240/921748</f>
        <v>2.6037485299669759E-4</v>
      </c>
    </row>
    <row r="25" spans="2:107" x14ac:dyDescent="0.2">
      <c r="B25" s="172" t="s">
        <v>116</v>
      </c>
      <c r="C25" s="377"/>
      <c r="D25" s="169"/>
      <c r="E25" s="169"/>
      <c r="F25" s="376"/>
      <c r="G25" s="177">
        <v>0</v>
      </c>
      <c r="H25" s="169"/>
      <c r="I25" s="169"/>
      <c r="J25" s="169"/>
      <c r="K25" s="169"/>
      <c r="L25" s="169"/>
      <c r="M25" s="177">
        <v>0</v>
      </c>
      <c r="N25" s="174"/>
      <c r="O25" s="177">
        <v>29</v>
      </c>
      <c r="P25" s="169"/>
      <c r="Q25" s="177">
        <v>29</v>
      </c>
      <c r="R25" s="377">
        <v>0</v>
      </c>
      <c r="S25" s="169"/>
      <c r="T25" s="169"/>
      <c r="U25" s="376">
        <v>0</v>
      </c>
      <c r="V25" s="177">
        <v>0</v>
      </c>
      <c r="W25" s="169"/>
      <c r="X25" s="177">
        <v>0</v>
      </c>
      <c r="Y25" s="174">
        <v>0</v>
      </c>
      <c r="Z25" s="177"/>
      <c r="AA25" s="169"/>
      <c r="AB25" s="169"/>
      <c r="AC25" s="169"/>
      <c r="AD25" s="169"/>
      <c r="AE25" s="169"/>
      <c r="AF25" s="169"/>
      <c r="AG25" s="169"/>
      <c r="AH25" s="177"/>
      <c r="AI25" s="174"/>
      <c r="AJ25" s="177"/>
      <c r="AK25" s="169"/>
      <c r="AL25" s="169"/>
      <c r="AM25" s="169"/>
      <c r="AN25" s="169"/>
      <c r="AO25" s="169"/>
      <c r="AP25" s="169"/>
      <c r="AQ25" s="169"/>
      <c r="AR25" s="169"/>
      <c r="AS25" s="169"/>
      <c r="AT25" s="169"/>
      <c r="AU25" s="169"/>
      <c r="AV25" s="177"/>
      <c r="AW25" s="377">
        <v>0</v>
      </c>
      <c r="AX25" s="169"/>
      <c r="AY25" s="169">
        <v>0</v>
      </c>
      <c r="AZ25" s="169">
        <v>0</v>
      </c>
      <c r="BA25" s="169">
        <v>0</v>
      </c>
      <c r="BB25" s="169"/>
      <c r="BC25" s="169"/>
      <c r="BD25" s="169"/>
      <c r="BE25" s="376">
        <v>0</v>
      </c>
      <c r="BF25" s="177">
        <v>0</v>
      </c>
      <c r="BG25" s="169">
        <v>0</v>
      </c>
      <c r="BH25" s="169">
        <v>4</v>
      </c>
      <c r="BI25" s="169"/>
      <c r="BJ25" s="169"/>
      <c r="BK25" s="169"/>
      <c r="BL25" s="177">
        <v>4</v>
      </c>
      <c r="BM25" s="174"/>
      <c r="BN25" s="177">
        <v>0</v>
      </c>
      <c r="BO25" s="377">
        <v>0</v>
      </c>
      <c r="BP25" s="169">
        <v>0</v>
      </c>
      <c r="BQ25" s="169"/>
      <c r="BR25" s="169"/>
      <c r="BS25" s="169"/>
      <c r="BT25" s="376">
        <v>0</v>
      </c>
      <c r="BU25" s="177">
        <v>2</v>
      </c>
      <c r="BV25" s="169">
        <v>1</v>
      </c>
      <c r="BW25" s="169">
        <v>164</v>
      </c>
      <c r="BX25" s="169">
        <v>0</v>
      </c>
      <c r="BY25" s="169"/>
      <c r="BZ25" s="169">
        <v>66</v>
      </c>
      <c r="CA25" s="169"/>
      <c r="CB25" s="169"/>
      <c r="CC25" s="169"/>
      <c r="CD25" s="169"/>
      <c r="CE25" s="169"/>
      <c r="CF25" s="177">
        <v>233</v>
      </c>
      <c r="CG25" s="377"/>
      <c r="CH25" s="169"/>
      <c r="CI25" s="376"/>
      <c r="CJ25" s="177"/>
      <c r="CK25" s="174">
        <v>0</v>
      </c>
      <c r="CL25" s="177"/>
      <c r="CM25" s="169"/>
      <c r="CN25" s="169"/>
      <c r="CO25" s="177"/>
      <c r="CP25" s="174"/>
      <c r="CQ25" s="177"/>
      <c r="CR25" s="169"/>
      <c r="CS25" s="169"/>
      <c r="CT25" s="169"/>
      <c r="CU25" s="177"/>
      <c r="CV25" s="174"/>
      <c r="CW25" s="177">
        <v>0</v>
      </c>
      <c r="CX25" s="377">
        <v>0</v>
      </c>
      <c r="CY25" s="169"/>
      <c r="CZ25" s="169"/>
      <c r="DA25" s="376">
        <v>0</v>
      </c>
      <c r="DB25" s="174">
        <v>266</v>
      </c>
      <c r="DC25" s="179">
        <f>266/921748</f>
        <v>2.8858212873800648E-4</v>
      </c>
    </row>
    <row r="26" spans="2:107" x14ac:dyDescent="0.2">
      <c r="B26" s="172" t="s">
        <v>122</v>
      </c>
      <c r="C26" s="377"/>
      <c r="D26" s="169"/>
      <c r="E26" s="169">
        <v>0</v>
      </c>
      <c r="F26" s="376">
        <v>0</v>
      </c>
      <c r="G26" s="177">
        <v>0</v>
      </c>
      <c r="H26" s="169">
        <v>19</v>
      </c>
      <c r="I26" s="169">
        <v>2</v>
      </c>
      <c r="J26" s="169">
        <v>0</v>
      </c>
      <c r="K26" s="169">
        <v>0</v>
      </c>
      <c r="L26" s="169">
        <v>0</v>
      </c>
      <c r="M26" s="177">
        <v>21</v>
      </c>
      <c r="N26" s="174"/>
      <c r="O26" s="177">
        <v>24442</v>
      </c>
      <c r="P26" s="169">
        <v>0</v>
      </c>
      <c r="Q26" s="177">
        <v>24442</v>
      </c>
      <c r="R26" s="377">
        <v>0</v>
      </c>
      <c r="S26" s="169"/>
      <c r="T26" s="169"/>
      <c r="U26" s="376">
        <v>0</v>
      </c>
      <c r="V26" s="177"/>
      <c r="W26" s="169"/>
      <c r="X26" s="177"/>
      <c r="Y26" s="174"/>
      <c r="Z26" s="177">
        <v>14</v>
      </c>
      <c r="AA26" s="169"/>
      <c r="AB26" s="169"/>
      <c r="AC26" s="169">
        <v>0</v>
      </c>
      <c r="AD26" s="169">
        <v>2</v>
      </c>
      <c r="AE26" s="169"/>
      <c r="AF26" s="169"/>
      <c r="AG26" s="169"/>
      <c r="AH26" s="177">
        <v>16</v>
      </c>
      <c r="AI26" s="174"/>
      <c r="AJ26" s="177"/>
      <c r="AK26" s="169"/>
      <c r="AL26" s="169"/>
      <c r="AM26" s="169"/>
      <c r="AN26" s="169">
        <v>0</v>
      </c>
      <c r="AO26" s="169"/>
      <c r="AP26" s="169"/>
      <c r="AQ26" s="169"/>
      <c r="AR26" s="169">
        <v>0</v>
      </c>
      <c r="AS26" s="169"/>
      <c r="AT26" s="169"/>
      <c r="AU26" s="169"/>
      <c r="AV26" s="177">
        <v>0</v>
      </c>
      <c r="AW26" s="377"/>
      <c r="AX26" s="169">
        <v>1399</v>
      </c>
      <c r="AY26" s="169">
        <v>0</v>
      </c>
      <c r="AZ26" s="169"/>
      <c r="BA26" s="169">
        <v>0</v>
      </c>
      <c r="BB26" s="169">
        <v>1</v>
      </c>
      <c r="BC26" s="169"/>
      <c r="BD26" s="169"/>
      <c r="BE26" s="376">
        <v>1400</v>
      </c>
      <c r="BF26" s="177">
        <v>0</v>
      </c>
      <c r="BG26" s="169">
        <v>21</v>
      </c>
      <c r="BH26" s="169">
        <v>171</v>
      </c>
      <c r="BI26" s="169">
        <v>2</v>
      </c>
      <c r="BJ26" s="169">
        <v>0</v>
      </c>
      <c r="BK26" s="169"/>
      <c r="BL26" s="177">
        <v>194</v>
      </c>
      <c r="BM26" s="174"/>
      <c r="BN26" s="177"/>
      <c r="BO26" s="377">
        <v>0</v>
      </c>
      <c r="BP26" s="169">
        <v>0</v>
      </c>
      <c r="BQ26" s="169">
        <v>0</v>
      </c>
      <c r="BR26" s="169"/>
      <c r="BS26" s="169"/>
      <c r="BT26" s="376">
        <v>0</v>
      </c>
      <c r="BU26" s="177">
        <v>1240</v>
      </c>
      <c r="BV26" s="169">
        <v>11</v>
      </c>
      <c r="BW26" s="169">
        <v>1663</v>
      </c>
      <c r="BX26" s="169">
        <v>0</v>
      </c>
      <c r="BY26" s="169">
        <v>0</v>
      </c>
      <c r="BZ26" s="169">
        <v>1235</v>
      </c>
      <c r="CA26" s="169">
        <v>0</v>
      </c>
      <c r="CB26" s="169">
        <v>2</v>
      </c>
      <c r="CC26" s="169">
        <v>0</v>
      </c>
      <c r="CD26" s="169"/>
      <c r="CE26" s="169">
        <v>0</v>
      </c>
      <c r="CF26" s="177">
        <v>4151</v>
      </c>
      <c r="CG26" s="377"/>
      <c r="CH26" s="169"/>
      <c r="CI26" s="376"/>
      <c r="CJ26" s="177"/>
      <c r="CK26" s="174">
        <v>0</v>
      </c>
      <c r="CL26" s="177"/>
      <c r="CM26" s="169"/>
      <c r="CN26" s="169"/>
      <c r="CO26" s="177"/>
      <c r="CP26" s="174">
        <v>0</v>
      </c>
      <c r="CQ26" s="177"/>
      <c r="CR26" s="169"/>
      <c r="CS26" s="169"/>
      <c r="CT26" s="169"/>
      <c r="CU26" s="177"/>
      <c r="CV26" s="174"/>
      <c r="CW26" s="177">
        <v>0</v>
      </c>
      <c r="CX26" s="377"/>
      <c r="CY26" s="169"/>
      <c r="CZ26" s="169"/>
      <c r="DA26" s="376"/>
      <c r="DB26" s="174">
        <v>30224</v>
      </c>
      <c r="DC26" s="179">
        <f>30224/921748</f>
        <v>3.2789873154050783E-2</v>
      </c>
    </row>
    <row r="27" spans="2:107" x14ac:dyDescent="0.2">
      <c r="B27" s="172" t="s">
        <v>134</v>
      </c>
      <c r="C27" s="377"/>
      <c r="D27" s="169"/>
      <c r="E27" s="169"/>
      <c r="F27" s="376"/>
      <c r="G27" s="177">
        <v>0</v>
      </c>
      <c r="H27" s="169">
        <v>0</v>
      </c>
      <c r="I27" s="169"/>
      <c r="J27" s="169">
        <v>0</v>
      </c>
      <c r="K27" s="169"/>
      <c r="L27" s="169"/>
      <c r="M27" s="177">
        <v>0</v>
      </c>
      <c r="N27" s="174"/>
      <c r="O27" s="177">
        <v>33</v>
      </c>
      <c r="P27" s="169"/>
      <c r="Q27" s="177">
        <v>33</v>
      </c>
      <c r="R27" s="377">
        <v>0</v>
      </c>
      <c r="S27" s="169"/>
      <c r="T27" s="169"/>
      <c r="U27" s="376">
        <v>0</v>
      </c>
      <c r="V27" s="177"/>
      <c r="W27" s="169"/>
      <c r="X27" s="177"/>
      <c r="Y27" s="174"/>
      <c r="Z27" s="177"/>
      <c r="AA27" s="169"/>
      <c r="AB27" s="169"/>
      <c r="AC27" s="169"/>
      <c r="AD27" s="169"/>
      <c r="AE27" s="169"/>
      <c r="AF27" s="169"/>
      <c r="AG27" s="169"/>
      <c r="AH27" s="177"/>
      <c r="AI27" s="174"/>
      <c r="AJ27" s="177"/>
      <c r="AK27" s="169"/>
      <c r="AL27" s="169"/>
      <c r="AM27" s="169"/>
      <c r="AN27" s="169"/>
      <c r="AO27" s="169"/>
      <c r="AP27" s="169"/>
      <c r="AQ27" s="169"/>
      <c r="AR27" s="169"/>
      <c r="AS27" s="169"/>
      <c r="AT27" s="169"/>
      <c r="AU27" s="169"/>
      <c r="AV27" s="177"/>
      <c r="AW27" s="377"/>
      <c r="AX27" s="169">
        <v>2</v>
      </c>
      <c r="AY27" s="169">
        <v>0</v>
      </c>
      <c r="AZ27" s="169"/>
      <c r="BA27" s="169"/>
      <c r="BB27" s="169">
        <v>0</v>
      </c>
      <c r="BC27" s="169"/>
      <c r="BD27" s="169"/>
      <c r="BE27" s="376">
        <v>2</v>
      </c>
      <c r="BF27" s="177"/>
      <c r="BG27" s="169">
        <v>4</v>
      </c>
      <c r="BH27" s="169">
        <v>18</v>
      </c>
      <c r="BI27" s="169"/>
      <c r="BJ27" s="169"/>
      <c r="BK27" s="169"/>
      <c r="BL27" s="177">
        <v>22</v>
      </c>
      <c r="BM27" s="174"/>
      <c r="BN27" s="177"/>
      <c r="BO27" s="377"/>
      <c r="BP27" s="169"/>
      <c r="BQ27" s="169"/>
      <c r="BR27" s="169"/>
      <c r="BS27" s="169"/>
      <c r="BT27" s="376"/>
      <c r="BU27" s="177">
        <v>0</v>
      </c>
      <c r="BV27" s="169">
        <v>0</v>
      </c>
      <c r="BW27" s="169">
        <v>0</v>
      </c>
      <c r="BX27" s="169"/>
      <c r="BY27" s="169">
        <v>0</v>
      </c>
      <c r="BZ27" s="169">
        <v>23</v>
      </c>
      <c r="CA27" s="169"/>
      <c r="CB27" s="169"/>
      <c r="CC27" s="169"/>
      <c r="CD27" s="169"/>
      <c r="CE27" s="169"/>
      <c r="CF27" s="177">
        <v>23</v>
      </c>
      <c r="CG27" s="377"/>
      <c r="CH27" s="169"/>
      <c r="CI27" s="376"/>
      <c r="CJ27" s="177"/>
      <c r="CK27" s="174"/>
      <c r="CL27" s="177"/>
      <c r="CM27" s="169"/>
      <c r="CN27" s="169"/>
      <c r="CO27" s="177"/>
      <c r="CP27" s="174"/>
      <c r="CQ27" s="177"/>
      <c r="CR27" s="169"/>
      <c r="CS27" s="169"/>
      <c r="CT27" s="169"/>
      <c r="CU27" s="177"/>
      <c r="CV27" s="174"/>
      <c r="CW27" s="177"/>
      <c r="CX27" s="377"/>
      <c r="CY27" s="169"/>
      <c r="CZ27" s="169"/>
      <c r="DA27" s="376"/>
      <c r="DB27" s="174">
        <v>80</v>
      </c>
      <c r="DC27" s="179">
        <f>80/921748</f>
        <v>8.679161766556586E-5</v>
      </c>
    </row>
    <row r="28" spans="2:107" x14ac:dyDescent="0.2">
      <c r="B28" s="172" t="s">
        <v>145</v>
      </c>
      <c r="C28" s="377"/>
      <c r="D28" s="169"/>
      <c r="E28" s="169"/>
      <c r="F28" s="376"/>
      <c r="G28" s="177"/>
      <c r="H28" s="169">
        <v>2</v>
      </c>
      <c r="I28" s="169"/>
      <c r="J28" s="169"/>
      <c r="K28" s="169"/>
      <c r="L28" s="169"/>
      <c r="M28" s="177">
        <v>2</v>
      </c>
      <c r="N28" s="174"/>
      <c r="O28" s="177">
        <v>279</v>
      </c>
      <c r="P28" s="169"/>
      <c r="Q28" s="177">
        <v>279</v>
      </c>
      <c r="R28" s="377">
        <v>0</v>
      </c>
      <c r="S28" s="169"/>
      <c r="T28" s="169"/>
      <c r="U28" s="376">
        <v>0</v>
      </c>
      <c r="V28" s="177"/>
      <c r="W28" s="169"/>
      <c r="X28" s="177"/>
      <c r="Y28" s="174"/>
      <c r="Z28" s="177"/>
      <c r="AA28" s="169"/>
      <c r="AB28" s="169"/>
      <c r="AC28" s="169"/>
      <c r="AD28" s="169"/>
      <c r="AE28" s="169"/>
      <c r="AF28" s="169"/>
      <c r="AG28" s="169"/>
      <c r="AH28" s="177"/>
      <c r="AI28" s="174"/>
      <c r="AJ28" s="177"/>
      <c r="AK28" s="169"/>
      <c r="AL28" s="169"/>
      <c r="AM28" s="169"/>
      <c r="AN28" s="169"/>
      <c r="AO28" s="169"/>
      <c r="AP28" s="169"/>
      <c r="AQ28" s="169"/>
      <c r="AR28" s="169"/>
      <c r="AS28" s="169"/>
      <c r="AT28" s="169"/>
      <c r="AU28" s="169"/>
      <c r="AV28" s="177"/>
      <c r="AW28" s="377"/>
      <c r="AX28" s="169">
        <v>18</v>
      </c>
      <c r="AY28" s="169"/>
      <c r="AZ28" s="169"/>
      <c r="BA28" s="169"/>
      <c r="BB28" s="169">
        <v>1</v>
      </c>
      <c r="BC28" s="169"/>
      <c r="BD28" s="169"/>
      <c r="BE28" s="376">
        <v>19</v>
      </c>
      <c r="BF28" s="177"/>
      <c r="BG28" s="169">
        <v>1</v>
      </c>
      <c r="BH28" s="169">
        <v>249</v>
      </c>
      <c r="BI28" s="169"/>
      <c r="BJ28" s="169"/>
      <c r="BK28" s="169"/>
      <c r="BL28" s="177">
        <v>250</v>
      </c>
      <c r="BM28" s="174"/>
      <c r="BN28" s="177"/>
      <c r="BO28" s="377">
        <v>0</v>
      </c>
      <c r="BP28" s="169"/>
      <c r="BQ28" s="169"/>
      <c r="BR28" s="169"/>
      <c r="BS28" s="169"/>
      <c r="BT28" s="376">
        <v>0</v>
      </c>
      <c r="BU28" s="177">
        <v>0</v>
      </c>
      <c r="BV28" s="169">
        <v>0</v>
      </c>
      <c r="BW28" s="169">
        <v>4</v>
      </c>
      <c r="BX28" s="169">
        <v>0</v>
      </c>
      <c r="BY28" s="169">
        <v>0</v>
      </c>
      <c r="BZ28" s="169">
        <v>312</v>
      </c>
      <c r="CA28" s="169">
        <v>0</v>
      </c>
      <c r="CB28" s="169"/>
      <c r="CC28" s="169">
        <v>0</v>
      </c>
      <c r="CD28" s="169"/>
      <c r="CE28" s="169"/>
      <c r="CF28" s="177">
        <v>316</v>
      </c>
      <c r="CG28" s="377"/>
      <c r="CH28" s="169"/>
      <c r="CI28" s="376"/>
      <c r="CJ28" s="177"/>
      <c r="CK28" s="174"/>
      <c r="CL28" s="177"/>
      <c r="CM28" s="169"/>
      <c r="CN28" s="169"/>
      <c r="CO28" s="177"/>
      <c r="CP28" s="174"/>
      <c r="CQ28" s="177"/>
      <c r="CR28" s="169"/>
      <c r="CS28" s="169"/>
      <c r="CT28" s="169"/>
      <c r="CU28" s="177"/>
      <c r="CV28" s="174"/>
      <c r="CW28" s="177"/>
      <c r="CX28" s="377"/>
      <c r="CY28" s="169"/>
      <c r="CZ28" s="169"/>
      <c r="DA28" s="376"/>
      <c r="DB28" s="174">
        <v>866</v>
      </c>
      <c r="DC28" s="179">
        <f>866/921748</f>
        <v>9.3951926122975038E-4</v>
      </c>
    </row>
    <row r="29" spans="2:107" x14ac:dyDescent="0.2">
      <c r="B29" s="172" t="s">
        <v>146</v>
      </c>
      <c r="C29" s="377"/>
      <c r="D29" s="169"/>
      <c r="E29" s="169"/>
      <c r="F29" s="376"/>
      <c r="G29" s="177">
        <v>0</v>
      </c>
      <c r="H29" s="169">
        <v>0</v>
      </c>
      <c r="I29" s="169">
        <v>0</v>
      </c>
      <c r="J29" s="169">
        <v>0</v>
      </c>
      <c r="K29" s="169">
        <v>0</v>
      </c>
      <c r="L29" s="169">
        <v>0</v>
      </c>
      <c r="M29" s="177">
        <v>0</v>
      </c>
      <c r="N29" s="174"/>
      <c r="O29" s="177">
        <v>6</v>
      </c>
      <c r="P29" s="169"/>
      <c r="Q29" s="177">
        <v>6</v>
      </c>
      <c r="R29" s="377">
        <v>0</v>
      </c>
      <c r="S29" s="169"/>
      <c r="T29" s="169"/>
      <c r="U29" s="376">
        <v>0</v>
      </c>
      <c r="V29" s="177"/>
      <c r="W29" s="169"/>
      <c r="X29" s="177"/>
      <c r="Y29" s="174"/>
      <c r="Z29" s="177"/>
      <c r="AA29" s="169"/>
      <c r="AB29" s="169">
        <v>0</v>
      </c>
      <c r="AC29" s="169"/>
      <c r="AD29" s="169"/>
      <c r="AE29" s="169"/>
      <c r="AF29" s="169"/>
      <c r="AG29" s="169"/>
      <c r="AH29" s="177">
        <v>0</v>
      </c>
      <c r="AI29" s="174"/>
      <c r="AJ29" s="177">
        <v>0</v>
      </c>
      <c r="AK29" s="169"/>
      <c r="AL29" s="169"/>
      <c r="AM29" s="169"/>
      <c r="AN29" s="169"/>
      <c r="AO29" s="169"/>
      <c r="AP29" s="169"/>
      <c r="AQ29" s="169"/>
      <c r="AR29" s="169"/>
      <c r="AS29" s="169"/>
      <c r="AT29" s="169"/>
      <c r="AU29" s="169"/>
      <c r="AV29" s="177">
        <v>0</v>
      </c>
      <c r="AW29" s="377"/>
      <c r="AX29" s="169">
        <v>0</v>
      </c>
      <c r="AY29" s="169">
        <v>0</v>
      </c>
      <c r="AZ29" s="169"/>
      <c r="BA29" s="169"/>
      <c r="BB29" s="169"/>
      <c r="BC29" s="169"/>
      <c r="BD29" s="169"/>
      <c r="BE29" s="376">
        <v>0</v>
      </c>
      <c r="BF29" s="177"/>
      <c r="BG29" s="169">
        <v>0</v>
      </c>
      <c r="BH29" s="169">
        <v>2</v>
      </c>
      <c r="BI29" s="169">
        <v>3</v>
      </c>
      <c r="BJ29" s="169">
        <v>0</v>
      </c>
      <c r="BK29" s="169"/>
      <c r="BL29" s="177">
        <v>5</v>
      </c>
      <c r="BM29" s="174"/>
      <c r="BN29" s="177"/>
      <c r="BO29" s="377">
        <v>0</v>
      </c>
      <c r="BP29" s="169">
        <v>0</v>
      </c>
      <c r="BQ29" s="169">
        <v>0</v>
      </c>
      <c r="BR29" s="169">
        <v>0</v>
      </c>
      <c r="BS29" s="169">
        <v>0</v>
      </c>
      <c r="BT29" s="376">
        <v>0</v>
      </c>
      <c r="BU29" s="177">
        <v>1</v>
      </c>
      <c r="BV29" s="169">
        <v>0</v>
      </c>
      <c r="BW29" s="169">
        <v>12</v>
      </c>
      <c r="BX29" s="169">
        <v>0</v>
      </c>
      <c r="BY29" s="169">
        <v>0</v>
      </c>
      <c r="BZ29" s="169">
        <v>0</v>
      </c>
      <c r="CA29" s="169"/>
      <c r="CB29" s="169"/>
      <c r="CC29" s="169">
        <v>0</v>
      </c>
      <c r="CD29" s="169"/>
      <c r="CE29" s="169"/>
      <c r="CF29" s="177">
        <v>13</v>
      </c>
      <c r="CG29" s="377"/>
      <c r="CH29" s="169"/>
      <c r="CI29" s="376"/>
      <c r="CJ29" s="177"/>
      <c r="CK29" s="174"/>
      <c r="CL29" s="177"/>
      <c r="CM29" s="169"/>
      <c r="CN29" s="169"/>
      <c r="CO29" s="177"/>
      <c r="CP29" s="174"/>
      <c r="CQ29" s="177"/>
      <c r="CR29" s="169"/>
      <c r="CS29" s="169"/>
      <c r="CT29" s="169"/>
      <c r="CU29" s="177"/>
      <c r="CV29" s="174"/>
      <c r="CW29" s="177">
        <v>0</v>
      </c>
      <c r="CX29" s="377"/>
      <c r="CY29" s="169"/>
      <c r="CZ29" s="169"/>
      <c r="DA29" s="376"/>
      <c r="DB29" s="174">
        <v>24</v>
      </c>
      <c r="DC29" s="179">
        <f>24/921748</f>
        <v>2.6037485299669759E-5</v>
      </c>
    </row>
    <row r="30" spans="2:107" x14ac:dyDescent="0.2">
      <c r="B30" s="172" t="s">
        <v>158</v>
      </c>
      <c r="C30" s="377">
        <v>0</v>
      </c>
      <c r="D30" s="169"/>
      <c r="E30" s="169">
        <v>0</v>
      </c>
      <c r="F30" s="376">
        <v>0</v>
      </c>
      <c r="G30" s="177">
        <v>0</v>
      </c>
      <c r="H30" s="169">
        <v>3</v>
      </c>
      <c r="I30" s="169">
        <v>0</v>
      </c>
      <c r="J30" s="169">
        <v>0</v>
      </c>
      <c r="K30" s="169">
        <v>0</v>
      </c>
      <c r="L30" s="169"/>
      <c r="M30" s="177">
        <v>3</v>
      </c>
      <c r="N30" s="174">
        <v>0</v>
      </c>
      <c r="O30" s="177">
        <v>93</v>
      </c>
      <c r="P30" s="169">
        <v>0</v>
      </c>
      <c r="Q30" s="177">
        <v>93</v>
      </c>
      <c r="R30" s="377">
        <v>0</v>
      </c>
      <c r="S30" s="169">
        <v>0</v>
      </c>
      <c r="T30" s="169"/>
      <c r="U30" s="376">
        <v>0</v>
      </c>
      <c r="V30" s="177">
        <v>0</v>
      </c>
      <c r="W30" s="169"/>
      <c r="X30" s="177">
        <v>0</v>
      </c>
      <c r="Y30" s="174">
        <v>0</v>
      </c>
      <c r="Z30" s="177">
        <v>0</v>
      </c>
      <c r="AA30" s="169"/>
      <c r="AB30" s="169"/>
      <c r="AC30" s="169"/>
      <c r="AD30" s="169"/>
      <c r="AE30" s="169"/>
      <c r="AF30" s="169"/>
      <c r="AG30" s="169"/>
      <c r="AH30" s="177">
        <v>0</v>
      </c>
      <c r="AI30" s="174">
        <v>0</v>
      </c>
      <c r="AJ30" s="177">
        <v>0</v>
      </c>
      <c r="AK30" s="169">
        <v>0</v>
      </c>
      <c r="AL30" s="169">
        <v>0</v>
      </c>
      <c r="AM30" s="169">
        <v>0</v>
      </c>
      <c r="AN30" s="169">
        <v>0</v>
      </c>
      <c r="AO30" s="169">
        <v>0</v>
      </c>
      <c r="AP30" s="169">
        <v>0</v>
      </c>
      <c r="AQ30" s="169">
        <v>0</v>
      </c>
      <c r="AR30" s="169">
        <v>0</v>
      </c>
      <c r="AS30" s="169">
        <v>0</v>
      </c>
      <c r="AT30" s="169"/>
      <c r="AU30" s="169"/>
      <c r="AV30" s="177">
        <v>0</v>
      </c>
      <c r="AW30" s="377">
        <v>0</v>
      </c>
      <c r="AX30" s="169">
        <v>40</v>
      </c>
      <c r="AY30" s="169">
        <v>0</v>
      </c>
      <c r="AZ30" s="169">
        <v>0</v>
      </c>
      <c r="BA30" s="169">
        <v>0</v>
      </c>
      <c r="BB30" s="169">
        <v>0</v>
      </c>
      <c r="BC30" s="169"/>
      <c r="BD30" s="169"/>
      <c r="BE30" s="376">
        <v>40</v>
      </c>
      <c r="BF30" s="177">
        <v>0</v>
      </c>
      <c r="BG30" s="169">
        <v>2</v>
      </c>
      <c r="BH30" s="169">
        <v>72</v>
      </c>
      <c r="BI30" s="169">
        <v>0</v>
      </c>
      <c r="BJ30" s="169">
        <v>0</v>
      </c>
      <c r="BK30" s="169"/>
      <c r="BL30" s="177">
        <v>74</v>
      </c>
      <c r="BM30" s="174"/>
      <c r="BN30" s="177">
        <v>0</v>
      </c>
      <c r="BO30" s="377">
        <v>0</v>
      </c>
      <c r="BP30" s="169">
        <v>0</v>
      </c>
      <c r="BQ30" s="169"/>
      <c r="BR30" s="169">
        <v>0</v>
      </c>
      <c r="BS30" s="169"/>
      <c r="BT30" s="376">
        <v>0</v>
      </c>
      <c r="BU30" s="177">
        <v>4</v>
      </c>
      <c r="BV30" s="169">
        <v>0</v>
      </c>
      <c r="BW30" s="169">
        <v>14</v>
      </c>
      <c r="BX30" s="169">
        <v>0</v>
      </c>
      <c r="BY30" s="169">
        <v>0</v>
      </c>
      <c r="BZ30" s="169">
        <v>47</v>
      </c>
      <c r="CA30" s="169">
        <v>0</v>
      </c>
      <c r="CB30" s="169">
        <v>0</v>
      </c>
      <c r="CC30" s="169">
        <v>0</v>
      </c>
      <c r="CD30" s="169"/>
      <c r="CE30" s="169"/>
      <c r="CF30" s="177">
        <v>65</v>
      </c>
      <c r="CG30" s="377">
        <v>0</v>
      </c>
      <c r="CH30" s="169"/>
      <c r="CI30" s="376">
        <v>0</v>
      </c>
      <c r="CJ30" s="177"/>
      <c r="CK30" s="174"/>
      <c r="CL30" s="177">
        <v>12</v>
      </c>
      <c r="CM30" s="169">
        <v>1</v>
      </c>
      <c r="CN30" s="169">
        <v>8</v>
      </c>
      <c r="CO30" s="177">
        <v>21</v>
      </c>
      <c r="CP30" s="174"/>
      <c r="CQ30" s="177">
        <v>5</v>
      </c>
      <c r="CR30" s="169">
        <v>0</v>
      </c>
      <c r="CS30" s="169"/>
      <c r="CT30" s="169"/>
      <c r="CU30" s="177">
        <v>5</v>
      </c>
      <c r="CV30" s="174">
        <v>0</v>
      </c>
      <c r="CW30" s="177">
        <v>0</v>
      </c>
      <c r="CX30" s="377"/>
      <c r="CY30" s="169">
        <v>8</v>
      </c>
      <c r="CZ30" s="169"/>
      <c r="DA30" s="376">
        <v>8</v>
      </c>
      <c r="DB30" s="174">
        <v>309</v>
      </c>
      <c r="DC30" s="179">
        <f>309/921748</f>
        <v>3.3523262323324814E-4</v>
      </c>
    </row>
    <row r="31" spans="2:107" x14ac:dyDescent="0.2">
      <c r="B31" s="172" t="s">
        <v>230</v>
      </c>
      <c r="C31" s="377"/>
      <c r="D31" s="169"/>
      <c r="E31" s="169"/>
      <c r="F31" s="376"/>
      <c r="G31" s="177">
        <v>0</v>
      </c>
      <c r="H31" s="169">
        <v>0</v>
      </c>
      <c r="I31" s="169"/>
      <c r="J31" s="169"/>
      <c r="K31" s="169"/>
      <c r="L31" s="169"/>
      <c r="M31" s="177">
        <v>0</v>
      </c>
      <c r="N31" s="174"/>
      <c r="O31" s="177">
        <v>404</v>
      </c>
      <c r="P31" s="169"/>
      <c r="Q31" s="177">
        <v>404</v>
      </c>
      <c r="R31" s="377"/>
      <c r="S31" s="169"/>
      <c r="T31" s="169"/>
      <c r="U31" s="376"/>
      <c r="V31" s="177"/>
      <c r="W31" s="169"/>
      <c r="X31" s="177"/>
      <c r="Y31" s="174"/>
      <c r="Z31" s="177"/>
      <c r="AA31" s="169"/>
      <c r="AB31" s="169"/>
      <c r="AC31" s="169"/>
      <c r="AD31" s="169"/>
      <c r="AE31" s="169"/>
      <c r="AF31" s="169"/>
      <c r="AG31" s="169"/>
      <c r="AH31" s="177"/>
      <c r="AI31" s="174"/>
      <c r="AJ31" s="177">
        <v>0</v>
      </c>
      <c r="AK31" s="169"/>
      <c r="AL31" s="169"/>
      <c r="AM31" s="169"/>
      <c r="AN31" s="169"/>
      <c r="AO31" s="169"/>
      <c r="AP31" s="169"/>
      <c r="AQ31" s="169"/>
      <c r="AR31" s="169"/>
      <c r="AS31" s="169"/>
      <c r="AT31" s="169"/>
      <c r="AU31" s="169"/>
      <c r="AV31" s="177">
        <v>0</v>
      </c>
      <c r="AW31" s="377"/>
      <c r="AX31" s="169">
        <v>38</v>
      </c>
      <c r="AY31" s="169"/>
      <c r="AZ31" s="169">
        <v>0</v>
      </c>
      <c r="BA31" s="169"/>
      <c r="BB31" s="169">
        <v>1</v>
      </c>
      <c r="BC31" s="169"/>
      <c r="BD31" s="169"/>
      <c r="BE31" s="376">
        <v>39</v>
      </c>
      <c r="BF31" s="177"/>
      <c r="BG31" s="169">
        <v>1</v>
      </c>
      <c r="BH31" s="169">
        <v>17</v>
      </c>
      <c r="BI31" s="169"/>
      <c r="BJ31" s="169"/>
      <c r="BK31" s="169"/>
      <c r="BL31" s="177">
        <v>18</v>
      </c>
      <c r="BM31" s="174"/>
      <c r="BN31" s="177"/>
      <c r="BO31" s="377">
        <v>0</v>
      </c>
      <c r="BP31" s="169"/>
      <c r="BQ31" s="169"/>
      <c r="BR31" s="169"/>
      <c r="BS31" s="169"/>
      <c r="BT31" s="376">
        <v>0</v>
      </c>
      <c r="BU31" s="177">
        <v>5</v>
      </c>
      <c r="BV31" s="169">
        <v>0</v>
      </c>
      <c r="BW31" s="169">
        <v>6</v>
      </c>
      <c r="BX31" s="169">
        <v>0</v>
      </c>
      <c r="BY31" s="169">
        <v>0</v>
      </c>
      <c r="BZ31" s="169">
        <v>28</v>
      </c>
      <c r="CA31" s="169">
        <v>0</v>
      </c>
      <c r="CB31" s="169"/>
      <c r="CC31" s="169">
        <v>0</v>
      </c>
      <c r="CD31" s="169"/>
      <c r="CE31" s="169"/>
      <c r="CF31" s="177">
        <v>39</v>
      </c>
      <c r="CG31" s="377"/>
      <c r="CH31" s="169"/>
      <c r="CI31" s="376"/>
      <c r="CJ31" s="177"/>
      <c r="CK31" s="174"/>
      <c r="CL31" s="177"/>
      <c r="CM31" s="169"/>
      <c r="CN31" s="169"/>
      <c r="CO31" s="177"/>
      <c r="CP31" s="174"/>
      <c r="CQ31" s="177"/>
      <c r="CR31" s="169"/>
      <c r="CS31" s="169"/>
      <c r="CT31" s="169"/>
      <c r="CU31" s="177"/>
      <c r="CV31" s="174"/>
      <c r="CW31" s="177"/>
      <c r="CX31" s="377"/>
      <c r="CY31" s="169"/>
      <c r="CZ31" s="169"/>
      <c r="DA31" s="376"/>
      <c r="DB31" s="174">
        <v>500</v>
      </c>
      <c r="DC31" s="179">
        <f>500/921748</f>
        <v>5.4244761040978667E-4</v>
      </c>
    </row>
    <row r="32" spans="2:107" x14ac:dyDescent="0.2">
      <c r="B32" s="172" t="s">
        <v>250</v>
      </c>
      <c r="C32" s="377">
        <v>0</v>
      </c>
      <c r="D32" s="169"/>
      <c r="E32" s="169">
        <v>0</v>
      </c>
      <c r="F32" s="376">
        <v>0</v>
      </c>
      <c r="G32" s="177">
        <v>0</v>
      </c>
      <c r="H32" s="169">
        <v>5</v>
      </c>
      <c r="I32" s="169"/>
      <c r="J32" s="169"/>
      <c r="K32" s="169"/>
      <c r="L32" s="169"/>
      <c r="M32" s="177">
        <v>5</v>
      </c>
      <c r="N32" s="174"/>
      <c r="O32" s="177">
        <v>51</v>
      </c>
      <c r="P32" s="169"/>
      <c r="Q32" s="177">
        <v>51</v>
      </c>
      <c r="R32" s="377">
        <v>0</v>
      </c>
      <c r="S32" s="169">
        <v>0</v>
      </c>
      <c r="T32" s="169"/>
      <c r="U32" s="376">
        <v>0</v>
      </c>
      <c r="V32" s="177"/>
      <c r="W32" s="169"/>
      <c r="X32" s="177"/>
      <c r="Y32" s="174">
        <v>0</v>
      </c>
      <c r="Z32" s="177"/>
      <c r="AA32" s="169"/>
      <c r="AB32" s="169"/>
      <c r="AC32" s="169"/>
      <c r="AD32" s="169"/>
      <c r="AE32" s="169"/>
      <c r="AF32" s="169"/>
      <c r="AG32" s="169"/>
      <c r="AH32" s="177"/>
      <c r="AI32" s="174"/>
      <c r="AJ32" s="177">
        <v>0</v>
      </c>
      <c r="AK32" s="169">
        <v>0</v>
      </c>
      <c r="AL32" s="169">
        <v>0</v>
      </c>
      <c r="AM32" s="169"/>
      <c r="AN32" s="169">
        <v>0</v>
      </c>
      <c r="AO32" s="169"/>
      <c r="AP32" s="169"/>
      <c r="AQ32" s="169">
        <v>0</v>
      </c>
      <c r="AR32" s="169">
        <v>0</v>
      </c>
      <c r="AS32" s="169"/>
      <c r="AT32" s="169"/>
      <c r="AU32" s="169"/>
      <c r="AV32" s="177">
        <v>0</v>
      </c>
      <c r="AW32" s="377">
        <v>0</v>
      </c>
      <c r="AX32" s="169">
        <v>13</v>
      </c>
      <c r="AY32" s="169">
        <v>0</v>
      </c>
      <c r="AZ32" s="169">
        <v>0</v>
      </c>
      <c r="BA32" s="169">
        <v>0</v>
      </c>
      <c r="BB32" s="169"/>
      <c r="BC32" s="169"/>
      <c r="BD32" s="169"/>
      <c r="BE32" s="376">
        <v>13</v>
      </c>
      <c r="BF32" s="177">
        <v>0</v>
      </c>
      <c r="BG32" s="169">
        <v>0</v>
      </c>
      <c r="BH32" s="169">
        <v>2</v>
      </c>
      <c r="BI32" s="169"/>
      <c r="BJ32" s="169"/>
      <c r="BK32" s="169"/>
      <c r="BL32" s="177">
        <v>2</v>
      </c>
      <c r="BM32" s="174"/>
      <c r="BN32" s="177"/>
      <c r="BO32" s="377">
        <v>0</v>
      </c>
      <c r="BP32" s="169">
        <v>0</v>
      </c>
      <c r="BQ32" s="169"/>
      <c r="BR32" s="169"/>
      <c r="BS32" s="169"/>
      <c r="BT32" s="376">
        <v>0</v>
      </c>
      <c r="BU32" s="177">
        <v>1</v>
      </c>
      <c r="BV32" s="169">
        <v>0</v>
      </c>
      <c r="BW32" s="169">
        <v>8</v>
      </c>
      <c r="BX32" s="169">
        <v>0</v>
      </c>
      <c r="BY32" s="169">
        <v>0</v>
      </c>
      <c r="BZ32" s="169">
        <v>16</v>
      </c>
      <c r="CA32" s="169">
        <v>0</v>
      </c>
      <c r="CB32" s="169"/>
      <c r="CC32" s="169">
        <v>0</v>
      </c>
      <c r="CD32" s="169"/>
      <c r="CE32" s="169"/>
      <c r="CF32" s="177">
        <v>25</v>
      </c>
      <c r="CG32" s="377"/>
      <c r="CH32" s="169"/>
      <c r="CI32" s="376"/>
      <c r="CJ32" s="177"/>
      <c r="CK32" s="174"/>
      <c r="CL32" s="177"/>
      <c r="CM32" s="169"/>
      <c r="CN32" s="169">
        <v>1</v>
      </c>
      <c r="CO32" s="177">
        <v>1</v>
      </c>
      <c r="CP32" s="174"/>
      <c r="CQ32" s="177"/>
      <c r="CR32" s="169"/>
      <c r="CS32" s="169"/>
      <c r="CT32" s="169"/>
      <c r="CU32" s="177"/>
      <c r="CV32" s="174"/>
      <c r="CW32" s="177">
        <v>0</v>
      </c>
      <c r="CX32" s="377"/>
      <c r="CY32" s="169"/>
      <c r="CZ32" s="169"/>
      <c r="DA32" s="376"/>
      <c r="DB32" s="174">
        <v>97</v>
      </c>
      <c r="DC32" s="179">
        <f>97/921748</f>
        <v>1.0523483641949861E-4</v>
      </c>
    </row>
    <row r="33" spans="2:107" x14ac:dyDescent="0.2">
      <c r="B33" s="172" t="s">
        <v>257</v>
      </c>
      <c r="C33" s="377"/>
      <c r="D33" s="169"/>
      <c r="E33" s="169"/>
      <c r="F33" s="376"/>
      <c r="G33" s="177"/>
      <c r="H33" s="169"/>
      <c r="I33" s="169"/>
      <c r="J33" s="169"/>
      <c r="K33" s="169"/>
      <c r="L33" s="169"/>
      <c r="M33" s="177"/>
      <c r="N33" s="174"/>
      <c r="O33" s="177">
        <v>5</v>
      </c>
      <c r="P33" s="169"/>
      <c r="Q33" s="177">
        <v>5</v>
      </c>
      <c r="R33" s="377"/>
      <c r="S33" s="169"/>
      <c r="T33" s="169"/>
      <c r="U33" s="376"/>
      <c r="V33" s="177"/>
      <c r="W33" s="169"/>
      <c r="X33" s="177"/>
      <c r="Y33" s="174"/>
      <c r="Z33" s="177"/>
      <c r="AA33" s="169"/>
      <c r="AB33" s="169"/>
      <c r="AC33" s="169"/>
      <c r="AD33" s="169"/>
      <c r="AE33" s="169"/>
      <c r="AF33" s="169"/>
      <c r="AG33" s="169"/>
      <c r="AH33" s="177"/>
      <c r="AI33" s="174"/>
      <c r="AJ33" s="177"/>
      <c r="AK33" s="169">
        <v>0</v>
      </c>
      <c r="AL33" s="169"/>
      <c r="AM33" s="169"/>
      <c r="AN33" s="169"/>
      <c r="AO33" s="169"/>
      <c r="AP33" s="169"/>
      <c r="AQ33" s="169"/>
      <c r="AR33" s="169">
        <v>0</v>
      </c>
      <c r="AS33" s="169"/>
      <c r="AT33" s="169"/>
      <c r="AU33" s="169"/>
      <c r="AV33" s="177">
        <v>0</v>
      </c>
      <c r="AW33" s="377"/>
      <c r="AX33" s="169">
        <v>1</v>
      </c>
      <c r="AY33" s="169">
        <v>0</v>
      </c>
      <c r="AZ33" s="169">
        <v>0</v>
      </c>
      <c r="BA33" s="169"/>
      <c r="BB33" s="169"/>
      <c r="BC33" s="169"/>
      <c r="BD33" s="169"/>
      <c r="BE33" s="376">
        <v>1</v>
      </c>
      <c r="BF33" s="177">
        <v>0</v>
      </c>
      <c r="BG33" s="169"/>
      <c r="BH33" s="169"/>
      <c r="BI33" s="169"/>
      <c r="BJ33" s="169"/>
      <c r="BK33" s="169"/>
      <c r="BL33" s="177">
        <v>0</v>
      </c>
      <c r="BM33" s="174"/>
      <c r="BN33" s="177">
        <v>0</v>
      </c>
      <c r="BO33" s="377">
        <v>0</v>
      </c>
      <c r="BP33" s="169">
        <v>0</v>
      </c>
      <c r="BQ33" s="169"/>
      <c r="BR33" s="169"/>
      <c r="BS33" s="169"/>
      <c r="BT33" s="376">
        <v>0</v>
      </c>
      <c r="BU33" s="177"/>
      <c r="BV33" s="169"/>
      <c r="BW33" s="169"/>
      <c r="BX33" s="169"/>
      <c r="BY33" s="169"/>
      <c r="BZ33" s="169"/>
      <c r="CA33" s="169"/>
      <c r="CB33" s="169"/>
      <c r="CC33" s="169"/>
      <c r="CD33" s="169"/>
      <c r="CE33" s="169"/>
      <c r="CF33" s="177"/>
      <c r="CG33" s="377"/>
      <c r="CH33" s="169"/>
      <c r="CI33" s="376"/>
      <c r="CJ33" s="177"/>
      <c r="CK33" s="174"/>
      <c r="CL33" s="177"/>
      <c r="CM33" s="169"/>
      <c r="CN33" s="169"/>
      <c r="CO33" s="177"/>
      <c r="CP33" s="174"/>
      <c r="CQ33" s="177"/>
      <c r="CR33" s="169"/>
      <c r="CS33" s="169"/>
      <c r="CT33" s="169"/>
      <c r="CU33" s="177"/>
      <c r="CV33" s="174"/>
      <c r="CW33" s="177"/>
      <c r="CX33" s="377">
        <v>0</v>
      </c>
      <c r="CY33" s="169"/>
      <c r="CZ33" s="169"/>
      <c r="DA33" s="376">
        <v>0</v>
      </c>
      <c r="DB33" s="174">
        <v>6</v>
      </c>
      <c r="DC33" s="179">
        <f>6/921748</f>
        <v>6.5093713249174396E-6</v>
      </c>
    </row>
    <row r="34" spans="2:107" ht="13.5" thickBot="1" x14ac:dyDescent="0.25">
      <c r="B34" s="286" t="s">
        <v>556</v>
      </c>
      <c r="C34" s="374">
        <v>0</v>
      </c>
      <c r="D34" s="373"/>
      <c r="E34" s="373">
        <v>0</v>
      </c>
      <c r="F34" s="372">
        <v>0</v>
      </c>
      <c r="G34" s="375">
        <v>0</v>
      </c>
      <c r="H34" s="373">
        <v>204</v>
      </c>
      <c r="I34" s="373"/>
      <c r="J34" s="373">
        <v>0</v>
      </c>
      <c r="K34" s="373"/>
      <c r="L34" s="373">
        <v>0</v>
      </c>
      <c r="M34" s="375">
        <v>204</v>
      </c>
      <c r="N34" s="371">
        <v>0</v>
      </c>
      <c r="O34" s="375">
        <v>28</v>
      </c>
      <c r="P34" s="373">
        <v>0</v>
      </c>
      <c r="Q34" s="375">
        <v>28</v>
      </c>
      <c r="R34" s="374">
        <v>0</v>
      </c>
      <c r="S34" s="373">
        <v>0</v>
      </c>
      <c r="T34" s="373"/>
      <c r="U34" s="372">
        <v>0</v>
      </c>
      <c r="V34" s="375">
        <v>0</v>
      </c>
      <c r="W34" s="373"/>
      <c r="X34" s="375">
        <v>0</v>
      </c>
      <c r="Y34" s="371">
        <v>21</v>
      </c>
      <c r="Z34" s="375">
        <v>0</v>
      </c>
      <c r="AA34" s="373"/>
      <c r="AB34" s="373"/>
      <c r="AC34" s="373">
        <v>3</v>
      </c>
      <c r="AD34" s="373"/>
      <c r="AE34" s="373"/>
      <c r="AF34" s="373"/>
      <c r="AG34" s="373"/>
      <c r="AH34" s="375">
        <v>3</v>
      </c>
      <c r="AI34" s="371">
        <v>0</v>
      </c>
      <c r="AJ34" s="375">
        <v>0</v>
      </c>
      <c r="AK34" s="373">
        <v>0</v>
      </c>
      <c r="AL34" s="373">
        <v>0</v>
      </c>
      <c r="AM34" s="373">
        <v>0</v>
      </c>
      <c r="AN34" s="373">
        <v>0</v>
      </c>
      <c r="AO34" s="373">
        <v>0</v>
      </c>
      <c r="AP34" s="373">
        <v>0</v>
      </c>
      <c r="AQ34" s="373">
        <v>0</v>
      </c>
      <c r="AR34" s="373">
        <v>0</v>
      </c>
      <c r="AS34" s="373"/>
      <c r="AT34" s="373">
        <v>0</v>
      </c>
      <c r="AU34" s="373"/>
      <c r="AV34" s="375">
        <v>0</v>
      </c>
      <c r="AW34" s="374">
        <v>0</v>
      </c>
      <c r="AX34" s="373">
        <v>2</v>
      </c>
      <c r="AY34" s="373">
        <v>0</v>
      </c>
      <c r="AZ34" s="373">
        <v>0</v>
      </c>
      <c r="BA34" s="373">
        <v>0</v>
      </c>
      <c r="BB34" s="373"/>
      <c r="BC34" s="373"/>
      <c r="BD34" s="373">
        <v>0</v>
      </c>
      <c r="BE34" s="372">
        <v>2</v>
      </c>
      <c r="BF34" s="375">
        <v>0</v>
      </c>
      <c r="BG34" s="373">
        <v>0</v>
      </c>
      <c r="BH34" s="373">
        <v>22</v>
      </c>
      <c r="BI34" s="373">
        <v>0</v>
      </c>
      <c r="BJ34" s="373"/>
      <c r="BK34" s="373"/>
      <c r="BL34" s="375">
        <v>22</v>
      </c>
      <c r="BM34" s="371"/>
      <c r="BN34" s="375">
        <v>0</v>
      </c>
      <c r="BO34" s="374">
        <v>0</v>
      </c>
      <c r="BP34" s="373">
        <v>0</v>
      </c>
      <c r="BQ34" s="373">
        <v>0</v>
      </c>
      <c r="BR34" s="373"/>
      <c r="BS34" s="373"/>
      <c r="BT34" s="372">
        <v>0</v>
      </c>
      <c r="BU34" s="375">
        <v>2</v>
      </c>
      <c r="BV34" s="373">
        <v>0</v>
      </c>
      <c r="BW34" s="373">
        <v>18</v>
      </c>
      <c r="BX34" s="373">
        <v>0</v>
      </c>
      <c r="BY34" s="373"/>
      <c r="BZ34" s="373">
        <v>22</v>
      </c>
      <c r="CA34" s="373">
        <v>0</v>
      </c>
      <c r="CB34" s="373"/>
      <c r="CC34" s="373"/>
      <c r="CD34" s="373"/>
      <c r="CE34" s="373"/>
      <c r="CF34" s="375">
        <v>42</v>
      </c>
      <c r="CG34" s="374">
        <v>0</v>
      </c>
      <c r="CH34" s="373"/>
      <c r="CI34" s="372">
        <v>0</v>
      </c>
      <c r="CJ34" s="375">
        <v>0</v>
      </c>
      <c r="CK34" s="371">
        <v>0</v>
      </c>
      <c r="CL34" s="375">
        <v>766</v>
      </c>
      <c r="CM34" s="373">
        <v>53</v>
      </c>
      <c r="CN34" s="373">
        <v>288</v>
      </c>
      <c r="CO34" s="375">
        <v>1107</v>
      </c>
      <c r="CP34" s="371">
        <v>0</v>
      </c>
      <c r="CQ34" s="375">
        <v>114</v>
      </c>
      <c r="CR34" s="373">
        <v>0</v>
      </c>
      <c r="CS34" s="373">
        <v>0</v>
      </c>
      <c r="CT34" s="373"/>
      <c r="CU34" s="375">
        <v>114</v>
      </c>
      <c r="CV34" s="371">
        <v>0</v>
      </c>
      <c r="CW34" s="375">
        <v>0</v>
      </c>
      <c r="CX34" s="374">
        <v>0</v>
      </c>
      <c r="CY34" s="373">
        <v>117</v>
      </c>
      <c r="CZ34" s="373">
        <v>0</v>
      </c>
      <c r="DA34" s="372">
        <v>117</v>
      </c>
      <c r="DB34" s="371">
        <v>1660</v>
      </c>
      <c r="DC34" s="370">
        <f>1660/921748</f>
        <v>1.8009260665604915E-3</v>
      </c>
    </row>
    <row r="35" spans="2:107" ht="13.5" thickBot="1" x14ac:dyDescent="0.25">
      <c r="B35" s="173" t="s">
        <v>546</v>
      </c>
      <c r="C35" s="369">
        <v>0</v>
      </c>
      <c r="D35" s="170"/>
      <c r="E35" s="170">
        <v>0</v>
      </c>
      <c r="F35" s="368">
        <v>0</v>
      </c>
      <c r="G35" s="178">
        <v>0</v>
      </c>
      <c r="H35" s="170">
        <v>233</v>
      </c>
      <c r="I35" s="170">
        <v>2</v>
      </c>
      <c r="J35" s="170">
        <v>0</v>
      </c>
      <c r="K35" s="170">
        <v>0</v>
      </c>
      <c r="L35" s="170">
        <v>0</v>
      </c>
      <c r="M35" s="178">
        <v>235</v>
      </c>
      <c r="N35" s="175">
        <v>0</v>
      </c>
      <c r="O35" s="178">
        <v>25534</v>
      </c>
      <c r="P35" s="170">
        <v>0</v>
      </c>
      <c r="Q35" s="178">
        <v>25534</v>
      </c>
      <c r="R35" s="369">
        <v>0</v>
      </c>
      <c r="S35" s="170">
        <v>0</v>
      </c>
      <c r="T35" s="170"/>
      <c r="U35" s="368">
        <v>0</v>
      </c>
      <c r="V35" s="178">
        <v>0</v>
      </c>
      <c r="W35" s="170"/>
      <c r="X35" s="178">
        <v>0</v>
      </c>
      <c r="Y35" s="175">
        <v>21</v>
      </c>
      <c r="Z35" s="178">
        <v>15</v>
      </c>
      <c r="AA35" s="170"/>
      <c r="AB35" s="170">
        <v>0</v>
      </c>
      <c r="AC35" s="170">
        <v>3</v>
      </c>
      <c r="AD35" s="170">
        <v>2</v>
      </c>
      <c r="AE35" s="170"/>
      <c r="AF35" s="170"/>
      <c r="AG35" s="170"/>
      <c r="AH35" s="178">
        <v>20</v>
      </c>
      <c r="AI35" s="175">
        <v>0</v>
      </c>
      <c r="AJ35" s="178">
        <v>0</v>
      </c>
      <c r="AK35" s="170">
        <v>0</v>
      </c>
      <c r="AL35" s="170">
        <v>0</v>
      </c>
      <c r="AM35" s="170">
        <v>0</v>
      </c>
      <c r="AN35" s="170">
        <v>0</v>
      </c>
      <c r="AO35" s="170">
        <v>0</v>
      </c>
      <c r="AP35" s="170">
        <v>0</v>
      </c>
      <c r="AQ35" s="170">
        <v>0</v>
      </c>
      <c r="AR35" s="170">
        <v>0</v>
      </c>
      <c r="AS35" s="170">
        <v>0</v>
      </c>
      <c r="AT35" s="170">
        <v>0</v>
      </c>
      <c r="AU35" s="170"/>
      <c r="AV35" s="178">
        <v>0</v>
      </c>
      <c r="AW35" s="369">
        <v>0</v>
      </c>
      <c r="AX35" s="170">
        <v>1578</v>
      </c>
      <c r="AY35" s="170">
        <v>0</v>
      </c>
      <c r="AZ35" s="170">
        <v>0</v>
      </c>
      <c r="BA35" s="170">
        <v>0</v>
      </c>
      <c r="BB35" s="170">
        <v>3</v>
      </c>
      <c r="BC35" s="170"/>
      <c r="BD35" s="170">
        <v>0</v>
      </c>
      <c r="BE35" s="368">
        <v>1581</v>
      </c>
      <c r="BF35" s="178">
        <v>0</v>
      </c>
      <c r="BG35" s="170">
        <v>29</v>
      </c>
      <c r="BH35" s="170">
        <v>835</v>
      </c>
      <c r="BI35" s="170">
        <v>5</v>
      </c>
      <c r="BJ35" s="170">
        <v>0</v>
      </c>
      <c r="BK35" s="170"/>
      <c r="BL35" s="178">
        <v>869</v>
      </c>
      <c r="BM35" s="175"/>
      <c r="BN35" s="178">
        <v>0</v>
      </c>
      <c r="BO35" s="369">
        <v>0</v>
      </c>
      <c r="BP35" s="170">
        <v>0</v>
      </c>
      <c r="BQ35" s="170">
        <v>0</v>
      </c>
      <c r="BR35" s="170">
        <v>0</v>
      </c>
      <c r="BS35" s="170">
        <v>0</v>
      </c>
      <c r="BT35" s="368">
        <v>0</v>
      </c>
      <c r="BU35" s="178">
        <v>1257</v>
      </c>
      <c r="BV35" s="170">
        <v>12</v>
      </c>
      <c r="BW35" s="170">
        <v>1889</v>
      </c>
      <c r="BX35" s="170">
        <v>0</v>
      </c>
      <c r="BY35" s="170">
        <v>0</v>
      </c>
      <c r="BZ35" s="170">
        <v>2003</v>
      </c>
      <c r="CA35" s="170">
        <v>0</v>
      </c>
      <c r="CB35" s="170">
        <v>2</v>
      </c>
      <c r="CC35" s="170">
        <v>0</v>
      </c>
      <c r="CD35" s="170"/>
      <c r="CE35" s="170">
        <v>0</v>
      </c>
      <c r="CF35" s="178">
        <v>5163</v>
      </c>
      <c r="CG35" s="369">
        <v>0</v>
      </c>
      <c r="CH35" s="170"/>
      <c r="CI35" s="368">
        <v>0</v>
      </c>
      <c r="CJ35" s="178">
        <v>0</v>
      </c>
      <c r="CK35" s="175">
        <v>0</v>
      </c>
      <c r="CL35" s="178">
        <v>778</v>
      </c>
      <c r="CM35" s="170">
        <v>54</v>
      </c>
      <c r="CN35" s="170">
        <v>297</v>
      </c>
      <c r="CO35" s="178">
        <v>1129</v>
      </c>
      <c r="CP35" s="175">
        <v>0</v>
      </c>
      <c r="CQ35" s="178">
        <v>119</v>
      </c>
      <c r="CR35" s="170">
        <v>0</v>
      </c>
      <c r="CS35" s="170">
        <v>0</v>
      </c>
      <c r="CT35" s="170"/>
      <c r="CU35" s="178">
        <v>119</v>
      </c>
      <c r="CV35" s="175">
        <v>0</v>
      </c>
      <c r="CW35" s="178">
        <v>0</v>
      </c>
      <c r="CX35" s="369">
        <v>0</v>
      </c>
      <c r="CY35" s="170">
        <v>125</v>
      </c>
      <c r="CZ35" s="170">
        <v>0</v>
      </c>
      <c r="DA35" s="368">
        <v>125</v>
      </c>
      <c r="DB35" s="175">
        <v>34796</v>
      </c>
      <c r="DC35" s="180">
        <f>34796/921748</f>
        <v>3.7750014103637868E-2</v>
      </c>
    </row>
    <row r="36" spans="2:107" x14ac:dyDescent="0.2">
      <c r="B36" s="286" t="s">
        <v>38</v>
      </c>
      <c r="C36" s="374"/>
      <c r="D36" s="373">
        <v>0</v>
      </c>
      <c r="E36" s="373"/>
      <c r="F36" s="372">
        <v>0</v>
      </c>
      <c r="G36" s="375">
        <v>0</v>
      </c>
      <c r="H36" s="373">
        <v>6</v>
      </c>
      <c r="I36" s="373"/>
      <c r="J36" s="373"/>
      <c r="K36" s="373"/>
      <c r="L36" s="373"/>
      <c r="M36" s="375">
        <v>6</v>
      </c>
      <c r="N36" s="371"/>
      <c r="O36" s="375">
        <v>21</v>
      </c>
      <c r="P36" s="373"/>
      <c r="Q36" s="375">
        <v>21</v>
      </c>
      <c r="R36" s="374">
        <v>0</v>
      </c>
      <c r="S36" s="373"/>
      <c r="T36" s="373"/>
      <c r="U36" s="372">
        <v>0</v>
      </c>
      <c r="V36" s="375"/>
      <c r="W36" s="373"/>
      <c r="X36" s="375"/>
      <c r="Y36" s="371">
        <v>0</v>
      </c>
      <c r="Z36" s="375">
        <v>1</v>
      </c>
      <c r="AA36" s="373"/>
      <c r="AB36" s="373"/>
      <c r="AC36" s="373"/>
      <c r="AD36" s="373"/>
      <c r="AE36" s="373">
        <v>0</v>
      </c>
      <c r="AF36" s="373"/>
      <c r="AG36" s="373"/>
      <c r="AH36" s="375">
        <v>1</v>
      </c>
      <c r="AI36" s="371"/>
      <c r="AJ36" s="375"/>
      <c r="AK36" s="373">
        <v>0</v>
      </c>
      <c r="AL36" s="373">
        <v>0</v>
      </c>
      <c r="AM36" s="373"/>
      <c r="AN36" s="373">
        <v>0</v>
      </c>
      <c r="AO36" s="373"/>
      <c r="AP36" s="373"/>
      <c r="AQ36" s="373">
        <v>0</v>
      </c>
      <c r="AR36" s="373"/>
      <c r="AS36" s="373"/>
      <c r="AT36" s="373">
        <v>0</v>
      </c>
      <c r="AU36" s="373">
        <v>0</v>
      </c>
      <c r="AV36" s="375">
        <v>0</v>
      </c>
      <c r="AW36" s="374">
        <v>0</v>
      </c>
      <c r="AX36" s="373">
        <v>9</v>
      </c>
      <c r="AY36" s="373">
        <v>0</v>
      </c>
      <c r="AZ36" s="373">
        <v>0</v>
      </c>
      <c r="BA36" s="373">
        <v>0</v>
      </c>
      <c r="BB36" s="373"/>
      <c r="BC36" s="373"/>
      <c r="BD36" s="373"/>
      <c r="BE36" s="372">
        <v>9</v>
      </c>
      <c r="BF36" s="375">
        <v>0</v>
      </c>
      <c r="BG36" s="373">
        <v>0</v>
      </c>
      <c r="BH36" s="373"/>
      <c r="BI36" s="373"/>
      <c r="BJ36" s="373">
        <v>0</v>
      </c>
      <c r="BK36" s="373"/>
      <c r="BL36" s="375">
        <v>0</v>
      </c>
      <c r="BM36" s="371"/>
      <c r="BN36" s="375">
        <v>0</v>
      </c>
      <c r="BO36" s="374">
        <v>0</v>
      </c>
      <c r="BP36" s="373">
        <v>0</v>
      </c>
      <c r="BQ36" s="373">
        <v>0</v>
      </c>
      <c r="BR36" s="373"/>
      <c r="BS36" s="373"/>
      <c r="BT36" s="372">
        <v>0</v>
      </c>
      <c r="BU36" s="375"/>
      <c r="BV36" s="373"/>
      <c r="BW36" s="373">
        <v>3</v>
      </c>
      <c r="BX36" s="373"/>
      <c r="BY36" s="373"/>
      <c r="BZ36" s="373"/>
      <c r="CA36" s="373"/>
      <c r="CB36" s="373"/>
      <c r="CC36" s="373"/>
      <c r="CD36" s="373"/>
      <c r="CE36" s="373"/>
      <c r="CF36" s="375">
        <v>3</v>
      </c>
      <c r="CG36" s="374"/>
      <c r="CH36" s="373"/>
      <c r="CI36" s="372"/>
      <c r="CJ36" s="375"/>
      <c r="CK36" s="371"/>
      <c r="CL36" s="375">
        <v>27</v>
      </c>
      <c r="CM36" s="373"/>
      <c r="CN36" s="373">
        <v>2</v>
      </c>
      <c r="CO36" s="375">
        <v>29</v>
      </c>
      <c r="CP36" s="371"/>
      <c r="CQ36" s="375">
        <v>3</v>
      </c>
      <c r="CR36" s="373">
        <v>0</v>
      </c>
      <c r="CS36" s="373"/>
      <c r="CT36" s="373"/>
      <c r="CU36" s="375">
        <v>3</v>
      </c>
      <c r="CV36" s="371"/>
      <c r="CW36" s="375">
        <v>0</v>
      </c>
      <c r="CX36" s="374">
        <v>0</v>
      </c>
      <c r="CY36" s="373">
        <v>0</v>
      </c>
      <c r="CZ36" s="373"/>
      <c r="DA36" s="372">
        <v>0</v>
      </c>
      <c r="DB36" s="371">
        <v>72</v>
      </c>
      <c r="DC36" s="370">
        <f>72/921748</f>
        <v>7.8112455899009272E-5</v>
      </c>
    </row>
    <row r="37" spans="2:107" x14ac:dyDescent="0.2">
      <c r="B37" s="172" t="s">
        <v>69</v>
      </c>
      <c r="C37" s="377"/>
      <c r="D37" s="169">
        <v>0</v>
      </c>
      <c r="E37" s="169">
        <v>0</v>
      </c>
      <c r="F37" s="376">
        <v>0</v>
      </c>
      <c r="G37" s="177">
        <v>0</v>
      </c>
      <c r="H37" s="169">
        <v>99</v>
      </c>
      <c r="I37" s="169">
        <v>0</v>
      </c>
      <c r="J37" s="169"/>
      <c r="K37" s="169"/>
      <c r="L37" s="169"/>
      <c r="M37" s="177">
        <v>99</v>
      </c>
      <c r="N37" s="174"/>
      <c r="O37" s="177">
        <v>657</v>
      </c>
      <c r="P37" s="169">
        <v>0</v>
      </c>
      <c r="Q37" s="177">
        <v>657</v>
      </c>
      <c r="R37" s="377">
        <v>0</v>
      </c>
      <c r="S37" s="169">
        <v>0</v>
      </c>
      <c r="T37" s="169"/>
      <c r="U37" s="376">
        <v>0</v>
      </c>
      <c r="V37" s="177"/>
      <c r="W37" s="169"/>
      <c r="X37" s="177"/>
      <c r="Y37" s="174">
        <v>21</v>
      </c>
      <c r="Z37" s="177">
        <v>3</v>
      </c>
      <c r="AA37" s="169"/>
      <c r="AB37" s="169"/>
      <c r="AC37" s="169">
        <v>0</v>
      </c>
      <c r="AD37" s="169"/>
      <c r="AE37" s="169">
        <v>0</v>
      </c>
      <c r="AF37" s="169"/>
      <c r="AG37" s="169"/>
      <c r="AH37" s="177">
        <v>3</v>
      </c>
      <c r="AI37" s="174"/>
      <c r="AJ37" s="177"/>
      <c r="AK37" s="169">
        <v>0</v>
      </c>
      <c r="AL37" s="169">
        <v>0</v>
      </c>
      <c r="AM37" s="169">
        <v>0</v>
      </c>
      <c r="AN37" s="169">
        <v>0</v>
      </c>
      <c r="AO37" s="169">
        <v>0</v>
      </c>
      <c r="AP37" s="169"/>
      <c r="AQ37" s="169">
        <v>0</v>
      </c>
      <c r="AR37" s="169"/>
      <c r="AS37" s="169"/>
      <c r="AT37" s="169"/>
      <c r="AU37" s="169"/>
      <c r="AV37" s="177">
        <v>0</v>
      </c>
      <c r="AW37" s="377"/>
      <c r="AX37" s="169">
        <v>109</v>
      </c>
      <c r="AY37" s="169">
        <v>0</v>
      </c>
      <c r="AZ37" s="169">
        <v>0</v>
      </c>
      <c r="BA37" s="169">
        <v>0</v>
      </c>
      <c r="BB37" s="169">
        <v>0</v>
      </c>
      <c r="BC37" s="169"/>
      <c r="BD37" s="169"/>
      <c r="BE37" s="376">
        <v>109</v>
      </c>
      <c r="BF37" s="177">
        <v>0</v>
      </c>
      <c r="BG37" s="169">
        <v>2</v>
      </c>
      <c r="BH37" s="169">
        <v>43</v>
      </c>
      <c r="BI37" s="169">
        <v>2</v>
      </c>
      <c r="BJ37" s="169"/>
      <c r="BK37" s="169">
        <v>0</v>
      </c>
      <c r="BL37" s="177">
        <v>47</v>
      </c>
      <c r="BM37" s="174"/>
      <c r="BN37" s="177">
        <v>0</v>
      </c>
      <c r="BO37" s="377">
        <v>0</v>
      </c>
      <c r="BP37" s="169">
        <v>0</v>
      </c>
      <c r="BQ37" s="169"/>
      <c r="BR37" s="169"/>
      <c r="BS37" s="169"/>
      <c r="BT37" s="376">
        <v>0</v>
      </c>
      <c r="BU37" s="177">
        <v>45</v>
      </c>
      <c r="BV37" s="169">
        <v>1</v>
      </c>
      <c r="BW37" s="169">
        <v>4</v>
      </c>
      <c r="BX37" s="169">
        <v>0</v>
      </c>
      <c r="BY37" s="169">
        <v>0</v>
      </c>
      <c r="BZ37" s="169">
        <v>65</v>
      </c>
      <c r="CA37" s="169">
        <v>0</v>
      </c>
      <c r="CB37" s="169"/>
      <c r="CC37" s="169"/>
      <c r="CD37" s="169">
        <v>0</v>
      </c>
      <c r="CE37" s="169"/>
      <c r="CF37" s="177">
        <v>115</v>
      </c>
      <c r="CG37" s="377"/>
      <c r="CH37" s="169"/>
      <c r="CI37" s="376"/>
      <c r="CJ37" s="177">
        <v>0</v>
      </c>
      <c r="CK37" s="174"/>
      <c r="CL37" s="177"/>
      <c r="CM37" s="169"/>
      <c r="CN37" s="169">
        <v>48</v>
      </c>
      <c r="CO37" s="177">
        <v>48</v>
      </c>
      <c r="CP37" s="174"/>
      <c r="CQ37" s="177">
        <v>5</v>
      </c>
      <c r="CR37" s="169">
        <v>0</v>
      </c>
      <c r="CS37" s="169">
        <v>0</v>
      </c>
      <c r="CT37" s="169"/>
      <c r="CU37" s="177">
        <v>5</v>
      </c>
      <c r="CV37" s="174"/>
      <c r="CW37" s="177">
        <v>0</v>
      </c>
      <c r="CX37" s="377">
        <v>0</v>
      </c>
      <c r="CY37" s="169">
        <v>0</v>
      </c>
      <c r="CZ37" s="169"/>
      <c r="DA37" s="376">
        <v>0</v>
      </c>
      <c r="DB37" s="174">
        <v>1104</v>
      </c>
      <c r="DC37" s="179">
        <f>1104/921748</f>
        <v>1.1977243237848089E-3</v>
      </c>
    </row>
    <row r="38" spans="2:107" x14ac:dyDescent="0.2">
      <c r="B38" s="172" t="s">
        <v>78</v>
      </c>
      <c r="C38" s="377">
        <v>0</v>
      </c>
      <c r="D38" s="169">
        <v>0</v>
      </c>
      <c r="E38" s="169">
        <v>0</v>
      </c>
      <c r="F38" s="376">
        <v>0</v>
      </c>
      <c r="G38" s="177">
        <v>22</v>
      </c>
      <c r="H38" s="169">
        <v>2700</v>
      </c>
      <c r="I38" s="169">
        <v>15</v>
      </c>
      <c r="J38" s="169">
        <v>5</v>
      </c>
      <c r="K38" s="169"/>
      <c r="L38" s="169"/>
      <c r="M38" s="177">
        <v>2742</v>
      </c>
      <c r="N38" s="174"/>
      <c r="O38" s="177">
        <v>101</v>
      </c>
      <c r="P38" s="169"/>
      <c r="Q38" s="177">
        <v>101</v>
      </c>
      <c r="R38" s="377">
        <v>0</v>
      </c>
      <c r="S38" s="169">
        <v>0</v>
      </c>
      <c r="T38" s="169"/>
      <c r="U38" s="376">
        <v>0</v>
      </c>
      <c r="V38" s="177"/>
      <c r="W38" s="169"/>
      <c r="X38" s="177"/>
      <c r="Y38" s="174">
        <v>5</v>
      </c>
      <c r="Z38" s="177">
        <v>0</v>
      </c>
      <c r="AA38" s="169"/>
      <c r="AB38" s="169">
        <v>23</v>
      </c>
      <c r="AC38" s="169">
        <v>0</v>
      </c>
      <c r="AD38" s="169"/>
      <c r="AE38" s="169"/>
      <c r="AF38" s="169"/>
      <c r="AG38" s="169"/>
      <c r="AH38" s="177">
        <v>23</v>
      </c>
      <c r="AI38" s="174"/>
      <c r="AJ38" s="177"/>
      <c r="AK38" s="169">
        <v>0</v>
      </c>
      <c r="AL38" s="169">
        <v>0</v>
      </c>
      <c r="AM38" s="169">
        <v>0</v>
      </c>
      <c r="AN38" s="169"/>
      <c r="AO38" s="169">
        <v>0</v>
      </c>
      <c r="AP38" s="169"/>
      <c r="AQ38" s="169">
        <v>0</v>
      </c>
      <c r="AR38" s="169">
        <v>0</v>
      </c>
      <c r="AS38" s="169"/>
      <c r="AT38" s="169">
        <v>0</v>
      </c>
      <c r="AU38" s="169">
        <v>0</v>
      </c>
      <c r="AV38" s="177">
        <v>0</v>
      </c>
      <c r="AW38" s="377">
        <v>0</v>
      </c>
      <c r="AX38" s="169">
        <v>42</v>
      </c>
      <c r="AY38" s="169">
        <v>0</v>
      </c>
      <c r="AZ38" s="169">
        <v>0</v>
      </c>
      <c r="BA38" s="169">
        <v>0</v>
      </c>
      <c r="BB38" s="169">
        <v>0</v>
      </c>
      <c r="BC38" s="169">
        <v>0</v>
      </c>
      <c r="BD38" s="169"/>
      <c r="BE38" s="376">
        <v>42</v>
      </c>
      <c r="BF38" s="177">
        <v>0</v>
      </c>
      <c r="BG38" s="169">
        <v>0</v>
      </c>
      <c r="BH38" s="169">
        <v>3</v>
      </c>
      <c r="BI38" s="169">
        <v>92</v>
      </c>
      <c r="BJ38" s="169"/>
      <c r="BK38" s="169"/>
      <c r="BL38" s="177">
        <v>95</v>
      </c>
      <c r="BM38" s="174">
        <v>0</v>
      </c>
      <c r="BN38" s="177">
        <v>0</v>
      </c>
      <c r="BO38" s="377">
        <v>0</v>
      </c>
      <c r="BP38" s="169">
        <v>0</v>
      </c>
      <c r="BQ38" s="169"/>
      <c r="BR38" s="169"/>
      <c r="BS38" s="169"/>
      <c r="BT38" s="376">
        <v>0</v>
      </c>
      <c r="BU38" s="177">
        <v>8</v>
      </c>
      <c r="BV38" s="169">
        <v>40</v>
      </c>
      <c r="BW38" s="169">
        <v>1</v>
      </c>
      <c r="BX38" s="169">
        <v>0</v>
      </c>
      <c r="BY38" s="169">
        <v>0</v>
      </c>
      <c r="BZ38" s="169">
        <v>122</v>
      </c>
      <c r="CA38" s="169">
        <v>0</v>
      </c>
      <c r="CB38" s="169">
        <v>0</v>
      </c>
      <c r="CC38" s="169">
        <v>0</v>
      </c>
      <c r="CD38" s="169">
        <v>0</v>
      </c>
      <c r="CE38" s="169"/>
      <c r="CF38" s="177">
        <v>171</v>
      </c>
      <c r="CG38" s="377"/>
      <c r="CH38" s="169">
        <v>0</v>
      </c>
      <c r="CI38" s="376">
        <v>0</v>
      </c>
      <c r="CJ38" s="177">
        <v>0</v>
      </c>
      <c r="CK38" s="174"/>
      <c r="CL38" s="177"/>
      <c r="CM38" s="169"/>
      <c r="CN38" s="169">
        <v>0</v>
      </c>
      <c r="CO38" s="177">
        <v>0</v>
      </c>
      <c r="CP38" s="174">
        <v>961</v>
      </c>
      <c r="CQ38" s="177">
        <v>45</v>
      </c>
      <c r="CR38" s="169">
        <v>0</v>
      </c>
      <c r="CS38" s="169">
        <v>0</v>
      </c>
      <c r="CT38" s="169"/>
      <c r="CU38" s="177">
        <v>45</v>
      </c>
      <c r="CV38" s="174"/>
      <c r="CW38" s="177">
        <v>0</v>
      </c>
      <c r="CX38" s="377">
        <v>0</v>
      </c>
      <c r="CY38" s="169">
        <v>1</v>
      </c>
      <c r="CZ38" s="169"/>
      <c r="DA38" s="376">
        <v>1</v>
      </c>
      <c r="DB38" s="174">
        <v>4186</v>
      </c>
      <c r="DC38" s="179">
        <f>4186/921748</f>
        <v>4.5413713943507333E-3</v>
      </c>
    </row>
    <row r="39" spans="2:107" x14ac:dyDescent="0.2">
      <c r="B39" s="172" t="s">
        <v>88</v>
      </c>
      <c r="C39" s="377">
        <v>0</v>
      </c>
      <c r="D39" s="169">
        <v>0</v>
      </c>
      <c r="E39" s="169">
        <v>0</v>
      </c>
      <c r="F39" s="376">
        <v>0</v>
      </c>
      <c r="G39" s="177">
        <v>156</v>
      </c>
      <c r="H39" s="169">
        <v>5419</v>
      </c>
      <c r="I39" s="169">
        <v>167</v>
      </c>
      <c r="J39" s="169"/>
      <c r="K39" s="169"/>
      <c r="L39" s="169">
        <v>0</v>
      </c>
      <c r="M39" s="177">
        <v>5742</v>
      </c>
      <c r="N39" s="174"/>
      <c r="O39" s="177">
        <v>498</v>
      </c>
      <c r="P39" s="169">
        <v>0</v>
      </c>
      <c r="Q39" s="177">
        <v>498</v>
      </c>
      <c r="R39" s="377">
        <v>0</v>
      </c>
      <c r="S39" s="169">
        <v>0</v>
      </c>
      <c r="T39" s="169">
        <v>0</v>
      </c>
      <c r="U39" s="376">
        <v>0</v>
      </c>
      <c r="V39" s="177">
        <v>0</v>
      </c>
      <c r="W39" s="169"/>
      <c r="X39" s="177">
        <v>0</v>
      </c>
      <c r="Y39" s="174">
        <v>155</v>
      </c>
      <c r="Z39" s="177">
        <v>1</v>
      </c>
      <c r="AA39" s="169"/>
      <c r="AB39" s="169">
        <v>1755</v>
      </c>
      <c r="AC39" s="169">
        <v>8</v>
      </c>
      <c r="AD39" s="169"/>
      <c r="AE39" s="169">
        <v>1</v>
      </c>
      <c r="AF39" s="169">
        <v>2</v>
      </c>
      <c r="AG39" s="169"/>
      <c r="AH39" s="177">
        <v>1767</v>
      </c>
      <c r="AI39" s="174">
        <v>2</v>
      </c>
      <c r="AJ39" s="177"/>
      <c r="AK39" s="169">
        <v>0</v>
      </c>
      <c r="AL39" s="169">
        <v>0</v>
      </c>
      <c r="AM39" s="169">
        <v>0</v>
      </c>
      <c r="AN39" s="169">
        <v>0</v>
      </c>
      <c r="AO39" s="169">
        <v>0</v>
      </c>
      <c r="AP39" s="169">
        <v>0</v>
      </c>
      <c r="AQ39" s="169">
        <v>0</v>
      </c>
      <c r="AR39" s="169">
        <v>0</v>
      </c>
      <c r="AS39" s="169">
        <v>0</v>
      </c>
      <c r="AT39" s="169">
        <v>0</v>
      </c>
      <c r="AU39" s="169">
        <v>0</v>
      </c>
      <c r="AV39" s="177">
        <v>0</v>
      </c>
      <c r="AW39" s="377">
        <v>0</v>
      </c>
      <c r="AX39" s="169">
        <v>138</v>
      </c>
      <c r="AY39" s="169">
        <v>0</v>
      </c>
      <c r="AZ39" s="169">
        <v>0</v>
      </c>
      <c r="BA39" s="169">
        <v>0</v>
      </c>
      <c r="BB39" s="169">
        <v>2</v>
      </c>
      <c r="BC39" s="169">
        <v>0</v>
      </c>
      <c r="BD39" s="169">
        <v>0</v>
      </c>
      <c r="BE39" s="376">
        <v>140</v>
      </c>
      <c r="BF39" s="177">
        <v>0</v>
      </c>
      <c r="BG39" s="169">
        <v>2</v>
      </c>
      <c r="BH39" s="169">
        <v>196</v>
      </c>
      <c r="BI39" s="169">
        <v>278</v>
      </c>
      <c r="BJ39" s="169">
        <v>0</v>
      </c>
      <c r="BK39" s="169"/>
      <c r="BL39" s="177">
        <v>476</v>
      </c>
      <c r="BM39" s="174">
        <v>0</v>
      </c>
      <c r="BN39" s="177">
        <v>0</v>
      </c>
      <c r="BO39" s="377">
        <v>0</v>
      </c>
      <c r="BP39" s="169">
        <v>0</v>
      </c>
      <c r="BQ39" s="169">
        <v>0</v>
      </c>
      <c r="BR39" s="169"/>
      <c r="BS39" s="169"/>
      <c r="BT39" s="376">
        <v>0</v>
      </c>
      <c r="BU39" s="177">
        <v>6</v>
      </c>
      <c r="BV39" s="169">
        <v>320</v>
      </c>
      <c r="BW39" s="169">
        <v>29</v>
      </c>
      <c r="BX39" s="169">
        <v>0</v>
      </c>
      <c r="BY39" s="169">
        <v>0</v>
      </c>
      <c r="BZ39" s="169">
        <v>22</v>
      </c>
      <c r="CA39" s="169">
        <v>0</v>
      </c>
      <c r="CB39" s="169">
        <v>0</v>
      </c>
      <c r="CC39" s="169">
        <v>0</v>
      </c>
      <c r="CD39" s="169">
        <v>0</v>
      </c>
      <c r="CE39" s="169">
        <v>0</v>
      </c>
      <c r="CF39" s="177">
        <v>377</v>
      </c>
      <c r="CG39" s="377"/>
      <c r="CH39" s="169">
        <v>14</v>
      </c>
      <c r="CI39" s="376">
        <v>14</v>
      </c>
      <c r="CJ39" s="177">
        <v>0</v>
      </c>
      <c r="CK39" s="174">
        <v>0</v>
      </c>
      <c r="CL39" s="177">
        <v>301</v>
      </c>
      <c r="CM39" s="169">
        <v>94</v>
      </c>
      <c r="CN39" s="169">
        <v>175</v>
      </c>
      <c r="CO39" s="177">
        <v>570</v>
      </c>
      <c r="CP39" s="174">
        <v>13</v>
      </c>
      <c r="CQ39" s="177">
        <v>185</v>
      </c>
      <c r="CR39" s="169">
        <v>0</v>
      </c>
      <c r="CS39" s="169">
        <v>0</v>
      </c>
      <c r="CT39" s="169"/>
      <c r="CU39" s="177">
        <v>185</v>
      </c>
      <c r="CV39" s="174">
        <v>0</v>
      </c>
      <c r="CW39" s="177">
        <v>0</v>
      </c>
      <c r="CX39" s="377">
        <v>201</v>
      </c>
      <c r="CY39" s="169">
        <v>210</v>
      </c>
      <c r="CZ39" s="169">
        <v>1</v>
      </c>
      <c r="DA39" s="376">
        <v>412</v>
      </c>
      <c r="DB39" s="174">
        <v>10351</v>
      </c>
      <c r="DC39" s="179">
        <f>10351/921748</f>
        <v>1.1229750430703402E-2</v>
      </c>
    </row>
    <row r="40" spans="2:107" x14ac:dyDescent="0.2">
      <c r="B40" s="172" t="s">
        <v>112</v>
      </c>
      <c r="C40" s="377">
        <v>0</v>
      </c>
      <c r="D40" s="169">
        <v>0</v>
      </c>
      <c r="E40" s="169">
        <v>0</v>
      </c>
      <c r="F40" s="376">
        <v>0</v>
      </c>
      <c r="G40" s="177">
        <v>13</v>
      </c>
      <c r="H40" s="169">
        <v>2036</v>
      </c>
      <c r="I40" s="169">
        <v>20</v>
      </c>
      <c r="J40" s="169">
        <v>0</v>
      </c>
      <c r="K40" s="169"/>
      <c r="L40" s="169">
        <v>0</v>
      </c>
      <c r="M40" s="177">
        <v>2069</v>
      </c>
      <c r="N40" s="174">
        <v>0</v>
      </c>
      <c r="O40" s="177">
        <v>1259</v>
      </c>
      <c r="P40" s="169">
        <v>0</v>
      </c>
      <c r="Q40" s="177">
        <v>1259</v>
      </c>
      <c r="R40" s="377">
        <v>0</v>
      </c>
      <c r="S40" s="169">
        <v>0</v>
      </c>
      <c r="T40" s="169">
        <v>0</v>
      </c>
      <c r="U40" s="376">
        <v>0</v>
      </c>
      <c r="V40" s="177">
        <v>0</v>
      </c>
      <c r="W40" s="169"/>
      <c r="X40" s="177">
        <v>0</v>
      </c>
      <c r="Y40" s="174">
        <v>42</v>
      </c>
      <c r="Z40" s="177">
        <v>3</v>
      </c>
      <c r="AA40" s="169"/>
      <c r="AB40" s="169">
        <v>244</v>
      </c>
      <c r="AC40" s="169">
        <v>4</v>
      </c>
      <c r="AD40" s="169"/>
      <c r="AE40" s="169">
        <v>0</v>
      </c>
      <c r="AF40" s="169">
        <v>1</v>
      </c>
      <c r="AG40" s="169"/>
      <c r="AH40" s="177">
        <v>252</v>
      </c>
      <c r="AI40" s="174">
        <v>0</v>
      </c>
      <c r="AJ40" s="177"/>
      <c r="AK40" s="169">
        <v>0</v>
      </c>
      <c r="AL40" s="169">
        <v>0</v>
      </c>
      <c r="AM40" s="169">
        <v>0</v>
      </c>
      <c r="AN40" s="169">
        <v>0</v>
      </c>
      <c r="AO40" s="169">
        <v>0</v>
      </c>
      <c r="AP40" s="169">
        <v>0</v>
      </c>
      <c r="AQ40" s="169">
        <v>0</v>
      </c>
      <c r="AR40" s="169">
        <v>0</v>
      </c>
      <c r="AS40" s="169">
        <v>0</v>
      </c>
      <c r="AT40" s="169">
        <v>0</v>
      </c>
      <c r="AU40" s="169">
        <v>0</v>
      </c>
      <c r="AV40" s="177">
        <v>0</v>
      </c>
      <c r="AW40" s="377">
        <v>0</v>
      </c>
      <c r="AX40" s="169">
        <v>589</v>
      </c>
      <c r="AY40" s="169">
        <v>0</v>
      </c>
      <c r="AZ40" s="169">
        <v>0</v>
      </c>
      <c r="BA40" s="169">
        <v>0</v>
      </c>
      <c r="BB40" s="169">
        <v>1</v>
      </c>
      <c r="BC40" s="169">
        <v>0</v>
      </c>
      <c r="BD40" s="169">
        <v>0</v>
      </c>
      <c r="BE40" s="376">
        <v>590</v>
      </c>
      <c r="BF40" s="177">
        <v>0</v>
      </c>
      <c r="BG40" s="169">
        <v>0</v>
      </c>
      <c r="BH40" s="169">
        <v>69</v>
      </c>
      <c r="BI40" s="169">
        <v>151</v>
      </c>
      <c r="BJ40" s="169"/>
      <c r="BK40" s="169"/>
      <c r="BL40" s="177">
        <v>220</v>
      </c>
      <c r="BM40" s="174">
        <v>0</v>
      </c>
      <c r="BN40" s="177">
        <v>0</v>
      </c>
      <c r="BO40" s="377">
        <v>0</v>
      </c>
      <c r="BP40" s="169">
        <v>0</v>
      </c>
      <c r="BQ40" s="169">
        <v>0</v>
      </c>
      <c r="BR40" s="169"/>
      <c r="BS40" s="169"/>
      <c r="BT40" s="376">
        <v>0</v>
      </c>
      <c r="BU40" s="177">
        <v>18</v>
      </c>
      <c r="BV40" s="169">
        <v>32</v>
      </c>
      <c r="BW40" s="169">
        <v>66</v>
      </c>
      <c r="BX40" s="169">
        <v>0</v>
      </c>
      <c r="BY40" s="169">
        <v>0</v>
      </c>
      <c r="BZ40" s="169">
        <v>65</v>
      </c>
      <c r="CA40" s="169">
        <v>0</v>
      </c>
      <c r="CB40" s="169">
        <v>0</v>
      </c>
      <c r="CC40" s="169">
        <v>0</v>
      </c>
      <c r="CD40" s="169">
        <v>0</v>
      </c>
      <c r="CE40" s="169"/>
      <c r="CF40" s="177">
        <v>181</v>
      </c>
      <c r="CG40" s="377">
        <v>0</v>
      </c>
      <c r="CH40" s="169">
        <v>0</v>
      </c>
      <c r="CI40" s="376">
        <v>0</v>
      </c>
      <c r="CJ40" s="177">
        <v>0</v>
      </c>
      <c r="CK40" s="174">
        <v>0</v>
      </c>
      <c r="CL40" s="177">
        <v>151</v>
      </c>
      <c r="CM40" s="169">
        <v>99</v>
      </c>
      <c r="CN40" s="169">
        <v>114</v>
      </c>
      <c r="CO40" s="177">
        <v>364</v>
      </c>
      <c r="CP40" s="174">
        <v>679</v>
      </c>
      <c r="CQ40" s="177">
        <v>114</v>
      </c>
      <c r="CR40" s="169">
        <v>0</v>
      </c>
      <c r="CS40" s="169">
        <v>0</v>
      </c>
      <c r="CT40" s="169"/>
      <c r="CU40" s="177">
        <v>114</v>
      </c>
      <c r="CV40" s="174">
        <v>0</v>
      </c>
      <c r="CW40" s="177">
        <v>0</v>
      </c>
      <c r="CX40" s="377">
        <v>44</v>
      </c>
      <c r="CY40" s="169">
        <v>48</v>
      </c>
      <c r="CZ40" s="169">
        <v>69</v>
      </c>
      <c r="DA40" s="376">
        <v>161</v>
      </c>
      <c r="DB40" s="174">
        <v>5931</v>
      </c>
      <c r="DC40" s="179">
        <f>5931/921748</f>
        <v>6.4345135546808891E-3</v>
      </c>
    </row>
    <row r="41" spans="2:107" x14ac:dyDescent="0.2">
      <c r="B41" s="172" t="s">
        <v>119</v>
      </c>
      <c r="C41" s="377"/>
      <c r="D41" s="169"/>
      <c r="E41" s="169"/>
      <c r="F41" s="376"/>
      <c r="G41" s="177">
        <v>0</v>
      </c>
      <c r="H41" s="169"/>
      <c r="I41" s="169">
        <v>0</v>
      </c>
      <c r="J41" s="169"/>
      <c r="K41" s="169"/>
      <c r="L41" s="169"/>
      <c r="M41" s="177">
        <v>0</v>
      </c>
      <c r="N41" s="174"/>
      <c r="O41" s="177">
        <v>25</v>
      </c>
      <c r="P41" s="169"/>
      <c r="Q41" s="177">
        <v>25</v>
      </c>
      <c r="R41" s="377">
        <v>0</v>
      </c>
      <c r="S41" s="169"/>
      <c r="T41" s="169"/>
      <c r="U41" s="376">
        <v>0</v>
      </c>
      <c r="V41" s="177"/>
      <c r="W41" s="169"/>
      <c r="X41" s="177"/>
      <c r="Y41" s="174"/>
      <c r="Z41" s="177">
        <v>0</v>
      </c>
      <c r="AA41" s="169"/>
      <c r="AB41" s="169"/>
      <c r="AC41" s="169">
        <v>0</v>
      </c>
      <c r="AD41" s="169"/>
      <c r="AE41" s="169"/>
      <c r="AF41" s="169"/>
      <c r="AG41" s="169"/>
      <c r="AH41" s="177">
        <v>0</v>
      </c>
      <c r="AI41" s="174"/>
      <c r="AJ41" s="177">
        <v>0</v>
      </c>
      <c r="AK41" s="169"/>
      <c r="AL41" s="169"/>
      <c r="AM41" s="169"/>
      <c r="AN41" s="169">
        <v>0</v>
      </c>
      <c r="AO41" s="169"/>
      <c r="AP41" s="169">
        <v>0</v>
      </c>
      <c r="AQ41" s="169"/>
      <c r="AR41" s="169"/>
      <c r="AS41" s="169"/>
      <c r="AT41" s="169"/>
      <c r="AU41" s="169"/>
      <c r="AV41" s="177">
        <v>0</v>
      </c>
      <c r="AW41" s="377">
        <v>0</v>
      </c>
      <c r="AX41" s="169">
        <v>6</v>
      </c>
      <c r="AY41" s="169">
        <v>0</v>
      </c>
      <c r="AZ41" s="169">
        <v>0</v>
      </c>
      <c r="BA41" s="169">
        <v>0</v>
      </c>
      <c r="BB41" s="169">
        <v>0</v>
      </c>
      <c r="BC41" s="169"/>
      <c r="BD41" s="169">
        <v>0</v>
      </c>
      <c r="BE41" s="376">
        <v>6</v>
      </c>
      <c r="BF41" s="177"/>
      <c r="BG41" s="169">
        <v>0</v>
      </c>
      <c r="BH41" s="169">
        <v>2</v>
      </c>
      <c r="BI41" s="169"/>
      <c r="BJ41" s="169">
        <v>0</v>
      </c>
      <c r="BK41" s="169"/>
      <c r="BL41" s="177">
        <v>2</v>
      </c>
      <c r="BM41" s="174"/>
      <c r="BN41" s="177">
        <v>0</v>
      </c>
      <c r="BO41" s="377">
        <v>0</v>
      </c>
      <c r="BP41" s="169">
        <v>0</v>
      </c>
      <c r="BQ41" s="169"/>
      <c r="BR41" s="169"/>
      <c r="BS41" s="169"/>
      <c r="BT41" s="376">
        <v>0</v>
      </c>
      <c r="BU41" s="177">
        <v>14</v>
      </c>
      <c r="BV41" s="169">
        <v>0</v>
      </c>
      <c r="BW41" s="169">
        <v>13</v>
      </c>
      <c r="BX41" s="169">
        <v>0</v>
      </c>
      <c r="BY41" s="169"/>
      <c r="BZ41" s="169">
        <v>37</v>
      </c>
      <c r="CA41" s="169">
        <v>0</v>
      </c>
      <c r="CB41" s="169"/>
      <c r="CC41" s="169"/>
      <c r="CD41" s="169"/>
      <c r="CE41" s="169"/>
      <c r="CF41" s="177">
        <v>64</v>
      </c>
      <c r="CG41" s="377"/>
      <c r="CH41" s="169"/>
      <c r="CI41" s="376"/>
      <c r="CJ41" s="177"/>
      <c r="CK41" s="174">
        <v>0</v>
      </c>
      <c r="CL41" s="177">
        <v>1</v>
      </c>
      <c r="CM41" s="169"/>
      <c r="CN41" s="169"/>
      <c r="CO41" s="177">
        <v>1</v>
      </c>
      <c r="CP41" s="174"/>
      <c r="CQ41" s="177">
        <v>0</v>
      </c>
      <c r="CR41" s="169">
        <v>0</v>
      </c>
      <c r="CS41" s="169"/>
      <c r="CT41" s="169"/>
      <c r="CU41" s="177">
        <v>0</v>
      </c>
      <c r="CV41" s="174"/>
      <c r="CW41" s="177">
        <v>0</v>
      </c>
      <c r="CX41" s="377"/>
      <c r="CY41" s="169"/>
      <c r="CZ41" s="169">
        <v>0</v>
      </c>
      <c r="DA41" s="376">
        <v>0</v>
      </c>
      <c r="DB41" s="174">
        <v>98</v>
      </c>
      <c r="DC41" s="179">
        <f>98/921748</f>
        <v>1.0631973164031818E-4</v>
      </c>
    </row>
    <row r="42" spans="2:107" x14ac:dyDescent="0.2">
      <c r="B42" s="172" t="s">
        <v>165</v>
      </c>
      <c r="C42" s="377"/>
      <c r="D42" s="169"/>
      <c r="E42" s="169"/>
      <c r="F42" s="376"/>
      <c r="G42" s="177">
        <v>0</v>
      </c>
      <c r="H42" s="169">
        <v>22</v>
      </c>
      <c r="I42" s="169"/>
      <c r="J42" s="169"/>
      <c r="K42" s="169"/>
      <c r="L42" s="169"/>
      <c r="M42" s="177">
        <v>22</v>
      </c>
      <c r="N42" s="174"/>
      <c r="O42" s="177">
        <v>290</v>
      </c>
      <c r="P42" s="169">
        <v>0</v>
      </c>
      <c r="Q42" s="177">
        <v>290</v>
      </c>
      <c r="R42" s="377">
        <v>0</v>
      </c>
      <c r="S42" s="169"/>
      <c r="T42" s="169"/>
      <c r="U42" s="376">
        <v>0</v>
      </c>
      <c r="V42" s="177"/>
      <c r="W42" s="169"/>
      <c r="X42" s="177"/>
      <c r="Y42" s="174">
        <v>0</v>
      </c>
      <c r="Z42" s="177">
        <v>4</v>
      </c>
      <c r="AA42" s="169">
        <v>0</v>
      </c>
      <c r="AB42" s="169"/>
      <c r="AC42" s="169"/>
      <c r="AD42" s="169"/>
      <c r="AE42" s="169"/>
      <c r="AF42" s="169"/>
      <c r="AG42" s="169"/>
      <c r="AH42" s="177">
        <v>4</v>
      </c>
      <c r="AI42" s="174"/>
      <c r="AJ42" s="177"/>
      <c r="AK42" s="169"/>
      <c r="AL42" s="169"/>
      <c r="AM42" s="169"/>
      <c r="AN42" s="169"/>
      <c r="AO42" s="169"/>
      <c r="AP42" s="169"/>
      <c r="AQ42" s="169"/>
      <c r="AR42" s="169"/>
      <c r="AS42" s="169"/>
      <c r="AT42" s="169">
        <v>0</v>
      </c>
      <c r="AU42" s="169"/>
      <c r="AV42" s="177">
        <v>0</v>
      </c>
      <c r="AW42" s="377">
        <v>0</v>
      </c>
      <c r="AX42" s="169">
        <v>599</v>
      </c>
      <c r="AY42" s="169">
        <v>0</v>
      </c>
      <c r="AZ42" s="169">
        <v>0</v>
      </c>
      <c r="BA42" s="169">
        <v>0</v>
      </c>
      <c r="BB42" s="169">
        <v>5</v>
      </c>
      <c r="BC42" s="169"/>
      <c r="BD42" s="169"/>
      <c r="BE42" s="376">
        <v>604</v>
      </c>
      <c r="BF42" s="177">
        <v>0</v>
      </c>
      <c r="BG42" s="169">
        <v>24</v>
      </c>
      <c r="BH42" s="169">
        <v>9</v>
      </c>
      <c r="BI42" s="169">
        <v>5</v>
      </c>
      <c r="BJ42" s="169"/>
      <c r="BK42" s="169"/>
      <c r="BL42" s="177">
        <v>38</v>
      </c>
      <c r="BM42" s="174"/>
      <c r="BN42" s="177">
        <v>0</v>
      </c>
      <c r="BO42" s="377">
        <v>0</v>
      </c>
      <c r="BP42" s="169">
        <v>0</v>
      </c>
      <c r="BQ42" s="169"/>
      <c r="BR42" s="169"/>
      <c r="BS42" s="169"/>
      <c r="BT42" s="376">
        <v>0</v>
      </c>
      <c r="BU42" s="177">
        <v>1</v>
      </c>
      <c r="BV42" s="169">
        <v>0</v>
      </c>
      <c r="BW42" s="169">
        <v>3</v>
      </c>
      <c r="BX42" s="169">
        <v>0</v>
      </c>
      <c r="BY42" s="169">
        <v>0</v>
      </c>
      <c r="BZ42" s="169">
        <v>35</v>
      </c>
      <c r="CA42" s="169">
        <v>0</v>
      </c>
      <c r="CB42" s="169">
        <v>0</v>
      </c>
      <c r="CC42" s="169">
        <v>0</v>
      </c>
      <c r="CD42" s="169"/>
      <c r="CE42" s="169"/>
      <c r="CF42" s="177">
        <v>39</v>
      </c>
      <c r="CG42" s="377"/>
      <c r="CH42" s="169"/>
      <c r="CI42" s="376"/>
      <c r="CJ42" s="177"/>
      <c r="CK42" s="174"/>
      <c r="CL42" s="177"/>
      <c r="CM42" s="169"/>
      <c r="CN42" s="169"/>
      <c r="CO42" s="177"/>
      <c r="CP42" s="174"/>
      <c r="CQ42" s="177"/>
      <c r="CR42" s="169"/>
      <c r="CS42" s="169">
        <v>0</v>
      </c>
      <c r="CT42" s="169"/>
      <c r="CU42" s="177">
        <v>0</v>
      </c>
      <c r="CV42" s="174"/>
      <c r="CW42" s="177">
        <v>0</v>
      </c>
      <c r="CX42" s="377">
        <v>2</v>
      </c>
      <c r="CY42" s="169"/>
      <c r="CZ42" s="169">
        <v>0</v>
      </c>
      <c r="DA42" s="376">
        <v>2</v>
      </c>
      <c r="DB42" s="174">
        <v>999</v>
      </c>
      <c r="DC42" s="179">
        <f>999/921748</f>
        <v>1.0838103255987536E-3</v>
      </c>
    </row>
    <row r="43" spans="2:107" x14ac:dyDescent="0.2">
      <c r="B43" s="172" t="s">
        <v>194</v>
      </c>
      <c r="C43" s="377">
        <v>0</v>
      </c>
      <c r="D43" s="169"/>
      <c r="E43" s="169">
        <v>0</v>
      </c>
      <c r="F43" s="376">
        <v>0</v>
      </c>
      <c r="G43" s="177">
        <v>0</v>
      </c>
      <c r="H43" s="169">
        <v>131</v>
      </c>
      <c r="I43" s="169"/>
      <c r="J43" s="169"/>
      <c r="K43" s="169"/>
      <c r="L43" s="169"/>
      <c r="M43" s="177">
        <v>131</v>
      </c>
      <c r="N43" s="174">
        <v>0</v>
      </c>
      <c r="O43" s="177">
        <v>42</v>
      </c>
      <c r="P43" s="169"/>
      <c r="Q43" s="177">
        <v>42</v>
      </c>
      <c r="R43" s="377">
        <v>0</v>
      </c>
      <c r="S43" s="169">
        <v>0</v>
      </c>
      <c r="T43" s="169"/>
      <c r="U43" s="376">
        <v>0</v>
      </c>
      <c r="V43" s="177"/>
      <c r="W43" s="169"/>
      <c r="X43" s="177"/>
      <c r="Y43" s="174"/>
      <c r="Z43" s="177">
        <v>0</v>
      </c>
      <c r="AA43" s="169"/>
      <c r="AB43" s="169">
        <v>3</v>
      </c>
      <c r="AC43" s="169">
        <v>0</v>
      </c>
      <c r="AD43" s="169"/>
      <c r="AE43" s="169"/>
      <c r="AF43" s="169"/>
      <c r="AG43" s="169"/>
      <c r="AH43" s="177">
        <v>3</v>
      </c>
      <c r="AI43" s="174"/>
      <c r="AJ43" s="177"/>
      <c r="AK43" s="169">
        <v>0</v>
      </c>
      <c r="AL43" s="169">
        <v>0</v>
      </c>
      <c r="AM43" s="169">
        <v>0</v>
      </c>
      <c r="AN43" s="169"/>
      <c r="AO43" s="169">
        <v>0</v>
      </c>
      <c r="AP43" s="169">
        <v>0</v>
      </c>
      <c r="AQ43" s="169">
        <v>0</v>
      </c>
      <c r="AR43" s="169">
        <v>0</v>
      </c>
      <c r="AS43" s="169"/>
      <c r="AT43" s="169"/>
      <c r="AU43" s="169">
        <v>0</v>
      </c>
      <c r="AV43" s="177">
        <v>0</v>
      </c>
      <c r="AW43" s="377">
        <v>0</v>
      </c>
      <c r="AX43" s="169">
        <v>0</v>
      </c>
      <c r="AY43" s="169">
        <v>0</v>
      </c>
      <c r="AZ43" s="169">
        <v>0</v>
      </c>
      <c r="BA43" s="169">
        <v>0</v>
      </c>
      <c r="BB43" s="169"/>
      <c r="BC43" s="169"/>
      <c r="BD43" s="169"/>
      <c r="BE43" s="376">
        <v>0</v>
      </c>
      <c r="BF43" s="177">
        <v>0</v>
      </c>
      <c r="BG43" s="169">
        <v>0</v>
      </c>
      <c r="BH43" s="169">
        <v>0</v>
      </c>
      <c r="BI43" s="169"/>
      <c r="BJ43" s="169"/>
      <c r="BK43" s="169"/>
      <c r="BL43" s="177">
        <v>0</v>
      </c>
      <c r="BM43" s="174"/>
      <c r="BN43" s="177">
        <v>0</v>
      </c>
      <c r="BO43" s="377">
        <v>0</v>
      </c>
      <c r="BP43" s="169">
        <v>0</v>
      </c>
      <c r="BQ43" s="169"/>
      <c r="BR43" s="169"/>
      <c r="BS43" s="169"/>
      <c r="BT43" s="376">
        <v>0</v>
      </c>
      <c r="BU43" s="177">
        <v>5</v>
      </c>
      <c r="BV43" s="169">
        <v>0</v>
      </c>
      <c r="BW43" s="169">
        <v>1</v>
      </c>
      <c r="BX43" s="169"/>
      <c r="BY43" s="169">
        <v>0</v>
      </c>
      <c r="BZ43" s="169">
        <v>1</v>
      </c>
      <c r="CA43" s="169"/>
      <c r="CB43" s="169"/>
      <c r="CC43" s="169"/>
      <c r="CD43" s="169"/>
      <c r="CE43" s="169"/>
      <c r="CF43" s="177">
        <v>7</v>
      </c>
      <c r="CG43" s="377"/>
      <c r="CH43" s="169"/>
      <c r="CI43" s="376"/>
      <c r="CJ43" s="177"/>
      <c r="CK43" s="174">
        <v>0</v>
      </c>
      <c r="CL43" s="177"/>
      <c r="CM43" s="169"/>
      <c r="CN43" s="169"/>
      <c r="CO43" s="177"/>
      <c r="CP43" s="174"/>
      <c r="CQ43" s="177">
        <v>4</v>
      </c>
      <c r="CR43" s="169">
        <v>0</v>
      </c>
      <c r="CS43" s="169">
        <v>0</v>
      </c>
      <c r="CT43" s="169"/>
      <c r="CU43" s="177">
        <v>4</v>
      </c>
      <c r="CV43" s="174"/>
      <c r="CW43" s="177">
        <v>0</v>
      </c>
      <c r="CX43" s="377"/>
      <c r="CY43" s="169">
        <v>0</v>
      </c>
      <c r="CZ43" s="169"/>
      <c r="DA43" s="376">
        <v>0</v>
      </c>
      <c r="DB43" s="174">
        <v>187</v>
      </c>
      <c r="DC43" s="179">
        <f>187/921748</f>
        <v>2.028754062932602E-4</v>
      </c>
    </row>
    <row r="44" spans="2:107" x14ac:dyDescent="0.2">
      <c r="B44" s="172" t="s">
        <v>220</v>
      </c>
      <c r="C44" s="377"/>
      <c r="D44" s="169"/>
      <c r="E44" s="169"/>
      <c r="F44" s="376"/>
      <c r="G44" s="177">
        <v>0</v>
      </c>
      <c r="H44" s="169">
        <v>22</v>
      </c>
      <c r="I44" s="169"/>
      <c r="J44" s="169"/>
      <c r="K44" s="169"/>
      <c r="L44" s="169"/>
      <c r="M44" s="177">
        <v>22</v>
      </c>
      <c r="N44" s="174"/>
      <c r="O44" s="177">
        <v>328</v>
      </c>
      <c r="P44" s="169"/>
      <c r="Q44" s="177">
        <v>328</v>
      </c>
      <c r="R44" s="377">
        <v>0</v>
      </c>
      <c r="S44" s="169"/>
      <c r="T44" s="169"/>
      <c r="U44" s="376">
        <v>0</v>
      </c>
      <c r="V44" s="177"/>
      <c r="W44" s="169"/>
      <c r="X44" s="177"/>
      <c r="Y44" s="174">
        <v>0</v>
      </c>
      <c r="Z44" s="177">
        <v>4</v>
      </c>
      <c r="AA44" s="169"/>
      <c r="AB44" s="169"/>
      <c r="AC44" s="169"/>
      <c r="AD44" s="169"/>
      <c r="AE44" s="169"/>
      <c r="AF44" s="169"/>
      <c r="AG44" s="169"/>
      <c r="AH44" s="177">
        <v>4</v>
      </c>
      <c r="AI44" s="174"/>
      <c r="AJ44" s="177"/>
      <c r="AK44" s="169">
        <v>0</v>
      </c>
      <c r="AL44" s="169"/>
      <c r="AM44" s="169"/>
      <c r="AN44" s="169"/>
      <c r="AO44" s="169"/>
      <c r="AP44" s="169"/>
      <c r="AQ44" s="169"/>
      <c r="AR44" s="169">
        <v>0</v>
      </c>
      <c r="AS44" s="169"/>
      <c r="AT44" s="169"/>
      <c r="AU44" s="169"/>
      <c r="AV44" s="177">
        <v>0</v>
      </c>
      <c r="AW44" s="377"/>
      <c r="AX44" s="169">
        <v>47</v>
      </c>
      <c r="AY44" s="169">
        <v>0</v>
      </c>
      <c r="AZ44" s="169">
        <v>0</v>
      </c>
      <c r="BA44" s="169">
        <v>0</v>
      </c>
      <c r="BB44" s="169">
        <v>1</v>
      </c>
      <c r="BC44" s="169"/>
      <c r="BD44" s="169"/>
      <c r="BE44" s="376">
        <v>48</v>
      </c>
      <c r="BF44" s="177">
        <v>0</v>
      </c>
      <c r="BG44" s="169">
        <v>4</v>
      </c>
      <c r="BH44" s="169">
        <v>3</v>
      </c>
      <c r="BI44" s="169">
        <v>2</v>
      </c>
      <c r="BJ44" s="169"/>
      <c r="BK44" s="169"/>
      <c r="BL44" s="177">
        <v>9</v>
      </c>
      <c r="BM44" s="174"/>
      <c r="BN44" s="177">
        <v>0</v>
      </c>
      <c r="BO44" s="377">
        <v>0</v>
      </c>
      <c r="BP44" s="169">
        <v>0</v>
      </c>
      <c r="BQ44" s="169"/>
      <c r="BR44" s="169"/>
      <c r="BS44" s="169"/>
      <c r="BT44" s="376">
        <v>0</v>
      </c>
      <c r="BU44" s="177">
        <v>0</v>
      </c>
      <c r="BV44" s="169">
        <v>0</v>
      </c>
      <c r="BW44" s="169">
        <v>6</v>
      </c>
      <c r="BX44" s="169">
        <v>0</v>
      </c>
      <c r="BY44" s="169">
        <v>0</v>
      </c>
      <c r="BZ44" s="169">
        <v>32</v>
      </c>
      <c r="CA44" s="169">
        <v>0</v>
      </c>
      <c r="CB44" s="169">
        <v>0</v>
      </c>
      <c r="CC44" s="169">
        <v>0</v>
      </c>
      <c r="CD44" s="169"/>
      <c r="CE44" s="169"/>
      <c r="CF44" s="177">
        <v>38</v>
      </c>
      <c r="CG44" s="377"/>
      <c r="CH44" s="169"/>
      <c r="CI44" s="376"/>
      <c r="CJ44" s="177"/>
      <c r="CK44" s="174"/>
      <c r="CL44" s="177"/>
      <c r="CM44" s="169"/>
      <c r="CN44" s="169"/>
      <c r="CO44" s="177"/>
      <c r="CP44" s="174"/>
      <c r="CQ44" s="177">
        <v>1</v>
      </c>
      <c r="CR44" s="169"/>
      <c r="CS44" s="169">
        <v>0</v>
      </c>
      <c r="CT44" s="169"/>
      <c r="CU44" s="177">
        <v>1</v>
      </c>
      <c r="CV44" s="174"/>
      <c r="CW44" s="177">
        <v>0</v>
      </c>
      <c r="CX44" s="377">
        <v>0</v>
      </c>
      <c r="CY44" s="169"/>
      <c r="CZ44" s="169"/>
      <c r="DA44" s="376">
        <v>0</v>
      </c>
      <c r="DB44" s="174">
        <v>450</v>
      </c>
      <c r="DC44" s="179">
        <f>450/921748</f>
        <v>4.8820284936880795E-4</v>
      </c>
    </row>
    <row r="45" spans="2:107" x14ac:dyDescent="0.2">
      <c r="B45" s="172" t="s">
        <v>237</v>
      </c>
      <c r="C45" s="377">
        <v>0</v>
      </c>
      <c r="D45" s="169"/>
      <c r="E45" s="169">
        <v>0</v>
      </c>
      <c r="F45" s="376">
        <v>0</v>
      </c>
      <c r="G45" s="177">
        <v>0</v>
      </c>
      <c r="H45" s="169">
        <v>33</v>
      </c>
      <c r="I45" s="169">
        <v>2</v>
      </c>
      <c r="J45" s="169"/>
      <c r="K45" s="169"/>
      <c r="L45" s="169"/>
      <c r="M45" s="177">
        <v>35</v>
      </c>
      <c r="N45" s="174"/>
      <c r="O45" s="177">
        <v>123</v>
      </c>
      <c r="P45" s="169"/>
      <c r="Q45" s="177">
        <v>123</v>
      </c>
      <c r="R45" s="377"/>
      <c r="S45" s="169"/>
      <c r="T45" s="169"/>
      <c r="U45" s="376"/>
      <c r="V45" s="177"/>
      <c r="W45" s="169"/>
      <c r="X45" s="177"/>
      <c r="Y45" s="174">
        <v>0</v>
      </c>
      <c r="Z45" s="177">
        <v>4</v>
      </c>
      <c r="AA45" s="169"/>
      <c r="AB45" s="169"/>
      <c r="AC45" s="169">
        <v>0</v>
      </c>
      <c r="AD45" s="169"/>
      <c r="AE45" s="169"/>
      <c r="AF45" s="169"/>
      <c r="AG45" s="169"/>
      <c r="AH45" s="177">
        <v>4</v>
      </c>
      <c r="AI45" s="174"/>
      <c r="AJ45" s="177"/>
      <c r="AK45" s="169">
        <v>0</v>
      </c>
      <c r="AL45" s="169"/>
      <c r="AM45" s="169">
        <v>0</v>
      </c>
      <c r="AN45" s="169"/>
      <c r="AO45" s="169"/>
      <c r="AP45" s="169"/>
      <c r="AQ45" s="169"/>
      <c r="AR45" s="169">
        <v>0</v>
      </c>
      <c r="AS45" s="169"/>
      <c r="AT45" s="169">
        <v>0</v>
      </c>
      <c r="AU45" s="169"/>
      <c r="AV45" s="177">
        <v>0</v>
      </c>
      <c r="AW45" s="377">
        <v>0</v>
      </c>
      <c r="AX45" s="169">
        <v>54</v>
      </c>
      <c r="AY45" s="169">
        <v>0</v>
      </c>
      <c r="AZ45" s="169">
        <v>0</v>
      </c>
      <c r="BA45" s="169"/>
      <c r="BB45" s="169">
        <v>0</v>
      </c>
      <c r="BC45" s="169"/>
      <c r="BD45" s="169"/>
      <c r="BE45" s="376">
        <v>54</v>
      </c>
      <c r="BF45" s="177">
        <v>0</v>
      </c>
      <c r="BG45" s="169">
        <v>0</v>
      </c>
      <c r="BH45" s="169">
        <v>1</v>
      </c>
      <c r="BI45" s="169">
        <v>3</v>
      </c>
      <c r="BJ45" s="169"/>
      <c r="BK45" s="169"/>
      <c r="BL45" s="177">
        <v>4</v>
      </c>
      <c r="BM45" s="174"/>
      <c r="BN45" s="177">
        <v>0</v>
      </c>
      <c r="BO45" s="377">
        <v>0</v>
      </c>
      <c r="BP45" s="169">
        <v>0</v>
      </c>
      <c r="BQ45" s="169">
        <v>0</v>
      </c>
      <c r="BR45" s="169"/>
      <c r="BS45" s="169"/>
      <c r="BT45" s="376">
        <v>0</v>
      </c>
      <c r="BU45" s="177">
        <v>8</v>
      </c>
      <c r="BV45" s="169">
        <v>0</v>
      </c>
      <c r="BW45" s="169">
        <v>19</v>
      </c>
      <c r="BX45" s="169">
        <v>0</v>
      </c>
      <c r="BY45" s="169">
        <v>0</v>
      </c>
      <c r="BZ45" s="169">
        <v>13</v>
      </c>
      <c r="CA45" s="169">
        <v>0</v>
      </c>
      <c r="CB45" s="169"/>
      <c r="CC45" s="169">
        <v>0</v>
      </c>
      <c r="CD45" s="169"/>
      <c r="CE45" s="169"/>
      <c r="CF45" s="177">
        <v>40</v>
      </c>
      <c r="CG45" s="377"/>
      <c r="CH45" s="169">
        <v>0</v>
      </c>
      <c r="CI45" s="376">
        <v>0</v>
      </c>
      <c r="CJ45" s="177"/>
      <c r="CK45" s="174"/>
      <c r="CL45" s="177">
        <v>0</v>
      </c>
      <c r="CM45" s="169"/>
      <c r="CN45" s="169"/>
      <c r="CO45" s="177">
        <v>0</v>
      </c>
      <c r="CP45" s="174"/>
      <c r="CQ45" s="177"/>
      <c r="CR45" s="169"/>
      <c r="CS45" s="169">
        <v>0</v>
      </c>
      <c r="CT45" s="169"/>
      <c r="CU45" s="177">
        <v>0</v>
      </c>
      <c r="CV45" s="174"/>
      <c r="CW45" s="177">
        <v>0</v>
      </c>
      <c r="CX45" s="377">
        <v>0</v>
      </c>
      <c r="CY45" s="169">
        <v>0</v>
      </c>
      <c r="CZ45" s="169"/>
      <c r="DA45" s="376">
        <v>0</v>
      </c>
      <c r="DB45" s="174">
        <v>260</v>
      </c>
      <c r="DC45" s="179">
        <f>260/921748</f>
        <v>2.8207275741308903E-4</v>
      </c>
    </row>
    <row r="46" spans="2:107" ht="13.5" thickBot="1" x14ac:dyDescent="0.25">
      <c r="B46" s="286" t="s">
        <v>556</v>
      </c>
      <c r="C46" s="374">
        <v>0</v>
      </c>
      <c r="D46" s="373">
        <v>0</v>
      </c>
      <c r="E46" s="373">
        <v>0</v>
      </c>
      <c r="F46" s="372">
        <v>0</v>
      </c>
      <c r="G46" s="375">
        <v>0</v>
      </c>
      <c r="H46" s="373">
        <v>172</v>
      </c>
      <c r="I46" s="373">
        <v>3</v>
      </c>
      <c r="J46" s="373">
        <v>0</v>
      </c>
      <c r="K46" s="373"/>
      <c r="L46" s="373">
        <v>2</v>
      </c>
      <c r="M46" s="375">
        <v>177</v>
      </c>
      <c r="N46" s="371"/>
      <c r="O46" s="375">
        <v>396</v>
      </c>
      <c r="P46" s="373"/>
      <c r="Q46" s="375">
        <v>396</v>
      </c>
      <c r="R46" s="374">
        <v>0</v>
      </c>
      <c r="S46" s="373"/>
      <c r="T46" s="373"/>
      <c r="U46" s="372">
        <v>0</v>
      </c>
      <c r="V46" s="375">
        <v>0</v>
      </c>
      <c r="W46" s="373"/>
      <c r="X46" s="375">
        <v>0</v>
      </c>
      <c r="Y46" s="371">
        <v>0</v>
      </c>
      <c r="Z46" s="375">
        <v>12</v>
      </c>
      <c r="AA46" s="373"/>
      <c r="AB46" s="373">
        <v>1</v>
      </c>
      <c r="AC46" s="373">
        <v>0</v>
      </c>
      <c r="AD46" s="373">
        <v>2</v>
      </c>
      <c r="AE46" s="373">
        <v>1</v>
      </c>
      <c r="AF46" s="373"/>
      <c r="AG46" s="373"/>
      <c r="AH46" s="375">
        <v>16</v>
      </c>
      <c r="AI46" s="371"/>
      <c r="AJ46" s="375">
        <v>0</v>
      </c>
      <c r="AK46" s="373">
        <v>0</v>
      </c>
      <c r="AL46" s="373">
        <v>0</v>
      </c>
      <c r="AM46" s="373">
        <v>0</v>
      </c>
      <c r="AN46" s="373"/>
      <c r="AO46" s="373">
        <v>0</v>
      </c>
      <c r="AP46" s="373">
        <v>0</v>
      </c>
      <c r="AQ46" s="373">
        <v>0</v>
      </c>
      <c r="AR46" s="373">
        <v>0</v>
      </c>
      <c r="AS46" s="373"/>
      <c r="AT46" s="373">
        <v>0</v>
      </c>
      <c r="AU46" s="373"/>
      <c r="AV46" s="375">
        <v>0</v>
      </c>
      <c r="AW46" s="374">
        <v>0</v>
      </c>
      <c r="AX46" s="373">
        <v>164</v>
      </c>
      <c r="AY46" s="373">
        <v>0</v>
      </c>
      <c r="AZ46" s="373">
        <v>0</v>
      </c>
      <c r="BA46" s="373">
        <v>0</v>
      </c>
      <c r="BB46" s="373">
        <v>0</v>
      </c>
      <c r="BC46" s="373"/>
      <c r="BD46" s="373"/>
      <c r="BE46" s="372">
        <v>164</v>
      </c>
      <c r="BF46" s="375">
        <v>0</v>
      </c>
      <c r="BG46" s="373">
        <v>21</v>
      </c>
      <c r="BH46" s="373">
        <v>203</v>
      </c>
      <c r="BI46" s="373">
        <v>9</v>
      </c>
      <c r="BJ46" s="373">
        <v>0</v>
      </c>
      <c r="BK46" s="373"/>
      <c r="BL46" s="375">
        <v>233</v>
      </c>
      <c r="BM46" s="371"/>
      <c r="BN46" s="375">
        <v>0</v>
      </c>
      <c r="BO46" s="374">
        <v>0</v>
      </c>
      <c r="BP46" s="373">
        <v>0</v>
      </c>
      <c r="BQ46" s="373">
        <v>0</v>
      </c>
      <c r="BR46" s="373"/>
      <c r="BS46" s="373"/>
      <c r="BT46" s="372">
        <v>0</v>
      </c>
      <c r="BU46" s="375">
        <v>18</v>
      </c>
      <c r="BV46" s="373">
        <v>7</v>
      </c>
      <c r="BW46" s="373">
        <v>12</v>
      </c>
      <c r="BX46" s="373">
        <v>0</v>
      </c>
      <c r="BY46" s="373">
        <v>0</v>
      </c>
      <c r="BZ46" s="373">
        <v>96</v>
      </c>
      <c r="CA46" s="373"/>
      <c r="CB46" s="373"/>
      <c r="CC46" s="373">
        <v>0</v>
      </c>
      <c r="CD46" s="373"/>
      <c r="CE46" s="373"/>
      <c r="CF46" s="375">
        <v>133</v>
      </c>
      <c r="CG46" s="374"/>
      <c r="CH46" s="373"/>
      <c r="CI46" s="372"/>
      <c r="CJ46" s="375">
        <v>0</v>
      </c>
      <c r="CK46" s="371">
        <v>0</v>
      </c>
      <c r="CL46" s="375">
        <v>1</v>
      </c>
      <c r="CM46" s="373">
        <v>0</v>
      </c>
      <c r="CN46" s="373">
        <v>9</v>
      </c>
      <c r="CO46" s="375">
        <v>10</v>
      </c>
      <c r="CP46" s="371"/>
      <c r="CQ46" s="375">
        <v>14</v>
      </c>
      <c r="CR46" s="373">
        <v>0</v>
      </c>
      <c r="CS46" s="373">
        <v>0</v>
      </c>
      <c r="CT46" s="373"/>
      <c r="CU46" s="375">
        <v>14</v>
      </c>
      <c r="CV46" s="371"/>
      <c r="CW46" s="375">
        <v>0</v>
      </c>
      <c r="CX46" s="374">
        <v>0</v>
      </c>
      <c r="CY46" s="373">
        <v>0</v>
      </c>
      <c r="CZ46" s="373"/>
      <c r="DA46" s="372">
        <v>0</v>
      </c>
      <c r="DB46" s="371">
        <v>1143</v>
      </c>
      <c r="DC46" s="370">
        <f>1143/921748</f>
        <v>1.2400352373967722E-3</v>
      </c>
    </row>
    <row r="47" spans="2:107" ht="13.5" thickBot="1" x14ac:dyDescent="0.25">
      <c r="B47" s="173" t="s">
        <v>547</v>
      </c>
      <c r="C47" s="369">
        <v>0</v>
      </c>
      <c r="D47" s="170">
        <v>0</v>
      </c>
      <c r="E47" s="170">
        <v>0</v>
      </c>
      <c r="F47" s="368">
        <v>0</v>
      </c>
      <c r="G47" s="178">
        <v>191</v>
      </c>
      <c r="H47" s="170">
        <v>10640</v>
      </c>
      <c r="I47" s="170">
        <v>207</v>
      </c>
      <c r="J47" s="170">
        <v>5</v>
      </c>
      <c r="K47" s="170"/>
      <c r="L47" s="170">
        <v>2</v>
      </c>
      <c r="M47" s="178">
        <v>11045</v>
      </c>
      <c r="N47" s="175">
        <v>0</v>
      </c>
      <c r="O47" s="178">
        <v>3740</v>
      </c>
      <c r="P47" s="170">
        <v>0</v>
      </c>
      <c r="Q47" s="178">
        <v>3740</v>
      </c>
      <c r="R47" s="369">
        <v>0</v>
      </c>
      <c r="S47" s="170">
        <v>0</v>
      </c>
      <c r="T47" s="170">
        <v>0</v>
      </c>
      <c r="U47" s="368">
        <v>0</v>
      </c>
      <c r="V47" s="178">
        <v>0</v>
      </c>
      <c r="W47" s="170"/>
      <c r="X47" s="178">
        <v>0</v>
      </c>
      <c r="Y47" s="175">
        <v>223</v>
      </c>
      <c r="Z47" s="178">
        <v>32</v>
      </c>
      <c r="AA47" s="170">
        <v>0</v>
      </c>
      <c r="AB47" s="170">
        <v>2026</v>
      </c>
      <c r="AC47" s="170">
        <v>12</v>
      </c>
      <c r="AD47" s="170">
        <v>2</v>
      </c>
      <c r="AE47" s="170">
        <v>2</v>
      </c>
      <c r="AF47" s="170">
        <v>3</v>
      </c>
      <c r="AG47" s="170"/>
      <c r="AH47" s="178">
        <v>2077</v>
      </c>
      <c r="AI47" s="175">
        <v>2</v>
      </c>
      <c r="AJ47" s="178">
        <v>0</v>
      </c>
      <c r="AK47" s="170">
        <v>0</v>
      </c>
      <c r="AL47" s="170">
        <v>0</v>
      </c>
      <c r="AM47" s="170">
        <v>0</v>
      </c>
      <c r="AN47" s="170">
        <v>0</v>
      </c>
      <c r="AO47" s="170">
        <v>0</v>
      </c>
      <c r="AP47" s="170">
        <v>0</v>
      </c>
      <c r="AQ47" s="170">
        <v>0</v>
      </c>
      <c r="AR47" s="170">
        <v>0</v>
      </c>
      <c r="AS47" s="170">
        <v>0</v>
      </c>
      <c r="AT47" s="170">
        <v>0</v>
      </c>
      <c r="AU47" s="170">
        <v>0</v>
      </c>
      <c r="AV47" s="178">
        <v>0</v>
      </c>
      <c r="AW47" s="369">
        <v>0</v>
      </c>
      <c r="AX47" s="170">
        <v>1757</v>
      </c>
      <c r="AY47" s="170">
        <v>0</v>
      </c>
      <c r="AZ47" s="170">
        <v>0</v>
      </c>
      <c r="BA47" s="170">
        <v>0</v>
      </c>
      <c r="BB47" s="170">
        <v>9</v>
      </c>
      <c r="BC47" s="170">
        <v>0</v>
      </c>
      <c r="BD47" s="170">
        <v>0</v>
      </c>
      <c r="BE47" s="368">
        <v>1766</v>
      </c>
      <c r="BF47" s="178">
        <v>0</v>
      </c>
      <c r="BG47" s="170">
        <v>53</v>
      </c>
      <c r="BH47" s="170">
        <v>529</v>
      </c>
      <c r="BI47" s="170">
        <v>542</v>
      </c>
      <c r="BJ47" s="170">
        <v>0</v>
      </c>
      <c r="BK47" s="170">
        <v>0</v>
      </c>
      <c r="BL47" s="178">
        <v>1124</v>
      </c>
      <c r="BM47" s="175">
        <v>0</v>
      </c>
      <c r="BN47" s="178">
        <v>0</v>
      </c>
      <c r="BO47" s="369">
        <v>0</v>
      </c>
      <c r="BP47" s="170">
        <v>0</v>
      </c>
      <c r="BQ47" s="170">
        <v>0</v>
      </c>
      <c r="BR47" s="170"/>
      <c r="BS47" s="170"/>
      <c r="BT47" s="368">
        <v>0</v>
      </c>
      <c r="BU47" s="178">
        <v>123</v>
      </c>
      <c r="BV47" s="170">
        <v>400</v>
      </c>
      <c r="BW47" s="170">
        <v>157</v>
      </c>
      <c r="BX47" s="170">
        <v>0</v>
      </c>
      <c r="BY47" s="170">
        <v>0</v>
      </c>
      <c r="BZ47" s="170">
        <v>488</v>
      </c>
      <c r="CA47" s="170">
        <v>0</v>
      </c>
      <c r="CB47" s="170">
        <v>0</v>
      </c>
      <c r="CC47" s="170">
        <v>0</v>
      </c>
      <c r="CD47" s="170">
        <v>0</v>
      </c>
      <c r="CE47" s="170">
        <v>0</v>
      </c>
      <c r="CF47" s="178">
        <v>1168</v>
      </c>
      <c r="CG47" s="369">
        <v>0</v>
      </c>
      <c r="CH47" s="170">
        <v>14</v>
      </c>
      <c r="CI47" s="368">
        <v>14</v>
      </c>
      <c r="CJ47" s="178">
        <v>0</v>
      </c>
      <c r="CK47" s="175">
        <v>0</v>
      </c>
      <c r="CL47" s="178">
        <v>481</v>
      </c>
      <c r="CM47" s="170">
        <v>193</v>
      </c>
      <c r="CN47" s="170">
        <v>348</v>
      </c>
      <c r="CO47" s="178">
        <v>1022</v>
      </c>
      <c r="CP47" s="175">
        <v>1653</v>
      </c>
      <c r="CQ47" s="178">
        <v>371</v>
      </c>
      <c r="CR47" s="170">
        <v>0</v>
      </c>
      <c r="CS47" s="170">
        <v>0</v>
      </c>
      <c r="CT47" s="170"/>
      <c r="CU47" s="178">
        <v>371</v>
      </c>
      <c r="CV47" s="175">
        <v>0</v>
      </c>
      <c r="CW47" s="178">
        <v>0</v>
      </c>
      <c r="CX47" s="369">
        <v>247</v>
      </c>
      <c r="CY47" s="170">
        <v>259</v>
      </c>
      <c r="CZ47" s="170">
        <v>70</v>
      </c>
      <c r="DA47" s="368">
        <v>576</v>
      </c>
      <c r="DB47" s="175">
        <v>24781</v>
      </c>
      <c r="DC47" s="180">
        <f>24781/921748</f>
        <v>2.6884788467129845E-2</v>
      </c>
    </row>
    <row r="48" spans="2:107" ht="13.5" thickBot="1" x14ac:dyDescent="0.25">
      <c r="B48" s="173" t="s">
        <v>548</v>
      </c>
      <c r="C48" s="369">
        <v>0</v>
      </c>
      <c r="D48" s="170">
        <v>0</v>
      </c>
      <c r="E48" s="170">
        <v>0</v>
      </c>
      <c r="F48" s="368">
        <v>0</v>
      </c>
      <c r="G48" s="178">
        <v>191</v>
      </c>
      <c r="H48" s="170">
        <v>10873</v>
      </c>
      <c r="I48" s="170">
        <v>209</v>
      </c>
      <c r="J48" s="170">
        <v>5</v>
      </c>
      <c r="K48" s="170">
        <v>0</v>
      </c>
      <c r="L48" s="170">
        <v>2</v>
      </c>
      <c r="M48" s="178">
        <v>11280</v>
      </c>
      <c r="N48" s="175">
        <v>0</v>
      </c>
      <c r="O48" s="178">
        <v>29274</v>
      </c>
      <c r="P48" s="170">
        <v>0</v>
      </c>
      <c r="Q48" s="178">
        <v>29274</v>
      </c>
      <c r="R48" s="369">
        <v>0</v>
      </c>
      <c r="S48" s="170">
        <v>0</v>
      </c>
      <c r="T48" s="170">
        <v>0</v>
      </c>
      <c r="U48" s="368">
        <v>0</v>
      </c>
      <c r="V48" s="178">
        <v>0</v>
      </c>
      <c r="W48" s="170"/>
      <c r="X48" s="178">
        <v>0</v>
      </c>
      <c r="Y48" s="175">
        <v>244</v>
      </c>
      <c r="Z48" s="178">
        <v>47</v>
      </c>
      <c r="AA48" s="170">
        <v>0</v>
      </c>
      <c r="AB48" s="170">
        <v>2026</v>
      </c>
      <c r="AC48" s="170">
        <v>15</v>
      </c>
      <c r="AD48" s="170">
        <v>4</v>
      </c>
      <c r="AE48" s="170">
        <v>2</v>
      </c>
      <c r="AF48" s="170">
        <v>3</v>
      </c>
      <c r="AG48" s="170"/>
      <c r="AH48" s="178">
        <v>2097</v>
      </c>
      <c r="AI48" s="175">
        <v>2</v>
      </c>
      <c r="AJ48" s="178">
        <v>0</v>
      </c>
      <c r="AK48" s="170">
        <v>0</v>
      </c>
      <c r="AL48" s="170">
        <v>0</v>
      </c>
      <c r="AM48" s="170">
        <v>0</v>
      </c>
      <c r="AN48" s="170">
        <v>0</v>
      </c>
      <c r="AO48" s="170">
        <v>0</v>
      </c>
      <c r="AP48" s="170">
        <v>0</v>
      </c>
      <c r="AQ48" s="170">
        <v>0</v>
      </c>
      <c r="AR48" s="170">
        <v>0</v>
      </c>
      <c r="AS48" s="170">
        <v>0</v>
      </c>
      <c r="AT48" s="170">
        <v>0</v>
      </c>
      <c r="AU48" s="170">
        <v>0</v>
      </c>
      <c r="AV48" s="178">
        <v>0</v>
      </c>
      <c r="AW48" s="369">
        <v>0</v>
      </c>
      <c r="AX48" s="170">
        <v>3335</v>
      </c>
      <c r="AY48" s="170">
        <v>0</v>
      </c>
      <c r="AZ48" s="170">
        <v>0</v>
      </c>
      <c r="BA48" s="170">
        <v>0</v>
      </c>
      <c r="BB48" s="170">
        <v>12</v>
      </c>
      <c r="BC48" s="170">
        <v>0</v>
      </c>
      <c r="BD48" s="170">
        <v>0</v>
      </c>
      <c r="BE48" s="368">
        <v>3347</v>
      </c>
      <c r="BF48" s="178">
        <v>0</v>
      </c>
      <c r="BG48" s="170">
        <v>82</v>
      </c>
      <c r="BH48" s="170">
        <v>1364</v>
      </c>
      <c r="BI48" s="170">
        <v>547</v>
      </c>
      <c r="BJ48" s="170">
        <v>0</v>
      </c>
      <c r="BK48" s="170">
        <v>0</v>
      </c>
      <c r="BL48" s="178">
        <v>1993</v>
      </c>
      <c r="BM48" s="175">
        <v>0</v>
      </c>
      <c r="BN48" s="178">
        <v>0</v>
      </c>
      <c r="BO48" s="369">
        <v>0</v>
      </c>
      <c r="BP48" s="170">
        <v>0</v>
      </c>
      <c r="BQ48" s="170">
        <v>0</v>
      </c>
      <c r="BR48" s="170">
        <v>0</v>
      </c>
      <c r="BS48" s="170">
        <v>0</v>
      </c>
      <c r="BT48" s="368">
        <v>0</v>
      </c>
      <c r="BU48" s="178">
        <v>1380</v>
      </c>
      <c r="BV48" s="170">
        <v>412</v>
      </c>
      <c r="BW48" s="170">
        <v>2046</v>
      </c>
      <c r="BX48" s="170">
        <v>0</v>
      </c>
      <c r="BY48" s="170">
        <v>0</v>
      </c>
      <c r="BZ48" s="170">
        <v>2491</v>
      </c>
      <c r="CA48" s="170">
        <v>0</v>
      </c>
      <c r="CB48" s="170">
        <v>2</v>
      </c>
      <c r="CC48" s="170">
        <v>0</v>
      </c>
      <c r="CD48" s="170">
        <v>0</v>
      </c>
      <c r="CE48" s="170">
        <v>0</v>
      </c>
      <c r="CF48" s="178">
        <v>6331</v>
      </c>
      <c r="CG48" s="369">
        <v>0</v>
      </c>
      <c r="CH48" s="170">
        <v>14</v>
      </c>
      <c r="CI48" s="368">
        <v>14</v>
      </c>
      <c r="CJ48" s="178">
        <v>0</v>
      </c>
      <c r="CK48" s="175">
        <v>0</v>
      </c>
      <c r="CL48" s="178">
        <v>1259</v>
      </c>
      <c r="CM48" s="170">
        <v>247</v>
      </c>
      <c r="CN48" s="170">
        <v>645</v>
      </c>
      <c r="CO48" s="178">
        <v>2151</v>
      </c>
      <c r="CP48" s="175">
        <v>1653</v>
      </c>
      <c r="CQ48" s="178">
        <v>490</v>
      </c>
      <c r="CR48" s="170">
        <v>0</v>
      </c>
      <c r="CS48" s="170">
        <v>0</v>
      </c>
      <c r="CT48" s="170"/>
      <c r="CU48" s="178">
        <v>490</v>
      </c>
      <c r="CV48" s="175">
        <v>0</v>
      </c>
      <c r="CW48" s="178">
        <v>0</v>
      </c>
      <c r="CX48" s="369">
        <v>247</v>
      </c>
      <c r="CY48" s="170">
        <v>384</v>
      </c>
      <c r="CZ48" s="170">
        <v>70</v>
      </c>
      <c r="DA48" s="368">
        <v>701</v>
      </c>
      <c r="DB48" s="175">
        <v>59577</v>
      </c>
      <c r="DC48" s="180">
        <f>59577/921748</f>
        <v>6.4634802570767716E-2</v>
      </c>
    </row>
    <row r="49" spans="2:107" x14ac:dyDescent="0.2">
      <c r="B49" s="286" t="s">
        <v>22</v>
      </c>
      <c r="C49" s="374">
        <v>0</v>
      </c>
      <c r="D49" s="373"/>
      <c r="E49" s="373"/>
      <c r="F49" s="372">
        <v>0</v>
      </c>
      <c r="G49" s="375">
        <v>10</v>
      </c>
      <c r="H49" s="373">
        <v>834</v>
      </c>
      <c r="I49" s="373">
        <v>5</v>
      </c>
      <c r="J49" s="373">
        <v>0</v>
      </c>
      <c r="K49" s="373">
        <v>0</v>
      </c>
      <c r="L49" s="373">
        <v>7</v>
      </c>
      <c r="M49" s="375">
        <v>856</v>
      </c>
      <c r="N49" s="371"/>
      <c r="O49" s="375">
        <v>29298</v>
      </c>
      <c r="P49" s="373">
        <v>0</v>
      </c>
      <c r="Q49" s="375">
        <v>29298</v>
      </c>
      <c r="R49" s="374">
        <v>0</v>
      </c>
      <c r="S49" s="373"/>
      <c r="T49" s="373"/>
      <c r="U49" s="372">
        <v>0</v>
      </c>
      <c r="V49" s="375">
        <v>0</v>
      </c>
      <c r="W49" s="373"/>
      <c r="X49" s="375">
        <v>0</v>
      </c>
      <c r="Y49" s="371">
        <v>1</v>
      </c>
      <c r="Z49" s="375">
        <v>503</v>
      </c>
      <c r="AA49" s="373">
        <v>0</v>
      </c>
      <c r="AB49" s="373">
        <v>127</v>
      </c>
      <c r="AC49" s="373"/>
      <c r="AD49" s="373">
        <v>15</v>
      </c>
      <c r="AE49" s="373"/>
      <c r="AF49" s="373"/>
      <c r="AG49" s="373"/>
      <c r="AH49" s="375">
        <v>645</v>
      </c>
      <c r="AI49" s="371"/>
      <c r="AJ49" s="375">
        <v>0</v>
      </c>
      <c r="AK49" s="373">
        <v>0</v>
      </c>
      <c r="AL49" s="373"/>
      <c r="AM49" s="373">
        <v>0</v>
      </c>
      <c r="AN49" s="373"/>
      <c r="AO49" s="373"/>
      <c r="AP49" s="373"/>
      <c r="AQ49" s="373"/>
      <c r="AR49" s="373"/>
      <c r="AS49" s="373"/>
      <c r="AT49" s="373"/>
      <c r="AU49" s="373">
        <v>0</v>
      </c>
      <c r="AV49" s="375">
        <v>0</v>
      </c>
      <c r="AW49" s="374">
        <v>0</v>
      </c>
      <c r="AX49" s="373">
        <v>12922</v>
      </c>
      <c r="AY49" s="373">
        <v>0</v>
      </c>
      <c r="AZ49" s="373">
        <v>0</v>
      </c>
      <c r="BA49" s="373">
        <v>0</v>
      </c>
      <c r="BB49" s="373">
        <v>440</v>
      </c>
      <c r="BC49" s="373">
        <v>0</v>
      </c>
      <c r="BD49" s="373">
        <v>0</v>
      </c>
      <c r="BE49" s="372">
        <v>13362</v>
      </c>
      <c r="BF49" s="375">
        <v>0</v>
      </c>
      <c r="BG49" s="373">
        <v>937</v>
      </c>
      <c r="BH49" s="373">
        <v>4654</v>
      </c>
      <c r="BI49" s="373">
        <v>119</v>
      </c>
      <c r="BJ49" s="373">
        <v>0</v>
      </c>
      <c r="BK49" s="373">
        <v>0</v>
      </c>
      <c r="BL49" s="375">
        <v>5710</v>
      </c>
      <c r="BM49" s="371"/>
      <c r="BN49" s="375">
        <v>0</v>
      </c>
      <c r="BO49" s="374">
        <v>0</v>
      </c>
      <c r="BP49" s="373">
        <v>0</v>
      </c>
      <c r="BQ49" s="373">
        <v>0</v>
      </c>
      <c r="BR49" s="373">
        <v>0</v>
      </c>
      <c r="BS49" s="373"/>
      <c r="BT49" s="372">
        <v>0</v>
      </c>
      <c r="BU49" s="375">
        <v>17693</v>
      </c>
      <c r="BV49" s="373">
        <v>11</v>
      </c>
      <c r="BW49" s="373">
        <v>7151</v>
      </c>
      <c r="BX49" s="373">
        <v>5</v>
      </c>
      <c r="BY49" s="373">
        <v>0</v>
      </c>
      <c r="BZ49" s="373">
        <v>23897</v>
      </c>
      <c r="CA49" s="373">
        <v>0</v>
      </c>
      <c r="CB49" s="373">
        <v>1</v>
      </c>
      <c r="CC49" s="373">
        <v>0</v>
      </c>
      <c r="CD49" s="373">
        <v>0</v>
      </c>
      <c r="CE49" s="373">
        <v>0</v>
      </c>
      <c r="CF49" s="375">
        <v>48758</v>
      </c>
      <c r="CG49" s="374"/>
      <c r="CH49" s="373"/>
      <c r="CI49" s="372"/>
      <c r="CJ49" s="375"/>
      <c r="CK49" s="371">
        <v>0</v>
      </c>
      <c r="CL49" s="375">
        <v>1</v>
      </c>
      <c r="CM49" s="373"/>
      <c r="CN49" s="373">
        <v>0</v>
      </c>
      <c r="CO49" s="375">
        <v>1</v>
      </c>
      <c r="CP49" s="371">
        <v>22</v>
      </c>
      <c r="CQ49" s="375">
        <v>0</v>
      </c>
      <c r="CR49" s="373">
        <v>0</v>
      </c>
      <c r="CS49" s="373">
        <v>0</v>
      </c>
      <c r="CT49" s="373"/>
      <c r="CU49" s="375">
        <v>0</v>
      </c>
      <c r="CV49" s="371"/>
      <c r="CW49" s="375">
        <v>0</v>
      </c>
      <c r="CX49" s="374">
        <v>0</v>
      </c>
      <c r="CY49" s="373"/>
      <c r="CZ49" s="373"/>
      <c r="DA49" s="372">
        <v>0</v>
      </c>
      <c r="DB49" s="371">
        <v>98653</v>
      </c>
      <c r="DC49" s="370">
        <f>98653/921748</f>
        <v>0.10702816821951336</v>
      </c>
    </row>
    <row r="50" spans="2:107" x14ac:dyDescent="0.2">
      <c r="B50" s="172" t="s">
        <v>34</v>
      </c>
      <c r="C50" s="377"/>
      <c r="D50" s="169"/>
      <c r="E50" s="169"/>
      <c r="F50" s="376"/>
      <c r="G50" s="177">
        <v>0</v>
      </c>
      <c r="H50" s="169">
        <v>73</v>
      </c>
      <c r="I50" s="169">
        <v>14</v>
      </c>
      <c r="J50" s="169">
        <v>0</v>
      </c>
      <c r="K50" s="169"/>
      <c r="L50" s="169">
        <v>0</v>
      </c>
      <c r="M50" s="177">
        <v>87</v>
      </c>
      <c r="N50" s="174"/>
      <c r="O50" s="177">
        <v>1213</v>
      </c>
      <c r="P50" s="169">
        <v>0</v>
      </c>
      <c r="Q50" s="177">
        <v>1213</v>
      </c>
      <c r="R50" s="377">
        <v>0</v>
      </c>
      <c r="S50" s="169"/>
      <c r="T50" s="169"/>
      <c r="U50" s="376">
        <v>0</v>
      </c>
      <c r="V50" s="177"/>
      <c r="W50" s="169"/>
      <c r="X50" s="177"/>
      <c r="Y50" s="174"/>
      <c r="Z50" s="177">
        <v>22</v>
      </c>
      <c r="AA50" s="169">
        <v>0</v>
      </c>
      <c r="AB50" s="169">
        <v>0</v>
      </c>
      <c r="AC50" s="169"/>
      <c r="AD50" s="169"/>
      <c r="AE50" s="169"/>
      <c r="AF50" s="169"/>
      <c r="AG50" s="169"/>
      <c r="AH50" s="177">
        <v>22</v>
      </c>
      <c r="AI50" s="174"/>
      <c r="AJ50" s="177">
        <v>0</v>
      </c>
      <c r="AK50" s="169"/>
      <c r="AL50" s="169"/>
      <c r="AM50" s="169"/>
      <c r="AN50" s="169"/>
      <c r="AO50" s="169"/>
      <c r="AP50" s="169"/>
      <c r="AQ50" s="169"/>
      <c r="AR50" s="169"/>
      <c r="AS50" s="169"/>
      <c r="AT50" s="169"/>
      <c r="AU50" s="169"/>
      <c r="AV50" s="177">
        <v>0</v>
      </c>
      <c r="AW50" s="377">
        <v>0</v>
      </c>
      <c r="AX50" s="169">
        <v>702</v>
      </c>
      <c r="AY50" s="169">
        <v>0</v>
      </c>
      <c r="AZ50" s="169">
        <v>0</v>
      </c>
      <c r="BA50" s="169"/>
      <c r="BB50" s="169">
        <v>24</v>
      </c>
      <c r="BC50" s="169">
        <v>0</v>
      </c>
      <c r="BD50" s="169">
        <v>0</v>
      </c>
      <c r="BE50" s="376">
        <v>726</v>
      </c>
      <c r="BF50" s="177">
        <v>0</v>
      </c>
      <c r="BG50" s="169">
        <v>52</v>
      </c>
      <c r="BH50" s="169">
        <v>606</v>
      </c>
      <c r="BI50" s="169">
        <v>77</v>
      </c>
      <c r="BJ50" s="169">
        <v>0</v>
      </c>
      <c r="BK50" s="169"/>
      <c r="BL50" s="177">
        <v>735</v>
      </c>
      <c r="BM50" s="174"/>
      <c r="BN50" s="177"/>
      <c r="BO50" s="377">
        <v>0</v>
      </c>
      <c r="BP50" s="169">
        <v>0</v>
      </c>
      <c r="BQ50" s="169"/>
      <c r="BR50" s="169"/>
      <c r="BS50" s="169"/>
      <c r="BT50" s="376">
        <v>0</v>
      </c>
      <c r="BU50" s="177">
        <v>1055</v>
      </c>
      <c r="BV50" s="169">
        <v>13</v>
      </c>
      <c r="BW50" s="169">
        <v>339</v>
      </c>
      <c r="BX50" s="169">
        <v>0</v>
      </c>
      <c r="BY50" s="169">
        <v>0</v>
      </c>
      <c r="BZ50" s="169">
        <v>988</v>
      </c>
      <c r="CA50" s="169">
        <v>0</v>
      </c>
      <c r="CB50" s="169">
        <v>9</v>
      </c>
      <c r="CC50" s="169">
        <v>0</v>
      </c>
      <c r="CD50" s="169"/>
      <c r="CE50" s="169">
        <v>0</v>
      </c>
      <c r="CF50" s="177">
        <v>2404</v>
      </c>
      <c r="CG50" s="377"/>
      <c r="CH50" s="169"/>
      <c r="CI50" s="376"/>
      <c r="CJ50" s="177"/>
      <c r="CK50" s="174"/>
      <c r="CL50" s="177"/>
      <c r="CM50" s="169"/>
      <c r="CN50" s="169"/>
      <c r="CO50" s="177"/>
      <c r="CP50" s="174"/>
      <c r="CQ50" s="177"/>
      <c r="CR50" s="169"/>
      <c r="CS50" s="169"/>
      <c r="CT50" s="169"/>
      <c r="CU50" s="177"/>
      <c r="CV50" s="174"/>
      <c r="CW50" s="177"/>
      <c r="CX50" s="377"/>
      <c r="CY50" s="169"/>
      <c r="CZ50" s="169"/>
      <c r="DA50" s="376"/>
      <c r="DB50" s="174">
        <v>5187</v>
      </c>
      <c r="DC50" s="179">
        <f>5187/921748</f>
        <v>5.6273515103911261E-3</v>
      </c>
    </row>
    <row r="51" spans="2:107" x14ac:dyDescent="0.2">
      <c r="B51" s="172" t="s">
        <v>43</v>
      </c>
      <c r="C51" s="377"/>
      <c r="D51" s="169"/>
      <c r="E51" s="169"/>
      <c r="F51" s="376"/>
      <c r="G51" s="177">
        <v>51</v>
      </c>
      <c r="H51" s="169">
        <v>172</v>
      </c>
      <c r="I51" s="169">
        <v>3</v>
      </c>
      <c r="J51" s="169">
        <v>0</v>
      </c>
      <c r="K51" s="169"/>
      <c r="L51" s="169"/>
      <c r="M51" s="177">
        <v>226</v>
      </c>
      <c r="N51" s="174"/>
      <c r="O51" s="177">
        <v>2383</v>
      </c>
      <c r="P51" s="169">
        <v>0</v>
      </c>
      <c r="Q51" s="177">
        <v>2383</v>
      </c>
      <c r="R51" s="377">
        <v>0</v>
      </c>
      <c r="S51" s="169"/>
      <c r="T51" s="169"/>
      <c r="U51" s="376">
        <v>0</v>
      </c>
      <c r="V51" s="177"/>
      <c r="W51" s="169"/>
      <c r="X51" s="177"/>
      <c r="Y51" s="174">
        <v>0</v>
      </c>
      <c r="Z51" s="177">
        <v>51</v>
      </c>
      <c r="AA51" s="169">
        <v>0</v>
      </c>
      <c r="AB51" s="169">
        <v>99</v>
      </c>
      <c r="AC51" s="169"/>
      <c r="AD51" s="169">
        <v>5</v>
      </c>
      <c r="AE51" s="169"/>
      <c r="AF51" s="169"/>
      <c r="AG51" s="169"/>
      <c r="AH51" s="177">
        <v>155</v>
      </c>
      <c r="AI51" s="174"/>
      <c r="AJ51" s="177"/>
      <c r="AK51" s="169"/>
      <c r="AL51" s="169"/>
      <c r="AM51" s="169"/>
      <c r="AN51" s="169"/>
      <c r="AO51" s="169"/>
      <c r="AP51" s="169"/>
      <c r="AQ51" s="169">
        <v>0</v>
      </c>
      <c r="AR51" s="169"/>
      <c r="AS51" s="169"/>
      <c r="AT51" s="169"/>
      <c r="AU51" s="169"/>
      <c r="AV51" s="177">
        <v>0</v>
      </c>
      <c r="AW51" s="377">
        <v>0</v>
      </c>
      <c r="AX51" s="169">
        <v>632</v>
      </c>
      <c r="AY51" s="169">
        <v>0</v>
      </c>
      <c r="AZ51" s="169">
        <v>0</v>
      </c>
      <c r="BA51" s="169">
        <v>0</v>
      </c>
      <c r="BB51" s="169">
        <v>32</v>
      </c>
      <c r="BC51" s="169">
        <v>0</v>
      </c>
      <c r="BD51" s="169"/>
      <c r="BE51" s="376">
        <v>664</v>
      </c>
      <c r="BF51" s="177"/>
      <c r="BG51" s="169">
        <v>130</v>
      </c>
      <c r="BH51" s="169">
        <v>335</v>
      </c>
      <c r="BI51" s="169">
        <v>33</v>
      </c>
      <c r="BJ51" s="169">
        <v>0</v>
      </c>
      <c r="BK51" s="169"/>
      <c r="BL51" s="177">
        <v>498</v>
      </c>
      <c r="BM51" s="174"/>
      <c r="BN51" s="177">
        <v>0</v>
      </c>
      <c r="BO51" s="377">
        <v>0</v>
      </c>
      <c r="BP51" s="169">
        <v>0</v>
      </c>
      <c r="BQ51" s="169"/>
      <c r="BR51" s="169"/>
      <c r="BS51" s="169"/>
      <c r="BT51" s="376">
        <v>0</v>
      </c>
      <c r="BU51" s="177">
        <v>3070</v>
      </c>
      <c r="BV51" s="169">
        <v>86</v>
      </c>
      <c r="BW51" s="169">
        <v>644</v>
      </c>
      <c r="BX51" s="169">
        <v>0</v>
      </c>
      <c r="BY51" s="169">
        <v>0</v>
      </c>
      <c r="BZ51" s="169">
        <v>1034</v>
      </c>
      <c r="CA51" s="169">
        <v>0</v>
      </c>
      <c r="CB51" s="169">
        <v>2</v>
      </c>
      <c r="CC51" s="169">
        <v>0</v>
      </c>
      <c r="CD51" s="169"/>
      <c r="CE51" s="169"/>
      <c r="CF51" s="177">
        <v>4836</v>
      </c>
      <c r="CG51" s="377"/>
      <c r="CH51" s="169"/>
      <c r="CI51" s="376"/>
      <c r="CJ51" s="177"/>
      <c r="CK51" s="174"/>
      <c r="CL51" s="177">
        <v>0</v>
      </c>
      <c r="CM51" s="169"/>
      <c r="CN51" s="169"/>
      <c r="CO51" s="177">
        <v>0</v>
      </c>
      <c r="CP51" s="174"/>
      <c r="CQ51" s="177"/>
      <c r="CR51" s="169"/>
      <c r="CS51" s="169"/>
      <c r="CT51" s="169"/>
      <c r="CU51" s="177"/>
      <c r="CV51" s="174"/>
      <c r="CW51" s="177">
        <v>0</v>
      </c>
      <c r="CX51" s="377">
        <v>0</v>
      </c>
      <c r="CY51" s="169">
        <v>0</v>
      </c>
      <c r="CZ51" s="169">
        <v>6</v>
      </c>
      <c r="DA51" s="376">
        <v>6</v>
      </c>
      <c r="DB51" s="174">
        <v>8768</v>
      </c>
      <c r="DC51" s="179">
        <f>8768/921748</f>
        <v>9.5123612961460179E-3</v>
      </c>
    </row>
    <row r="52" spans="2:107" x14ac:dyDescent="0.2">
      <c r="B52" s="172" t="s">
        <v>68</v>
      </c>
      <c r="C52" s="377"/>
      <c r="D52" s="169"/>
      <c r="E52" s="169"/>
      <c r="F52" s="376"/>
      <c r="G52" s="177">
        <v>0</v>
      </c>
      <c r="H52" s="169">
        <v>11</v>
      </c>
      <c r="I52" s="169">
        <v>3</v>
      </c>
      <c r="J52" s="169"/>
      <c r="K52" s="169"/>
      <c r="L52" s="169"/>
      <c r="M52" s="177">
        <v>14</v>
      </c>
      <c r="N52" s="174"/>
      <c r="O52" s="177">
        <v>347</v>
      </c>
      <c r="P52" s="169">
        <v>0</v>
      </c>
      <c r="Q52" s="177">
        <v>347</v>
      </c>
      <c r="R52" s="377">
        <v>0</v>
      </c>
      <c r="S52" s="169"/>
      <c r="T52" s="169"/>
      <c r="U52" s="376">
        <v>0</v>
      </c>
      <c r="V52" s="177"/>
      <c r="W52" s="169"/>
      <c r="X52" s="177"/>
      <c r="Y52" s="174"/>
      <c r="Z52" s="177">
        <v>0</v>
      </c>
      <c r="AA52" s="169">
        <v>0</v>
      </c>
      <c r="AB52" s="169"/>
      <c r="AC52" s="169"/>
      <c r="AD52" s="169"/>
      <c r="AE52" s="169"/>
      <c r="AF52" s="169"/>
      <c r="AG52" s="169"/>
      <c r="AH52" s="177">
        <v>0</v>
      </c>
      <c r="AI52" s="174"/>
      <c r="AJ52" s="177"/>
      <c r="AK52" s="169"/>
      <c r="AL52" s="169"/>
      <c r="AM52" s="169"/>
      <c r="AN52" s="169"/>
      <c r="AO52" s="169"/>
      <c r="AP52" s="169"/>
      <c r="AQ52" s="169"/>
      <c r="AR52" s="169"/>
      <c r="AS52" s="169"/>
      <c r="AT52" s="169"/>
      <c r="AU52" s="169"/>
      <c r="AV52" s="177"/>
      <c r="AW52" s="377">
        <v>0</v>
      </c>
      <c r="AX52" s="169">
        <v>92</v>
      </c>
      <c r="AY52" s="169"/>
      <c r="AZ52" s="169">
        <v>0</v>
      </c>
      <c r="BA52" s="169"/>
      <c r="BB52" s="169">
        <v>0</v>
      </c>
      <c r="BC52" s="169"/>
      <c r="BD52" s="169">
        <v>0</v>
      </c>
      <c r="BE52" s="376">
        <v>92</v>
      </c>
      <c r="BF52" s="177">
        <v>0</v>
      </c>
      <c r="BG52" s="169">
        <v>2</v>
      </c>
      <c r="BH52" s="169">
        <v>124</v>
      </c>
      <c r="BI52" s="169"/>
      <c r="BJ52" s="169">
        <v>0</v>
      </c>
      <c r="BK52" s="169"/>
      <c r="BL52" s="177">
        <v>126</v>
      </c>
      <c r="BM52" s="174"/>
      <c r="BN52" s="177">
        <v>0</v>
      </c>
      <c r="BO52" s="377">
        <v>0</v>
      </c>
      <c r="BP52" s="169">
        <v>0</v>
      </c>
      <c r="BQ52" s="169"/>
      <c r="BR52" s="169"/>
      <c r="BS52" s="169"/>
      <c r="BT52" s="376">
        <v>0</v>
      </c>
      <c r="BU52" s="177">
        <v>969</v>
      </c>
      <c r="BV52" s="169">
        <v>3</v>
      </c>
      <c r="BW52" s="169">
        <v>98</v>
      </c>
      <c r="BX52" s="169">
        <v>0</v>
      </c>
      <c r="BY52" s="169">
        <v>0</v>
      </c>
      <c r="BZ52" s="169">
        <v>508</v>
      </c>
      <c r="CA52" s="169">
        <v>0</v>
      </c>
      <c r="CB52" s="169">
        <v>2</v>
      </c>
      <c r="CC52" s="169"/>
      <c r="CD52" s="169"/>
      <c r="CE52" s="169"/>
      <c r="CF52" s="177">
        <v>1580</v>
      </c>
      <c r="CG52" s="377"/>
      <c r="CH52" s="169"/>
      <c r="CI52" s="376"/>
      <c r="CJ52" s="177">
        <v>0</v>
      </c>
      <c r="CK52" s="174"/>
      <c r="CL52" s="177"/>
      <c r="CM52" s="169"/>
      <c r="CN52" s="169"/>
      <c r="CO52" s="177"/>
      <c r="CP52" s="174"/>
      <c r="CQ52" s="177"/>
      <c r="CR52" s="169"/>
      <c r="CS52" s="169"/>
      <c r="CT52" s="169"/>
      <c r="CU52" s="177"/>
      <c r="CV52" s="174"/>
      <c r="CW52" s="177">
        <v>0</v>
      </c>
      <c r="CX52" s="377"/>
      <c r="CY52" s="169"/>
      <c r="CZ52" s="169"/>
      <c r="DA52" s="376"/>
      <c r="DB52" s="174">
        <v>2159</v>
      </c>
      <c r="DC52" s="179">
        <f>2159/921748</f>
        <v>2.3422887817494587E-3</v>
      </c>
    </row>
    <row r="53" spans="2:107" x14ac:dyDescent="0.2">
      <c r="B53" s="172" t="s">
        <v>70</v>
      </c>
      <c r="C53" s="377"/>
      <c r="D53" s="169"/>
      <c r="E53" s="169"/>
      <c r="F53" s="376"/>
      <c r="G53" s="177">
        <v>0</v>
      </c>
      <c r="H53" s="169">
        <v>19</v>
      </c>
      <c r="I53" s="169">
        <v>1</v>
      </c>
      <c r="J53" s="169">
        <v>0</v>
      </c>
      <c r="K53" s="169"/>
      <c r="L53" s="169">
        <v>0</v>
      </c>
      <c r="M53" s="177">
        <v>20</v>
      </c>
      <c r="N53" s="174"/>
      <c r="O53" s="177">
        <v>1713</v>
      </c>
      <c r="P53" s="169">
        <v>0</v>
      </c>
      <c r="Q53" s="177">
        <v>1713</v>
      </c>
      <c r="R53" s="377">
        <v>0</v>
      </c>
      <c r="S53" s="169"/>
      <c r="T53" s="169"/>
      <c r="U53" s="376">
        <v>0</v>
      </c>
      <c r="V53" s="177"/>
      <c r="W53" s="169"/>
      <c r="X53" s="177"/>
      <c r="Y53" s="174"/>
      <c r="Z53" s="177">
        <v>26</v>
      </c>
      <c r="AA53" s="169"/>
      <c r="AB53" s="169"/>
      <c r="AC53" s="169">
        <v>2</v>
      </c>
      <c r="AD53" s="169">
        <v>2</v>
      </c>
      <c r="AE53" s="169"/>
      <c r="AF53" s="169"/>
      <c r="AG53" s="169"/>
      <c r="AH53" s="177">
        <v>30</v>
      </c>
      <c r="AI53" s="174"/>
      <c r="AJ53" s="177"/>
      <c r="AK53" s="169"/>
      <c r="AL53" s="169"/>
      <c r="AM53" s="169">
        <v>0</v>
      </c>
      <c r="AN53" s="169"/>
      <c r="AO53" s="169"/>
      <c r="AP53" s="169"/>
      <c r="AQ53" s="169"/>
      <c r="AR53" s="169"/>
      <c r="AS53" s="169">
        <v>0</v>
      </c>
      <c r="AT53" s="169">
        <v>0</v>
      </c>
      <c r="AU53" s="169"/>
      <c r="AV53" s="177">
        <v>0</v>
      </c>
      <c r="AW53" s="377">
        <v>0</v>
      </c>
      <c r="AX53" s="169">
        <v>311</v>
      </c>
      <c r="AY53" s="169">
        <v>0</v>
      </c>
      <c r="AZ53" s="169">
        <v>0</v>
      </c>
      <c r="BA53" s="169">
        <v>0</v>
      </c>
      <c r="BB53" s="169">
        <v>8</v>
      </c>
      <c r="BC53" s="169">
        <v>0</v>
      </c>
      <c r="BD53" s="169">
        <v>0</v>
      </c>
      <c r="BE53" s="376">
        <v>319</v>
      </c>
      <c r="BF53" s="177">
        <v>0</v>
      </c>
      <c r="BG53" s="169">
        <v>13</v>
      </c>
      <c r="BH53" s="169">
        <v>81</v>
      </c>
      <c r="BI53" s="169">
        <v>6</v>
      </c>
      <c r="BJ53" s="169">
        <v>0</v>
      </c>
      <c r="BK53" s="169"/>
      <c r="BL53" s="177">
        <v>100</v>
      </c>
      <c r="BM53" s="174"/>
      <c r="BN53" s="177">
        <v>0</v>
      </c>
      <c r="BO53" s="377">
        <v>0</v>
      </c>
      <c r="BP53" s="169">
        <v>0</v>
      </c>
      <c r="BQ53" s="169"/>
      <c r="BR53" s="169"/>
      <c r="BS53" s="169"/>
      <c r="BT53" s="376">
        <v>0</v>
      </c>
      <c r="BU53" s="177">
        <v>794</v>
      </c>
      <c r="BV53" s="169">
        <v>2</v>
      </c>
      <c r="BW53" s="169">
        <v>837</v>
      </c>
      <c r="BX53" s="169">
        <v>1</v>
      </c>
      <c r="BY53" s="169">
        <v>0</v>
      </c>
      <c r="BZ53" s="169">
        <v>357</v>
      </c>
      <c r="CA53" s="169">
        <v>0</v>
      </c>
      <c r="CB53" s="169">
        <v>0</v>
      </c>
      <c r="CC53" s="169">
        <v>0</v>
      </c>
      <c r="CD53" s="169"/>
      <c r="CE53" s="169"/>
      <c r="CF53" s="177">
        <v>1991</v>
      </c>
      <c r="CG53" s="377"/>
      <c r="CH53" s="169"/>
      <c r="CI53" s="376"/>
      <c r="CJ53" s="177"/>
      <c r="CK53" s="174"/>
      <c r="CL53" s="177"/>
      <c r="CM53" s="169"/>
      <c r="CN53" s="169"/>
      <c r="CO53" s="177"/>
      <c r="CP53" s="174"/>
      <c r="CQ53" s="177">
        <v>0</v>
      </c>
      <c r="CR53" s="169">
        <v>0</v>
      </c>
      <c r="CS53" s="169"/>
      <c r="CT53" s="169"/>
      <c r="CU53" s="177">
        <v>0</v>
      </c>
      <c r="CV53" s="174"/>
      <c r="CW53" s="177">
        <v>0</v>
      </c>
      <c r="CX53" s="377">
        <v>1</v>
      </c>
      <c r="CY53" s="169"/>
      <c r="CZ53" s="169"/>
      <c r="DA53" s="376">
        <v>1</v>
      </c>
      <c r="DB53" s="174">
        <v>4174</v>
      </c>
      <c r="DC53" s="179">
        <f>4174/921748</f>
        <v>4.5283526517008984E-3</v>
      </c>
    </row>
    <row r="54" spans="2:107" x14ac:dyDescent="0.2">
      <c r="B54" s="172" t="s">
        <v>90</v>
      </c>
      <c r="C54" s="377"/>
      <c r="D54" s="169"/>
      <c r="E54" s="169"/>
      <c r="F54" s="376"/>
      <c r="G54" s="177">
        <v>0</v>
      </c>
      <c r="H54" s="169">
        <v>31</v>
      </c>
      <c r="I54" s="169">
        <v>1</v>
      </c>
      <c r="J54" s="169">
        <v>0</v>
      </c>
      <c r="K54" s="169"/>
      <c r="L54" s="169"/>
      <c r="M54" s="177">
        <v>32</v>
      </c>
      <c r="N54" s="174"/>
      <c r="O54" s="177">
        <v>596</v>
      </c>
      <c r="P54" s="169">
        <v>0</v>
      </c>
      <c r="Q54" s="177">
        <v>596</v>
      </c>
      <c r="R54" s="377">
        <v>0</v>
      </c>
      <c r="S54" s="169"/>
      <c r="T54" s="169"/>
      <c r="U54" s="376">
        <v>0</v>
      </c>
      <c r="V54" s="177"/>
      <c r="W54" s="169"/>
      <c r="X54" s="177"/>
      <c r="Y54" s="174">
        <v>0</v>
      </c>
      <c r="Z54" s="177">
        <v>3</v>
      </c>
      <c r="AA54" s="169"/>
      <c r="AB54" s="169">
        <v>61</v>
      </c>
      <c r="AC54" s="169"/>
      <c r="AD54" s="169"/>
      <c r="AE54" s="169"/>
      <c r="AF54" s="169"/>
      <c r="AG54" s="169"/>
      <c r="AH54" s="177">
        <v>64</v>
      </c>
      <c r="AI54" s="174"/>
      <c r="AJ54" s="177"/>
      <c r="AK54" s="169"/>
      <c r="AL54" s="169"/>
      <c r="AM54" s="169"/>
      <c r="AN54" s="169"/>
      <c r="AO54" s="169"/>
      <c r="AP54" s="169"/>
      <c r="AQ54" s="169"/>
      <c r="AR54" s="169"/>
      <c r="AS54" s="169"/>
      <c r="AT54" s="169"/>
      <c r="AU54" s="169"/>
      <c r="AV54" s="177"/>
      <c r="AW54" s="377"/>
      <c r="AX54" s="169">
        <v>65</v>
      </c>
      <c r="AY54" s="169"/>
      <c r="AZ54" s="169"/>
      <c r="BA54" s="169">
        <v>0</v>
      </c>
      <c r="BB54" s="169"/>
      <c r="BC54" s="169"/>
      <c r="BD54" s="169"/>
      <c r="BE54" s="376">
        <v>65</v>
      </c>
      <c r="BF54" s="177">
        <v>0</v>
      </c>
      <c r="BG54" s="169">
        <v>0</v>
      </c>
      <c r="BH54" s="169">
        <v>69</v>
      </c>
      <c r="BI54" s="169">
        <v>21</v>
      </c>
      <c r="BJ54" s="169">
        <v>0</v>
      </c>
      <c r="BK54" s="169"/>
      <c r="BL54" s="177">
        <v>90</v>
      </c>
      <c r="BM54" s="174"/>
      <c r="BN54" s="177"/>
      <c r="BO54" s="377">
        <v>0</v>
      </c>
      <c r="BP54" s="169">
        <v>0</v>
      </c>
      <c r="BQ54" s="169"/>
      <c r="BR54" s="169"/>
      <c r="BS54" s="169"/>
      <c r="BT54" s="376">
        <v>0</v>
      </c>
      <c r="BU54" s="177">
        <v>473</v>
      </c>
      <c r="BV54" s="169">
        <v>5</v>
      </c>
      <c r="BW54" s="169">
        <v>827</v>
      </c>
      <c r="BX54" s="169">
        <v>0</v>
      </c>
      <c r="BY54" s="169">
        <v>0</v>
      </c>
      <c r="BZ54" s="169">
        <v>224</v>
      </c>
      <c r="CA54" s="169">
        <v>0</v>
      </c>
      <c r="CB54" s="169">
        <v>0</v>
      </c>
      <c r="CC54" s="169">
        <v>0</v>
      </c>
      <c r="CD54" s="169"/>
      <c r="CE54" s="169"/>
      <c r="CF54" s="177">
        <v>1529</v>
      </c>
      <c r="CG54" s="377"/>
      <c r="CH54" s="169">
        <v>0</v>
      </c>
      <c r="CI54" s="376">
        <v>0</v>
      </c>
      <c r="CJ54" s="177"/>
      <c r="CK54" s="174"/>
      <c r="CL54" s="177"/>
      <c r="CM54" s="169"/>
      <c r="CN54" s="169"/>
      <c r="CO54" s="177"/>
      <c r="CP54" s="174"/>
      <c r="CQ54" s="177"/>
      <c r="CR54" s="169"/>
      <c r="CS54" s="169"/>
      <c r="CT54" s="169"/>
      <c r="CU54" s="177"/>
      <c r="CV54" s="174"/>
      <c r="CW54" s="177">
        <v>0</v>
      </c>
      <c r="CX54" s="377">
        <v>0</v>
      </c>
      <c r="CY54" s="169"/>
      <c r="CZ54" s="169"/>
      <c r="DA54" s="376">
        <v>0</v>
      </c>
      <c r="DB54" s="174">
        <v>2376</v>
      </c>
      <c r="DC54" s="179">
        <f>2376/921748</f>
        <v>2.5777110446673062E-3</v>
      </c>
    </row>
    <row r="55" spans="2:107" x14ac:dyDescent="0.2">
      <c r="B55" s="172" t="s">
        <v>91</v>
      </c>
      <c r="C55" s="377"/>
      <c r="D55" s="169"/>
      <c r="E55" s="169"/>
      <c r="F55" s="376"/>
      <c r="G55" s="177">
        <v>468</v>
      </c>
      <c r="H55" s="169">
        <v>225</v>
      </c>
      <c r="I55" s="169">
        <v>2</v>
      </c>
      <c r="J55" s="169">
        <v>0</v>
      </c>
      <c r="K55" s="169"/>
      <c r="L55" s="169">
        <v>2</v>
      </c>
      <c r="M55" s="177">
        <v>697</v>
      </c>
      <c r="N55" s="174">
        <v>0</v>
      </c>
      <c r="O55" s="177">
        <v>6543</v>
      </c>
      <c r="P55" s="169">
        <v>0</v>
      </c>
      <c r="Q55" s="177">
        <v>6543</v>
      </c>
      <c r="R55" s="377">
        <v>0</v>
      </c>
      <c r="S55" s="169">
        <v>0</v>
      </c>
      <c r="T55" s="169"/>
      <c r="U55" s="376">
        <v>0</v>
      </c>
      <c r="V55" s="177"/>
      <c r="W55" s="169"/>
      <c r="X55" s="177"/>
      <c r="Y55" s="174"/>
      <c r="Z55" s="177">
        <v>67</v>
      </c>
      <c r="AA55" s="169">
        <v>0</v>
      </c>
      <c r="AB55" s="169">
        <v>13</v>
      </c>
      <c r="AC55" s="169"/>
      <c r="AD55" s="169">
        <v>1</v>
      </c>
      <c r="AE55" s="169"/>
      <c r="AF55" s="169"/>
      <c r="AG55" s="169"/>
      <c r="AH55" s="177">
        <v>81</v>
      </c>
      <c r="AI55" s="174"/>
      <c r="AJ55" s="177">
        <v>0</v>
      </c>
      <c r="AK55" s="169"/>
      <c r="AL55" s="169"/>
      <c r="AM55" s="169"/>
      <c r="AN55" s="169"/>
      <c r="AO55" s="169"/>
      <c r="AP55" s="169"/>
      <c r="AQ55" s="169"/>
      <c r="AR55" s="169"/>
      <c r="AS55" s="169">
        <v>0</v>
      </c>
      <c r="AT55" s="169">
        <v>0</v>
      </c>
      <c r="AU55" s="169"/>
      <c r="AV55" s="177">
        <v>0</v>
      </c>
      <c r="AW55" s="377">
        <v>0</v>
      </c>
      <c r="AX55" s="169">
        <v>3307</v>
      </c>
      <c r="AY55" s="169">
        <v>0</v>
      </c>
      <c r="AZ55" s="169">
        <v>0</v>
      </c>
      <c r="BA55" s="169">
        <v>0</v>
      </c>
      <c r="BB55" s="169">
        <v>30</v>
      </c>
      <c r="BC55" s="169">
        <v>0</v>
      </c>
      <c r="BD55" s="169">
        <v>0</v>
      </c>
      <c r="BE55" s="376">
        <v>3337</v>
      </c>
      <c r="BF55" s="177">
        <v>0</v>
      </c>
      <c r="BG55" s="169">
        <v>144</v>
      </c>
      <c r="BH55" s="169">
        <v>1822</v>
      </c>
      <c r="BI55" s="169">
        <v>29</v>
      </c>
      <c r="BJ55" s="169">
        <v>0</v>
      </c>
      <c r="BK55" s="169"/>
      <c r="BL55" s="177">
        <v>1995</v>
      </c>
      <c r="BM55" s="174"/>
      <c r="BN55" s="177">
        <v>0</v>
      </c>
      <c r="BO55" s="377">
        <v>0</v>
      </c>
      <c r="BP55" s="169">
        <v>0</v>
      </c>
      <c r="BQ55" s="169"/>
      <c r="BR55" s="169"/>
      <c r="BS55" s="169"/>
      <c r="BT55" s="376">
        <v>0</v>
      </c>
      <c r="BU55" s="177">
        <v>4622</v>
      </c>
      <c r="BV55" s="169">
        <v>513</v>
      </c>
      <c r="BW55" s="169">
        <v>752</v>
      </c>
      <c r="BX55" s="169">
        <v>0</v>
      </c>
      <c r="BY55" s="169">
        <v>0</v>
      </c>
      <c r="BZ55" s="169">
        <v>2759</v>
      </c>
      <c r="CA55" s="169">
        <v>0</v>
      </c>
      <c r="CB55" s="169">
        <v>0</v>
      </c>
      <c r="CC55" s="169">
        <v>0</v>
      </c>
      <c r="CD55" s="169"/>
      <c r="CE55" s="169">
        <v>0</v>
      </c>
      <c r="CF55" s="177">
        <v>8646</v>
      </c>
      <c r="CG55" s="377"/>
      <c r="CH55" s="169"/>
      <c r="CI55" s="376"/>
      <c r="CJ55" s="177"/>
      <c r="CK55" s="174">
        <v>0</v>
      </c>
      <c r="CL55" s="177"/>
      <c r="CM55" s="169"/>
      <c r="CN55" s="169"/>
      <c r="CO55" s="177"/>
      <c r="CP55" s="174">
        <v>0</v>
      </c>
      <c r="CQ55" s="177">
        <v>0</v>
      </c>
      <c r="CR55" s="169"/>
      <c r="CS55" s="169"/>
      <c r="CT55" s="169"/>
      <c r="CU55" s="177">
        <v>0</v>
      </c>
      <c r="CV55" s="174"/>
      <c r="CW55" s="177">
        <v>0</v>
      </c>
      <c r="CX55" s="377">
        <v>14</v>
      </c>
      <c r="CY55" s="169"/>
      <c r="CZ55" s="169"/>
      <c r="DA55" s="376">
        <v>14</v>
      </c>
      <c r="DB55" s="174">
        <v>21313</v>
      </c>
      <c r="DC55" s="179">
        <f>21313/921748</f>
        <v>2.3122371841327566E-2</v>
      </c>
    </row>
    <row r="56" spans="2:107" x14ac:dyDescent="0.2">
      <c r="B56" s="172" t="s">
        <v>113</v>
      </c>
      <c r="C56" s="377"/>
      <c r="D56" s="169"/>
      <c r="E56" s="169"/>
      <c r="F56" s="376"/>
      <c r="G56" s="177">
        <v>0</v>
      </c>
      <c r="H56" s="169">
        <v>65</v>
      </c>
      <c r="I56" s="169">
        <v>2</v>
      </c>
      <c r="J56" s="169">
        <v>0</v>
      </c>
      <c r="K56" s="169">
        <v>0</v>
      </c>
      <c r="L56" s="169">
        <v>2</v>
      </c>
      <c r="M56" s="177">
        <v>69</v>
      </c>
      <c r="N56" s="174"/>
      <c r="O56" s="177">
        <v>4599</v>
      </c>
      <c r="P56" s="169">
        <v>0</v>
      </c>
      <c r="Q56" s="177">
        <v>4599</v>
      </c>
      <c r="R56" s="377">
        <v>0</v>
      </c>
      <c r="S56" s="169">
        <v>0</v>
      </c>
      <c r="T56" s="169"/>
      <c r="U56" s="376">
        <v>0</v>
      </c>
      <c r="V56" s="177"/>
      <c r="W56" s="169"/>
      <c r="X56" s="177"/>
      <c r="Y56" s="174">
        <v>4</v>
      </c>
      <c r="Z56" s="177">
        <v>35</v>
      </c>
      <c r="AA56" s="169">
        <v>0</v>
      </c>
      <c r="AB56" s="169">
        <v>52</v>
      </c>
      <c r="AC56" s="169"/>
      <c r="AD56" s="169">
        <v>1</v>
      </c>
      <c r="AE56" s="169"/>
      <c r="AF56" s="169"/>
      <c r="AG56" s="169"/>
      <c r="AH56" s="177">
        <v>88</v>
      </c>
      <c r="AI56" s="174"/>
      <c r="AJ56" s="177">
        <v>0</v>
      </c>
      <c r="AK56" s="169">
        <v>0</v>
      </c>
      <c r="AL56" s="169"/>
      <c r="AM56" s="169">
        <v>0</v>
      </c>
      <c r="AN56" s="169"/>
      <c r="AO56" s="169">
        <v>0</v>
      </c>
      <c r="AP56" s="169"/>
      <c r="AQ56" s="169"/>
      <c r="AR56" s="169">
        <v>0</v>
      </c>
      <c r="AS56" s="169"/>
      <c r="AT56" s="169"/>
      <c r="AU56" s="169"/>
      <c r="AV56" s="177">
        <v>0</v>
      </c>
      <c r="AW56" s="377">
        <v>0</v>
      </c>
      <c r="AX56" s="169">
        <v>1287</v>
      </c>
      <c r="AY56" s="169">
        <v>0</v>
      </c>
      <c r="AZ56" s="169">
        <v>0</v>
      </c>
      <c r="BA56" s="169">
        <v>0</v>
      </c>
      <c r="BB56" s="169">
        <v>26</v>
      </c>
      <c r="BC56" s="169">
        <v>0</v>
      </c>
      <c r="BD56" s="169">
        <v>0</v>
      </c>
      <c r="BE56" s="376">
        <v>1313</v>
      </c>
      <c r="BF56" s="177">
        <v>0</v>
      </c>
      <c r="BG56" s="169">
        <v>59</v>
      </c>
      <c r="BH56" s="169">
        <v>944</v>
      </c>
      <c r="BI56" s="169">
        <v>18</v>
      </c>
      <c r="BJ56" s="169">
        <v>0</v>
      </c>
      <c r="BK56" s="169"/>
      <c r="BL56" s="177">
        <v>1021</v>
      </c>
      <c r="BM56" s="174"/>
      <c r="BN56" s="177">
        <v>0</v>
      </c>
      <c r="BO56" s="377">
        <v>0</v>
      </c>
      <c r="BP56" s="169">
        <v>0</v>
      </c>
      <c r="BQ56" s="169">
        <v>0</v>
      </c>
      <c r="BR56" s="169"/>
      <c r="BS56" s="169"/>
      <c r="BT56" s="376">
        <v>0</v>
      </c>
      <c r="BU56" s="177">
        <v>8819</v>
      </c>
      <c r="BV56" s="169">
        <v>9</v>
      </c>
      <c r="BW56" s="169">
        <v>2132</v>
      </c>
      <c r="BX56" s="169">
        <v>1</v>
      </c>
      <c r="BY56" s="169">
        <v>0</v>
      </c>
      <c r="BZ56" s="169">
        <v>2832</v>
      </c>
      <c r="CA56" s="169">
        <v>0</v>
      </c>
      <c r="CB56" s="169">
        <v>0</v>
      </c>
      <c r="CC56" s="169">
        <v>0</v>
      </c>
      <c r="CD56" s="169">
        <v>0</v>
      </c>
      <c r="CE56" s="169">
        <v>0</v>
      </c>
      <c r="CF56" s="177">
        <v>13793</v>
      </c>
      <c r="CG56" s="377"/>
      <c r="CH56" s="169">
        <v>0</v>
      </c>
      <c r="CI56" s="376">
        <v>0</v>
      </c>
      <c r="CJ56" s="177"/>
      <c r="CK56" s="174"/>
      <c r="CL56" s="177"/>
      <c r="CM56" s="169"/>
      <c r="CN56" s="169"/>
      <c r="CO56" s="177"/>
      <c r="CP56" s="174"/>
      <c r="CQ56" s="177">
        <v>1</v>
      </c>
      <c r="CR56" s="169"/>
      <c r="CS56" s="169"/>
      <c r="CT56" s="169"/>
      <c r="CU56" s="177">
        <v>1</v>
      </c>
      <c r="CV56" s="174"/>
      <c r="CW56" s="177">
        <v>0</v>
      </c>
      <c r="CX56" s="377">
        <v>0</v>
      </c>
      <c r="CY56" s="169">
        <v>0</v>
      </c>
      <c r="CZ56" s="169">
        <v>0</v>
      </c>
      <c r="DA56" s="376">
        <v>0</v>
      </c>
      <c r="DB56" s="174">
        <v>20888</v>
      </c>
      <c r="DC56" s="179">
        <f>20888/921748</f>
        <v>2.2661291372479245E-2</v>
      </c>
    </row>
    <row r="57" spans="2:107" x14ac:dyDescent="0.2">
      <c r="B57" s="172" t="s">
        <v>118</v>
      </c>
      <c r="C57" s="377">
        <v>0</v>
      </c>
      <c r="D57" s="169"/>
      <c r="E57" s="169"/>
      <c r="F57" s="376">
        <v>0</v>
      </c>
      <c r="G57" s="177">
        <v>2</v>
      </c>
      <c r="H57" s="169">
        <v>1781</v>
      </c>
      <c r="I57" s="169">
        <v>34</v>
      </c>
      <c r="J57" s="169">
        <v>1</v>
      </c>
      <c r="K57" s="169">
        <v>0</v>
      </c>
      <c r="L57" s="169">
        <v>42</v>
      </c>
      <c r="M57" s="177">
        <v>1860</v>
      </c>
      <c r="N57" s="174">
        <v>0</v>
      </c>
      <c r="O57" s="177">
        <v>67773</v>
      </c>
      <c r="P57" s="169">
        <v>0</v>
      </c>
      <c r="Q57" s="177">
        <v>67773</v>
      </c>
      <c r="R57" s="377">
        <v>0</v>
      </c>
      <c r="S57" s="169"/>
      <c r="T57" s="169"/>
      <c r="U57" s="376">
        <v>0</v>
      </c>
      <c r="V57" s="177"/>
      <c r="W57" s="169"/>
      <c r="X57" s="177"/>
      <c r="Y57" s="174">
        <v>0</v>
      </c>
      <c r="Z57" s="177">
        <v>3561</v>
      </c>
      <c r="AA57" s="169">
        <v>0</v>
      </c>
      <c r="AB57" s="169">
        <v>882</v>
      </c>
      <c r="AC57" s="169">
        <v>0</v>
      </c>
      <c r="AD57" s="169">
        <v>120</v>
      </c>
      <c r="AE57" s="169"/>
      <c r="AF57" s="169">
        <v>0</v>
      </c>
      <c r="AG57" s="169"/>
      <c r="AH57" s="177">
        <v>4563</v>
      </c>
      <c r="AI57" s="174"/>
      <c r="AJ57" s="177">
        <v>0</v>
      </c>
      <c r="AK57" s="169">
        <v>0</v>
      </c>
      <c r="AL57" s="169">
        <v>0</v>
      </c>
      <c r="AM57" s="169">
        <v>0</v>
      </c>
      <c r="AN57" s="169"/>
      <c r="AO57" s="169">
        <v>0</v>
      </c>
      <c r="AP57" s="169">
        <v>0</v>
      </c>
      <c r="AQ57" s="169"/>
      <c r="AR57" s="169"/>
      <c r="AS57" s="169">
        <v>0</v>
      </c>
      <c r="AT57" s="169">
        <v>0</v>
      </c>
      <c r="AU57" s="169"/>
      <c r="AV57" s="177">
        <v>0</v>
      </c>
      <c r="AW57" s="377">
        <v>0</v>
      </c>
      <c r="AX57" s="169">
        <v>13510</v>
      </c>
      <c r="AY57" s="169">
        <v>0</v>
      </c>
      <c r="AZ57" s="169">
        <v>0</v>
      </c>
      <c r="BA57" s="169">
        <v>0</v>
      </c>
      <c r="BB57" s="169">
        <v>1538</v>
      </c>
      <c r="BC57" s="169">
        <v>0</v>
      </c>
      <c r="BD57" s="169"/>
      <c r="BE57" s="376">
        <v>15048</v>
      </c>
      <c r="BF57" s="177">
        <v>0</v>
      </c>
      <c r="BG57" s="169">
        <v>1172</v>
      </c>
      <c r="BH57" s="169">
        <v>921</v>
      </c>
      <c r="BI57" s="169">
        <v>944</v>
      </c>
      <c r="BJ57" s="169">
        <v>0</v>
      </c>
      <c r="BK57" s="169">
        <v>0</v>
      </c>
      <c r="BL57" s="177">
        <v>3037</v>
      </c>
      <c r="BM57" s="174"/>
      <c r="BN57" s="177">
        <v>0</v>
      </c>
      <c r="BO57" s="377">
        <v>0</v>
      </c>
      <c r="BP57" s="169">
        <v>0</v>
      </c>
      <c r="BQ57" s="169"/>
      <c r="BR57" s="169"/>
      <c r="BS57" s="169"/>
      <c r="BT57" s="376">
        <v>0</v>
      </c>
      <c r="BU57" s="177">
        <v>12934</v>
      </c>
      <c r="BV57" s="169">
        <v>62</v>
      </c>
      <c r="BW57" s="169">
        <v>5899</v>
      </c>
      <c r="BX57" s="169">
        <v>9</v>
      </c>
      <c r="BY57" s="169">
        <v>0</v>
      </c>
      <c r="BZ57" s="169">
        <v>5477</v>
      </c>
      <c r="CA57" s="169">
        <v>0</v>
      </c>
      <c r="CB57" s="169">
        <v>22</v>
      </c>
      <c r="CC57" s="169">
        <v>0</v>
      </c>
      <c r="CD57" s="169"/>
      <c r="CE57" s="169">
        <v>0</v>
      </c>
      <c r="CF57" s="177">
        <v>24403</v>
      </c>
      <c r="CG57" s="377"/>
      <c r="CH57" s="169">
        <v>0</v>
      </c>
      <c r="CI57" s="376">
        <v>0</v>
      </c>
      <c r="CJ57" s="177"/>
      <c r="CK57" s="174"/>
      <c r="CL57" s="177"/>
      <c r="CM57" s="169"/>
      <c r="CN57" s="169"/>
      <c r="CO57" s="177"/>
      <c r="CP57" s="174"/>
      <c r="CQ57" s="177">
        <v>0</v>
      </c>
      <c r="CR57" s="169"/>
      <c r="CS57" s="169">
        <v>0</v>
      </c>
      <c r="CT57" s="169"/>
      <c r="CU57" s="177">
        <v>0</v>
      </c>
      <c r="CV57" s="174">
        <v>0</v>
      </c>
      <c r="CW57" s="177">
        <v>0</v>
      </c>
      <c r="CX57" s="377">
        <v>2</v>
      </c>
      <c r="CY57" s="169">
        <v>0</v>
      </c>
      <c r="CZ57" s="169"/>
      <c r="DA57" s="376">
        <v>2</v>
      </c>
      <c r="DB57" s="174">
        <v>116686</v>
      </c>
      <c r="DC57" s="179">
        <f>116686/921748</f>
        <v>0.12659208373655273</v>
      </c>
    </row>
    <row r="58" spans="2:107" x14ac:dyDescent="0.2">
      <c r="B58" s="172" t="s">
        <v>120</v>
      </c>
      <c r="C58" s="377">
        <v>0</v>
      </c>
      <c r="D58" s="169"/>
      <c r="E58" s="169"/>
      <c r="F58" s="376">
        <v>0</v>
      </c>
      <c r="G58" s="177">
        <v>0</v>
      </c>
      <c r="H58" s="169">
        <v>55</v>
      </c>
      <c r="I58" s="169">
        <v>14</v>
      </c>
      <c r="J58" s="169">
        <v>0</v>
      </c>
      <c r="K58" s="169"/>
      <c r="L58" s="169">
        <v>0</v>
      </c>
      <c r="M58" s="177">
        <v>69</v>
      </c>
      <c r="N58" s="174"/>
      <c r="O58" s="177">
        <v>4772</v>
      </c>
      <c r="P58" s="169">
        <v>0</v>
      </c>
      <c r="Q58" s="177">
        <v>4772</v>
      </c>
      <c r="R58" s="377">
        <v>0</v>
      </c>
      <c r="S58" s="169"/>
      <c r="T58" s="169"/>
      <c r="U58" s="376">
        <v>0</v>
      </c>
      <c r="V58" s="177"/>
      <c r="W58" s="169"/>
      <c r="X58" s="177"/>
      <c r="Y58" s="174"/>
      <c r="Z58" s="177">
        <v>84</v>
      </c>
      <c r="AA58" s="169">
        <v>0</v>
      </c>
      <c r="AB58" s="169">
        <v>2</v>
      </c>
      <c r="AC58" s="169"/>
      <c r="AD58" s="169">
        <v>11</v>
      </c>
      <c r="AE58" s="169"/>
      <c r="AF58" s="169"/>
      <c r="AG58" s="169"/>
      <c r="AH58" s="177">
        <v>97</v>
      </c>
      <c r="AI58" s="174"/>
      <c r="AJ58" s="177"/>
      <c r="AK58" s="169"/>
      <c r="AL58" s="169"/>
      <c r="AM58" s="169"/>
      <c r="AN58" s="169"/>
      <c r="AO58" s="169"/>
      <c r="AP58" s="169"/>
      <c r="AQ58" s="169"/>
      <c r="AR58" s="169"/>
      <c r="AS58" s="169"/>
      <c r="AT58" s="169">
        <v>0</v>
      </c>
      <c r="AU58" s="169"/>
      <c r="AV58" s="177">
        <v>0</v>
      </c>
      <c r="AW58" s="377">
        <v>0</v>
      </c>
      <c r="AX58" s="169">
        <v>1034</v>
      </c>
      <c r="AY58" s="169">
        <v>0</v>
      </c>
      <c r="AZ58" s="169">
        <v>0</v>
      </c>
      <c r="BA58" s="169">
        <v>0</v>
      </c>
      <c r="BB58" s="169">
        <v>35</v>
      </c>
      <c r="BC58" s="169">
        <v>0</v>
      </c>
      <c r="BD58" s="169"/>
      <c r="BE58" s="376">
        <v>1069</v>
      </c>
      <c r="BF58" s="177">
        <v>0</v>
      </c>
      <c r="BG58" s="169">
        <v>33</v>
      </c>
      <c r="BH58" s="169">
        <v>43</v>
      </c>
      <c r="BI58" s="169">
        <v>46</v>
      </c>
      <c r="BJ58" s="169">
        <v>0</v>
      </c>
      <c r="BK58" s="169"/>
      <c r="BL58" s="177">
        <v>122</v>
      </c>
      <c r="BM58" s="174"/>
      <c r="BN58" s="177"/>
      <c r="BO58" s="377">
        <v>0</v>
      </c>
      <c r="BP58" s="169">
        <v>0</v>
      </c>
      <c r="BQ58" s="169"/>
      <c r="BR58" s="169"/>
      <c r="BS58" s="169"/>
      <c r="BT58" s="376">
        <v>0</v>
      </c>
      <c r="BU58" s="177">
        <v>739</v>
      </c>
      <c r="BV58" s="169">
        <v>11</v>
      </c>
      <c r="BW58" s="169">
        <v>505</v>
      </c>
      <c r="BX58" s="169">
        <v>2</v>
      </c>
      <c r="BY58" s="169">
        <v>0</v>
      </c>
      <c r="BZ58" s="169">
        <v>337</v>
      </c>
      <c r="CA58" s="169">
        <v>0</v>
      </c>
      <c r="CB58" s="169">
        <v>12</v>
      </c>
      <c r="CC58" s="169">
        <v>0</v>
      </c>
      <c r="CD58" s="169"/>
      <c r="CE58" s="169"/>
      <c r="CF58" s="177">
        <v>1606</v>
      </c>
      <c r="CG58" s="377"/>
      <c r="CH58" s="169"/>
      <c r="CI58" s="376"/>
      <c r="CJ58" s="177"/>
      <c r="CK58" s="174"/>
      <c r="CL58" s="177"/>
      <c r="CM58" s="169"/>
      <c r="CN58" s="169"/>
      <c r="CO58" s="177"/>
      <c r="CP58" s="174"/>
      <c r="CQ58" s="177">
        <v>0</v>
      </c>
      <c r="CR58" s="169"/>
      <c r="CS58" s="169"/>
      <c r="CT58" s="169"/>
      <c r="CU58" s="177">
        <v>0</v>
      </c>
      <c r="CV58" s="174"/>
      <c r="CW58" s="177">
        <v>0</v>
      </c>
      <c r="CX58" s="377">
        <v>0</v>
      </c>
      <c r="CY58" s="169"/>
      <c r="CZ58" s="169"/>
      <c r="DA58" s="376">
        <v>0</v>
      </c>
      <c r="DB58" s="174">
        <v>7735</v>
      </c>
      <c r="DC58" s="179">
        <f>7735/921748</f>
        <v>8.3916645330393991E-3</v>
      </c>
    </row>
    <row r="59" spans="2:107" x14ac:dyDescent="0.2">
      <c r="B59" s="172" t="s">
        <v>121</v>
      </c>
      <c r="C59" s="377"/>
      <c r="D59" s="169">
        <v>0</v>
      </c>
      <c r="E59" s="169">
        <v>0</v>
      </c>
      <c r="F59" s="376">
        <v>0</v>
      </c>
      <c r="G59" s="177">
        <v>1</v>
      </c>
      <c r="H59" s="169">
        <v>91</v>
      </c>
      <c r="I59" s="169">
        <v>0</v>
      </c>
      <c r="J59" s="169"/>
      <c r="K59" s="169"/>
      <c r="L59" s="169">
        <v>2</v>
      </c>
      <c r="M59" s="177">
        <v>94</v>
      </c>
      <c r="N59" s="174">
        <v>0</v>
      </c>
      <c r="O59" s="177">
        <v>21546</v>
      </c>
      <c r="P59" s="169">
        <v>0</v>
      </c>
      <c r="Q59" s="177">
        <v>21546</v>
      </c>
      <c r="R59" s="377">
        <v>0</v>
      </c>
      <c r="S59" s="169">
        <v>0</v>
      </c>
      <c r="T59" s="169"/>
      <c r="U59" s="376">
        <v>0</v>
      </c>
      <c r="V59" s="177"/>
      <c r="W59" s="169"/>
      <c r="X59" s="177"/>
      <c r="Y59" s="174">
        <v>0</v>
      </c>
      <c r="Z59" s="177">
        <v>115</v>
      </c>
      <c r="AA59" s="169">
        <v>0</v>
      </c>
      <c r="AB59" s="169">
        <v>33</v>
      </c>
      <c r="AC59" s="169"/>
      <c r="AD59" s="169">
        <v>8</v>
      </c>
      <c r="AE59" s="169"/>
      <c r="AF59" s="169"/>
      <c r="AG59" s="169"/>
      <c r="AH59" s="177">
        <v>156</v>
      </c>
      <c r="AI59" s="174"/>
      <c r="AJ59" s="177"/>
      <c r="AK59" s="169">
        <v>0</v>
      </c>
      <c r="AL59" s="169"/>
      <c r="AM59" s="169"/>
      <c r="AN59" s="169"/>
      <c r="AO59" s="169"/>
      <c r="AP59" s="169">
        <v>0</v>
      </c>
      <c r="AQ59" s="169"/>
      <c r="AR59" s="169">
        <v>0</v>
      </c>
      <c r="AS59" s="169">
        <v>0</v>
      </c>
      <c r="AT59" s="169"/>
      <c r="AU59" s="169"/>
      <c r="AV59" s="177">
        <v>0</v>
      </c>
      <c r="AW59" s="377">
        <v>0</v>
      </c>
      <c r="AX59" s="169">
        <v>4229</v>
      </c>
      <c r="AY59" s="169">
        <v>0</v>
      </c>
      <c r="AZ59" s="169">
        <v>0</v>
      </c>
      <c r="BA59" s="169"/>
      <c r="BB59" s="169">
        <v>14</v>
      </c>
      <c r="BC59" s="169">
        <v>0</v>
      </c>
      <c r="BD59" s="169">
        <v>0</v>
      </c>
      <c r="BE59" s="376">
        <v>4243</v>
      </c>
      <c r="BF59" s="177">
        <v>0</v>
      </c>
      <c r="BG59" s="169">
        <v>63</v>
      </c>
      <c r="BH59" s="169">
        <v>3959</v>
      </c>
      <c r="BI59" s="169">
        <v>37</v>
      </c>
      <c r="BJ59" s="169">
        <v>0</v>
      </c>
      <c r="BK59" s="169">
        <v>0</v>
      </c>
      <c r="BL59" s="177">
        <v>4059</v>
      </c>
      <c r="BM59" s="174"/>
      <c r="BN59" s="177">
        <v>0</v>
      </c>
      <c r="BO59" s="377">
        <v>0</v>
      </c>
      <c r="BP59" s="169">
        <v>0</v>
      </c>
      <c r="BQ59" s="169"/>
      <c r="BR59" s="169"/>
      <c r="BS59" s="169"/>
      <c r="BT59" s="376">
        <v>0</v>
      </c>
      <c r="BU59" s="177">
        <v>201</v>
      </c>
      <c r="BV59" s="169">
        <v>1</v>
      </c>
      <c r="BW59" s="169">
        <v>190</v>
      </c>
      <c r="BX59" s="169">
        <v>0</v>
      </c>
      <c r="BY59" s="169">
        <v>0</v>
      </c>
      <c r="BZ59" s="169">
        <v>3174</v>
      </c>
      <c r="CA59" s="169">
        <v>0</v>
      </c>
      <c r="CB59" s="169">
        <v>0</v>
      </c>
      <c r="CC59" s="169">
        <v>0</v>
      </c>
      <c r="CD59" s="169"/>
      <c r="CE59" s="169">
        <v>0</v>
      </c>
      <c r="CF59" s="177">
        <v>3566</v>
      </c>
      <c r="CG59" s="377"/>
      <c r="CH59" s="169">
        <v>0</v>
      </c>
      <c r="CI59" s="376">
        <v>0</v>
      </c>
      <c r="CJ59" s="177"/>
      <c r="CK59" s="174"/>
      <c r="CL59" s="177"/>
      <c r="CM59" s="169"/>
      <c r="CN59" s="169"/>
      <c r="CO59" s="177"/>
      <c r="CP59" s="174"/>
      <c r="CQ59" s="177">
        <v>15</v>
      </c>
      <c r="CR59" s="169"/>
      <c r="CS59" s="169">
        <v>0</v>
      </c>
      <c r="CT59" s="169"/>
      <c r="CU59" s="177">
        <v>15</v>
      </c>
      <c r="CV59" s="174"/>
      <c r="CW59" s="177">
        <v>0</v>
      </c>
      <c r="CX59" s="377">
        <v>0</v>
      </c>
      <c r="CY59" s="169">
        <v>0</v>
      </c>
      <c r="CZ59" s="169"/>
      <c r="DA59" s="376">
        <v>0</v>
      </c>
      <c r="DB59" s="174">
        <v>33679</v>
      </c>
      <c r="DC59" s="179">
        <f>33679/921748</f>
        <v>3.6538186141982405E-2</v>
      </c>
    </row>
    <row r="60" spans="2:107" x14ac:dyDescent="0.2">
      <c r="B60" s="172" t="s">
        <v>123</v>
      </c>
      <c r="C60" s="377"/>
      <c r="D60" s="169"/>
      <c r="E60" s="169"/>
      <c r="F60" s="376"/>
      <c r="G60" s="177">
        <v>0</v>
      </c>
      <c r="H60" s="169">
        <v>35</v>
      </c>
      <c r="I60" s="169">
        <v>0</v>
      </c>
      <c r="J60" s="169">
        <v>0</v>
      </c>
      <c r="K60" s="169">
        <v>0</v>
      </c>
      <c r="L60" s="169">
        <v>3</v>
      </c>
      <c r="M60" s="177">
        <v>38</v>
      </c>
      <c r="N60" s="174"/>
      <c r="O60" s="177">
        <v>1684</v>
      </c>
      <c r="P60" s="169">
        <v>0</v>
      </c>
      <c r="Q60" s="177">
        <v>1684</v>
      </c>
      <c r="R60" s="377">
        <v>0</v>
      </c>
      <c r="S60" s="169"/>
      <c r="T60" s="169"/>
      <c r="U60" s="376">
        <v>0</v>
      </c>
      <c r="V60" s="177">
        <v>0</v>
      </c>
      <c r="W60" s="169"/>
      <c r="X60" s="177">
        <v>0</v>
      </c>
      <c r="Y60" s="174">
        <v>0</v>
      </c>
      <c r="Z60" s="177">
        <v>15</v>
      </c>
      <c r="AA60" s="169">
        <v>0</v>
      </c>
      <c r="AB60" s="169">
        <v>33</v>
      </c>
      <c r="AC60" s="169"/>
      <c r="AD60" s="169"/>
      <c r="AE60" s="169"/>
      <c r="AF60" s="169"/>
      <c r="AG60" s="169"/>
      <c r="AH60" s="177">
        <v>48</v>
      </c>
      <c r="AI60" s="174"/>
      <c r="AJ60" s="177">
        <v>0</v>
      </c>
      <c r="AK60" s="169">
        <v>0</v>
      </c>
      <c r="AL60" s="169"/>
      <c r="AM60" s="169"/>
      <c r="AN60" s="169"/>
      <c r="AO60" s="169"/>
      <c r="AP60" s="169"/>
      <c r="AQ60" s="169"/>
      <c r="AR60" s="169"/>
      <c r="AS60" s="169"/>
      <c r="AT60" s="169"/>
      <c r="AU60" s="169"/>
      <c r="AV60" s="177">
        <v>0</v>
      </c>
      <c r="AW60" s="377">
        <v>0</v>
      </c>
      <c r="AX60" s="169">
        <v>194</v>
      </c>
      <c r="AY60" s="169">
        <v>0</v>
      </c>
      <c r="AZ60" s="169">
        <v>0</v>
      </c>
      <c r="BA60" s="169"/>
      <c r="BB60" s="169">
        <v>9</v>
      </c>
      <c r="BC60" s="169"/>
      <c r="BD60" s="169">
        <v>0</v>
      </c>
      <c r="BE60" s="376">
        <v>203</v>
      </c>
      <c r="BF60" s="177">
        <v>0</v>
      </c>
      <c r="BG60" s="169">
        <v>14</v>
      </c>
      <c r="BH60" s="169">
        <v>102</v>
      </c>
      <c r="BI60" s="169">
        <v>5</v>
      </c>
      <c r="BJ60" s="169">
        <v>0</v>
      </c>
      <c r="BK60" s="169"/>
      <c r="BL60" s="177">
        <v>121</v>
      </c>
      <c r="BM60" s="174"/>
      <c r="BN60" s="177">
        <v>0</v>
      </c>
      <c r="BO60" s="377">
        <v>0</v>
      </c>
      <c r="BP60" s="169">
        <v>0</v>
      </c>
      <c r="BQ60" s="169"/>
      <c r="BR60" s="169">
        <v>0</v>
      </c>
      <c r="BS60" s="169"/>
      <c r="BT60" s="376">
        <v>0</v>
      </c>
      <c r="BU60" s="177">
        <v>789</v>
      </c>
      <c r="BV60" s="169">
        <v>2</v>
      </c>
      <c r="BW60" s="169">
        <v>712</v>
      </c>
      <c r="BX60" s="169">
        <v>0</v>
      </c>
      <c r="BY60" s="169">
        <v>0</v>
      </c>
      <c r="BZ60" s="169">
        <v>354</v>
      </c>
      <c r="CA60" s="169">
        <v>0</v>
      </c>
      <c r="CB60" s="169">
        <v>0</v>
      </c>
      <c r="CC60" s="169">
        <v>0</v>
      </c>
      <c r="CD60" s="169">
        <v>0</v>
      </c>
      <c r="CE60" s="169">
        <v>0</v>
      </c>
      <c r="CF60" s="177">
        <v>1857</v>
      </c>
      <c r="CG60" s="377"/>
      <c r="CH60" s="169">
        <v>4</v>
      </c>
      <c r="CI60" s="376">
        <v>4</v>
      </c>
      <c r="CJ60" s="177"/>
      <c r="CK60" s="174"/>
      <c r="CL60" s="177">
        <v>2</v>
      </c>
      <c r="CM60" s="169"/>
      <c r="CN60" s="169"/>
      <c r="CO60" s="177">
        <v>2</v>
      </c>
      <c r="CP60" s="174"/>
      <c r="CQ60" s="177">
        <v>1</v>
      </c>
      <c r="CR60" s="169"/>
      <c r="CS60" s="169"/>
      <c r="CT60" s="169"/>
      <c r="CU60" s="177">
        <v>1</v>
      </c>
      <c r="CV60" s="174">
        <v>0</v>
      </c>
      <c r="CW60" s="177">
        <v>0</v>
      </c>
      <c r="CX60" s="377">
        <v>0</v>
      </c>
      <c r="CY60" s="169"/>
      <c r="CZ60" s="169"/>
      <c r="DA60" s="376">
        <v>0</v>
      </c>
      <c r="DB60" s="174">
        <v>3958</v>
      </c>
      <c r="DC60" s="179">
        <f>3958/921748</f>
        <v>4.2940152840038708E-3</v>
      </c>
    </row>
    <row r="61" spans="2:107" x14ac:dyDescent="0.2">
      <c r="B61" s="172" t="s">
        <v>124</v>
      </c>
      <c r="C61" s="377">
        <v>0</v>
      </c>
      <c r="D61" s="169"/>
      <c r="E61" s="169"/>
      <c r="F61" s="376">
        <v>0</v>
      </c>
      <c r="G61" s="177">
        <v>32</v>
      </c>
      <c r="H61" s="169">
        <v>62</v>
      </c>
      <c r="I61" s="169">
        <v>0</v>
      </c>
      <c r="J61" s="169">
        <v>0</v>
      </c>
      <c r="K61" s="169"/>
      <c r="L61" s="169">
        <v>1</v>
      </c>
      <c r="M61" s="177">
        <v>95</v>
      </c>
      <c r="N61" s="174"/>
      <c r="O61" s="177">
        <v>1433</v>
      </c>
      <c r="P61" s="169">
        <v>0</v>
      </c>
      <c r="Q61" s="177">
        <v>1433</v>
      </c>
      <c r="R61" s="377">
        <v>0</v>
      </c>
      <c r="S61" s="169"/>
      <c r="T61" s="169"/>
      <c r="U61" s="376">
        <v>0</v>
      </c>
      <c r="V61" s="177"/>
      <c r="W61" s="169"/>
      <c r="X61" s="177"/>
      <c r="Y61" s="174"/>
      <c r="Z61" s="177">
        <v>31</v>
      </c>
      <c r="AA61" s="169">
        <v>0</v>
      </c>
      <c r="AB61" s="169">
        <v>14</v>
      </c>
      <c r="AC61" s="169"/>
      <c r="AD61" s="169"/>
      <c r="AE61" s="169"/>
      <c r="AF61" s="169"/>
      <c r="AG61" s="169"/>
      <c r="AH61" s="177">
        <v>45</v>
      </c>
      <c r="AI61" s="174"/>
      <c r="AJ61" s="177"/>
      <c r="AK61" s="169">
        <v>0</v>
      </c>
      <c r="AL61" s="169"/>
      <c r="AM61" s="169"/>
      <c r="AN61" s="169"/>
      <c r="AO61" s="169"/>
      <c r="AP61" s="169"/>
      <c r="AQ61" s="169"/>
      <c r="AR61" s="169"/>
      <c r="AS61" s="169"/>
      <c r="AT61" s="169"/>
      <c r="AU61" s="169"/>
      <c r="AV61" s="177">
        <v>0</v>
      </c>
      <c r="AW61" s="377">
        <v>0</v>
      </c>
      <c r="AX61" s="169">
        <v>901</v>
      </c>
      <c r="AY61" s="169"/>
      <c r="AZ61" s="169">
        <v>0</v>
      </c>
      <c r="BA61" s="169">
        <v>0</v>
      </c>
      <c r="BB61" s="169">
        <v>34</v>
      </c>
      <c r="BC61" s="169"/>
      <c r="BD61" s="169"/>
      <c r="BE61" s="376">
        <v>935</v>
      </c>
      <c r="BF61" s="177">
        <v>0</v>
      </c>
      <c r="BG61" s="169">
        <v>64</v>
      </c>
      <c r="BH61" s="169">
        <v>438</v>
      </c>
      <c r="BI61" s="169">
        <v>20</v>
      </c>
      <c r="BJ61" s="169">
        <v>0</v>
      </c>
      <c r="BK61" s="169"/>
      <c r="BL61" s="177">
        <v>522</v>
      </c>
      <c r="BM61" s="174"/>
      <c r="BN61" s="177">
        <v>0</v>
      </c>
      <c r="BO61" s="377">
        <v>0</v>
      </c>
      <c r="BP61" s="169">
        <v>0</v>
      </c>
      <c r="BQ61" s="169"/>
      <c r="BR61" s="169"/>
      <c r="BS61" s="169"/>
      <c r="BT61" s="376">
        <v>0</v>
      </c>
      <c r="BU61" s="177">
        <v>1279</v>
      </c>
      <c r="BV61" s="169">
        <v>11</v>
      </c>
      <c r="BW61" s="169">
        <v>270</v>
      </c>
      <c r="BX61" s="169">
        <v>2</v>
      </c>
      <c r="BY61" s="169">
        <v>0</v>
      </c>
      <c r="BZ61" s="169">
        <v>1018</v>
      </c>
      <c r="CA61" s="169">
        <v>0</v>
      </c>
      <c r="CB61" s="169">
        <v>0</v>
      </c>
      <c r="CC61" s="169">
        <v>0</v>
      </c>
      <c r="CD61" s="169"/>
      <c r="CE61" s="169">
        <v>0</v>
      </c>
      <c r="CF61" s="177">
        <v>2580</v>
      </c>
      <c r="CG61" s="377"/>
      <c r="CH61" s="169"/>
      <c r="CI61" s="376"/>
      <c r="CJ61" s="177"/>
      <c r="CK61" s="174"/>
      <c r="CL61" s="177">
        <v>1</v>
      </c>
      <c r="CM61" s="169"/>
      <c r="CN61" s="169"/>
      <c r="CO61" s="177">
        <v>1</v>
      </c>
      <c r="CP61" s="174"/>
      <c r="CQ61" s="177"/>
      <c r="CR61" s="169"/>
      <c r="CS61" s="169"/>
      <c r="CT61" s="169"/>
      <c r="CU61" s="177"/>
      <c r="CV61" s="174"/>
      <c r="CW61" s="177">
        <v>0</v>
      </c>
      <c r="CX61" s="377"/>
      <c r="CY61" s="169"/>
      <c r="CZ61" s="169"/>
      <c r="DA61" s="376"/>
      <c r="DB61" s="174">
        <v>5611</v>
      </c>
      <c r="DC61" s="179">
        <f>5611/921748</f>
        <v>6.0873470840186253E-3</v>
      </c>
    </row>
    <row r="62" spans="2:107" x14ac:dyDescent="0.2">
      <c r="B62" s="172" t="s">
        <v>125</v>
      </c>
      <c r="C62" s="377"/>
      <c r="D62" s="169">
        <v>0</v>
      </c>
      <c r="E62" s="169"/>
      <c r="F62" s="376">
        <v>0</v>
      </c>
      <c r="G62" s="177">
        <v>13</v>
      </c>
      <c r="H62" s="169">
        <v>188</v>
      </c>
      <c r="I62" s="169">
        <v>2</v>
      </c>
      <c r="J62" s="169">
        <v>0</v>
      </c>
      <c r="K62" s="169"/>
      <c r="L62" s="169">
        <v>2</v>
      </c>
      <c r="M62" s="177">
        <v>205</v>
      </c>
      <c r="N62" s="174"/>
      <c r="O62" s="177">
        <v>18434</v>
      </c>
      <c r="P62" s="169">
        <v>0</v>
      </c>
      <c r="Q62" s="177">
        <v>18434</v>
      </c>
      <c r="R62" s="377">
        <v>0</v>
      </c>
      <c r="S62" s="169"/>
      <c r="T62" s="169"/>
      <c r="U62" s="376">
        <v>0</v>
      </c>
      <c r="V62" s="177"/>
      <c r="W62" s="169"/>
      <c r="X62" s="177"/>
      <c r="Y62" s="174">
        <v>0</v>
      </c>
      <c r="Z62" s="177">
        <v>75</v>
      </c>
      <c r="AA62" s="169">
        <v>0</v>
      </c>
      <c r="AB62" s="169">
        <v>7</v>
      </c>
      <c r="AC62" s="169">
        <v>0</v>
      </c>
      <c r="AD62" s="169">
        <v>3</v>
      </c>
      <c r="AE62" s="169"/>
      <c r="AF62" s="169"/>
      <c r="AG62" s="169"/>
      <c r="AH62" s="177">
        <v>85</v>
      </c>
      <c r="AI62" s="174"/>
      <c r="AJ62" s="177">
        <v>0</v>
      </c>
      <c r="AK62" s="169">
        <v>0</v>
      </c>
      <c r="AL62" s="169"/>
      <c r="AM62" s="169"/>
      <c r="AN62" s="169"/>
      <c r="AO62" s="169"/>
      <c r="AP62" s="169">
        <v>0</v>
      </c>
      <c r="AQ62" s="169"/>
      <c r="AR62" s="169">
        <v>0</v>
      </c>
      <c r="AS62" s="169"/>
      <c r="AT62" s="169"/>
      <c r="AU62" s="169">
        <v>0</v>
      </c>
      <c r="AV62" s="177">
        <v>0</v>
      </c>
      <c r="AW62" s="377">
        <v>0</v>
      </c>
      <c r="AX62" s="169">
        <v>10847</v>
      </c>
      <c r="AY62" s="169">
        <v>0</v>
      </c>
      <c r="AZ62" s="169">
        <v>0</v>
      </c>
      <c r="BA62" s="169">
        <v>0</v>
      </c>
      <c r="BB62" s="169">
        <v>8</v>
      </c>
      <c r="BC62" s="169">
        <v>0</v>
      </c>
      <c r="BD62" s="169">
        <v>0</v>
      </c>
      <c r="BE62" s="376">
        <v>10855</v>
      </c>
      <c r="BF62" s="177">
        <v>0</v>
      </c>
      <c r="BG62" s="169">
        <v>35</v>
      </c>
      <c r="BH62" s="169">
        <v>7792</v>
      </c>
      <c r="BI62" s="169">
        <v>44</v>
      </c>
      <c r="BJ62" s="169">
        <v>0</v>
      </c>
      <c r="BK62" s="169"/>
      <c r="BL62" s="177">
        <v>7871</v>
      </c>
      <c r="BM62" s="174"/>
      <c r="BN62" s="177">
        <v>0</v>
      </c>
      <c r="BO62" s="377">
        <v>0</v>
      </c>
      <c r="BP62" s="169">
        <v>0</v>
      </c>
      <c r="BQ62" s="169">
        <v>0</v>
      </c>
      <c r="BR62" s="169"/>
      <c r="BS62" s="169"/>
      <c r="BT62" s="376">
        <v>0</v>
      </c>
      <c r="BU62" s="177">
        <v>6685</v>
      </c>
      <c r="BV62" s="169">
        <v>12</v>
      </c>
      <c r="BW62" s="169">
        <v>803</v>
      </c>
      <c r="BX62" s="169">
        <v>0</v>
      </c>
      <c r="BY62" s="169">
        <v>0</v>
      </c>
      <c r="BZ62" s="169">
        <v>5970</v>
      </c>
      <c r="CA62" s="169">
        <v>0</v>
      </c>
      <c r="CB62" s="169">
        <v>0</v>
      </c>
      <c r="CC62" s="169">
        <v>0</v>
      </c>
      <c r="CD62" s="169">
        <v>0</v>
      </c>
      <c r="CE62" s="169">
        <v>0</v>
      </c>
      <c r="CF62" s="177">
        <v>13470</v>
      </c>
      <c r="CG62" s="377"/>
      <c r="CH62" s="169"/>
      <c r="CI62" s="376"/>
      <c r="CJ62" s="177"/>
      <c r="CK62" s="174"/>
      <c r="CL62" s="177"/>
      <c r="CM62" s="169"/>
      <c r="CN62" s="169"/>
      <c r="CO62" s="177"/>
      <c r="CP62" s="174">
        <v>13</v>
      </c>
      <c r="CQ62" s="177">
        <v>14</v>
      </c>
      <c r="CR62" s="169">
        <v>0</v>
      </c>
      <c r="CS62" s="169">
        <v>0</v>
      </c>
      <c r="CT62" s="169">
        <v>0</v>
      </c>
      <c r="CU62" s="177">
        <v>14</v>
      </c>
      <c r="CV62" s="174">
        <v>0</v>
      </c>
      <c r="CW62" s="177">
        <v>0</v>
      </c>
      <c r="CX62" s="377">
        <v>0</v>
      </c>
      <c r="CY62" s="169"/>
      <c r="CZ62" s="169"/>
      <c r="DA62" s="376">
        <v>0</v>
      </c>
      <c r="DB62" s="174">
        <v>50947</v>
      </c>
      <c r="DC62" s="179">
        <f>50947/921748</f>
        <v>5.52721568150948E-2</v>
      </c>
    </row>
    <row r="63" spans="2:107" x14ac:dyDescent="0.2">
      <c r="B63" s="172" t="s">
        <v>126</v>
      </c>
      <c r="C63" s="377"/>
      <c r="D63" s="169"/>
      <c r="E63" s="169"/>
      <c r="F63" s="376"/>
      <c r="G63" s="177">
        <v>0</v>
      </c>
      <c r="H63" s="169">
        <v>1</v>
      </c>
      <c r="I63" s="169"/>
      <c r="J63" s="169"/>
      <c r="K63" s="169"/>
      <c r="L63" s="169"/>
      <c r="M63" s="177">
        <v>1</v>
      </c>
      <c r="N63" s="174"/>
      <c r="O63" s="177">
        <v>208</v>
      </c>
      <c r="P63" s="169"/>
      <c r="Q63" s="177">
        <v>208</v>
      </c>
      <c r="R63" s="377">
        <v>0</v>
      </c>
      <c r="S63" s="169"/>
      <c r="T63" s="169"/>
      <c r="U63" s="376">
        <v>0</v>
      </c>
      <c r="V63" s="177"/>
      <c r="W63" s="169"/>
      <c r="X63" s="177"/>
      <c r="Y63" s="174"/>
      <c r="Z63" s="177">
        <v>5</v>
      </c>
      <c r="AA63" s="169"/>
      <c r="AB63" s="169"/>
      <c r="AC63" s="169"/>
      <c r="AD63" s="169">
        <v>4</v>
      </c>
      <c r="AE63" s="169"/>
      <c r="AF63" s="169"/>
      <c r="AG63" s="169"/>
      <c r="AH63" s="177">
        <v>9</v>
      </c>
      <c r="AI63" s="174"/>
      <c r="AJ63" s="177"/>
      <c r="AK63" s="169"/>
      <c r="AL63" s="169"/>
      <c r="AM63" s="169"/>
      <c r="AN63" s="169"/>
      <c r="AO63" s="169"/>
      <c r="AP63" s="169"/>
      <c r="AQ63" s="169"/>
      <c r="AR63" s="169"/>
      <c r="AS63" s="169"/>
      <c r="AT63" s="169"/>
      <c r="AU63" s="169"/>
      <c r="AV63" s="177"/>
      <c r="AW63" s="377"/>
      <c r="AX63" s="169">
        <v>105</v>
      </c>
      <c r="AY63" s="169"/>
      <c r="AZ63" s="169"/>
      <c r="BA63" s="169"/>
      <c r="BB63" s="169">
        <v>0</v>
      </c>
      <c r="BC63" s="169"/>
      <c r="BD63" s="169"/>
      <c r="BE63" s="376">
        <v>105</v>
      </c>
      <c r="BF63" s="177"/>
      <c r="BG63" s="169">
        <v>4</v>
      </c>
      <c r="BH63" s="169">
        <v>13</v>
      </c>
      <c r="BI63" s="169"/>
      <c r="BJ63" s="169"/>
      <c r="BK63" s="169"/>
      <c r="BL63" s="177">
        <v>17</v>
      </c>
      <c r="BM63" s="174"/>
      <c r="BN63" s="177"/>
      <c r="BO63" s="377">
        <v>0</v>
      </c>
      <c r="BP63" s="169"/>
      <c r="BQ63" s="169"/>
      <c r="BR63" s="169"/>
      <c r="BS63" s="169"/>
      <c r="BT63" s="376">
        <v>0</v>
      </c>
      <c r="BU63" s="177">
        <v>9</v>
      </c>
      <c r="BV63" s="169">
        <v>0</v>
      </c>
      <c r="BW63" s="169">
        <v>6</v>
      </c>
      <c r="BX63" s="169">
        <v>0</v>
      </c>
      <c r="BY63" s="169"/>
      <c r="BZ63" s="169">
        <v>10</v>
      </c>
      <c r="CA63" s="169">
        <v>0</v>
      </c>
      <c r="CB63" s="169"/>
      <c r="CC63" s="169">
        <v>0</v>
      </c>
      <c r="CD63" s="169"/>
      <c r="CE63" s="169"/>
      <c r="CF63" s="177">
        <v>25</v>
      </c>
      <c r="CG63" s="377"/>
      <c r="CH63" s="169"/>
      <c r="CI63" s="376"/>
      <c r="CJ63" s="177"/>
      <c r="CK63" s="174"/>
      <c r="CL63" s="177"/>
      <c r="CM63" s="169"/>
      <c r="CN63" s="169"/>
      <c r="CO63" s="177"/>
      <c r="CP63" s="174"/>
      <c r="CQ63" s="177"/>
      <c r="CR63" s="169"/>
      <c r="CS63" s="169"/>
      <c r="CT63" s="169"/>
      <c r="CU63" s="177"/>
      <c r="CV63" s="174"/>
      <c r="CW63" s="177"/>
      <c r="CX63" s="377">
        <v>0</v>
      </c>
      <c r="CY63" s="169"/>
      <c r="CZ63" s="169"/>
      <c r="DA63" s="376">
        <v>0</v>
      </c>
      <c r="DB63" s="174">
        <v>365</v>
      </c>
      <c r="DC63" s="179">
        <f>365/921748</f>
        <v>3.9598675559914426E-4</v>
      </c>
    </row>
    <row r="64" spans="2:107" x14ac:dyDescent="0.2">
      <c r="B64" s="172" t="s">
        <v>159</v>
      </c>
      <c r="C64" s="377"/>
      <c r="D64" s="169"/>
      <c r="E64" s="169"/>
      <c r="F64" s="376"/>
      <c r="G64" s="177">
        <v>2</v>
      </c>
      <c r="H64" s="169">
        <v>3</v>
      </c>
      <c r="I64" s="169"/>
      <c r="J64" s="169"/>
      <c r="K64" s="169"/>
      <c r="L64" s="169"/>
      <c r="M64" s="177">
        <v>5</v>
      </c>
      <c r="N64" s="174"/>
      <c r="O64" s="177">
        <v>99</v>
      </c>
      <c r="P64" s="169"/>
      <c r="Q64" s="177">
        <v>99</v>
      </c>
      <c r="R64" s="377">
        <v>0</v>
      </c>
      <c r="S64" s="169"/>
      <c r="T64" s="169"/>
      <c r="U64" s="376">
        <v>0</v>
      </c>
      <c r="V64" s="177"/>
      <c r="W64" s="169"/>
      <c r="X64" s="177"/>
      <c r="Y64" s="174"/>
      <c r="Z64" s="177"/>
      <c r="AA64" s="169"/>
      <c r="AB64" s="169"/>
      <c r="AC64" s="169"/>
      <c r="AD64" s="169"/>
      <c r="AE64" s="169"/>
      <c r="AF64" s="169"/>
      <c r="AG64" s="169"/>
      <c r="AH64" s="177"/>
      <c r="AI64" s="174"/>
      <c r="AJ64" s="177"/>
      <c r="AK64" s="169"/>
      <c r="AL64" s="169"/>
      <c r="AM64" s="169"/>
      <c r="AN64" s="169"/>
      <c r="AO64" s="169"/>
      <c r="AP64" s="169"/>
      <c r="AQ64" s="169"/>
      <c r="AR64" s="169"/>
      <c r="AS64" s="169"/>
      <c r="AT64" s="169"/>
      <c r="AU64" s="169"/>
      <c r="AV64" s="177"/>
      <c r="AW64" s="377"/>
      <c r="AX64" s="169">
        <v>38</v>
      </c>
      <c r="AY64" s="169"/>
      <c r="AZ64" s="169"/>
      <c r="BA64" s="169"/>
      <c r="BB64" s="169">
        <v>1</v>
      </c>
      <c r="BC64" s="169"/>
      <c r="BD64" s="169"/>
      <c r="BE64" s="376">
        <v>39</v>
      </c>
      <c r="BF64" s="177"/>
      <c r="BG64" s="169">
        <v>1</v>
      </c>
      <c r="BH64" s="169">
        <v>13</v>
      </c>
      <c r="BI64" s="169"/>
      <c r="BJ64" s="169">
        <v>0</v>
      </c>
      <c r="BK64" s="169"/>
      <c r="BL64" s="177">
        <v>14</v>
      </c>
      <c r="BM64" s="174"/>
      <c r="BN64" s="177"/>
      <c r="BO64" s="377">
        <v>0</v>
      </c>
      <c r="BP64" s="169"/>
      <c r="BQ64" s="169"/>
      <c r="BR64" s="169">
        <v>0</v>
      </c>
      <c r="BS64" s="169"/>
      <c r="BT64" s="376">
        <v>0</v>
      </c>
      <c r="BU64" s="177">
        <v>43</v>
      </c>
      <c r="BV64" s="169">
        <v>0</v>
      </c>
      <c r="BW64" s="169">
        <v>23</v>
      </c>
      <c r="BX64" s="169">
        <v>0</v>
      </c>
      <c r="BY64" s="169"/>
      <c r="BZ64" s="169">
        <v>67</v>
      </c>
      <c r="CA64" s="169">
        <v>0</v>
      </c>
      <c r="CB64" s="169">
        <v>0</v>
      </c>
      <c r="CC64" s="169">
        <v>0</v>
      </c>
      <c r="CD64" s="169"/>
      <c r="CE64" s="169"/>
      <c r="CF64" s="177">
        <v>133</v>
      </c>
      <c r="CG64" s="377"/>
      <c r="CH64" s="169"/>
      <c r="CI64" s="376"/>
      <c r="CJ64" s="177"/>
      <c r="CK64" s="174"/>
      <c r="CL64" s="177"/>
      <c r="CM64" s="169"/>
      <c r="CN64" s="169"/>
      <c r="CO64" s="177"/>
      <c r="CP64" s="174"/>
      <c r="CQ64" s="177"/>
      <c r="CR64" s="169"/>
      <c r="CS64" s="169"/>
      <c r="CT64" s="169"/>
      <c r="CU64" s="177"/>
      <c r="CV64" s="174"/>
      <c r="CW64" s="177"/>
      <c r="CX64" s="377">
        <v>0</v>
      </c>
      <c r="CY64" s="169"/>
      <c r="CZ64" s="169"/>
      <c r="DA64" s="376">
        <v>0</v>
      </c>
      <c r="DB64" s="174">
        <v>290</v>
      </c>
      <c r="DC64" s="179">
        <f>290/921748</f>
        <v>3.1461961403767626E-4</v>
      </c>
    </row>
    <row r="65" spans="2:107" x14ac:dyDescent="0.2">
      <c r="B65" s="172" t="s">
        <v>160</v>
      </c>
      <c r="C65" s="377"/>
      <c r="D65" s="169"/>
      <c r="E65" s="169"/>
      <c r="F65" s="376"/>
      <c r="G65" s="177">
        <v>0</v>
      </c>
      <c r="H65" s="169">
        <v>33</v>
      </c>
      <c r="I65" s="169">
        <v>2</v>
      </c>
      <c r="J65" s="169">
        <v>0</v>
      </c>
      <c r="K65" s="169"/>
      <c r="L65" s="169">
        <v>0</v>
      </c>
      <c r="M65" s="177">
        <v>35</v>
      </c>
      <c r="N65" s="174"/>
      <c r="O65" s="177">
        <v>732</v>
      </c>
      <c r="P65" s="169">
        <v>0</v>
      </c>
      <c r="Q65" s="177">
        <v>732</v>
      </c>
      <c r="R65" s="377">
        <v>0</v>
      </c>
      <c r="S65" s="169"/>
      <c r="T65" s="169"/>
      <c r="U65" s="376">
        <v>0</v>
      </c>
      <c r="V65" s="177"/>
      <c r="W65" s="169"/>
      <c r="X65" s="177"/>
      <c r="Y65" s="174">
        <v>0</v>
      </c>
      <c r="Z65" s="177">
        <v>2</v>
      </c>
      <c r="AA65" s="169">
        <v>0</v>
      </c>
      <c r="AB65" s="169"/>
      <c r="AC65" s="169"/>
      <c r="AD65" s="169"/>
      <c r="AE65" s="169"/>
      <c r="AF65" s="169"/>
      <c r="AG65" s="169"/>
      <c r="AH65" s="177">
        <v>2</v>
      </c>
      <c r="AI65" s="174"/>
      <c r="AJ65" s="177"/>
      <c r="AK65" s="169"/>
      <c r="AL65" s="169">
        <v>0</v>
      </c>
      <c r="AM65" s="169">
        <v>0</v>
      </c>
      <c r="AN65" s="169"/>
      <c r="AO65" s="169"/>
      <c r="AP65" s="169"/>
      <c r="AQ65" s="169"/>
      <c r="AR65" s="169"/>
      <c r="AS65" s="169"/>
      <c r="AT65" s="169"/>
      <c r="AU65" s="169"/>
      <c r="AV65" s="177">
        <v>0</v>
      </c>
      <c r="AW65" s="377">
        <v>0</v>
      </c>
      <c r="AX65" s="169">
        <v>182</v>
      </c>
      <c r="AY65" s="169">
        <v>0</v>
      </c>
      <c r="AZ65" s="169">
        <v>0</v>
      </c>
      <c r="BA65" s="169"/>
      <c r="BB65" s="169">
        <v>5</v>
      </c>
      <c r="BC65" s="169"/>
      <c r="BD65" s="169"/>
      <c r="BE65" s="376">
        <v>187</v>
      </c>
      <c r="BF65" s="177"/>
      <c r="BG65" s="169">
        <v>5</v>
      </c>
      <c r="BH65" s="169">
        <v>247</v>
      </c>
      <c r="BI65" s="169">
        <v>6</v>
      </c>
      <c r="BJ65" s="169">
        <v>0</v>
      </c>
      <c r="BK65" s="169"/>
      <c r="BL65" s="177">
        <v>258</v>
      </c>
      <c r="BM65" s="174"/>
      <c r="BN65" s="177"/>
      <c r="BO65" s="377">
        <v>0</v>
      </c>
      <c r="BP65" s="169">
        <v>0</v>
      </c>
      <c r="BQ65" s="169"/>
      <c r="BR65" s="169"/>
      <c r="BS65" s="169"/>
      <c r="BT65" s="376">
        <v>0</v>
      </c>
      <c r="BU65" s="177">
        <v>452</v>
      </c>
      <c r="BV65" s="169">
        <v>2</v>
      </c>
      <c r="BW65" s="169">
        <v>403</v>
      </c>
      <c r="BX65" s="169">
        <v>0</v>
      </c>
      <c r="BY65" s="169">
        <v>0</v>
      </c>
      <c r="BZ65" s="169">
        <v>314</v>
      </c>
      <c r="CA65" s="169">
        <v>0</v>
      </c>
      <c r="CB65" s="169">
        <v>1</v>
      </c>
      <c r="CC65" s="169">
        <v>0</v>
      </c>
      <c r="CD65" s="169"/>
      <c r="CE65" s="169"/>
      <c r="CF65" s="177">
        <v>1172</v>
      </c>
      <c r="CG65" s="377"/>
      <c r="CH65" s="169"/>
      <c r="CI65" s="376"/>
      <c r="CJ65" s="177"/>
      <c r="CK65" s="174"/>
      <c r="CL65" s="177"/>
      <c r="CM65" s="169"/>
      <c r="CN65" s="169"/>
      <c r="CO65" s="177"/>
      <c r="CP65" s="174"/>
      <c r="CQ65" s="177"/>
      <c r="CR65" s="169">
        <v>0</v>
      </c>
      <c r="CS65" s="169"/>
      <c r="CT65" s="169"/>
      <c r="CU65" s="177">
        <v>0</v>
      </c>
      <c r="CV65" s="174"/>
      <c r="CW65" s="177"/>
      <c r="CX65" s="377"/>
      <c r="CY65" s="169"/>
      <c r="CZ65" s="169"/>
      <c r="DA65" s="376"/>
      <c r="DB65" s="174">
        <v>2386</v>
      </c>
      <c r="DC65" s="179">
        <f>2386/921748</f>
        <v>2.5885599968755017E-3</v>
      </c>
    </row>
    <row r="66" spans="2:107" x14ac:dyDescent="0.2">
      <c r="B66" s="172" t="s">
        <v>191</v>
      </c>
      <c r="C66" s="377"/>
      <c r="D66" s="169"/>
      <c r="E66" s="169"/>
      <c r="F66" s="376"/>
      <c r="G66" s="177">
        <v>2</v>
      </c>
      <c r="H66" s="169">
        <v>20</v>
      </c>
      <c r="I66" s="169">
        <v>5</v>
      </c>
      <c r="J66" s="169">
        <v>0</v>
      </c>
      <c r="K66" s="169"/>
      <c r="L66" s="169">
        <v>1</v>
      </c>
      <c r="M66" s="177">
        <v>28</v>
      </c>
      <c r="N66" s="174"/>
      <c r="O66" s="177">
        <v>2051</v>
      </c>
      <c r="P66" s="169">
        <v>0</v>
      </c>
      <c r="Q66" s="177">
        <v>2051</v>
      </c>
      <c r="R66" s="377">
        <v>0</v>
      </c>
      <c r="S66" s="169"/>
      <c r="T66" s="169"/>
      <c r="U66" s="376">
        <v>0</v>
      </c>
      <c r="V66" s="177"/>
      <c r="W66" s="169"/>
      <c r="X66" s="177"/>
      <c r="Y66" s="174"/>
      <c r="Z66" s="177">
        <v>92</v>
      </c>
      <c r="AA66" s="169"/>
      <c r="AB66" s="169"/>
      <c r="AC66" s="169"/>
      <c r="AD66" s="169"/>
      <c r="AE66" s="169"/>
      <c r="AF66" s="169"/>
      <c r="AG66" s="169"/>
      <c r="AH66" s="177">
        <v>92</v>
      </c>
      <c r="AI66" s="174"/>
      <c r="AJ66" s="177"/>
      <c r="AK66" s="169">
        <v>0</v>
      </c>
      <c r="AL66" s="169"/>
      <c r="AM66" s="169"/>
      <c r="AN66" s="169"/>
      <c r="AO66" s="169"/>
      <c r="AP66" s="169"/>
      <c r="AQ66" s="169"/>
      <c r="AR66" s="169"/>
      <c r="AS66" s="169">
        <v>0</v>
      </c>
      <c r="AT66" s="169">
        <v>0</v>
      </c>
      <c r="AU66" s="169"/>
      <c r="AV66" s="177">
        <v>0</v>
      </c>
      <c r="AW66" s="377">
        <v>0</v>
      </c>
      <c r="AX66" s="169">
        <v>203</v>
      </c>
      <c r="AY66" s="169">
        <v>0</v>
      </c>
      <c r="AZ66" s="169">
        <v>0</v>
      </c>
      <c r="BA66" s="169"/>
      <c r="BB66" s="169">
        <v>1</v>
      </c>
      <c r="BC66" s="169">
        <v>0</v>
      </c>
      <c r="BD66" s="169"/>
      <c r="BE66" s="376">
        <v>204</v>
      </c>
      <c r="BF66" s="177">
        <v>0</v>
      </c>
      <c r="BG66" s="169">
        <v>24</v>
      </c>
      <c r="BH66" s="169">
        <v>62</v>
      </c>
      <c r="BI66" s="169">
        <v>12</v>
      </c>
      <c r="BJ66" s="169">
        <v>0</v>
      </c>
      <c r="BK66" s="169"/>
      <c r="BL66" s="177">
        <v>98</v>
      </c>
      <c r="BM66" s="174"/>
      <c r="BN66" s="177">
        <v>0</v>
      </c>
      <c r="BO66" s="377">
        <v>0</v>
      </c>
      <c r="BP66" s="169">
        <v>0</v>
      </c>
      <c r="BQ66" s="169"/>
      <c r="BR66" s="169"/>
      <c r="BS66" s="169"/>
      <c r="BT66" s="376">
        <v>0</v>
      </c>
      <c r="BU66" s="177">
        <v>247</v>
      </c>
      <c r="BV66" s="169">
        <v>5</v>
      </c>
      <c r="BW66" s="169">
        <v>343</v>
      </c>
      <c r="BX66" s="169">
        <v>0</v>
      </c>
      <c r="BY66" s="169">
        <v>0</v>
      </c>
      <c r="BZ66" s="169">
        <v>197</v>
      </c>
      <c r="CA66" s="169">
        <v>0</v>
      </c>
      <c r="CB66" s="169">
        <v>0</v>
      </c>
      <c r="CC66" s="169">
        <v>0</v>
      </c>
      <c r="CD66" s="169"/>
      <c r="CE66" s="169"/>
      <c r="CF66" s="177">
        <v>792</v>
      </c>
      <c r="CG66" s="377"/>
      <c r="CH66" s="169"/>
      <c r="CI66" s="376"/>
      <c r="CJ66" s="177"/>
      <c r="CK66" s="174"/>
      <c r="CL66" s="177"/>
      <c r="CM66" s="169"/>
      <c r="CN66" s="169"/>
      <c r="CO66" s="177"/>
      <c r="CP66" s="174"/>
      <c r="CQ66" s="177">
        <v>0</v>
      </c>
      <c r="CR66" s="169"/>
      <c r="CS66" s="169"/>
      <c r="CT66" s="169"/>
      <c r="CU66" s="177">
        <v>0</v>
      </c>
      <c r="CV66" s="174"/>
      <c r="CW66" s="177">
        <v>0</v>
      </c>
      <c r="CX66" s="377">
        <v>0</v>
      </c>
      <c r="CY66" s="169"/>
      <c r="CZ66" s="169"/>
      <c r="DA66" s="376">
        <v>0</v>
      </c>
      <c r="DB66" s="174">
        <v>3265</v>
      </c>
      <c r="DC66" s="179">
        <f>3265/921748</f>
        <v>3.5421828959759068E-3</v>
      </c>
    </row>
    <row r="67" spans="2:107" x14ac:dyDescent="0.2">
      <c r="B67" s="172" t="s">
        <v>201</v>
      </c>
      <c r="C67" s="377">
        <v>0</v>
      </c>
      <c r="D67" s="169">
        <v>0</v>
      </c>
      <c r="E67" s="169"/>
      <c r="F67" s="376">
        <v>0</v>
      </c>
      <c r="G67" s="177">
        <v>1</v>
      </c>
      <c r="H67" s="169">
        <v>171</v>
      </c>
      <c r="I67" s="169">
        <v>4</v>
      </c>
      <c r="J67" s="169">
        <v>0</v>
      </c>
      <c r="K67" s="169"/>
      <c r="L67" s="169"/>
      <c r="M67" s="177">
        <v>176</v>
      </c>
      <c r="N67" s="174"/>
      <c r="O67" s="177">
        <v>1429</v>
      </c>
      <c r="P67" s="169">
        <v>0</v>
      </c>
      <c r="Q67" s="177">
        <v>1429</v>
      </c>
      <c r="R67" s="377">
        <v>0</v>
      </c>
      <c r="S67" s="169">
        <v>0</v>
      </c>
      <c r="T67" s="169"/>
      <c r="U67" s="376">
        <v>0</v>
      </c>
      <c r="V67" s="177">
        <v>0</v>
      </c>
      <c r="W67" s="169"/>
      <c r="X67" s="177">
        <v>0</v>
      </c>
      <c r="Y67" s="174">
        <v>16</v>
      </c>
      <c r="Z67" s="177">
        <v>10</v>
      </c>
      <c r="AA67" s="169"/>
      <c r="AB67" s="169">
        <v>3</v>
      </c>
      <c r="AC67" s="169">
        <v>0</v>
      </c>
      <c r="AD67" s="169"/>
      <c r="AE67" s="169"/>
      <c r="AF67" s="169">
        <v>0</v>
      </c>
      <c r="AG67" s="169"/>
      <c r="AH67" s="177">
        <v>13</v>
      </c>
      <c r="AI67" s="174">
        <v>0</v>
      </c>
      <c r="AJ67" s="177">
        <v>0</v>
      </c>
      <c r="AK67" s="169">
        <v>0</v>
      </c>
      <c r="AL67" s="169"/>
      <c r="AM67" s="169">
        <v>0</v>
      </c>
      <c r="AN67" s="169">
        <v>0</v>
      </c>
      <c r="AO67" s="169"/>
      <c r="AP67" s="169">
        <v>0</v>
      </c>
      <c r="AQ67" s="169">
        <v>0</v>
      </c>
      <c r="AR67" s="169">
        <v>0</v>
      </c>
      <c r="AS67" s="169">
        <v>0</v>
      </c>
      <c r="AT67" s="169">
        <v>0</v>
      </c>
      <c r="AU67" s="169">
        <v>0</v>
      </c>
      <c r="AV67" s="177">
        <v>0</v>
      </c>
      <c r="AW67" s="377">
        <v>0</v>
      </c>
      <c r="AX67" s="169">
        <v>414</v>
      </c>
      <c r="AY67" s="169">
        <v>0</v>
      </c>
      <c r="AZ67" s="169">
        <v>0</v>
      </c>
      <c r="BA67" s="169">
        <v>0</v>
      </c>
      <c r="BB67" s="169">
        <v>5</v>
      </c>
      <c r="BC67" s="169">
        <v>0</v>
      </c>
      <c r="BD67" s="169">
        <v>0</v>
      </c>
      <c r="BE67" s="376">
        <v>419</v>
      </c>
      <c r="BF67" s="177">
        <v>0</v>
      </c>
      <c r="BG67" s="169">
        <v>11</v>
      </c>
      <c r="BH67" s="169">
        <v>289</v>
      </c>
      <c r="BI67" s="169">
        <v>7</v>
      </c>
      <c r="BJ67" s="169">
        <v>0</v>
      </c>
      <c r="BK67" s="169"/>
      <c r="BL67" s="177">
        <v>307</v>
      </c>
      <c r="BM67" s="174"/>
      <c r="BN67" s="177">
        <v>0</v>
      </c>
      <c r="BO67" s="377">
        <v>0</v>
      </c>
      <c r="BP67" s="169">
        <v>0</v>
      </c>
      <c r="BQ67" s="169">
        <v>0</v>
      </c>
      <c r="BR67" s="169"/>
      <c r="BS67" s="169"/>
      <c r="BT67" s="376">
        <v>0</v>
      </c>
      <c r="BU67" s="177">
        <v>11719</v>
      </c>
      <c r="BV67" s="169">
        <v>6</v>
      </c>
      <c r="BW67" s="169">
        <v>3422</v>
      </c>
      <c r="BX67" s="169">
        <v>1</v>
      </c>
      <c r="BY67" s="169">
        <v>0</v>
      </c>
      <c r="BZ67" s="169">
        <v>3388</v>
      </c>
      <c r="CA67" s="169">
        <v>0</v>
      </c>
      <c r="CB67" s="169">
        <v>3</v>
      </c>
      <c r="CC67" s="169">
        <v>0</v>
      </c>
      <c r="CD67" s="169">
        <v>0</v>
      </c>
      <c r="CE67" s="169">
        <v>0</v>
      </c>
      <c r="CF67" s="177">
        <v>18539</v>
      </c>
      <c r="CG67" s="377"/>
      <c r="CH67" s="169"/>
      <c r="CI67" s="376"/>
      <c r="CJ67" s="177">
        <v>0</v>
      </c>
      <c r="CK67" s="174">
        <v>0</v>
      </c>
      <c r="CL67" s="177">
        <v>10</v>
      </c>
      <c r="CM67" s="169">
        <v>2</v>
      </c>
      <c r="CN67" s="169">
        <v>0</v>
      </c>
      <c r="CO67" s="177">
        <v>12</v>
      </c>
      <c r="CP67" s="174"/>
      <c r="CQ67" s="177">
        <v>8</v>
      </c>
      <c r="CR67" s="169">
        <v>0</v>
      </c>
      <c r="CS67" s="169">
        <v>0</v>
      </c>
      <c r="CT67" s="169"/>
      <c r="CU67" s="177">
        <v>8</v>
      </c>
      <c r="CV67" s="174"/>
      <c r="CW67" s="177">
        <v>0</v>
      </c>
      <c r="CX67" s="377">
        <v>1</v>
      </c>
      <c r="CY67" s="169">
        <v>0</v>
      </c>
      <c r="CZ67" s="169">
        <v>0</v>
      </c>
      <c r="DA67" s="376">
        <v>1</v>
      </c>
      <c r="DB67" s="174">
        <v>20920</v>
      </c>
      <c r="DC67" s="179">
        <f>20920/921748</f>
        <v>2.2696008019545473E-2</v>
      </c>
    </row>
    <row r="68" spans="2:107" x14ac:dyDescent="0.2">
      <c r="B68" s="172" t="s">
        <v>202</v>
      </c>
      <c r="C68" s="377"/>
      <c r="D68" s="169"/>
      <c r="E68" s="169"/>
      <c r="F68" s="376"/>
      <c r="G68" s="177">
        <v>2</v>
      </c>
      <c r="H68" s="169">
        <v>39</v>
      </c>
      <c r="I68" s="169">
        <v>4</v>
      </c>
      <c r="J68" s="169">
        <v>0</v>
      </c>
      <c r="K68" s="169"/>
      <c r="L68" s="169"/>
      <c r="M68" s="177">
        <v>45</v>
      </c>
      <c r="N68" s="174"/>
      <c r="O68" s="177">
        <v>3633</v>
      </c>
      <c r="P68" s="169">
        <v>0</v>
      </c>
      <c r="Q68" s="177">
        <v>3633</v>
      </c>
      <c r="R68" s="377">
        <v>0</v>
      </c>
      <c r="S68" s="169"/>
      <c r="T68" s="169"/>
      <c r="U68" s="376">
        <v>0</v>
      </c>
      <c r="V68" s="177"/>
      <c r="W68" s="169"/>
      <c r="X68" s="177"/>
      <c r="Y68" s="174"/>
      <c r="Z68" s="177">
        <v>8</v>
      </c>
      <c r="AA68" s="169"/>
      <c r="AB68" s="169">
        <v>40</v>
      </c>
      <c r="AC68" s="169"/>
      <c r="AD68" s="169"/>
      <c r="AE68" s="169"/>
      <c r="AF68" s="169"/>
      <c r="AG68" s="169"/>
      <c r="AH68" s="177">
        <v>48</v>
      </c>
      <c r="AI68" s="174"/>
      <c r="AJ68" s="177"/>
      <c r="AK68" s="169"/>
      <c r="AL68" s="169"/>
      <c r="AM68" s="169"/>
      <c r="AN68" s="169"/>
      <c r="AO68" s="169"/>
      <c r="AP68" s="169"/>
      <c r="AQ68" s="169">
        <v>0</v>
      </c>
      <c r="AR68" s="169"/>
      <c r="AS68" s="169"/>
      <c r="AT68" s="169"/>
      <c r="AU68" s="169"/>
      <c r="AV68" s="177">
        <v>0</v>
      </c>
      <c r="AW68" s="377"/>
      <c r="AX68" s="169">
        <v>361</v>
      </c>
      <c r="AY68" s="169">
        <v>0</v>
      </c>
      <c r="AZ68" s="169">
        <v>0</v>
      </c>
      <c r="BA68" s="169"/>
      <c r="BB68" s="169">
        <v>1</v>
      </c>
      <c r="BC68" s="169">
        <v>0</v>
      </c>
      <c r="BD68" s="169">
        <v>0</v>
      </c>
      <c r="BE68" s="376">
        <v>362</v>
      </c>
      <c r="BF68" s="177">
        <v>0</v>
      </c>
      <c r="BG68" s="169">
        <v>13</v>
      </c>
      <c r="BH68" s="169">
        <v>261</v>
      </c>
      <c r="BI68" s="169">
        <v>7</v>
      </c>
      <c r="BJ68" s="169">
        <v>0</v>
      </c>
      <c r="BK68" s="169"/>
      <c r="BL68" s="177">
        <v>281</v>
      </c>
      <c r="BM68" s="174"/>
      <c r="BN68" s="177">
        <v>0</v>
      </c>
      <c r="BO68" s="377">
        <v>0</v>
      </c>
      <c r="BP68" s="169">
        <v>0</v>
      </c>
      <c r="BQ68" s="169"/>
      <c r="BR68" s="169"/>
      <c r="BS68" s="169"/>
      <c r="BT68" s="376">
        <v>0</v>
      </c>
      <c r="BU68" s="177">
        <v>168</v>
      </c>
      <c r="BV68" s="169">
        <v>1</v>
      </c>
      <c r="BW68" s="169">
        <v>75</v>
      </c>
      <c r="BX68" s="169">
        <v>0</v>
      </c>
      <c r="BY68" s="169">
        <v>0</v>
      </c>
      <c r="BZ68" s="169">
        <v>250</v>
      </c>
      <c r="CA68" s="169">
        <v>0</v>
      </c>
      <c r="CB68" s="169">
        <v>2</v>
      </c>
      <c r="CC68" s="169">
        <v>0</v>
      </c>
      <c r="CD68" s="169"/>
      <c r="CE68" s="169">
        <v>0</v>
      </c>
      <c r="CF68" s="177">
        <v>496</v>
      </c>
      <c r="CG68" s="377"/>
      <c r="CH68" s="169"/>
      <c r="CI68" s="376"/>
      <c r="CJ68" s="177"/>
      <c r="CK68" s="174"/>
      <c r="CL68" s="177"/>
      <c r="CM68" s="169"/>
      <c r="CN68" s="169">
        <v>3</v>
      </c>
      <c r="CO68" s="177">
        <v>3</v>
      </c>
      <c r="CP68" s="174"/>
      <c r="CQ68" s="177">
        <v>0</v>
      </c>
      <c r="CR68" s="169"/>
      <c r="CS68" s="169">
        <v>0</v>
      </c>
      <c r="CT68" s="169"/>
      <c r="CU68" s="177">
        <v>0</v>
      </c>
      <c r="CV68" s="174"/>
      <c r="CW68" s="177">
        <v>0</v>
      </c>
      <c r="CX68" s="377">
        <v>8</v>
      </c>
      <c r="CY68" s="169"/>
      <c r="CZ68" s="169"/>
      <c r="DA68" s="376">
        <v>8</v>
      </c>
      <c r="DB68" s="174">
        <v>4876</v>
      </c>
      <c r="DC68" s="179">
        <f>4876/921748</f>
        <v>5.2899490967162396E-3</v>
      </c>
    </row>
    <row r="69" spans="2:107" x14ac:dyDescent="0.2">
      <c r="B69" s="172" t="s">
        <v>221</v>
      </c>
      <c r="C69" s="377"/>
      <c r="D69" s="169"/>
      <c r="E69" s="169"/>
      <c r="F69" s="376"/>
      <c r="G69" s="177">
        <v>0</v>
      </c>
      <c r="H69" s="169">
        <v>6</v>
      </c>
      <c r="I69" s="169">
        <v>0</v>
      </c>
      <c r="J69" s="169"/>
      <c r="K69" s="169"/>
      <c r="L69" s="169"/>
      <c r="M69" s="177">
        <v>6</v>
      </c>
      <c r="N69" s="174"/>
      <c r="O69" s="177">
        <v>222</v>
      </c>
      <c r="P69" s="169">
        <v>0</v>
      </c>
      <c r="Q69" s="177">
        <v>222</v>
      </c>
      <c r="R69" s="377">
        <v>0</v>
      </c>
      <c r="S69" s="169"/>
      <c r="T69" s="169"/>
      <c r="U69" s="376">
        <v>0</v>
      </c>
      <c r="V69" s="177"/>
      <c r="W69" s="169"/>
      <c r="X69" s="177"/>
      <c r="Y69" s="174">
        <v>0</v>
      </c>
      <c r="Z69" s="177"/>
      <c r="AA69" s="169">
        <v>0</v>
      </c>
      <c r="AB69" s="169">
        <v>7</v>
      </c>
      <c r="AC69" s="169"/>
      <c r="AD69" s="169"/>
      <c r="AE69" s="169"/>
      <c r="AF69" s="169"/>
      <c r="AG69" s="169"/>
      <c r="AH69" s="177">
        <v>7</v>
      </c>
      <c r="AI69" s="174"/>
      <c r="AJ69" s="177"/>
      <c r="AK69" s="169"/>
      <c r="AL69" s="169"/>
      <c r="AM69" s="169"/>
      <c r="AN69" s="169"/>
      <c r="AO69" s="169"/>
      <c r="AP69" s="169"/>
      <c r="AQ69" s="169"/>
      <c r="AR69" s="169"/>
      <c r="AS69" s="169"/>
      <c r="AT69" s="169"/>
      <c r="AU69" s="169"/>
      <c r="AV69" s="177"/>
      <c r="AW69" s="377"/>
      <c r="AX69" s="169">
        <v>62</v>
      </c>
      <c r="AY69" s="169">
        <v>0</v>
      </c>
      <c r="AZ69" s="169">
        <v>0</v>
      </c>
      <c r="BA69" s="169"/>
      <c r="BB69" s="169">
        <v>0</v>
      </c>
      <c r="BC69" s="169"/>
      <c r="BD69" s="169"/>
      <c r="BE69" s="376">
        <v>62</v>
      </c>
      <c r="BF69" s="177">
        <v>0</v>
      </c>
      <c r="BG69" s="169">
        <v>0</v>
      </c>
      <c r="BH69" s="169">
        <v>55</v>
      </c>
      <c r="BI69" s="169"/>
      <c r="BJ69" s="169">
        <v>0</v>
      </c>
      <c r="BK69" s="169"/>
      <c r="BL69" s="177">
        <v>55</v>
      </c>
      <c r="BM69" s="174"/>
      <c r="BN69" s="177">
        <v>0</v>
      </c>
      <c r="BO69" s="377">
        <v>0</v>
      </c>
      <c r="BP69" s="169">
        <v>0</v>
      </c>
      <c r="BQ69" s="169"/>
      <c r="BR69" s="169"/>
      <c r="BS69" s="169"/>
      <c r="BT69" s="376">
        <v>0</v>
      </c>
      <c r="BU69" s="177">
        <v>235</v>
      </c>
      <c r="BV69" s="169">
        <v>0</v>
      </c>
      <c r="BW69" s="169">
        <v>93</v>
      </c>
      <c r="BX69" s="169">
        <v>0</v>
      </c>
      <c r="BY69" s="169">
        <v>0</v>
      </c>
      <c r="BZ69" s="169">
        <v>150</v>
      </c>
      <c r="CA69" s="169">
        <v>0</v>
      </c>
      <c r="CB69" s="169"/>
      <c r="CC69" s="169">
        <v>0</v>
      </c>
      <c r="CD69" s="169"/>
      <c r="CE69" s="169"/>
      <c r="CF69" s="177">
        <v>478</v>
      </c>
      <c r="CG69" s="377"/>
      <c r="CH69" s="169"/>
      <c r="CI69" s="376"/>
      <c r="CJ69" s="177"/>
      <c r="CK69" s="174"/>
      <c r="CL69" s="177"/>
      <c r="CM69" s="169"/>
      <c r="CN69" s="169"/>
      <c r="CO69" s="177"/>
      <c r="CP69" s="174"/>
      <c r="CQ69" s="177"/>
      <c r="CR69" s="169"/>
      <c r="CS69" s="169"/>
      <c r="CT69" s="169"/>
      <c r="CU69" s="177"/>
      <c r="CV69" s="174"/>
      <c r="CW69" s="177"/>
      <c r="CX69" s="377"/>
      <c r="CY69" s="169"/>
      <c r="CZ69" s="169"/>
      <c r="DA69" s="376"/>
      <c r="DB69" s="174">
        <v>830</v>
      </c>
      <c r="DC69" s="179">
        <f>830/921748</f>
        <v>9.0046303328024575E-4</v>
      </c>
    </row>
    <row r="70" spans="2:107" x14ac:dyDescent="0.2">
      <c r="B70" s="172" t="s">
        <v>261</v>
      </c>
      <c r="C70" s="377">
        <v>0</v>
      </c>
      <c r="D70" s="169">
        <v>0</v>
      </c>
      <c r="E70" s="169">
        <v>0</v>
      </c>
      <c r="F70" s="376">
        <v>0</v>
      </c>
      <c r="G70" s="177">
        <v>20</v>
      </c>
      <c r="H70" s="169">
        <v>217</v>
      </c>
      <c r="I70" s="169">
        <v>3</v>
      </c>
      <c r="J70" s="169">
        <v>5</v>
      </c>
      <c r="K70" s="169">
        <v>0</v>
      </c>
      <c r="L70" s="169">
        <v>0</v>
      </c>
      <c r="M70" s="177">
        <v>245</v>
      </c>
      <c r="N70" s="174"/>
      <c r="O70" s="177">
        <v>11537</v>
      </c>
      <c r="P70" s="169">
        <v>0</v>
      </c>
      <c r="Q70" s="177">
        <v>11537</v>
      </c>
      <c r="R70" s="377">
        <v>0</v>
      </c>
      <c r="S70" s="169">
        <v>0</v>
      </c>
      <c r="T70" s="169">
        <v>0</v>
      </c>
      <c r="U70" s="376">
        <v>0</v>
      </c>
      <c r="V70" s="177">
        <v>0</v>
      </c>
      <c r="W70" s="169"/>
      <c r="X70" s="177">
        <v>0</v>
      </c>
      <c r="Y70" s="174">
        <v>4</v>
      </c>
      <c r="Z70" s="177">
        <v>53</v>
      </c>
      <c r="AA70" s="169">
        <v>0</v>
      </c>
      <c r="AB70" s="169">
        <v>27</v>
      </c>
      <c r="AC70" s="169">
        <v>0</v>
      </c>
      <c r="AD70" s="169">
        <v>11</v>
      </c>
      <c r="AE70" s="169">
        <v>0</v>
      </c>
      <c r="AF70" s="169">
        <v>0</v>
      </c>
      <c r="AG70" s="169"/>
      <c r="AH70" s="177">
        <v>91</v>
      </c>
      <c r="AI70" s="174"/>
      <c r="AJ70" s="177"/>
      <c r="AK70" s="169">
        <v>0</v>
      </c>
      <c r="AL70" s="169">
        <v>0</v>
      </c>
      <c r="AM70" s="169">
        <v>0</v>
      </c>
      <c r="AN70" s="169">
        <v>0</v>
      </c>
      <c r="AO70" s="169">
        <v>0</v>
      </c>
      <c r="AP70" s="169">
        <v>0</v>
      </c>
      <c r="AQ70" s="169">
        <v>0</v>
      </c>
      <c r="AR70" s="169">
        <v>0</v>
      </c>
      <c r="AS70" s="169">
        <v>0</v>
      </c>
      <c r="AT70" s="169">
        <v>0</v>
      </c>
      <c r="AU70" s="169">
        <v>0</v>
      </c>
      <c r="AV70" s="177">
        <v>0</v>
      </c>
      <c r="AW70" s="377">
        <v>0</v>
      </c>
      <c r="AX70" s="169">
        <v>480</v>
      </c>
      <c r="AY70" s="169">
        <v>0</v>
      </c>
      <c r="AZ70" s="169">
        <v>0</v>
      </c>
      <c r="BA70" s="169">
        <v>0</v>
      </c>
      <c r="BB70" s="169">
        <v>80</v>
      </c>
      <c r="BC70" s="169">
        <v>0</v>
      </c>
      <c r="BD70" s="169"/>
      <c r="BE70" s="376">
        <v>560</v>
      </c>
      <c r="BF70" s="177">
        <v>0</v>
      </c>
      <c r="BG70" s="169">
        <v>11</v>
      </c>
      <c r="BH70" s="169">
        <v>269</v>
      </c>
      <c r="BI70" s="169">
        <v>50</v>
      </c>
      <c r="BJ70" s="169">
        <v>0</v>
      </c>
      <c r="BK70" s="169"/>
      <c r="BL70" s="177">
        <v>330</v>
      </c>
      <c r="BM70" s="174"/>
      <c r="BN70" s="177">
        <v>0</v>
      </c>
      <c r="BO70" s="377">
        <v>0</v>
      </c>
      <c r="BP70" s="169">
        <v>0</v>
      </c>
      <c r="BQ70" s="169">
        <v>0</v>
      </c>
      <c r="BR70" s="169"/>
      <c r="BS70" s="169"/>
      <c r="BT70" s="376">
        <v>0</v>
      </c>
      <c r="BU70" s="177">
        <v>5876</v>
      </c>
      <c r="BV70" s="169">
        <v>36</v>
      </c>
      <c r="BW70" s="169">
        <v>3045</v>
      </c>
      <c r="BX70" s="169">
        <v>173</v>
      </c>
      <c r="BY70" s="169">
        <v>0</v>
      </c>
      <c r="BZ70" s="169">
        <v>1557</v>
      </c>
      <c r="CA70" s="169">
        <v>0</v>
      </c>
      <c r="CB70" s="169">
        <v>2</v>
      </c>
      <c r="CC70" s="169">
        <v>0</v>
      </c>
      <c r="CD70" s="169">
        <v>0</v>
      </c>
      <c r="CE70" s="169">
        <v>0</v>
      </c>
      <c r="CF70" s="177">
        <v>10689</v>
      </c>
      <c r="CG70" s="377"/>
      <c r="CH70" s="169"/>
      <c r="CI70" s="376"/>
      <c r="CJ70" s="177"/>
      <c r="CK70" s="174"/>
      <c r="CL70" s="177">
        <v>10</v>
      </c>
      <c r="CM70" s="169">
        <v>0</v>
      </c>
      <c r="CN70" s="169">
        <v>1</v>
      </c>
      <c r="CO70" s="177">
        <v>11</v>
      </c>
      <c r="CP70" s="174">
        <v>25</v>
      </c>
      <c r="CQ70" s="177">
        <v>16</v>
      </c>
      <c r="CR70" s="169">
        <v>0</v>
      </c>
      <c r="CS70" s="169">
        <v>0</v>
      </c>
      <c r="CT70" s="169"/>
      <c r="CU70" s="177">
        <v>16</v>
      </c>
      <c r="CV70" s="174">
        <v>0</v>
      </c>
      <c r="CW70" s="177">
        <v>0</v>
      </c>
      <c r="CX70" s="377">
        <v>24</v>
      </c>
      <c r="CY70" s="169">
        <v>41</v>
      </c>
      <c r="CZ70" s="169"/>
      <c r="DA70" s="376">
        <v>65</v>
      </c>
      <c r="DB70" s="174">
        <v>23573</v>
      </c>
      <c r="DC70" s="179">
        <f>23573/921748</f>
        <v>2.5574235040379801E-2</v>
      </c>
    </row>
    <row r="71" spans="2:107" ht="13.5" thickBot="1" x14ac:dyDescent="0.25">
      <c r="B71" s="286" t="s">
        <v>556</v>
      </c>
      <c r="C71" s="374"/>
      <c r="D71" s="373"/>
      <c r="E71" s="373"/>
      <c r="F71" s="372"/>
      <c r="G71" s="375"/>
      <c r="H71" s="373"/>
      <c r="I71" s="373"/>
      <c r="J71" s="373"/>
      <c r="K71" s="373"/>
      <c r="L71" s="373"/>
      <c r="M71" s="375"/>
      <c r="N71" s="371"/>
      <c r="O71" s="375"/>
      <c r="P71" s="373"/>
      <c r="Q71" s="375"/>
      <c r="R71" s="374"/>
      <c r="S71" s="373"/>
      <c r="T71" s="373"/>
      <c r="U71" s="372"/>
      <c r="V71" s="375"/>
      <c r="W71" s="373"/>
      <c r="X71" s="375"/>
      <c r="Y71" s="371"/>
      <c r="Z71" s="375"/>
      <c r="AA71" s="373"/>
      <c r="AB71" s="373"/>
      <c r="AC71" s="373"/>
      <c r="AD71" s="373"/>
      <c r="AE71" s="373"/>
      <c r="AF71" s="373"/>
      <c r="AG71" s="373"/>
      <c r="AH71" s="375"/>
      <c r="AI71" s="371"/>
      <c r="AJ71" s="375"/>
      <c r="AK71" s="373"/>
      <c r="AL71" s="373"/>
      <c r="AM71" s="373"/>
      <c r="AN71" s="373"/>
      <c r="AO71" s="373"/>
      <c r="AP71" s="373"/>
      <c r="AQ71" s="373"/>
      <c r="AR71" s="373"/>
      <c r="AS71" s="373"/>
      <c r="AT71" s="373"/>
      <c r="AU71" s="373"/>
      <c r="AV71" s="375"/>
      <c r="AW71" s="374"/>
      <c r="AX71" s="373"/>
      <c r="AY71" s="373"/>
      <c r="AZ71" s="373"/>
      <c r="BA71" s="373"/>
      <c r="BB71" s="373"/>
      <c r="BC71" s="373"/>
      <c r="BD71" s="373"/>
      <c r="BE71" s="372"/>
      <c r="BF71" s="375"/>
      <c r="BG71" s="373"/>
      <c r="BH71" s="373"/>
      <c r="BI71" s="373"/>
      <c r="BJ71" s="373"/>
      <c r="BK71" s="373"/>
      <c r="BL71" s="375"/>
      <c r="BM71" s="371"/>
      <c r="BN71" s="375"/>
      <c r="BO71" s="374"/>
      <c r="BP71" s="373"/>
      <c r="BQ71" s="373"/>
      <c r="BR71" s="373"/>
      <c r="BS71" s="373"/>
      <c r="BT71" s="372"/>
      <c r="BU71" s="375">
        <v>12</v>
      </c>
      <c r="BV71" s="373"/>
      <c r="BW71" s="373"/>
      <c r="BX71" s="373"/>
      <c r="BY71" s="373"/>
      <c r="BZ71" s="373"/>
      <c r="CA71" s="373"/>
      <c r="CB71" s="373"/>
      <c r="CC71" s="373"/>
      <c r="CD71" s="373"/>
      <c r="CE71" s="373"/>
      <c r="CF71" s="375">
        <v>12</v>
      </c>
      <c r="CG71" s="374"/>
      <c r="CH71" s="373"/>
      <c r="CI71" s="372"/>
      <c r="CJ71" s="375"/>
      <c r="CK71" s="371"/>
      <c r="CL71" s="375"/>
      <c r="CM71" s="373"/>
      <c r="CN71" s="373"/>
      <c r="CO71" s="375"/>
      <c r="CP71" s="371"/>
      <c r="CQ71" s="375"/>
      <c r="CR71" s="373"/>
      <c r="CS71" s="373"/>
      <c r="CT71" s="373"/>
      <c r="CU71" s="375"/>
      <c r="CV71" s="371"/>
      <c r="CW71" s="375"/>
      <c r="CX71" s="374"/>
      <c r="CY71" s="373"/>
      <c r="CZ71" s="373"/>
      <c r="DA71" s="372"/>
      <c r="DB71" s="371">
        <v>12</v>
      </c>
      <c r="DC71" s="370">
        <f>12/921748</f>
        <v>1.3018742649834879E-5</v>
      </c>
    </row>
    <row r="72" spans="2:107" ht="13.5" thickBot="1" x14ac:dyDescent="0.25">
      <c r="B72" s="173" t="s">
        <v>549</v>
      </c>
      <c r="C72" s="369">
        <v>0</v>
      </c>
      <c r="D72" s="170">
        <v>0</v>
      </c>
      <c r="E72" s="170">
        <v>0</v>
      </c>
      <c r="F72" s="368">
        <v>0</v>
      </c>
      <c r="G72" s="178">
        <v>604</v>
      </c>
      <c r="H72" s="170">
        <v>4132</v>
      </c>
      <c r="I72" s="170">
        <v>99</v>
      </c>
      <c r="J72" s="170">
        <v>6</v>
      </c>
      <c r="K72" s="170">
        <v>0</v>
      </c>
      <c r="L72" s="170">
        <v>62</v>
      </c>
      <c r="M72" s="178">
        <v>4903</v>
      </c>
      <c r="N72" s="175">
        <v>0</v>
      </c>
      <c r="O72" s="178">
        <v>182245</v>
      </c>
      <c r="P72" s="170">
        <v>0</v>
      </c>
      <c r="Q72" s="178">
        <v>182245</v>
      </c>
      <c r="R72" s="369">
        <v>0</v>
      </c>
      <c r="S72" s="170">
        <v>0</v>
      </c>
      <c r="T72" s="170">
        <v>0</v>
      </c>
      <c r="U72" s="368">
        <v>0</v>
      </c>
      <c r="V72" s="178">
        <v>0</v>
      </c>
      <c r="W72" s="170"/>
      <c r="X72" s="178">
        <v>0</v>
      </c>
      <c r="Y72" s="175">
        <v>25</v>
      </c>
      <c r="Z72" s="178">
        <v>4758</v>
      </c>
      <c r="AA72" s="170">
        <v>0</v>
      </c>
      <c r="AB72" s="170">
        <v>1400</v>
      </c>
      <c r="AC72" s="170">
        <v>2</v>
      </c>
      <c r="AD72" s="170">
        <v>181</v>
      </c>
      <c r="AE72" s="170">
        <v>0</v>
      </c>
      <c r="AF72" s="170">
        <v>0</v>
      </c>
      <c r="AG72" s="170"/>
      <c r="AH72" s="178">
        <v>6341</v>
      </c>
      <c r="AI72" s="175">
        <v>0</v>
      </c>
      <c r="AJ72" s="178">
        <v>0</v>
      </c>
      <c r="AK72" s="170">
        <v>0</v>
      </c>
      <c r="AL72" s="170">
        <v>0</v>
      </c>
      <c r="AM72" s="170">
        <v>0</v>
      </c>
      <c r="AN72" s="170">
        <v>0</v>
      </c>
      <c r="AO72" s="170">
        <v>0</v>
      </c>
      <c r="AP72" s="170">
        <v>0</v>
      </c>
      <c r="AQ72" s="170">
        <v>0</v>
      </c>
      <c r="AR72" s="170">
        <v>0</v>
      </c>
      <c r="AS72" s="170">
        <v>0</v>
      </c>
      <c r="AT72" s="170">
        <v>0</v>
      </c>
      <c r="AU72" s="170">
        <v>0</v>
      </c>
      <c r="AV72" s="178">
        <v>0</v>
      </c>
      <c r="AW72" s="369">
        <v>0</v>
      </c>
      <c r="AX72" s="170">
        <v>51878</v>
      </c>
      <c r="AY72" s="170">
        <v>0</v>
      </c>
      <c r="AZ72" s="170">
        <v>0</v>
      </c>
      <c r="BA72" s="170">
        <v>0</v>
      </c>
      <c r="BB72" s="170">
        <v>2291</v>
      </c>
      <c r="BC72" s="170">
        <v>0</v>
      </c>
      <c r="BD72" s="170">
        <v>0</v>
      </c>
      <c r="BE72" s="368">
        <v>54169</v>
      </c>
      <c r="BF72" s="178">
        <v>0</v>
      </c>
      <c r="BG72" s="170">
        <v>2787</v>
      </c>
      <c r="BH72" s="170">
        <v>23099</v>
      </c>
      <c r="BI72" s="170">
        <v>1481</v>
      </c>
      <c r="BJ72" s="170">
        <v>0</v>
      </c>
      <c r="BK72" s="170">
        <v>0</v>
      </c>
      <c r="BL72" s="178">
        <v>27367</v>
      </c>
      <c r="BM72" s="175"/>
      <c r="BN72" s="178">
        <v>0</v>
      </c>
      <c r="BO72" s="369">
        <v>0</v>
      </c>
      <c r="BP72" s="170">
        <v>0</v>
      </c>
      <c r="BQ72" s="170">
        <v>0</v>
      </c>
      <c r="BR72" s="170">
        <v>0</v>
      </c>
      <c r="BS72" s="170"/>
      <c r="BT72" s="368">
        <v>0</v>
      </c>
      <c r="BU72" s="178">
        <v>78883</v>
      </c>
      <c r="BV72" s="170">
        <v>791</v>
      </c>
      <c r="BW72" s="170">
        <v>28569</v>
      </c>
      <c r="BX72" s="170">
        <v>194</v>
      </c>
      <c r="BY72" s="170">
        <v>0</v>
      </c>
      <c r="BZ72" s="170">
        <v>54862</v>
      </c>
      <c r="CA72" s="170">
        <v>0</v>
      </c>
      <c r="CB72" s="170">
        <v>56</v>
      </c>
      <c r="CC72" s="170">
        <v>0</v>
      </c>
      <c r="CD72" s="170">
        <v>0</v>
      </c>
      <c r="CE72" s="170">
        <v>0</v>
      </c>
      <c r="CF72" s="178">
        <v>163355</v>
      </c>
      <c r="CG72" s="369"/>
      <c r="CH72" s="170">
        <v>4</v>
      </c>
      <c r="CI72" s="368">
        <v>4</v>
      </c>
      <c r="CJ72" s="178">
        <v>0</v>
      </c>
      <c r="CK72" s="175">
        <v>0</v>
      </c>
      <c r="CL72" s="178">
        <v>24</v>
      </c>
      <c r="CM72" s="170">
        <v>2</v>
      </c>
      <c r="CN72" s="170">
        <v>4</v>
      </c>
      <c r="CO72" s="178">
        <v>30</v>
      </c>
      <c r="CP72" s="175">
        <v>60</v>
      </c>
      <c r="CQ72" s="178">
        <v>55</v>
      </c>
      <c r="CR72" s="170">
        <v>0</v>
      </c>
      <c r="CS72" s="170">
        <v>0</v>
      </c>
      <c r="CT72" s="170">
        <v>0</v>
      </c>
      <c r="CU72" s="178">
        <v>55</v>
      </c>
      <c r="CV72" s="175">
        <v>0</v>
      </c>
      <c r="CW72" s="178">
        <v>0</v>
      </c>
      <c r="CX72" s="369">
        <v>50</v>
      </c>
      <c r="CY72" s="170">
        <v>41</v>
      </c>
      <c r="CZ72" s="170">
        <v>6</v>
      </c>
      <c r="DA72" s="368">
        <v>97</v>
      </c>
      <c r="DB72" s="175">
        <v>438651</v>
      </c>
      <c r="DC72" s="180">
        <f>438651/921748</f>
        <v>0.47589037350772662</v>
      </c>
    </row>
    <row r="73" spans="2:107" x14ac:dyDescent="0.2">
      <c r="B73" s="286" t="s">
        <v>30</v>
      </c>
      <c r="C73" s="374">
        <v>0</v>
      </c>
      <c r="D73" s="373"/>
      <c r="E73" s="373"/>
      <c r="F73" s="372">
        <v>0</v>
      </c>
      <c r="G73" s="375">
        <v>0</v>
      </c>
      <c r="H73" s="373">
        <v>168</v>
      </c>
      <c r="I73" s="373">
        <v>0</v>
      </c>
      <c r="J73" s="373"/>
      <c r="K73" s="373"/>
      <c r="L73" s="373"/>
      <c r="M73" s="375">
        <v>168</v>
      </c>
      <c r="N73" s="371">
        <v>0</v>
      </c>
      <c r="O73" s="375">
        <v>1039</v>
      </c>
      <c r="P73" s="373"/>
      <c r="Q73" s="375">
        <v>1039</v>
      </c>
      <c r="R73" s="374">
        <v>0</v>
      </c>
      <c r="S73" s="373"/>
      <c r="T73" s="373"/>
      <c r="U73" s="372">
        <v>0</v>
      </c>
      <c r="V73" s="375"/>
      <c r="W73" s="373"/>
      <c r="X73" s="375"/>
      <c r="Y73" s="371">
        <v>0</v>
      </c>
      <c r="Z73" s="375">
        <v>1</v>
      </c>
      <c r="AA73" s="373"/>
      <c r="AB73" s="373">
        <v>2</v>
      </c>
      <c r="AC73" s="373">
        <v>1</v>
      </c>
      <c r="AD73" s="373"/>
      <c r="AE73" s="373"/>
      <c r="AF73" s="373">
        <v>0</v>
      </c>
      <c r="AG73" s="373"/>
      <c r="AH73" s="375">
        <v>4</v>
      </c>
      <c r="AI73" s="371"/>
      <c r="AJ73" s="375"/>
      <c r="AK73" s="373">
        <v>0</v>
      </c>
      <c r="AL73" s="373">
        <v>0</v>
      </c>
      <c r="AM73" s="373">
        <v>0</v>
      </c>
      <c r="AN73" s="373"/>
      <c r="AO73" s="373">
        <v>0</v>
      </c>
      <c r="AP73" s="373">
        <v>0</v>
      </c>
      <c r="AQ73" s="373">
        <v>0</v>
      </c>
      <c r="AR73" s="373">
        <v>0</v>
      </c>
      <c r="AS73" s="373"/>
      <c r="AT73" s="373"/>
      <c r="AU73" s="373"/>
      <c r="AV73" s="375">
        <v>0</v>
      </c>
      <c r="AW73" s="374">
        <v>0</v>
      </c>
      <c r="AX73" s="373">
        <v>43</v>
      </c>
      <c r="AY73" s="373">
        <v>0</v>
      </c>
      <c r="AZ73" s="373">
        <v>0</v>
      </c>
      <c r="BA73" s="373"/>
      <c r="BB73" s="373">
        <v>0</v>
      </c>
      <c r="BC73" s="373"/>
      <c r="BD73" s="373">
        <v>0</v>
      </c>
      <c r="BE73" s="372">
        <v>43</v>
      </c>
      <c r="BF73" s="375">
        <v>0</v>
      </c>
      <c r="BG73" s="373">
        <v>1</v>
      </c>
      <c r="BH73" s="373">
        <v>25</v>
      </c>
      <c r="BI73" s="373">
        <v>4</v>
      </c>
      <c r="BJ73" s="373">
        <v>0</v>
      </c>
      <c r="BK73" s="373"/>
      <c r="BL73" s="375">
        <v>30</v>
      </c>
      <c r="BM73" s="371"/>
      <c r="BN73" s="375">
        <v>0</v>
      </c>
      <c r="BO73" s="374">
        <v>0</v>
      </c>
      <c r="BP73" s="373">
        <v>0</v>
      </c>
      <c r="BQ73" s="373"/>
      <c r="BR73" s="373"/>
      <c r="BS73" s="373"/>
      <c r="BT73" s="372">
        <v>0</v>
      </c>
      <c r="BU73" s="375">
        <v>552</v>
      </c>
      <c r="BV73" s="373">
        <v>2</v>
      </c>
      <c r="BW73" s="373">
        <v>186</v>
      </c>
      <c r="BX73" s="373">
        <v>12</v>
      </c>
      <c r="BY73" s="373">
        <v>0</v>
      </c>
      <c r="BZ73" s="373">
        <v>145</v>
      </c>
      <c r="CA73" s="373">
        <v>0</v>
      </c>
      <c r="CB73" s="373">
        <v>0</v>
      </c>
      <c r="CC73" s="373">
        <v>0</v>
      </c>
      <c r="CD73" s="373"/>
      <c r="CE73" s="373"/>
      <c r="CF73" s="375">
        <v>897</v>
      </c>
      <c r="CG73" s="374">
        <v>0</v>
      </c>
      <c r="CH73" s="373">
        <v>0</v>
      </c>
      <c r="CI73" s="372">
        <v>0</v>
      </c>
      <c r="CJ73" s="375"/>
      <c r="CK73" s="371"/>
      <c r="CL73" s="375">
        <v>7</v>
      </c>
      <c r="CM73" s="373"/>
      <c r="CN73" s="373"/>
      <c r="CO73" s="375">
        <v>7</v>
      </c>
      <c r="CP73" s="371">
        <v>0</v>
      </c>
      <c r="CQ73" s="375">
        <v>12</v>
      </c>
      <c r="CR73" s="373">
        <v>0</v>
      </c>
      <c r="CS73" s="373">
        <v>0</v>
      </c>
      <c r="CT73" s="373"/>
      <c r="CU73" s="375">
        <v>12</v>
      </c>
      <c r="CV73" s="371"/>
      <c r="CW73" s="375">
        <v>0</v>
      </c>
      <c r="CX73" s="374"/>
      <c r="CY73" s="373">
        <v>0</v>
      </c>
      <c r="CZ73" s="373"/>
      <c r="DA73" s="372">
        <v>0</v>
      </c>
      <c r="DB73" s="371">
        <v>2200</v>
      </c>
      <c r="DC73" s="370">
        <f>2200/921748</f>
        <v>2.3867694858030609E-3</v>
      </c>
    </row>
    <row r="74" spans="2:107" x14ac:dyDescent="0.2">
      <c r="B74" s="172" t="s">
        <v>53</v>
      </c>
      <c r="C74" s="377"/>
      <c r="D74" s="169"/>
      <c r="E74" s="169"/>
      <c r="F74" s="376"/>
      <c r="G74" s="177">
        <v>0</v>
      </c>
      <c r="H74" s="169">
        <v>82</v>
      </c>
      <c r="I74" s="169">
        <v>2</v>
      </c>
      <c r="J74" s="169"/>
      <c r="K74" s="169"/>
      <c r="L74" s="169"/>
      <c r="M74" s="177">
        <v>84</v>
      </c>
      <c r="N74" s="174"/>
      <c r="O74" s="177">
        <v>59</v>
      </c>
      <c r="P74" s="169"/>
      <c r="Q74" s="177">
        <v>59</v>
      </c>
      <c r="R74" s="377">
        <v>0</v>
      </c>
      <c r="S74" s="169"/>
      <c r="T74" s="169"/>
      <c r="U74" s="376">
        <v>0</v>
      </c>
      <c r="V74" s="177"/>
      <c r="W74" s="169"/>
      <c r="X74" s="177"/>
      <c r="Y74" s="174"/>
      <c r="Z74" s="177">
        <v>4</v>
      </c>
      <c r="AA74" s="169"/>
      <c r="AB74" s="169"/>
      <c r="AC74" s="169"/>
      <c r="AD74" s="169">
        <v>1</v>
      </c>
      <c r="AE74" s="169"/>
      <c r="AF74" s="169"/>
      <c r="AG74" s="169"/>
      <c r="AH74" s="177">
        <v>5</v>
      </c>
      <c r="AI74" s="174"/>
      <c r="AJ74" s="177"/>
      <c r="AK74" s="169"/>
      <c r="AL74" s="169"/>
      <c r="AM74" s="169"/>
      <c r="AN74" s="169"/>
      <c r="AO74" s="169"/>
      <c r="AP74" s="169"/>
      <c r="AQ74" s="169"/>
      <c r="AR74" s="169"/>
      <c r="AS74" s="169"/>
      <c r="AT74" s="169"/>
      <c r="AU74" s="169"/>
      <c r="AV74" s="177"/>
      <c r="AW74" s="377">
        <v>0</v>
      </c>
      <c r="AX74" s="169">
        <v>19</v>
      </c>
      <c r="AY74" s="169">
        <v>0</v>
      </c>
      <c r="AZ74" s="169">
        <v>0</v>
      </c>
      <c r="BA74" s="169">
        <v>0</v>
      </c>
      <c r="BB74" s="169">
        <v>0</v>
      </c>
      <c r="BC74" s="169"/>
      <c r="BD74" s="169"/>
      <c r="BE74" s="376">
        <v>19</v>
      </c>
      <c r="BF74" s="177">
        <v>0</v>
      </c>
      <c r="BG74" s="169">
        <v>2</v>
      </c>
      <c r="BH74" s="169">
        <v>13</v>
      </c>
      <c r="BI74" s="169">
        <v>1</v>
      </c>
      <c r="BJ74" s="169">
        <v>0</v>
      </c>
      <c r="BK74" s="169"/>
      <c r="BL74" s="177">
        <v>16</v>
      </c>
      <c r="BM74" s="174"/>
      <c r="BN74" s="177"/>
      <c r="BO74" s="377">
        <v>0</v>
      </c>
      <c r="BP74" s="169">
        <v>0</v>
      </c>
      <c r="BQ74" s="169"/>
      <c r="BR74" s="169"/>
      <c r="BS74" s="169"/>
      <c r="BT74" s="376">
        <v>0</v>
      </c>
      <c r="BU74" s="177">
        <v>96</v>
      </c>
      <c r="BV74" s="169">
        <v>2</v>
      </c>
      <c r="BW74" s="169">
        <v>27</v>
      </c>
      <c r="BX74" s="169">
        <v>0</v>
      </c>
      <c r="BY74" s="169">
        <v>0</v>
      </c>
      <c r="BZ74" s="169">
        <v>23</v>
      </c>
      <c r="CA74" s="169"/>
      <c r="CB74" s="169">
        <v>2</v>
      </c>
      <c r="CC74" s="169"/>
      <c r="CD74" s="169"/>
      <c r="CE74" s="169"/>
      <c r="CF74" s="177">
        <v>150</v>
      </c>
      <c r="CG74" s="377"/>
      <c r="CH74" s="169"/>
      <c r="CI74" s="376"/>
      <c r="CJ74" s="177"/>
      <c r="CK74" s="174"/>
      <c r="CL74" s="177"/>
      <c r="CM74" s="169"/>
      <c r="CN74" s="169"/>
      <c r="CO74" s="177"/>
      <c r="CP74" s="174"/>
      <c r="CQ74" s="177">
        <v>1</v>
      </c>
      <c r="CR74" s="169">
        <v>0</v>
      </c>
      <c r="CS74" s="169"/>
      <c r="CT74" s="169"/>
      <c r="CU74" s="177">
        <v>1</v>
      </c>
      <c r="CV74" s="174"/>
      <c r="CW74" s="177">
        <v>0</v>
      </c>
      <c r="CX74" s="377">
        <v>0</v>
      </c>
      <c r="CY74" s="169">
        <v>0</v>
      </c>
      <c r="CZ74" s="169"/>
      <c r="DA74" s="376">
        <v>0</v>
      </c>
      <c r="DB74" s="174">
        <v>334</v>
      </c>
      <c r="DC74" s="179">
        <f>334/921748</f>
        <v>3.6235500375373747E-4</v>
      </c>
    </row>
    <row r="75" spans="2:107" x14ac:dyDescent="0.2">
      <c r="B75" s="172" t="s">
        <v>58</v>
      </c>
      <c r="C75" s="377">
        <v>0</v>
      </c>
      <c r="D75" s="169">
        <v>0</v>
      </c>
      <c r="E75" s="169">
        <v>0</v>
      </c>
      <c r="F75" s="376">
        <v>0</v>
      </c>
      <c r="G75" s="177">
        <v>1</v>
      </c>
      <c r="H75" s="169">
        <v>79</v>
      </c>
      <c r="I75" s="169">
        <v>6</v>
      </c>
      <c r="J75" s="169"/>
      <c r="K75" s="169">
        <v>0</v>
      </c>
      <c r="L75" s="169">
        <v>1</v>
      </c>
      <c r="M75" s="177">
        <v>87</v>
      </c>
      <c r="N75" s="174"/>
      <c r="O75" s="177">
        <v>3032</v>
      </c>
      <c r="P75" s="169">
        <v>0</v>
      </c>
      <c r="Q75" s="177">
        <v>3032</v>
      </c>
      <c r="R75" s="377">
        <v>0</v>
      </c>
      <c r="S75" s="169">
        <v>0</v>
      </c>
      <c r="T75" s="169"/>
      <c r="U75" s="376">
        <v>0</v>
      </c>
      <c r="V75" s="177">
        <v>0</v>
      </c>
      <c r="W75" s="169"/>
      <c r="X75" s="177">
        <v>0</v>
      </c>
      <c r="Y75" s="174">
        <v>0</v>
      </c>
      <c r="Z75" s="177">
        <v>5</v>
      </c>
      <c r="AA75" s="169">
        <v>0</v>
      </c>
      <c r="AB75" s="169">
        <v>40</v>
      </c>
      <c r="AC75" s="169">
        <v>0</v>
      </c>
      <c r="AD75" s="169"/>
      <c r="AE75" s="169">
        <v>0</v>
      </c>
      <c r="AF75" s="169"/>
      <c r="AG75" s="169"/>
      <c r="AH75" s="177">
        <v>45</v>
      </c>
      <c r="AI75" s="174"/>
      <c r="AJ75" s="177">
        <v>0</v>
      </c>
      <c r="AK75" s="169">
        <v>0</v>
      </c>
      <c r="AL75" s="169">
        <v>0</v>
      </c>
      <c r="AM75" s="169">
        <v>0</v>
      </c>
      <c r="AN75" s="169">
        <v>0</v>
      </c>
      <c r="AO75" s="169">
        <v>0</v>
      </c>
      <c r="AP75" s="169">
        <v>0</v>
      </c>
      <c r="AQ75" s="169">
        <v>0</v>
      </c>
      <c r="AR75" s="169">
        <v>0</v>
      </c>
      <c r="AS75" s="169">
        <v>0</v>
      </c>
      <c r="AT75" s="169"/>
      <c r="AU75" s="169">
        <v>0</v>
      </c>
      <c r="AV75" s="177">
        <v>0</v>
      </c>
      <c r="AW75" s="377">
        <v>0</v>
      </c>
      <c r="AX75" s="169">
        <v>66</v>
      </c>
      <c r="AY75" s="169">
        <v>0</v>
      </c>
      <c r="AZ75" s="169">
        <v>0</v>
      </c>
      <c r="BA75" s="169">
        <v>0</v>
      </c>
      <c r="BB75" s="169">
        <v>15</v>
      </c>
      <c r="BC75" s="169">
        <v>0</v>
      </c>
      <c r="BD75" s="169">
        <v>0</v>
      </c>
      <c r="BE75" s="376">
        <v>81</v>
      </c>
      <c r="BF75" s="177">
        <v>0</v>
      </c>
      <c r="BG75" s="169">
        <v>10</v>
      </c>
      <c r="BH75" s="169">
        <v>185</v>
      </c>
      <c r="BI75" s="169">
        <v>9</v>
      </c>
      <c r="BJ75" s="169">
        <v>0</v>
      </c>
      <c r="BK75" s="169"/>
      <c r="BL75" s="177">
        <v>204</v>
      </c>
      <c r="BM75" s="174"/>
      <c r="BN75" s="177">
        <v>0</v>
      </c>
      <c r="BO75" s="377">
        <v>0</v>
      </c>
      <c r="BP75" s="169">
        <v>0</v>
      </c>
      <c r="BQ75" s="169"/>
      <c r="BR75" s="169"/>
      <c r="BS75" s="169"/>
      <c r="BT75" s="376">
        <v>0</v>
      </c>
      <c r="BU75" s="177">
        <v>158</v>
      </c>
      <c r="BV75" s="169">
        <v>6</v>
      </c>
      <c r="BW75" s="169">
        <v>111</v>
      </c>
      <c r="BX75" s="169">
        <v>1</v>
      </c>
      <c r="BY75" s="169">
        <v>0</v>
      </c>
      <c r="BZ75" s="169">
        <v>410</v>
      </c>
      <c r="CA75" s="169">
        <v>0</v>
      </c>
      <c r="CB75" s="169">
        <v>0</v>
      </c>
      <c r="CC75" s="169">
        <v>0</v>
      </c>
      <c r="CD75" s="169"/>
      <c r="CE75" s="169"/>
      <c r="CF75" s="177">
        <v>686</v>
      </c>
      <c r="CG75" s="377"/>
      <c r="CH75" s="169">
        <v>0</v>
      </c>
      <c r="CI75" s="376">
        <v>0</v>
      </c>
      <c r="CJ75" s="177"/>
      <c r="CK75" s="174">
        <v>0</v>
      </c>
      <c r="CL75" s="177">
        <v>6</v>
      </c>
      <c r="CM75" s="169">
        <v>1</v>
      </c>
      <c r="CN75" s="169">
        <v>8</v>
      </c>
      <c r="CO75" s="177">
        <v>15</v>
      </c>
      <c r="CP75" s="174">
        <v>4</v>
      </c>
      <c r="CQ75" s="177">
        <v>3</v>
      </c>
      <c r="CR75" s="169">
        <v>0</v>
      </c>
      <c r="CS75" s="169">
        <v>0</v>
      </c>
      <c r="CT75" s="169"/>
      <c r="CU75" s="177">
        <v>3</v>
      </c>
      <c r="CV75" s="174">
        <v>0</v>
      </c>
      <c r="CW75" s="177">
        <v>0</v>
      </c>
      <c r="CX75" s="377">
        <v>0</v>
      </c>
      <c r="CY75" s="169">
        <v>12</v>
      </c>
      <c r="CZ75" s="169"/>
      <c r="DA75" s="376">
        <v>12</v>
      </c>
      <c r="DB75" s="174">
        <v>4169</v>
      </c>
      <c r="DC75" s="179">
        <f>4169/921748</f>
        <v>4.5229281755968008E-3</v>
      </c>
    </row>
    <row r="76" spans="2:107" x14ac:dyDescent="0.2">
      <c r="B76" s="172" t="s">
        <v>81</v>
      </c>
      <c r="C76" s="377"/>
      <c r="D76" s="169"/>
      <c r="E76" s="169"/>
      <c r="F76" s="376"/>
      <c r="G76" s="177">
        <v>0</v>
      </c>
      <c r="H76" s="169">
        <v>1</v>
      </c>
      <c r="I76" s="169">
        <v>0</v>
      </c>
      <c r="J76" s="169"/>
      <c r="K76" s="169"/>
      <c r="L76" s="169"/>
      <c r="M76" s="177">
        <v>1</v>
      </c>
      <c r="N76" s="174"/>
      <c r="O76" s="177">
        <v>101</v>
      </c>
      <c r="P76" s="169"/>
      <c r="Q76" s="177">
        <v>101</v>
      </c>
      <c r="R76" s="377">
        <v>0</v>
      </c>
      <c r="S76" s="169"/>
      <c r="T76" s="169"/>
      <c r="U76" s="376">
        <v>0</v>
      </c>
      <c r="V76" s="177"/>
      <c r="W76" s="169"/>
      <c r="X76" s="177"/>
      <c r="Y76" s="174">
        <v>0</v>
      </c>
      <c r="Z76" s="177">
        <v>0</v>
      </c>
      <c r="AA76" s="169"/>
      <c r="AB76" s="169"/>
      <c r="AC76" s="169"/>
      <c r="AD76" s="169"/>
      <c r="AE76" s="169"/>
      <c r="AF76" s="169"/>
      <c r="AG76" s="169"/>
      <c r="AH76" s="177">
        <v>0</v>
      </c>
      <c r="AI76" s="174"/>
      <c r="AJ76" s="177"/>
      <c r="AK76" s="169"/>
      <c r="AL76" s="169"/>
      <c r="AM76" s="169"/>
      <c r="AN76" s="169"/>
      <c r="AO76" s="169"/>
      <c r="AP76" s="169"/>
      <c r="AQ76" s="169"/>
      <c r="AR76" s="169">
        <v>0</v>
      </c>
      <c r="AS76" s="169">
        <v>0</v>
      </c>
      <c r="AT76" s="169">
        <v>0</v>
      </c>
      <c r="AU76" s="169"/>
      <c r="AV76" s="177">
        <v>0</v>
      </c>
      <c r="AW76" s="377">
        <v>0</v>
      </c>
      <c r="AX76" s="169">
        <v>14</v>
      </c>
      <c r="AY76" s="169">
        <v>0</v>
      </c>
      <c r="AZ76" s="169">
        <v>0</v>
      </c>
      <c r="BA76" s="169">
        <v>0</v>
      </c>
      <c r="BB76" s="169">
        <v>0</v>
      </c>
      <c r="BC76" s="169">
        <v>0</v>
      </c>
      <c r="BD76" s="169"/>
      <c r="BE76" s="376">
        <v>14</v>
      </c>
      <c r="BF76" s="177">
        <v>0</v>
      </c>
      <c r="BG76" s="169">
        <v>1</v>
      </c>
      <c r="BH76" s="169">
        <v>17</v>
      </c>
      <c r="BI76" s="169">
        <v>2</v>
      </c>
      <c r="BJ76" s="169">
        <v>0</v>
      </c>
      <c r="BK76" s="169"/>
      <c r="BL76" s="177">
        <v>20</v>
      </c>
      <c r="BM76" s="174"/>
      <c r="BN76" s="177">
        <v>0</v>
      </c>
      <c r="BO76" s="377">
        <v>0</v>
      </c>
      <c r="BP76" s="169">
        <v>0</v>
      </c>
      <c r="BQ76" s="169"/>
      <c r="BR76" s="169"/>
      <c r="BS76" s="169"/>
      <c r="BT76" s="376">
        <v>0</v>
      </c>
      <c r="BU76" s="177">
        <v>38</v>
      </c>
      <c r="BV76" s="169">
        <v>0</v>
      </c>
      <c r="BW76" s="169">
        <v>118</v>
      </c>
      <c r="BX76" s="169">
        <v>0</v>
      </c>
      <c r="BY76" s="169">
        <v>0</v>
      </c>
      <c r="BZ76" s="169">
        <v>23</v>
      </c>
      <c r="CA76" s="169">
        <v>0</v>
      </c>
      <c r="CB76" s="169">
        <v>1</v>
      </c>
      <c r="CC76" s="169">
        <v>0</v>
      </c>
      <c r="CD76" s="169"/>
      <c r="CE76" s="169"/>
      <c r="CF76" s="177">
        <v>180</v>
      </c>
      <c r="CG76" s="377"/>
      <c r="CH76" s="169"/>
      <c r="CI76" s="376"/>
      <c r="CJ76" s="177"/>
      <c r="CK76" s="174"/>
      <c r="CL76" s="177"/>
      <c r="CM76" s="169">
        <v>1</v>
      </c>
      <c r="CN76" s="169"/>
      <c r="CO76" s="177">
        <v>1</v>
      </c>
      <c r="CP76" s="174">
        <v>10</v>
      </c>
      <c r="CQ76" s="177">
        <v>1</v>
      </c>
      <c r="CR76" s="169">
        <v>0</v>
      </c>
      <c r="CS76" s="169">
        <v>0</v>
      </c>
      <c r="CT76" s="169"/>
      <c r="CU76" s="177">
        <v>1</v>
      </c>
      <c r="CV76" s="174"/>
      <c r="CW76" s="177">
        <v>0</v>
      </c>
      <c r="CX76" s="377">
        <v>0</v>
      </c>
      <c r="CY76" s="169"/>
      <c r="CZ76" s="169"/>
      <c r="DA76" s="376">
        <v>0</v>
      </c>
      <c r="DB76" s="174">
        <v>328</v>
      </c>
      <c r="DC76" s="179">
        <f>328/921748</f>
        <v>3.5584563242882001E-4</v>
      </c>
    </row>
    <row r="77" spans="2:107" x14ac:dyDescent="0.2">
      <c r="B77" s="172" t="s">
        <v>106</v>
      </c>
      <c r="C77" s="377"/>
      <c r="D77" s="169">
        <v>0</v>
      </c>
      <c r="E77" s="169">
        <v>0</v>
      </c>
      <c r="F77" s="376">
        <v>0</v>
      </c>
      <c r="G77" s="177">
        <v>0</v>
      </c>
      <c r="H77" s="169">
        <v>7</v>
      </c>
      <c r="I77" s="169"/>
      <c r="J77" s="169">
        <v>0</v>
      </c>
      <c r="K77" s="169"/>
      <c r="L77" s="169"/>
      <c r="M77" s="177">
        <v>7</v>
      </c>
      <c r="N77" s="174"/>
      <c r="O77" s="177">
        <v>2219</v>
      </c>
      <c r="P77" s="169">
        <v>0</v>
      </c>
      <c r="Q77" s="177">
        <v>2219</v>
      </c>
      <c r="R77" s="377">
        <v>0</v>
      </c>
      <c r="S77" s="169"/>
      <c r="T77" s="169"/>
      <c r="U77" s="376">
        <v>0</v>
      </c>
      <c r="V77" s="177"/>
      <c r="W77" s="169"/>
      <c r="X77" s="177"/>
      <c r="Y77" s="174"/>
      <c r="Z77" s="177">
        <v>2</v>
      </c>
      <c r="AA77" s="169"/>
      <c r="AB77" s="169"/>
      <c r="AC77" s="169"/>
      <c r="AD77" s="169"/>
      <c r="AE77" s="169"/>
      <c r="AF77" s="169"/>
      <c r="AG77" s="169"/>
      <c r="AH77" s="177">
        <v>2</v>
      </c>
      <c r="AI77" s="174"/>
      <c r="AJ77" s="177">
        <v>0</v>
      </c>
      <c r="AK77" s="169"/>
      <c r="AL77" s="169"/>
      <c r="AM77" s="169"/>
      <c r="AN77" s="169"/>
      <c r="AO77" s="169"/>
      <c r="AP77" s="169"/>
      <c r="AQ77" s="169"/>
      <c r="AR77" s="169">
        <v>0</v>
      </c>
      <c r="AS77" s="169"/>
      <c r="AT77" s="169"/>
      <c r="AU77" s="169"/>
      <c r="AV77" s="177">
        <v>0</v>
      </c>
      <c r="AW77" s="377"/>
      <c r="AX77" s="169">
        <v>57</v>
      </c>
      <c r="AY77" s="169">
        <v>0</v>
      </c>
      <c r="AZ77" s="169">
        <v>0</v>
      </c>
      <c r="BA77" s="169">
        <v>0</v>
      </c>
      <c r="BB77" s="169">
        <v>5</v>
      </c>
      <c r="BC77" s="169">
        <v>0</v>
      </c>
      <c r="BD77" s="169"/>
      <c r="BE77" s="376">
        <v>62</v>
      </c>
      <c r="BF77" s="177">
        <v>0</v>
      </c>
      <c r="BG77" s="169">
        <v>2</v>
      </c>
      <c r="BH77" s="169">
        <v>20</v>
      </c>
      <c r="BI77" s="169">
        <v>0</v>
      </c>
      <c r="BJ77" s="169">
        <v>0</v>
      </c>
      <c r="BK77" s="169"/>
      <c r="BL77" s="177">
        <v>22</v>
      </c>
      <c r="BM77" s="174"/>
      <c r="BN77" s="177">
        <v>0</v>
      </c>
      <c r="BO77" s="377">
        <v>0</v>
      </c>
      <c r="BP77" s="169">
        <v>0</v>
      </c>
      <c r="BQ77" s="169">
        <v>0</v>
      </c>
      <c r="BR77" s="169"/>
      <c r="BS77" s="169"/>
      <c r="BT77" s="376">
        <v>0</v>
      </c>
      <c r="BU77" s="177">
        <v>23</v>
      </c>
      <c r="BV77" s="169">
        <v>2</v>
      </c>
      <c r="BW77" s="169">
        <v>5</v>
      </c>
      <c r="BX77" s="169">
        <v>0</v>
      </c>
      <c r="BY77" s="169">
        <v>0</v>
      </c>
      <c r="BZ77" s="169">
        <v>142</v>
      </c>
      <c r="CA77" s="169">
        <v>0</v>
      </c>
      <c r="CB77" s="169">
        <v>0</v>
      </c>
      <c r="CC77" s="169">
        <v>0</v>
      </c>
      <c r="CD77" s="169"/>
      <c r="CE77" s="169"/>
      <c r="CF77" s="177">
        <v>172</v>
      </c>
      <c r="CG77" s="377"/>
      <c r="CH77" s="169"/>
      <c r="CI77" s="376"/>
      <c r="CJ77" s="177"/>
      <c r="CK77" s="174"/>
      <c r="CL77" s="177"/>
      <c r="CM77" s="169"/>
      <c r="CN77" s="169"/>
      <c r="CO77" s="177"/>
      <c r="CP77" s="174"/>
      <c r="CQ77" s="177"/>
      <c r="CR77" s="169">
        <v>0</v>
      </c>
      <c r="CS77" s="169"/>
      <c r="CT77" s="169"/>
      <c r="CU77" s="177">
        <v>0</v>
      </c>
      <c r="CV77" s="174"/>
      <c r="CW77" s="177">
        <v>0</v>
      </c>
      <c r="CX77" s="377">
        <v>0</v>
      </c>
      <c r="CY77" s="169">
        <v>0</v>
      </c>
      <c r="CZ77" s="169"/>
      <c r="DA77" s="376">
        <v>0</v>
      </c>
      <c r="DB77" s="174">
        <v>2484</v>
      </c>
      <c r="DC77" s="179">
        <f>2484/921748</f>
        <v>2.69487972851582E-3</v>
      </c>
    </row>
    <row r="78" spans="2:107" x14ac:dyDescent="0.2">
      <c r="B78" s="172" t="s">
        <v>111</v>
      </c>
      <c r="C78" s="377">
        <v>0</v>
      </c>
      <c r="D78" s="169">
        <v>0</v>
      </c>
      <c r="E78" s="169">
        <v>0</v>
      </c>
      <c r="F78" s="376">
        <v>0</v>
      </c>
      <c r="G78" s="177">
        <v>2</v>
      </c>
      <c r="H78" s="169">
        <v>95</v>
      </c>
      <c r="I78" s="169">
        <v>4</v>
      </c>
      <c r="J78" s="169"/>
      <c r="K78" s="169"/>
      <c r="L78" s="169">
        <v>1</v>
      </c>
      <c r="M78" s="177">
        <v>102</v>
      </c>
      <c r="N78" s="174"/>
      <c r="O78" s="177">
        <v>456</v>
      </c>
      <c r="P78" s="169">
        <v>0</v>
      </c>
      <c r="Q78" s="177">
        <v>456</v>
      </c>
      <c r="R78" s="377">
        <v>0</v>
      </c>
      <c r="S78" s="169">
        <v>0</v>
      </c>
      <c r="T78" s="169"/>
      <c r="U78" s="376">
        <v>0</v>
      </c>
      <c r="V78" s="177">
        <v>0</v>
      </c>
      <c r="W78" s="169"/>
      <c r="X78" s="177">
        <v>0</v>
      </c>
      <c r="Y78" s="174">
        <v>1</v>
      </c>
      <c r="Z78" s="177">
        <v>2</v>
      </c>
      <c r="AA78" s="169">
        <v>0</v>
      </c>
      <c r="AB78" s="169">
        <v>38</v>
      </c>
      <c r="AC78" s="169">
        <v>0</v>
      </c>
      <c r="AD78" s="169">
        <v>2</v>
      </c>
      <c r="AE78" s="169"/>
      <c r="AF78" s="169">
        <v>0</v>
      </c>
      <c r="AG78" s="169"/>
      <c r="AH78" s="177">
        <v>42</v>
      </c>
      <c r="AI78" s="174">
        <v>0</v>
      </c>
      <c r="AJ78" s="177">
        <v>0</v>
      </c>
      <c r="AK78" s="169">
        <v>0</v>
      </c>
      <c r="AL78" s="169">
        <v>0</v>
      </c>
      <c r="AM78" s="169">
        <v>0</v>
      </c>
      <c r="AN78" s="169">
        <v>0</v>
      </c>
      <c r="AO78" s="169">
        <v>0</v>
      </c>
      <c r="AP78" s="169">
        <v>0</v>
      </c>
      <c r="AQ78" s="169">
        <v>0</v>
      </c>
      <c r="AR78" s="169">
        <v>0</v>
      </c>
      <c r="AS78" s="169">
        <v>0</v>
      </c>
      <c r="AT78" s="169">
        <v>0</v>
      </c>
      <c r="AU78" s="169">
        <v>0</v>
      </c>
      <c r="AV78" s="177">
        <v>0</v>
      </c>
      <c r="AW78" s="377">
        <v>0</v>
      </c>
      <c r="AX78" s="169">
        <v>122</v>
      </c>
      <c r="AY78" s="169">
        <v>0</v>
      </c>
      <c r="AZ78" s="169">
        <v>0</v>
      </c>
      <c r="BA78" s="169">
        <v>0</v>
      </c>
      <c r="BB78" s="169">
        <v>1</v>
      </c>
      <c r="BC78" s="169">
        <v>0</v>
      </c>
      <c r="BD78" s="169">
        <v>0</v>
      </c>
      <c r="BE78" s="376">
        <v>123</v>
      </c>
      <c r="BF78" s="177">
        <v>0</v>
      </c>
      <c r="BG78" s="169">
        <v>4</v>
      </c>
      <c r="BH78" s="169">
        <v>52</v>
      </c>
      <c r="BI78" s="169">
        <v>10</v>
      </c>
      <c r="BJ78" s="169">
        <v>0</v>
      </c>
      <c r="BK78" s="169"/>
      <c r="BL78" s="177">
        <v>66</v>
      </c>
      <c r="BM78" s="174"/>
      <c r="BN78" s="177">
        <v>0</v>
      </c>
      <c r="BO78" s="377">
        <v>0</v>
      </c>
      <c r="BP78" s="169">
        <v>0</v>
      </c>
      <c r="BQ78" s="169">
        <v>0</v>
      </c>
      <c r="BR78" s="169"/>
      <c r="BS78" s="169"/>
      <c r="BT78" s="376">
        <v>0</v>
      </c>
      <c r="BU78" s="177">
        <v>90</v>
      </c>
      <c r="BV78" s="169">
        <v>6</v>
      </c>
      <c r="BW78" s="169">
        <v>32</v>
      </c>
      <c r="BX78" s="169">
        <v>0</v>
      </c>
      <c r="BY78" s="169">
        <v>0</v>
      </c>
      <c r="BZ78" s="169">
        <v>96</v>
      </c>
      <c r="CA78" s="169">
        <v>0</v>
      </c>
      <c r="CB78" s="169">
        <v>1</v>
      </c>
      <c r="CC78" s="169">
        <v>0</v>
      </c>
      <c r="CD78" s="169"/>
      <c r="CE78" s="169">
        <v>0</v>
      </c>
      <c r="CF78" s="177">
        <v>225</v>
      </c>
      <c r="CG78" s="377"/>
      <c r="CH78" s="169">
        <v>3</v>
      </c>
      <c r="CI78" s="376">
        <v>3</v>
      </c>
      <c r="CJ78" s="177"/>
      <c r="CK78" s="174"/>
      <c r="CL78" s="177">
        <v>23</v>
      </c>
      <c r="CM78" s="169"/>
      <c r="CN78" s="169"/>
      <c r="CO78" s="177">
        <v>23</v>
      </c>
      <c r="CP78" s="174"/>
      <c r="CQ78" s="177">
        <v>22</v>
      </c>
      <c r="CR78" s="169">
        <v>0</v>
      </c>
      <c r="CS78" s="169">
        <v>0</v>
      </c>
      <c r="CT78" s="169"/>
      <c r="CU78" s="177">
        <v>22</v>
      </c>
      <c r="CV78" s="174"/>
      <c r="CW78" s="177">
        <v>0</v>
      </c>
      <c r="CX78" s="377">
        <v>18</v>
      </c>
      <c r="CY78" s="169">
        <v>0</v>
      </c>
      <c r="CZ78" s="169"/>
      <c r="DA78" s="376">
        <v>18</v>
      </c>
      <c r="DB78" s="174">
        <v>1081</v>
      </c>
      <c r="DC78" s="179">
        <f>1081/921748</f>
        <v>1.1727717337059586E-3</v>
      </c>
    </row>
    <row r="79" spans="2:107" x14ac:dyDescent="0.2">
      <c r="B79" s="172" t="s">
        <v>133</v>
      </c>
      <c r="C79" s="377">
        <v>0</v>
      </c>
      <c r="D79" s="169">
        <v>0</v>
      </c>
      <c r="E79" s="169">
        <v>0</v>
      </c>
      <c r="F79" s="376">
        <v>0</v>
      </c>
      <c r="G79" s="177">
        <v>0</v>
      </c>
      <c r="H79" s="169">
        <v>51</v>
      </c>
      <c r="I79" s="169">
        <v>2</v>
      </c>
      <c r="J79" s="169">
        <v>0</v>
      </c>
      <c r="K79" s="169"/>
      <c r="L79" s="169"/>
      <c r="M79" s="177">
        <v>53</v>
      </c>
      <c r="N79" s="174"/>
      <c r="O79" s="177">
        <v>77</v>
      </c>
      <c r="P79" s="169">
        <v>0</v>
      </c>
      <c r="Q79" s="177">
        <v>77</v>
      </c>
      <c r="R79" s="377">
        <v>0</v>
      </c>
      <c r="S79" s="169">
        <v>0</v>
      </c>
      <c r="T79" s="169"/>
      <c r="U79" s="376">
        <v>0</v>
      </c>
      <c r="V79" s="177"/>
      <c r="W79" s="169"/>
      <c r="X79" s="177"/>
      <c r="Y79" s="174">
        <v>0</v>
      </c>
      <c r="Z79" s="177">
        <v>0</v>
      </c>
      <c r="AA79" s="169"/>
      <c r="AB79" s="169"/>
      <c r="AC79" s="169">
        <v>0</v>
      </c>
      <c r="AD79" s="169"/>
      <c r="AE79" s="169"/>
      <c r="AF79" s="169"/>
      <c r="AG79" s="169"/>
      <c r="AH79" s="177">
        <v>0</v>
      </c>
      <c r="AI79" s="174"/>
      <c r="AJ79" s="177"/>
      <c r="AK79" s="169">
        <v>0</v>
      </c>
      <c r="AL79" s="169"/>
      <c r="AM79" s="169">
        <v>0</v>
      </c>
      <c r="AN79" s="169"/>
      <c r="AO79" s="169"/>
      <c r="AP79" s="169"/>
      <c r="AQ79" s="169">
        <v>0</v>
      </c>
      <c r="AR79" s="169">
        <v>0</v>
      </c>
      <c r="AS79" s="169"/>
      <c r="AT79" s="169"/>
      <c r="AU79" s="169">
        <v>0</v>
      </c>
      <c r="AV79" s="177">
        <v>0</v>
      </c>
      <c r="AW79" s="377">
        <v>0</v>
      </c>
      <c r="AX79" s="169">
        <v>30</v>
      </c>
      <c r="AY79" s="169">
        <v>0</v>
      </c>
      <c r="AZ79" s="169">
        <v>0</v>
      </c>
      <c r="BA79" s="169">
        <v>0</v>
      </c>
      <c r="BB79" s="169">
        <v>0</v>
      </c>
      <c r="BC79" s="169"/>
      <c r="BD79" s="169"/>
      <c r="BE79" s="376">
        <v>30</v>
      </c>
      <c r="BF79" s="177">
        <v>0</v>
      </c>
      <c r="BG79" s="169">
        <v>1</v>
      </c>
      <c r="BH79" s="169">
        <v>38</v>
      </c>
      <c r="BI79" s="169">
        <v>3</v>
      </c>
      <c r="BJ79" s="169"/>
      <c r="BK79" s="169"/>
      <c r="BL79" s="177">
        <v>42</v>
      </c>
      <c r="BM79" s="174"/>
      <c r="BN79" s="177">
        <v>0</v>
      </c>
      <c r="BO79" s="377"/>
      <c r="BP79" s="169">
        <v>0</v>
      </c>
      <c r="BQ79" s="169">
        <v>0</v>
      </c>
      <c r="BR79" s="169"/>
      <c r="BS79" s="169"/>
      <c r="BT79" s="376">
        <v>0</v>
      </c>
      <c r="BU79" s="177">
        <v>5</v>
      </c>
      <c r="BV79" s="169">
        <v>2</v>
      </c>
      <c r="BW79" s="169">
        <v>1</v>
      </c>
      <c r="BX79" s="169">
        <v>0</v>
      </c>
      <c r="BY79" s="169">
        <v>0</v>
      </c>
      <c r="BZ79" s="169">
        <v>50</v>
      </c>
      <c r="CA79" s="169"/>
      <c r="CB79" s="169">
        <v>0</v>
      </c>
      <c r="CC79" s="169">
        <v>0</v>
      </c>
      <c r="CD79" s="169">
        <v>0</v>
      </c>
      <c r="CE79" s="169"/>
      <c r="CF79" s="177">
        <v>58</v>
      </c>
      <c r="CG79" s="377"/>
      <c r="CH79" s="169"/>
      <c r="CI79" s="376"/>
      <c r="CJ79" s="177"/>
      <c r="CK79" s="174"/>
      <c r="CL79" s="177">
        <v>6</v>
      </c>
      <c r="CM79" s="169"/>
      <c r="CN79" s="169">
        <v>1</v>
      </c>
      <c r="CO79" s="177">
        <v>7</v>
      </c>
      <c r="CP79" s="174"/>
      <c r="CQ79" s="177">
        <v>88</v>
      </c>
      <c r="CR79" s="169">
        <v>0</v>
      </c>
      <c r="CS79" s="169">
        <v>0</v>
      </c>
      <c r="CT79" s="169"/>
      <c r="CU79" s="177">
        <v>88</v>
      </c>
      <c r="CV79" s="174">
        <v>0</v>
      </c>
      <c r="CW79" s="177">
        <v>0</v>
      </c>
      <c r="CX79" s="377">
        <v>0</v>
      </c>
      <c r="CY79" s="169">
        <v>2</v>
      </c>
      <c r="CZ79" s="169"/>
      <c r="DA79" s="376">
        <v>2</v>
      </c>
      <c r="DB79" s="174">
        <v>357</v>
      </c>
      <c r="DC79" s="179">
        <f>357/921748</f>
        <v>3.8730759383258763E-4</v>
      </c>
    </row>
    <row r="80" spans="2:107" x14ac:dyDescent="0.2">
      <c r="B80" s="172" t="s">
        <v>143</v>
      </c>
      <c r="C80" s="377"/>
      <c r="D80" s="169"/>
      <c r="E80" s="169"/>
      <c r="F80" s="376"/>
      <c r="G80" s="177">
        <v>0</v>
      </c>
      <c r="H80" s="169"/>
      <c r="I80" s="169"/>
      <c r="J80" s="169"/>
      <c r="K80" s="169"/>
      <c r="L80" s="169"/>
      <c r="M80" s="177">
        <v>0</v>
      </c>
      <c r="N80" s="174"/>
      <c r="O80" s="177">
        <v>58</v>
      </c>
      <c r="P80" s="169"/>
      <c r="Q80" s="177">
        <v>58</v>
      </c>
      <c r="R80" s="377"/>
      <c r="S80" s="169"/>
      <c r="T80" s="169"/>
      <c r="U80" s="376"/>
      <c r="V80" s="177"/>
      <c r="W80" s="169"/>
      <c r="X80" s="177"/>
      <c r="Y80" s="174"/>
      <c r="Z80" s="177"/>
      <c r="AA80" s="169"/>
      <c r="AB80" s="169"/>
      <c r="AC80" s="169"/>
      <c r="AD80" s="169"/>
      <c r="AE80" s="169"/>
      <c r="AF80" s="169"/>
      <c r="AG80" s="169"/>
      <c r="AH80" s="177"/>
      <c r="AI80" s="174"/>
      <c r="AJ80" s="177"/>
      <c r="AK80" s="169"/>
      <c r="AL80" s="169"/>
      <c r="AM80" s="169"/>
      <c r="AN80" s="169"/>
      <c r="AO80" s="169"/>
      <c r="AP80" s="169"/>
      <c r="AQ80" s="169"/>
      <c r="AR80" s="169"/>
      <c r="AS80" s="169"/>
      <c r="AT80" s="169"/>
      <c r="AU80" s="169"/>
      <c r="AV80" s="177"/>
      <c r="AW80" s="377"/>
      <c r="AX80" s="169">
        <v>0</v>
      </c>
      <c r="AY80" s="169"/>
      <c r="AZ80" s="169"/>
      <c r="BA80" s="169"/>
      <c r="BB80" s="169"/>
      <c r="BC80" s="169"/>
      <c r="BD80" s="169"/>
      <c r="BE80" s="376">
        <v>0</v>
      </c>
      <c r="BF80" s="177"/>
      <c r="BG80" s="169">
        <v>0</v>
      </c>
      <c r="BH80" s="169">
        <v>6</v>
      </c>
      <c r="BI80" s="169"/>
      <c r="BJ80" s="169">
        <v>0</v>
      </c>
      <c r="BK80" s="169"/>
      <c r="BL80" s="177">
        <v>6</v>
      </c>
      <c r="BM80" s="174"/>
      <c r="BN80" s="177"/>
      <c r="BO80" s="377">
        <v>0</v>
      </c>
      <c r="BP80" s="169"/>
      <c r="BQ80" s="169"/>
      <c r="BR80" s="169"/>
      <c r="BS80" s="169"/>
      <c r="BT80" s="376">
        <v>0</v>
      </c>
      <c r="BU80" s="177">
        <v>22</v>
      </c>
      <c r="BV80" s="169">
        <v>0</v>
      </c>
      <c r="BW80" s="169">
        <v>8</v>
      </c>
      <c r="BX80" s="169">
        <v>0</v>
      </c>
      <c r="BY80" s="169">
        <v>0</v>
      </c>
      <c r="BZ80" s="169">
        <v>24</v>
      </c>
      <c r="CA80" s="169"/>
      <c r="CB80" s="169"/>
      <c r="CC80" s="169">
        <v>0</v>
      </c>
      <c r="CD80" s="169"/>
      <c r="CE80" s="169"/>
      <c r="CF80" s="177">
        <v>54</v>
      </c>
      <c r="CG80" s="377"/>
      <c r="CH80" s="169"/>
      <c r="CI80" s="376"/>
      <c r="CJ80" s="177"/>
      <c r="CK80" s="174"/>
      <c r="CL80" s="177"/>
      <c r="CM80" s="169"/>
      <c r="CN80" s="169"/>
      <c r="CO80" s="177"/>
      <c r="CP80" s="174"/>
      <c r="CQ80" s="177"/>
      <c r="CR80" s="169"/>
      <c r="CS80" s="169"/>
      <c r="CT80" s="169"/>
      <c r="CU80" s="177"/>
      <c r="CV80" s="174"/>
      <c r="CW80" s="177"/>
      <c r="CX80" s="377"/>
      <c r="CY80" s="169"/>
      <c r="CZ80" s="169"/>
      <c r="DA80" s="376"/>
      <c r="DB80" s="174">
        <v>118</v>
      </c>
      <c r="DC80" s="179">
        <f>118/921748</f>
        <v>1.2801763605670965E-4</v>
      </c>
    </row>
    <row r="81" spans="2:107" x14ac:dyDescent="0.2">
      <c r="B81" s="172" t="s">
        <v>148</v>
      </c>
      <c r="C81" s="377"/>
      <c r="D81" s="169"/>
      <c r="E81" s="169"/>
      <c r="F81" s="376"/>
      <c r="G81" s="177">
        <v>0</v>
      </c>
      <c r="H81" s="169">
        <v>17</v>
      </c>
      <c r="I81" s="169">
        <v>1</v>
      </c>
      <c r="J81" s="169"/>
      <c r="K81" s="169"/>
      <c r="L81" s="169">
        <v>1</v>
      </c>
      <c r="M81" s="177">
        <v>19</v>
      </c>
      <c r="N81" s="174"/>
      <c r="O81" s="177">
        <v>365</v>
      </c>
      <c r="P81" s="169">
        <v>0</v>
      </c>
      <c r="Q81" s="177">
        <v>365</v>
      </c>
      <c r="R81" s="377">
        <v>0</v>
      </c>
      <c r="S81" s="169"/>
      <c r="T81" s="169"/>
      <c r="U81" s="376">
        <v>0</v>
      </c>
      <c r="V81" s="177"/>
      <c r="W81" s="169"/>
      <c r="X81" s="177"/>
      <c r="Y81" s="174"/>
      <c r="Z81" s="177">
        <v>1</v>
      </c>
      <c r="AA81" s="169"/>
      <c r="AB81" s="169">
        <v>0</v>
      </c>
      <c r="AC81" s="169"/>
      <c r="AD81" s="169"/>
      <c r="AE81" s="169"/>
      <c r="AF81" s="169"/>
      <c r="AG81" s="169"/>
      <c r="AH81" s="177">
        <v>1</v>
      </c>
      <c r="AI81" s="174"/>
      <c r="AJ81" s="177"/>
      <c r="AK81" s="169"/>
      <c r="AL81" s="169"/>
      <c r="AM81" s="169"/>
      <c r="AN81" s="169"/>
      <c r="AO81" s="169"/>
      <c r="AP81" s="169"/>
      <c r="AQ81" s="169"/>
      <c r="AR81" s="169"/>
      <c r="AS81" s="169"/>
      <c r="AT81" s="169"/>
      <c r="AU81" s="169"/>
      <c r="AV81" s="177"/>
      <c r="AW81" s="377">
        <v>0</v>
      </c>
      <c r="AX81" s="169">
        <v>19</v>
      </c>
      <c r="AY81" s="169"/>
      <c r="AZ81" s="169">
        <v>0</v>
      </c>
      <c r="BA81" s="169"/>
      <c r="BB81" s="169">
        <v>1</v>
      </c>
      <c r="BC81" s="169"/>
      <c r="BD81" s="169"/>
      <c r="BE81" s="376">
        <v>20</v>
      </c>
      <c r="BF81" s="177">
        <v>0</v>
      </c>
      <c r="BG81" s="169">
        <v>1</v>
      </c>
      <c r="BH81" s="169">
        <v>5</v>
      </c>
      <c r="BI81" s="169">
        <v>3</v>
      </c>
      <c r="BJ81" s="169">
        <v>0</v>
      </c>
      <c r="BK81" s="169"/>
      <c r="BL81" s="177">
        <v>9</v>
      </c>
      <c r="BM81" s="174"/>
      <c r="BN81" s="177"/>
      <c r="BO81" s="377">
        <v>0</v>
      </c>
      <c r="BP81" s="169">
        <v>0</v>
      </c>
      <c r="BQ81" s="169"/>
      <c r="BR81" s="169"/>
      <c r="BS81" s="169"/>
      <c r="BT81" s="376">
        <v>0</v>
      </c>
      <c r="BU81" s="177">
        <v>33</v>
      </c>
      <c r="BV81" s="169">
        <v>1</v>
      </c>
      <c r="BW81" s="169">
        <v>14</v>
      </c>
      <c r="BX81" s="169">
        <v>0</v>
      </c>
      <c r="BY81" s="169"/>
      <c r="BZ81" s="169">
        <v>23</v>
      </c>
      <c r="CA81" s="169"/>
      <c r="CB81" s="169"/>
      <c r="CC81" s="169"/>
      <c r="CD81" s="169"/>
      <c r="CE81" s="169"/>
      <c r="CF81" s="177">
        <v>71</v>
      </c>
      <c r="CG81" s="377"/>
      <c r="CH81" s="169"/>
      <c r="CI81" s="376"/>
      <c r="CJ81" s="177"/>
      <c r="CK81" s="174"/>
      <c r="CL81" s="177"/>
      <c r="CM81" s="169"/>
      <c r="CN81" s="169"/>
      <c r="CO81" s="177"/>
      <c r="CP81" s="174">
        <v>14</v>
      </c>
      <c r="CQ81" s="177"/>
      <c r="CR81" s="169"/>
      <c r="CS81" s="169"/>
      <c r="CT81" s="169"/>
      <c r="CU81" s="177"/>
      <c r="CV81" s="174"/>
      <c r="CW81" s="177">
        <v>0</v>
      </c>
      <c r="CX81" s="377"/>
      <c r="CY81" s="169"/>
      <c r="CZ81" s="169"/>
      <c r="DA81" s="376"/>
      <c r="DB81" s="174">
        <v>499</v>
      </c>
      <c r="DC81" s="179">
        <f>499/921748</f>
        <v>5.4136271518896706E-4</v>
      </c>
    </row>
    <row r="82" spans="2:107" x14ac:dyDescent="0.2">
      <c r="B82" s="172" t="s">
        <v>153</v>
      </c>
      <c r="C82" s="377">
        <v>0</v>
      </c>
      <c r="D82" s="169">
        <v>0</v>
      </c>
      <c r="E82" s="169">
        <v>0</v>
      </c>
      <c r="F82" s="376">
        <v>0</v>
      </c>
      <c r="G82" s="177">
        <v>0</v>
      </c>
      <c r="H82" s="169">
        <v>10</v>
      </c>
      <c r="I82" s="169">
        <v>0</v>
      </c>
      <c r="J82" s="169"/>
      <c r="K82" s="169"/>
      <c r="L82" s="169"/>
      <c r="M82" s="177">
        <v>10</v>
      </c>
      <c r="N82" s="174"/>
      <c r="O82" s="177">
        <v>165</v>
      </c>
      <c r="P82" s="169">
        <v>0</v>
      </c>
      <c r="Q82" s="177">
        <v>165</v>
      </c>
      <c r="R82" s="377">
        <v>0</v>
      </c>
      <c r="S82" s="169"/>
      <c r="T82" s="169">
        <v>0</v>
      </c>
      <c r="U82" s="376">
        <v>0</v>
      </c>
      <c r="V82" s="177"/>
      <c r="W82" s="169"/>
      <c r="X82" s="177"/>
      <c r="Y82" s="174">
        <v>0</v>
      </c>
      <c r="Z82" s="177">
        <v>1</v>
      </c>
      <c r="AA82" s="169"/>
      <c r="AB82" s="169"/>
      <c r="AC82" s="169"/>
      <c r="AD82" s="169"/>
      <c r="AE82" s="169"/>
      <c r="AF82" s="169"/>
      <c r="AG82" s="169"/>
      <c r="AH82" s="177">
        <v>1</v>
      </c>
      <c r="AI82" s="174"/>
      <c r="AJ82" s="177"/>
      <c r="AK82" s="169">
        <v>0</v>
      </c>
      <c r="AL82" s="169">
        <v>0</v>
      </c>
      <c r="AM82" s="169">
        <v>0</v>
      </c>
      <c r="AN82" s="169"/>
      <c r="AO82" s="169"/>
      <c r="AP82" s="169">
        <v>0</v>
      </c>
      <c r="AQ82" s="169"/>
      <c r="AR82" s="169"/>
      <c r="AS82" s="169">
        <v>0</v>
      </c>
      <c r="AT82" s="169">
        <v>0</v>
      </c>
      <c r="AU82" s="169">
        <v>0</v>
      </c>
      <c r="AV82" s="177">
        <v>0</v>
      </c>
      <c r="AW82" s="377">
        <v>0</v>
      </c>
      <c r="AX82" s="169">
        <v>88</v>
      </c>
      <c r="AY82" s="169">
        <v>0</v>
      </c>
      <c r="AZ82" s="169">
        <v>0</v>
      </c>
      <c r="BA82" s="169">
        <v>0</v>
      </c>
      <c r="BB82" s="169"/>
      <c r="BC82" s="169"/>
      <c r="BD82" s="169">
        <v>0</v>
      </c>
      <c r="BE82" s="376">
        <v>88</v>
      </c>
      <c r="BF82" s="177">
        <v>0</v>
      </c>
      <c r="BG82" s="169">
        <v>0</v>
      </c>
      <c r="BH82" s="169">
        <v>32</v>
      </c>
      <c r="BI82" s="169">
        <v>2</v>
      </c>
      <c r="BJ82" s="169"/>
      <c r="BK82" s="169"/>
      <c r="BL82" s="177">
        <v>34</v>
      </c>
      <c r="BM82" s="174"/>
      <c r="BN82" s="177">
        <v>0</v>
      </c>
      <c r="BO82" s="377">
        <v>0</v>
      </c>
      <c r="BP82" s="169">
        <v>0</v>
      </c>
      <c r="BQ82" s="169"/>
      <c r="BR82" s="169"/>
      <c r="BS82" s="169"/>
      <c r="BT82" s="376">
        <v>0</v>
      </c>
      <c r="BU82" s="177">
        <v>38</v>
      </c>
      <c r="BV82" s="169">
        <v>0</v>
      </c>
      <c r="BW82" s="169">
        <v>88</v>
      </c>
      <c r="BX82" s="169">
        <v>0</v>
      </c>
      <c r="BY82" s="169">
        <v>0</v>
      </c>
      <c r="BZ82" s="169">
        <v>31</v>
      </c>
      <c r="CA82" s="169">
        <v>0</v>
      </c>
      <c r="CB82" s="169">
        <v>0</v>
      </c>
      <c r="CC82" s="169">
        <v>0</v>
      </c>
      <c r="CD82" s="169"/>
      <c r="CE82" s="169"/>
      <c r="CF82" s="177">
        <v>157</v>
      </c>
      <c r="CG82" s="377"/>
      <c r="CH82" s="169"/>
      <c r="CI82" s="376"/>
      <c r="CJ82" s="177"/>
      <c r="CK82" s="174"/>
      <c r="CL82" s="177">
        <v>0</v>
      </c>
      <c r="CM82" s="169">
        <v>23</v>
      </c>
      <c r="CN82" s="169"/>
      <c r="CO82" s="177">
        <v>23</v>
      </c>
      <c r="CP82" s="174"/>
      <c r="CQ82" s="177">
        <v>4</v>
      </c>
      <c r="CR82" s="169">
        <v>0</v>
      </c>
      <c r="CS82" s="169"/>
      <c r="CT82" s="169"/>
      <c r="CU82" s="177">
        <v>4</v>
      </c>
      <c r="CV82" s="174"/>
      <c r="CW82" s="177">
        <v>0</v>
      </c>
      <c r="CX82" s="377">
        <v>0</v>
      </c>
      <c r="CY82" s="169"/>
      <c r="CZ82" s="169"/>
      <c r="DA82" s="376">
        <v>0</v>
      </c>
      <c r="DB82" s="174">
        <v>482</v>
      </c>
      <c r="DC82" s="179">
        <f>482/921748</f>
        <v>5.229194964350343E-4</v>
      </c>
    </row>
    <row r="83" spans="2:107" x14ac:dyDescent="0.2">
      <c r="B83" s="172" t="s">
        <v>157</v>
      </c>
      <c r="C83" s="377"/>
      <c r="D83" s="169"/>
      <c r="E83" s="169"/>
      <c r="F83" s="376"/>
      <c r="G83" s="177">
        <v>1</v>
      </c>
      <c r="H83" s="169">
        <v>4</v>
      </c>
      <c r="I83" s="169">
        <v>1</v>
      </c>
      <c r="J83" s="169"/>
      <c r="K83" s="169">
        <v>0</v>
      </c>
      <c r="L83" s="169"/>
      <c r="M83" s="177">
        <v>6</v>
      </c>
      <c r="N83" s="174"/>
      <c r="O83" s="177">
        <v>445</v>
      </c>
      <c r="P83" s="169">
        <v>0</v>
      </c>
      <c r="Q83" s="177">
        <v>445</v>
      </c>
      <c r="R83" s="377">
        <v>0</v>
      </c>
      <c r="S83" s="169">
        <v>0</v>
      </c>
      <c r="T83" s="169"/>
      <c r="U83" s="376">
        <v>0</v>
      </c>
      <c r="V83" s="177">
        <v>0</v>
      </c>
      <c r="W83" s="169"/>
      <c r="X83" s="177">
        <v>0</v>
      </c>
      <c r="Y83" s="174">
        <v>0</v>
      </c>
      <c r="Z83" s="177">
        <v>3</v>
      </c>
      <c r="AA83" s="169"/>
      <c r="AB83" s="169"/>
      <c r="AC83" s="169">
        <v>0</v>
      </c>
      <c r="AD83" s="169"/>
      <c r="AE83" s="169"/>
      <c r="AF83" s="169">
        <v>0</v>
      </c>
      <c r="AG83" s="169"/>
      <c r="AH83" s="177">
        <v>3</v>
      </c>
      <c r="AI83" s="174"/>
      <c r="AJ83" s="177"/>
      <c r="AK83" s="169">
        <v>0</v>
      </c>
      <c r="AL83" s="169">
        <v>0</v>
      </c>
      <c r="AM83" s="169">
        <v>0</v>
      </c>
      <c r="AN83" s="169"/>
      <c r="AO83" s="169"/>
      <c r="AP83" s="169"/>
      <c r="AQ83" s="169">
        <v>0</v>
      </c>
      <c r="AR83" s="169">
        <v>0</v>
      </c>
      <c r="AS83" s="169">
        <v>0</v>
      </c>
      <c r="AT83" s="169">
        <v>0</v>
      </c>
      <c r="AU83" s="169">
        <v>0</v>
      </c>
      <c r="AV83" s="177">
        <v>0</v>
      </c>
      <c r="AW83" s="377">
        <v>0</v>
      </c>
      <c r="AX83" s="169">
        <v>46</v>
      </c>
      <c r="AY83" s="169">
        <v>0</v>
      </c>
      <c r="AZ83" s="169">
        <v>0</v>
      </c>
      <c r="BA83" s="169">
        <v>0</v>
      </c>
      <c r="BB83" s="169">
        <v>1</v>
      </c>
      <c r="BC83" s="169"/>
      <c r="BD83" s="169"/>
      <c r="BE83" s="376">
        <v>47</v>
      </c>
      <c r="BF83" s="177">
        <v>0</v>
      </c>
      <c r="BG83" s="169">
        <v>1</v>
      </c>
      <c r="BH83" s="169">
        <v>18</v>
      </c>
      <c r="BI83" s="169">
        <v>0</v>
      </c>
      <c r="BJ83" s="169">
        <v>0</v>
      </c>
      <c r="BK83" s="169">
        <v>0</v>
      </c>
      <c r="BL83" s="177">
        <v>19</v>
      </c>
      <c r="BM83" s="174"/>
      <c r="BN83" s="177">
        <v>0</v>
      </c>
      <c r="BO83" s="377">
        <v>0</v>
      </c>
      <c r="BP83" s="169">
        <v>0</v>
      </c>
      <c r="BQ83" s="169">
        <v>0</v>
      </c>
      <c r="BR83" s="169"/>
      <c r="BS83" s="169"/>
      <c r="BT83" s="376">
        <v>0</v>
      </c>
      <c r="BU83" s="177">
        <v>80</v>
      </c>
      <c r="BV83" s="169">
        <v>4</v>
      </c>
      <c r="BW83" s="169">
        <v>138</v>
      </c>
      <c r="BX83" s="169">
        <v>0</v>
      </c>
      <c r="BY83" s="169">
        <v>0</v>
      </c>
      <c r="BZ83" s="169">
        <v>92</v>
      </c>
      <c r="CA83" s="169"/>
      <c r="CB83" s="169">
        <v>1</v>
      </c>
      <c r="CC83" s="169">
        <v>0</v>
      </c>
      <c r="CD83" s="169"/>
      <c r="CE83" s="169"/>
      <c r="CF83" s="177">
        <v>315</v>
      </c>
      <c r="CG83" s="377"/>
      <c r="CH83" s="169">
        <v>4</v>
      </c>
      <c r="CI83" s="376">
        <v>4</v>
      </c>
      <c r="CJ83" s="177"/>
      <c r="CK83" s="174">
        <v>0</v>
      </c>
      <c r="CL83" s="177">
        <v>0</v>
      </c>
      <c r="CM83" s="169">
        <v>7</v>
      </c>
      <c r="CN83" s="169">
        <v>1</v>
      </c>
      <c r="CO83" s="177">
        <v>8</v>
      </c>
      <c r="CP83" s="174">
        <v>11</v>
      </c>
      <c r="CQ83" s="177">
        <v>0</v>
      </c>
      <c r="CR83" s="169">
        <v>0</v>
      </c>
      <c r="CS83" s="169"/>
      <c r="CT83" s="169"/>
      <c r="CU83" s="177">
        <v>0</v>
      </c>
      <c r="CV83" s="174"/>
      <c r="CW83" s="177">
        <v>0</v>
      </c>
      <c r="CX83" s="377">
        <v>0</v>
      </c>
      <c r="CY83" s="169">
        <v>0</v>
      </c>
      <c r="CZ83" s="169"/>
      <c r="DA83" s="376">
        <v>0</v>
      </c>
      <c r="DB83" s="174">
        <v>858</v>
      </c>
      <c r="DC83" s="179">
        <f>858/921748</f>
        <v>9.3084009946319381E-4</v>
      </c>
    </row>
    <row r="84" spans="2:107" x14ac:dyDescent="0.2">
      <c r="B84" s="172" t="s">
        <v>167</v>
      </c>
      <c r="C84" s="377"/>
      <c r="D84" s="169"/>
      <c r="E84" s="169"/>
      <c r="F84" s="376"/>
      <c r="G84" s="177">
        <v>0</v>
      </c>
      <c r="H84" s="169">
        <v>11</v>
      </c>
      <c r="I84" s="169"/>
      <c r="J84" s="169"/>
      <c r="K84" s="169"/>
      <c r="L84" s="169"/>
      <c r="M84" s="177">
        <v>11</v>
      </c>
      <c r="N84" s="174"/>
      <c r="O84" s="177">
        <v>981</v>
      </c>
      <c r="P84" s="169">
        <v>0</v>
      </c>
      <c r="Q84" s="177">
        <v>981</v>
      </c>
      <c r="R84" s="377">
        <v>0</v>
      </c>
      <c r="S84" s="169"/>
      <c r="T84" s="169"/>
      <c r="U84" s="376">
        <v>0</v>
      </c>
      <c r="V84" s="177"/>
      <c r="W84" s="169"/>
      <c r="X84" s="177"/>
      <c r="Y84" s="174"/>
      <c r="Z84" s="177">
        <v>8</v>
      </c>
      <c r="AA84" s="169"/>
      <c r="AB84" s="169"/>
      <c r="AC84" s="169"/>
      <c r="AD84" s="169">
        <v>2</v>
      </c>
      <c r="AE84" s="169"/>
      <c r="AF84" s="169"/>
      <c r="AG84" s="169"/>
      <c r="AH84" s="177">
        <v>10</v>
      </c>
      <c r="AI84" s="174"/>
      <c r="AJ84" s="177"/>
      <c r="AK84" s="169"/>
      <c r="AL84" s="169"/>
      <c r="AM84" s="169"/>
      <c r="AN84" s="169"/>
      <c r="AO84" s="169"/>
      <c r="AP84" s="169"/>
      <c r="AQ84" s="169"/>
      <c r="AR84" s="169"/>
      <c r="AS84" s="169"/>
      <c r="AT84" s="169"/>
      <c r="AU84" s="169"/>
      <c r="AV84" s="177"/>
      <c r="AW84" s="377"/>
      <c r="AX84" s="169">
        <v>96</v>
      </c>
      <c r="AY84" s="169">
        <v>0</v>
      </c>
      <c r="AZ84" s="169">
        <v>0</v>
      </c>
      <c r="BA84" s="169"/>
      <c r="BB84" s="169">
        <v>4</v>
      </c>
      <c r="BC84" s="169"/>
      <c r="BD84" s="169"/>
      <c r="BE84" s="376">
        <v>100</v>
      </c>
      <c r="BF84" s="177"/>
      <c r="BG84" s="169">
        <v>2</v>
      </c>
      <c r="BH84" s="169">
        <v>48</v>
      </c>
      <c r="BI84" s="169">
        <v>1</v>
      </c>
      <c r="BJ84" s="169"/>
      <c r="BK84" s="169"/>
      <c r="BL84" s="177">
        <v>51</v>
      </c>
      <c r="BM84" s="174"/>
      <c r="BN84" s="177"/>
      <c r="BO84" s="377">
        <v>0</v>
      </c>
      <c r="BP84" s="169"/>
      <c r="BQ84" s="169"/>
      <c r="BR84" s="169">
        <v>0</v>
      </c>
      <c r="BS84" s="169"/>
      <c r="BT84" s="376">
        <v>0</v>
      </c>
      <c r="BU84" s="177">
        <v>5</v>
      </c>
      <c r="BV84" s="169">
        <v>0</v>
      </c>
      <c r="BW84" s="169">
        <v>3</v>
      </c>
      <c r="BX84" s="169">
        <v>0</v>
      </c>
      <c r="BY84" s="169">
        <v>0</v>
      </c>
      <c r="BZ84" s="169">
        <v>773</v>
      </c>
      <c r="CA84" s="169">
        <v>0</v>
      </c>
      <c r="CB84" s="169">
        <v>0</v>
      </c>
      <c r="CC84" s="169">
        <v>0</v>
      </c>
      <c r="CD84" s="169"/>
      <c r="CE84" s="169"/>
      <c r="CF84" s="177">
        <v>781</v>
      </c>
      <c r="CG84" s="377"/>
      <c r="CH84" s="169"/>
      <c r="CI84" s="376"/>
      <c r="CJ84" s="177"/>
      <c r="CK84" s="174"/>
      <c r="CL84" s="177"/>
      <c r="CM84" s="169"/>
      <c r="CN84" s="169"/>
      <c r="CO84" s="177"/>
      <c r="CP84" s="174"/>
      <c r="CQ84" s="177">
        <v>0</v>
      </c>
      <c r="CR84" s="169"/>
      <c r="CS84" s="169"/>
      <c r="CT84" s="169"/>
      <c r="CU84" s="177">
        <v>0</v>
      </c>
      <c r="CV84" s="174"/>
      <c r="CW84" s="177"/>
      <c r="CX84" s="377">
        <v>0</v>
      </c>
      <c r="CY84" s="169">
        <v>1</v>
      </c>
      <c r="CZ84" s="169"/>
      <c r="DA84" s="376">
        <v>1</v>
      </c>
      <c r="DB84" s="174">
        <v>1935</v>
      </c>
      <c r="DC84" s="179">
        <f>1935/921748</f>
        <v>2.0992722522858742E-3</v>
      </c>
    </row>
    <row r="85" spans="2:107" x14ac:dyDescent="0.2">
      <c r="B85" s="172" t="s">
        <v>205</v>
      </c>
      <c r="C85" s="377">
        <v>0</v>
      </c>
      <c r="D85" s="169">
        <v>0</v>
      </c>
      <c r="E85" s="169">
        <v>0</v>
      </c>
      <c r="F85" s="376">
        <v>0</v>
      </c>
      <c r="G85" s="177">
        <v>3</v>
      </c>
      <c r="H85" s="169">
        <v>176</v>
      </c>
      <c r="I85" s="169">
        <v>4</v>
      </c>
      <c r="J85" s="169">
        <v>0</v>
      </c>
      <c r="K85" s="169"/>
      <c r="L85" s="169">
        <v>1</v>
      </c>
      <c r="M85" s="177">
        <v>184</v>
      </c>
      <c r="N85" s="174"/>
      <c r="O85" s="177">
        <v>2182</v>
      </c>
      <c r="P85" s="169">
        <v>0</v>
      </c>
      <c r="Q85" s="177">
        <v>2182</v>
      </c>
      <c r="R85" s="377">
        <v>0</v>
      </c>
      <c r="S85" s="169">
        <v>0</v>
      </c>
      <c r="T85" s="169"/>
      <c r="U85" s="376">
        <v>0</v>
      </c>
      <c r="V85" s="177">
        <v>0</v>
      </c>
      <c r="W85" s="169"/>
      <c r="X85" s="177">
        <v>0</v>
      </c>
      <c r="Y85" s="174">
        <v>10</v>
      </c>
      <c r="Z85" s="177">
        <v>30</v>
      </c>
      <c r="AA85" s="169"/>
      <c r="AB85" s="169">
        <v>75</v>
      </c>
      <c r="AC85" s="169">
        <v>1</v>
      </c>
      <c r="AD85" s="169">
        <v>1</v>
      </c>
      <c r="AE85" s="169">
        <v>0</v>
      </c>
      <c r="AF85" s="169">
        <v>0</v>
      </c>
      <c r="AG85" s="169"/>
      <c r="AH85" s="177">
        <v>107</v>
      </c>
      <c r="AI85" s="174"/>
      <c r="AJ85" s="177">
        <v>0</v>
      </c>
      <c r="AK85" s="169">
        <v>0</v>
      </c>
      <c r="AL85" s="169">
        <v>0</v>
      </c>
      <c r="AM85" s="169">
        <v>0</v>
      </c>
      <c r="AN85" s="169">
        <v>0</v>
      </c>
      <c r="AO85" s="169">
        <v>0</v>
      </c>
      <c r="AP85" s="169">
        <v>0</v>
      </c>
      <c r="AQ85" s="169">
        <v>0</v>
      </c>
      <c r="AR85" s="169">
        <v>0</v>
      </c>
      <c r="AS85" s="169">
        <v>0</v>
      </c>
      <c r="AT85" s="169">
        <v>0</v>
      </c>
      <c r="AU85" s="169">
        <v>0</v>
      </c>
      <c r="AV85" s="177">
        <v>0</v>
      </c>
      <c r="AW85" s="377">
        <v>0</v>
      </c>
      <c r="AX85" s="169">
        <v>441</v>
      </c>
      <c r="AY85" s="169">
        <v>0</v>
      </c>
      <c r="AZ85" s="169">
        <v>0</v>
      </c>
      <c r="BA85" s="169">
        <v>0</v>
      </c>
      <c r="BB85" s="169">
        <v>14</v>
      </c>
      <c r="BC85" s="169">
        <v>0</v>
      </c>
      <c r="BD85" s="169">
        <v>0</v>
      </c>
      <c r="BE85" s="376">
        <v>455</v>
      </c>
      <c r="BF85" s="177">
        <v>0</v>
      </c>
      <c r="BG85" s="169">
        <v>19</v>
      </c>
      <c r="BH85" s="169">
        <v>397</v>
      </c>
      <c r="BI85" s="169">
        <v>28</v>
      </c>
      <c r="BJ85" s="169">
        <v>0</v>
      </c>
      <c r="BK85" s="169"/>
      <c r="BL85" s="177">
        <v>444</v>
      </c>
      <c r="BM85" s="174"/>
      <c r="BN85" s="177">
        <v>0</v>
      </c>
      <c r="BO85" s="377">
        <v>0</v>
      </c>
      <c r="BP85" s="169">
        <v>0</v>
      </c>
      <c r="BQ85" s="169">
        <v>0</v>
      </c>
      <c r="BR85" s="169"/>
      <c r="BS85" s="169"/>
      <c r="BT85" s="376">
        <v>0</v>
      </c>
      <c r="BU85" s="177">
        <v>406</v>
      </c>
      <c r="BV85" s="169">
        <v>4</v>
      </c>
      <c r="BW85" s="169">
        <v>747</v>
      </c>
      <c r="BX85" s="169">
        <v>1</v>
      </c>
      <c r="BY85" s="169">
        <v>0</v>
      </c>
      <c r="BZ85" s="169">
        <v>388</v>
      </c>
      <c r="CA85" s="169">
        <v>0</v>
      </c>
      <c r="CB85" s="169">
        <v>0</v>
      </c>
      <c r="CC85" s="169">
        <v>0</v>
      </c>
      <c r="CD85" s="169">
        <v>0</v>
      </c>
      <c r="CE85" s="169"/>
      <c r="CF85" s="177">
        <v>1546</v>
      </c>
      <c r="CG85" s="377"/>
      <c r="CH85" s="169"/>
      <c r="CI85" s="376"/>
      <c r="CJ85" s="177">
        <v>0</v>
      </c>
      <c r="CK85" s="174"/>
      <c r="CL85" s="177">
        <v>7</v>
      </c>
      <c r="CM85" s="169">
        <v>0</v>
      </c>
      <c r="CN85" s="169">
        <v>1</v>
      </c>
      <c r="CO85" s="177">
        <v>8</v>
      </c>
      <c r="CP85" s="174"/>
      <c r="CQ85" s="177">
        <v>26</v>
      </c>
      <c r="CR85" s="169">
        <v>0</v>
      </c>
      <c r="CS85" s="169">
        <v>0</v>
      </c>
      <c r="CT85" s="169"/>
      <c r="CU85" s="177">
        <v>26</v>
      </c>
      <c r="CV85" s="174">
        <v>0</v>
      </c>
      <c r="CW85" s="177">
        <v>0</v>
      </c>
      <c r="CX85" s="377">
        <v>7</v>
      </c>
      <c r="CY85" s="169">
        <v>96</v>
      </c>
      <c r="CZ85" s="169">
        <v>3</v>
      </c>
      <c r="DA85" s="376">
        <v>106</v>
      </c>
      <c r="DB85" s="174">
        <v>5068</v>
      </c>
      <c r="DC85" s="179">
        <f>5068/921748</f>
        <v>5.4982489791135973E-3</v>
      </c>
    </row>
    <row r="86" spans="2:107" x14ac:dyDescent="0.2">
      <c r="B86" s="172" t="s">
        <v>218</v>
      </c>
      <c r="C86" s="377"/>
      <c r="D86" s="169">
        <v>0</v>
      </c>
      <c r="E86" s="169"/>
      <c r="F86" s="376">
        <v>0</v>
      </c>
      <c r="G86" s="177">
        <v>0</v>
      </c>
      <c r="H86" s="169">
        <v>129</v>
      </c>
      <c r="I86" s="169">
        <v>6</v>
      </c>
      <c r="J86" s="169"/>
      <c r="K86" s="169"/>
      <c r="L86" s="169">
        <v>2</v>
      </c>
      <c r="M86" s="177">
        <v>137</v>
      </c>
      <c r="N86" s="174"/>
      <c r="O86" s="177">
        <v>946</v>
      </c>
      <c r="P86" s="169">
        <v>0</v>
      </c>
      <c r="Q86" s="177">
        <v>946</v>
      </c>
      <c r="R86" s="377">
        <v>0</v>
      </c>
      <c r="S86" s="169"/>
      <c r="T86" s="169"/>
      <c r="U86" s="376">
        <v>0</v>
      </c>
      <c r="V86" s="177"/>
      <c r="W86" s="169"/>
      <c r="X86" s="177"/>
      <c r="Y86" s="174">
        <v>0</v>
      </c>
      <c r="Z86" s="177">
        <v>12</v>
      </c>
      <c r="AA86" s="169">
        <v>0</v>
      </c>
      <c r="AB86" s="169">
        <v>63</v>
      </c>
      <c r="AC86" s="169">
        <v>0</v>
      </c>
      <c r="AD86" s="169"/>
      <c r="AE86" s="169"/>
      <c r="AF86" s="169"/>
      <c r="AG86" s="169"/>
      <c r="AH86" s="177">
        <v>75</v>
      </c>
      <c r="AI86" s="174"/>
      <c r="AJ86" s="177"/>
      <c r="AK86" s="169"/>
      <c r="AL86" s="169">
        <v>0</v>
      </c>
      <c r="AM86" s="169"/>
      <c r="AN86" s="169"/>
      <c r="AO86" s="169"/>
      <c r="AP86" s="169"/>
      <c r="AQ86" s="169"/>
      <c r="AR86" s="169"/>
      <c r="AS86" s="169"/>
      <c r="AT86" s="169"/>
      <c r="AU86" s="169"/>
      <c r="AV86" s="177">
        <v>0</v>
      </c>
      <c r="AW86" s="377">
        <v>0</v>
      </c>
      <c r="AX86" s="169">
        <v>71</v>
      </c>
      <c r="AY86" s="169">
        <v>0</v>
      </c>
      <c r="AZ86" s="169">
        <v>0</v>
      </c>
      <c r="BA86" s="169">
        <v>0</v>
      </c>
      <c r="BB86" s="169">
        <v>7</v>
      </c>
      <c r="BC86" s="169">
        <v>0</v>
      </c>
      <c r="BD86" s="169"/>
      <c r="BE86" s="376">
        <v>78</v>
      </c>
      <c r="BF86" s="177">
        <v>0</v>
      </c>
      <c r="BG86" s="169">
        <v>2</v>
      </c>
      <c r="BH86" s="169">
        <v>70</v>
      </c>
      <c r="BI86" s="169">
        <v>8</v>
      </c>
      <c r="BJ86" s="169"/>
      <c r="BK86" s="169"/>
      <c r="BL86" s="177">
        <v>80</v>
      </c>
      <c r="BM86" s="174"/>
      <c r="BN86" s="177">
        <v>0</v>
      </c>
      <c r="BO86" s="377">
        <v>0</v>
      </c>
      <c r="BP86" s="169">
        <v>0</v>
      </c>
      <c r="BQ86" s="169">
        <v>0</v>
      </c>
      <c r="BR86" s="169"/>
      <c r="BS86" s="169"/>
      <c r="BT86" s="376">
        <v>0</v>
      </c>
      <c r="BU86" s="177">
        <v>412</v>
      </c>
      <c r="BV86" s="169">
        <v>4</v>
      </c>
      <c r="BW86" s="169">
        <v>177</v>
      </c>
      <c r="BX86" s="169">
        <v>0</v>
      </c>
      <c r="BY86" s="169">
        <v>0</v>
      </c>
      <c r="BZ86" s="169">
        <v>118</v>
      </c>
      <c r="CA86" s="169">
        <v>0</v>
      </c>
      <c r="CB86" s="169">
        <v>1</v>
      </c>
      <c r="CC86" s="169">
        <v>0</v>
      </c>
      <c r="CD86" s="169"/>
      <c r="CE86" s="169"/>
      <c r="CF86" s="177">
        <v>712</v>
      </c>
      <c r="CG86" s="377"/>
      <c r="CH86" s="169"/>
      <c r="CI86" s="376"/>
      <c r="CJ86" s="177"/>
      <c r="CK86" s="174"/>
      <c r="CL86" s="177"/>
      <c r="CM86" s="169"/>
      <c r="CN86" s="169"/>
      <c r="CO86" s="177"/>
      <c r="CP86" s="174">
        <v>2</v>
      </c>
      <c r="CQ86" s="177">
        <v>5</v>
      </c>
      <c r="CR86" s="169">
        <v>0</v>
      </c>
      <c r="CS86" s="169"/>
      <c r="CT86" s="169"/>
      <c r="CU86" s="177">
        <v>5</v>
      </c>
      <c r="CV86" s="174"/>
      <c r="CW86" s="177">
        <v>0</v>
      </c>
      <c r="CX86" s="377">
        <v>0</v>
      </c>
      <c r="CY86" s="169"/>
      <c r="CZ86" s="169"/>
      <c r="DA86" s="376">
        <v>0</v>
      </c>
      <c r="DB86" s="174">
        <v>2035</v>
      </c>
      <c r="DC86" s="179">
        <f>2035/921748</f>
        <v>2.2077617743678315E-3</v>
      </c>
    </row>
    <row r="87" spans="2:107" x14ac:dyDescent="0.2">
      <c r="B87" s="172" t="s">
        <v>222</v>
      </c>
      <c r="C87" s="377"/>
      <c r="D87" s="169"/>
      <c r="E87" s="169"/>
      <c r="F87" s="376"/>
      <c r="G87" s="177">
        <v>0</v>
      </c>
      <c r="H87" s="169">
        <v>6</v>
      </c>
      <c r="I87" s="169">
        <v>4</v>
      </c>
      <c r="J87" s="169"/>
      <c r="K87" s="169"/>
      <c r="L87" s="169">
        <v>0</v>
      </c>
      <c r="M87" s="177">
        <v>10</v>
      </c>
      <c r="N87" s="174">
        <v>0</v>
      </c>
      <c r="O87" s="177">
        <v>321</v>
      </c>
      <c r="P87" s="169"/>
      <c r="Q87" s="177">
        <v>321</v>
      </c>
      <c r="R87" s="377">
        <v>0</v>
      </c>
      <c r="S87" s="169"/>
      <c r="T87" s="169"/>
      <c r="U87" s="376">
        <v>0</v>
      </c>
      <c r="V87" s="177"/>
      <c r="W87" s="169"/>
      <c r="X87" s="177"/>
      <c r="Y87" s="174"/>
      <c r="Z87" s="177">
        <v>8</v>
      </c>
      <c r="AA87" s="169">
        <v>0</v>
      </c>
      <c r="AB87" s="169"/>
      <c r="AC87" s="169"/>
      <c r="AD87" s="169"/>
      <c r="AE87" s="169"/>
      <c r="AF87" s="169"/>
      <c r="AG87" s="169"/>
      <c r="AH87" s="177">
        <v>8</v>
      </c>
      <c r="AI87" s="174"/>
      <c r="AJ87" s="177"/>
      <c r="AK87" s="169"/>
      <c r="AL87" s="169"/>
      <c r="AM87" s="169"/>
      <c r="AN87" s="169"/>
      <c r="AO87" s="169"/>
      <c r="AP87" s="169"/>
      <c r="AQ87" s="169"/>
      <c r="AR87" s="169"/>
      <c r="AS87" s="169"/>
      <c r="AT87" s="169"/>
      <c r="AU87" s="169"/>
      <c r="AV87" s="177"/>
      <c r="AW87" s="377"/>
      <c r="AX87" s="169">
        <v>220</v>
      </c>
      <c r="AY87" s="169">
        <v>0</v>
      </c>
      <c r="AZ87" s="169"/>
      <c r="BA87" s="169">
        <v>0</v>
      </c>
      <c r="BB87" s="169">
        <v>1</v>
      </c>
      <c r="BC87" s="169">
        <v>0</v>
      </c>
      <c r="BD87" s="169"/>
      <c r="BE87" s="376">
        <v>221</v>
      </c>
      <c r="BF87" s="177">
        <v>0</v>
      </c>
      <c r="BG87" s="169">
        <v>0</v>
      </c>
      <c r="BH87" s="169">
        <v>200</v>
      </c>
      <c r="BI87" s="169">
        <v>5</v>
      </c>
      <c r="BJ87" s="169"/>
      <c r="BK87" s="169"/>
      <c r="BL87" s="177">
        <v>205</v>
      </c>
      <c r="BM87" s="174"/>
      <c r="BN87" s="177">
        <v>0</v>
      </c>
      <c r="BO87" s="377">
        <v>0</v>
      </c>
      <c r="BP87" s="169">
        <v>0</v>
      </c>
      <c r="BQ87" s="169">
        <v>0</v>
      </c>
      <c r="BR87" s="169"/>
      <c r="BS87" s="169"/>
      <c r="BT87" s="376">
        <v>0</v>
      </c>
      <c r="BU87" s="177">
        <v>349</v>
      </c>
      <c r="BV87" s="169">
        <v>0</v>
      </c>
      <c r="BW87" s="169">
        <v>154</v>
      </c>
      <c r="BX87" s="169">
        <v>0</v>
      </c>
      <c r="BY87" s="169">
        <v>0</v>
      </c>
      <c r="BZ87" s="169">
        <v>95</v>
      </c>
      <c r="CA87" s="169"/>
      <c r="CB87" s="169">
        <v>4</v>
      </c>
      <c r="CC87" s="169">
        <v>0</v>
      </c>
      <c r="CD87" s="169"/>
      <c r="CE87" s="169"/>
      <c r="CF87" s="177">
        <v>602</v>
      </c>
      <c r="CG87" s="377"/>
      <c r="CH87" s="169"/>
      <c r="CI87" s="376"/>
      <c r="CJ87" s="177"/>
      <c r="CK87" s="174"/>
      <c r="CL87" s="177"/>
      <c r="CM87" s="169"/>
      <c r="CN87" s="169"/>
      <c r="CO87" s="177"/>
      <c r="CP87" s="174"/>
      <c r="CQ87" s="177"/>
      <c r="CR87" s="169">
        <v>0</v>
      </c>
      <c r="CS87" s="169"/>
      <c r="CT87" s="169"/>
      <c r="CU87" s="177">
        <v>0</v>
      </c>
      <c r="CV87" s="174"/>
      <c r="CW87" s="177">
        <v>0</v>
      </c>
      <c r="CX87" s="377">
        <v>0</v>
      </c>
      <c r="CY87" s="169"/>
      <c r="CZ87" s="169"/>
      <c r="DA87" s="376">
        <v>0</v>
      </c>
      <c r="DB87" s="174">
        <v>1367</v>
      </c>
      <c r="DC87" s="179">
        <f>1367/921748</f>
        <v>1.4830517668603567E-3</v>
      </c>
    </row>
    <row r="88" spans="2:107" ht="13.5" thickBot="1" x14ac:dyDescent="0.25">
      <c r="B88" s="286" t="s">
        <v>556</v>
      </c>
      <c r="C88" s="374"/>
      <c r="D88" s="373"/>
      <c r="E88" s="373"/>
      <c r="F88" s="372"/>
      <c r="G88" s="375"/>
      <c r="H88" s="373">
        <v>0</v>
      </c>
      <c r="I88" s="373"/>
      <c r="J88" s="373"/>
      <c r="K88" s="373"/>
      <c r="L88" s="373"/>
      <c r="M88" s="375">
        <v>0</v>
      </c>
      <c r="N88" s="371"/>
      <c r="O88" s="375">
        <v>58</v>
      </c>
      <c r="P88" s="373"/>
      <c r="Q88" s="375">
        <v>58</v>
      </c>
      <c r="R88" s="374"/>
      <c r="S88" s="373"/>
      <c r="T88" s="373"/>
      <c r="U88" s="372"/>
      <c r="V88" s="375">
        <v>0</v>
      </c>
      <c r="W88" s="373"/>
      <c r="X88" s="375">
        <v>0</v>
      </c>
      <c r="Y88" s="371"/>
      <c r="Z88" s="375"/>
      <c r="AA88" s="373"/>
      <c r="AB88" s="373"/>
      <c r="AC88" s="373"/>
      <c r="AD88" s="373"/>
      <c r="AE88" s="373"/>
      <c r="AF88" s="373"/>
      <c r="AG88" s="373"/>
      <c r="AH88" s="375"/>
      <c r="AI88" s="371"/>
      <c r="AJ88" s="375"/>
      <c r="AK88" s="373"/>
      <c r="AL88" s="373"/>
      <c r="AM88" s="373"/>
      <c r="AN88" s="373"/>
      <c r="AO88" s="373"/>
      <c r="AP88" s="373"/>
      <c r="AQ88" s="373"/>
      <c r="AR88" s="373"/>
      <c r="AS88" s="373"/>
      <c r="AT88" s="373"/>
      <c r="AU88" s="373"/>
      <c r="AV88" s="375"/>
      <c r="AW88" s="374"/>
      <c r="AX88" s="373">
        <v>23</v>
      </c>
      <c r="AY88" s="373"/>
      <c r="AZ88" s="373">
        <v>0</v>
      </c>
      <c r="BA88" s="373"/>
      <c r="BB88" s="373">
        <v>0</v>
      </c>
      <c r="BC88" s="373"/>
      <c r="BD88" s="373"/>
      <c r="BE88" s="372">
        <v>23</v>
      </c>
      <c r="BF88" s="375"/>
      <c r="BG88" s="373">
        <v>0</v>
      </c>
      <c r="BH88" s="373">
        <v>20</v>
      </c>
      <c r="BI88" s="373"/>
      <c r="BJ88" s="373"/>
      <c r="BK88" s="373"/>
      <c r="BL88" s="375">
        <v>20</v>
      </c>
      <c r="BM88" s="371"/>
      <c r="BN88" s="375"/>
      <c r="BO88" s="374"/>
      <c r="BP88" s="373"/>
      <c r="BQ88" s="373"/>
      <c r="BR88" s="373"/>
      <c r="BS88" s="373"/>
      <c r="BT88" s="372"/>
      <c r="BU88" s="375">
        <v>11</v>
      </c>
      <c r="BV88" s="373"/>
      <c r="BW88" s="373">
        <v>5</v>
      </c>
      <c r="BX88" s="373"/>
      <c r="BY88" s="373">
        <v>0</v>
      </c>
      <c r="BZ88" s="373">
        <v>27</v>
      </c>
      <c r="CA88" s="373">
        <v>0</v>
      </c>
      <c r="CB88" s="373"/>
      <c r="CC88" s="373">
        <v>0</v>
      </c>
      <c r="CD88" s="373"/>
      <c r="CE88" s="373"/>
      <c r="CF88" s="375">
        <v>43</v>
      </c>
      <c r="CG88" s="374"/>
      <c r="CH88" s="373"/>
      <c r="CI88" s="372"/>
      <c r="CJ88" s="375"/>
      <c r="CK88" s="371"/>
      <c r="CL88" s="375"/>
      <c r="CM88" s="373"/>
      <c r="CN88" s="373"/>
      <c r="CO88" s="375"/>
      <c r="CP88" s="371"/>
      <c r="CQ88" s="375"/>
      <c r="CR88" s="373"/>
      <c r="CS88" s="373"/>
      <c r="CT88" s="373"/>
      <c r="CU88" s="375"/>
      <c r="CV88" s="371"/>
      <c r="CW88" s="375"/>
      <c r="CX88" s="374"/>
      <c r="CY88" s="373"/>
      <c r="CZ88" s="373"/>
      <c r="DA88" s="372"/>
      <c r="DB88" s="371">
        <v>144</v>
      </c>
      <c r="DC88" s="370">
        <f>144/921748</f>
        <v>1.5622491179801854E-4</v>
      </c>
    </row>
    <row r="89" spans="2:107" ht="13.5" thickBot="1" x14ac:dyDescent="0.25">
      <c r="B89" s="173" t="s">
        <v>550</v>
      </c>
      <c r="C89" s="369">
        <v>0</v>
      </c>
      <c r="D89" s="170">
        <v>0</v>
      </c>
      <c r="E89" s="170">
        <v>0</v>
      </c>
      <c r="F89" s="368">
        <v>0</v>
      </c>
      <c r="G89" s="178">
        <v>7</v>
      </c>
      <c r="H89" s="170">
        <v>836</v>
      </c>
      <c r="I89" s="170">
        <v>30</v>
      </c>
      <c r="J89" s="170">
        <v>0</v>
      </c>
      <c r="K89" s="170">
        <v>0</v>
      </c>
      <c r="L89" s="170">
        <v>6</v>
      </c>
      <c r="M89" s="178">
        <v>879</v>
      </c>
      <c r="N89" s="175">
        <v>0</v>
      </c>
      <c r="O89" s="178">
        <v>12504</v>
      </c>
      <c r="P89" s="170">
        <v>0</v>
      </c>
      <c r="Q89" s="178">
        <v>12504</v>
      </c>
      <c r="R89" s="369">
        <v>0</v>
      </c>
      <c r="S89" s="170">
        <v>0</v>
      </c>
      <c r="T89" s="170">
        <v>0</v>
      </c>
      <c r="U89" s="368">
        <v>0</v>
      </c>
      <c r="V89" s="178">
        <v>0</v>
      </c>
      <c r="W89" s="170"/>
      <c r="X89" s="178">
        <v>0</v>
      </c>
      <c r="Y89" s="175">
        <v>11</v>
      </c>
      <c r="Z89" s="178">
        <v>77</v>
      </c>
      <c r="AA89" s="170">
        <v>0</v>
      </c>
      <c r="AB89" s="170">
        <v>218</v>
      </c>
      <c r="AC89" s="170">
        <v>2</v>
      </c>
      <c r="AD89" s="170">
        <v>6</v>
      </c>
      <c r="AE89" s="170">
        <v>0</v>
      </c>
      <c r="AF89" s="170">
        <v>0</v>
      </c>
      <c r="AG89" s="170"/>
      <c r="AH89" s="178">
        <v>303</v>
      </c>
      <c r="AI89" s="175">
        <v>0</v>
      </c>
      <c r="AJ89" s="178">
        <v>0</v>
      </c>
      <c r="AK89" s="170">
        <v>0</v>
      </c>
      <c r="AL89" s="170">
        <v>0</v>
      </c>
      <c r="AM89" s="170">
        <v>0</v>
      </c>
      <c r="AN89" s="170">
        <v>0</v>
      </c>
      <c r="AO89" s="170">
        <v>0</v>
      </c>
      <c r="AP89" s="170">
        <v>0</v>
      </c>
      <c r="AQ89" s="170">
        <v>0</v>
      </c>
      <c r="AR89" s="170">
        <v>0</v>
      </c>
      <c r="AS89" s="170">
        <v>0</v>
      </c>
      <c r="AT89" s="170">
        <v>0</v>
      </c>
      <c r="AU89" s="170">
        <v>0</v>
      </c>
      <c r="AV89" s="178">
        <v>0</v>
      </c>
      <c r="AW89" s="369">
        <v>0</v>
      </c>
      <c r="AX89" s="170">
        <v>1355</v>
      </c>
      <c r="AY89" s="170">
        <v>0</v>
      </c>
      <c r="AZ89" s="170">
        <v>0</v>
      </c>
      <c r="BA89" s="170">
        <v>0</v>
      </c>
      <c r="BB89" s="170">
        <v>49</v>
      </c>
      <c r="BC89" s="170">
        <v>0</v>
      </c>
      <c r="BD89" s="170">
        <v>0</v>
      </c>
      <c r="BE89" s="368">
        <v>1404</v>
      </c>
      <c r="BF89" s="178">
        <v>0</v>
      </c>
      <c r="BG89" s="170">
        <v>46</v>
      </c>
      <c r="BH89" s="170">
        <v>1146</v>
      </c>
      <c r="BI89" s="170">
        <v>76</v>
      </c>
      <c r="BJ89" s="170">
        <v>0</v>
      </c>
      <c r="BK89" s="170">
        <v>0</v>
      </c>
      <c r="BL89" s="178">
        <v>1268</v>
      </c>
      <c r="BM89" s="175"/>
      <c r="BN89" s="178">
        <v>0</v>
      </c>
      <c r="BO89" s="369">
        <v>0</v>
      </c>
      <c r="BP89" s="170">
        <v>0</v>
      </c>
      <c r="BQ89" s="170">
        <v>0</v>
      </c>
      <c r="BR89" s="170">
        <v>0</v>
      </c>
      <c r="BS89" s="170"/>
      <c r="BT89" s="368">
        <v>0</v>
      </c>
      <c r="BU89" s="178">
        <v>2318</v>
      </c>
      <c r="BV89" s="170">
        <v>33</v>
      </c>
      <c r="BW89" s="170">
        <v>1814</v>
      </c>
      <c r="BX89" s="170">
        <v>14</v>
      </c>
      <c r="BY89" s="170">
        <v>0</v>
      </c>
      <c r="BZ89" s="170">
        <v>2460</v>
      </c>
      <c r="CA89" s="170">
        <v>0</v>
      </c>
      <c r="CB89" s="170">
        <v>10</v>
      </c>
      <c r="CC89" s="170">
        <v>0</v>
      </c>
      <c r="CD89" s="170">
        <v>0</v>
      </c>
      <c r="CE89" s="170">
        <v>0</v>
      </c>
      <c r="CF89" s="178">
        <v>6649</v>
      </c>
      <c r="CG89" s="369">
        <v>0</v>
      </c>
      <c r="CH89" s="170">
        <v>7</v>
      </c>
      <c r="CI89" s="368">
        <v>7</v>
      </c>
      <c r="CJ89" s="178">
        <v>0</v>
      </c>
      <c r="CK89" s="175">
        <v>0</v>
      </c>
      <c r="CL89" s="178">
        <v>49</v>
      </c>
      <c r="CM89" s="170">
        <v>32</v>
      </c>
      <c r="CN89" s="170">
        <v>11</v>
      </c>
      <c r="CO89" s="178">
        <v>92</v>
      </c>
      <c r="CP89" s="175">
        <v>41</v>
      </c>
      <c r="CQ89" s="178">
        <v>162</v>
      </c>
      <c r="CR89" s="170">
        <v>0</v>
      </c>
      <c r="CS89" s="170">
        <v>0</v>
      </c>
      <c r="CT89" s="170"/>
      <c r="CU89" s="178">
        <v>162</v>
      </c>
      <c r="CV89" s="175">
        <v>0</v>
      </c>
      <c r="CW89" s="178">
        <v>0</v>
      </c>
      <c r="CX89" s="369">
        <v>25</v>
      </c>
      <c r="CY89" s="170">
        <v>111</v>
      </c>
      <c r="CZ89" s="170">
        <v>3</v>
      </c>
      <c r="DA89" s="368">
        <v>139</v>
      </c>
      <c r="DB89" s="175">
        <v>23459</v>
      </c>
      <c r="DC89" s="180">
        <f>23459/921748</f>
        <v>2.5450556985206367E-2</v>
      </c>
    </row>
    <row r="90" spans="2:107" ht="13.5" thickBot="1" x14ac:dyDescent="0.25">
      <c r="B90" s="173" t="s">
        <v>551</v>
      </c>
      <c r="C90" s="369">
        <v>0</v>
      </c>
      <c r="D90" s="170">
        <v>0</v>
      </c>
      <c r="E90" s="170">
        <v>0</v>
      </c>
      <c r="F90" s="368">
        <v>0</v>
      </c>
      <c r="G90" s="178">
        <v>611</v>
      </c>
      <c r="H90" s="170">
        <v>4968</v>
      </c>
      <c r="I90" s="170">
        <v>129</v>
      </c>
      <c r="J90" s="170">
        <v>6</v>
      </c>
      <c r="K90" s="170">
        <v>0</v>
      </c>
      <c r="L90" s="170">
        <v>68</v>
      </c>
      <c r="M90" s="178">
        <v>5782</v>
      </c>
      <c r="N90" s="175">
        <v>0</v>
      </c>
      <c r="O90" s="178">
        <v>194749</v>
      </c>
      <c r="P90" s="170">
        <v>0</v>
      </c>
      <c r="Q90" s="178">
        <v>194749</v>
      </c>
      <c r="R90" s="369">
        <v>0</v>
      </c>
      <c r="S90" s="170">
        <v>0</v>
      </c>
      <c r="T90" s="170">
        <v>0</v>
      </c>
      <c r="U90" s="368">
        <v>0</v>
      </c>
      <c r="V90" s="178">
        <v>0</v>
      </c>
      <c r="W90" s="170"/>
      <c r="X90" s="178">
        <v>0</v>
      </c>
      <c r="Y90" s="175">
        <v>36</v>
      </c>
      <c r="Z90" s="178">
        <v>4835</v>
      </c>
      <c r="AA90" s="170">
        <v>0</v>
      </c>
      <c r="AB90" s="170">
        <v>1618</v>
      </c>
      <c r="AC90" s="170">
        <v>4</v>
      </c>
      <c r="AD90" s="170">
        <v>187</v>
      </c>
      <c r="AE90" s="170">
        <v>0</v>
      </c>
      <c r="AF90" s="170">
        <v>0</v>
      </c>
      <c r="AG90" s="170"/>
      <c r="AH90" s="178">
        <v>6644</v>
      </c>
      <c r="AI90" s="175">
        <v>0</v>
      </c>
      <c r="AJ90" s="178">
        <v>0</v>
      </c>
      <c r="AK90" s="170">
        <v>0</v>
      </c>
      <c r="AL90" s="170">
        <v>0</v>
      </c>
      <c r="AM90" s="170">
        <v>0</v>
      </c>
      <c r="AN90" s="170">
        <v>0</v>
      </c>
      <c r="AO90" s="170">
        <v>0</v>
      </c>
      <c r="AP90" s="170">
        <v>0</v>
      </c>
      <c r="AQ90" s="170">
        <v>0</v>
      </c>
      <c r="AR90" s="170">
        <v>0</v>
      </c>
      <c r="AS90" s="170">
        <v>0</v>
      </c>
      <c r="AT90" s="170">
        <v>0</v>
      </c>
      <c r="AU90" s="170">
        <v>0</v>
      </c>
      <c r="AV90" s="178">
        <v>0</v>
      </c>
      <c r="AW90" s="369">
        <v>0</v>
      </c>
      <c r="AX90" s="170">
        <v>53233</v>
      </c>
      <c r="AY90" s="170">
        <v>0</v>
      </c>
      <c r="AZ90" s="170">
        <v>0</v>
      </c>
      <c r="BA90" s="170">
        <v>0</v>
      </c>
      <c r="BB90" s="170">
        <v>2340</v>
      </c>
      <c r="BC90" s="170">
        <v>0</v>
      </c>
      <c r="BD90" s="170">
        <v>0</v>
      </c>
      <c r="BE90" s="368">
        <v>55573</v>
      </c>
      <c r="BF90" s="178">
        <v>0</v>
      </c>
      <c r="BG90" s="170">
        <v>2833</v>
      </c>
      <c r="BH90" s="170">
        <v>24245</v>
      </c>
      <c r="BI90" s="170">
        <v>1557</v>
      </c>
      <c r="BJ90" s="170">
        <v>0</v>
      </c>
      <c r="BK90" s="170">
        <v>0</v>
      </c>
      <c r="BL90" s="178">
        <v>28635</v>
      </c>
      <c r="BM90" s="175"/>
      <c r="BN90" s="178">
        <v>0</v>
      </c>
      <c r="BO90" s="369">
        <v>0</v>
      </c>
      <c r="BP90" s="170">
        <v>0</v>
      </c>
      <c r="BQ90" s="170">
        <v>0</v>
      </c>
      <c r="BR90" s="170">
        <v>0</v>
      </c>
      <c r="BS90" s="170"/>
      <c r="BT90" s="368">
        <v>0</v>
      </c>
      <c r="BU90" s="178">
        <v>81201</v>
      </c>
      <c r="BV90" s="170">
        <v>824</v>
      </c>
      <c r="BW90" s="170">
        <v>30383</v>
      </c>
      <c r="BX90" s="170">
        <v>208</v>
      </c>
      <c r="BY90" s="170">
        <v>0</v>
      </c>
      <c r="BZ90" s="170">
        <v>57322</v>
      </c>
      <c r="CA90" s="170">
        <v>0</v>
      </c>
      <c r="CB90" s="170">
        <v>66</v>
      </c>
      <c r="CC90" s="170">
        <v>0</v>
      </c>
      <c r="CD90" s="170">
        <v>0</v>
      </c>
      <c r="CE90" s="170">
        <v>0</v>
      </c>
      <c r="CF90" s="178">
        <v>170004</v>
      </c>
      <c r="CG90" s="369">
        <v>0</v>
      </c>
      <c r="CH90" s="170">
        <v>11</v>
      </c>
      <c r="CI90" s="368">
        <v>11</v>
      </c>
      <c r="CJ90" s="178">
        <v>0</v>
      </c>
      <c r="CK90" s="175">
        <v>0</v>
      </c>
      <c r="CL90" s="178">
        <v>73</v>
      </c>
      <c r="CM90" s="170">
        <v>34</v>
      </c>
      <c r="CN90" s="170">
        <v>15</v>
      </c>
      <c r="CO90" s="178">
        <v>122</v>
      </c>
      <c r="CP90" s="175">
        <v>101</v>
      </c>
      <c r="CQ90" s="178">
        <v>217</v>
      </c>
      <c r="CR90" s="170">
        <v>0</v>
      </c>
      <c r="CS90" s="170">
        <v>0</v>
      </c>
      <c r="CT90" s="170">
        <v>0</v>
      </c>
      <c r="CU90" s="178">
        <v>217</v>
      </c>
      <c r="CV90" s="175">
        <v>0</v>
      </c>
      <c r="CW90" s="178">
        <v>0</v>
      </c>
      <c r="CX90" s="369">
        <v>75</v>
      </c>
      <c r="CY90" s="170">
        <v>152</v>
      </c>
      <c r="CZ90" s="170">
        <v>9</v>
      </c>
      <c r="DA90" s="368">
        <v>236</v>
      </c>
      <c r="DB90" s="175">
        <v>462110</v>
      </c>
      <c r="DC90" s="180">
        <f>462110/921748</f>
        <v>0.50134093049293305</v>
      </c>
    </row>
    <row r="91" spans="2:107" x14ac:dyDescent="0.2">
      <c r="B91" s="286" t="s">
        <v>35</v>
      </c>
      <c r="C91" s="374">
        <v>0</v>
      </c>
      <c r="D91" s="373"/>
      <c r="E91" s="373">
        <v>0</v>
      </c>
      <c r="F91" s="372">
        <v>0</v>
      </c>
      <c r="G91" s="375">
        <v>0</v>
      </c>
      <c r="H91" s="373">
        <v>58</v>
      </c>
      <c r="I91" s="373"/>
      <c r="J91" s="373"/>
      <c r="K91" s="373"/>
      <c r="L91" s="373"/>
      <c r="M91" s="375">
        <v>58</v>
      </c>
      <c r="N91" s="371">
        <v>0</v>
      </c>
      <c r="O91" s="375">
        <v>39</v>
      </c>
      <c r="P91" s="373"/>
      <c r="Q91" s="375">
        <v>39</v>
      </c>
      <c r="R91" s="374">
        <v>0</v>
      </c>
      <c r="S91" s="373">
        <v>0</v>
      </c>
      <c r="T91" s="373">
        <v>0</v>
      </c>
      <c r="U91" s="372">
        <v>0</v>
      </c>
      <c r="V91" s="375">
        <v>0</v>
      </c>
      <c r="W91" s="373"/>
      <c r="X91" s="375">
        <v>0</v>
      </c>
      <c r="Y91" s="371">
        <v>54</v>
      </c>
      <c r="Z91" s="375">
        <v>2</v>
      </c>
      <c r="AA91" s="373">
        <v>0</v>
      </c>
      <c r="AB91" s="373">
        <v>16</v>
      </c>
      <c r="AC91" s="373">
        <v>1</v>
      </c>
      <c r="AD91" s="373"/>
      <c r="AE91" s="373"/>
      <c r="AF91" s="373"/>
      <c r="AG91" s="373">
        <v>0</v>
      </c>
      <c r="AH91" s="375">
        <v>19</v>
      </c>
      <c r="AI91" s="371">
        <v>106</v>
      </c>
      <c r="AJ91" s="375"/>
      <c r="AK91" s="373">
        <v>0</v>
      </c>
      <c r="AL91" s="373">
        <v>0</v>
      </c>
      <c r="AM91" s="373">
        <v>0</v>
      </c>
      <c r="AN91" s="373">
        <v>0</v>
      </c>
      <c r="AO91" s="373">
        <v>0</v>
      </c>
      <c r="AP91" s="373">
        <v>0</v>
      </c>
      <c r="AQ91" s="373">
        <v>0</v>
      </c>
      <c r="AR91" s="373">
        <v>0</v>
      </c>
      <c r="AS91" s="373">
        <v>0</v>
      </c>
      <c r="AT91" s="373"/>
      <c r="AU91" s="373">
        <v>0</v>
      </c>
      <c r="AV91" s="375">
        <v>0</v>
      </c>
      <c r="AW91" s="374">
        <v>0</v>
      </c>
      <c r="AX91" s="373">
        <v>15</v>
      </c>
      <c r="AY91" s="373">
        <v>0</v>
      </c>
      <c r="AZ91" s="373">
        <v>0</v>
      </c>
      <c r="BA91" s="373">
        <v>0</v>
      </c>
      <c r="BB91" s="373">
        <v>0</v>
      </c>
      <c r="BC91" s="373">
        <v>0</v>
      </c>
      <c r="BD91" s="373">
        <v>0</v>
      </c>
      <c r="BE91" s="372">
        <v>15</v>
      </c>
      <c r="BF91" s="375">
        <v>0</v>
      </c>
      <c r="BG91" s="373">
        <v>0</v>
      </c>
      <c r="BH91" s="373">
        <v>26</v>
      </c>
      <c r="BI91" s="373">
        <v>0</v>
      </c>
      <c r="BJ91" s="373"/>
      <c r="BK91" s="373"/>
      <c r="BL91" s="375">
        <v>26</v>
      </c>
      <c r="BM91" s="371">
        <v>0</v>
      </c>
      <c r="BN91" s="375">
        <v>0</v>
      </c>
      <c r="BO91" s="374">
        <v>0</v>
      </c>
      <c r="BP91" s="373">
        <v>0</v>
      </c>
      <c r="BQ91" s="373">
        <v>0</v>
      </c>
      <c r="BR91" s="373"/>
      <c r="BS91" s="373"/>
      <c r="BT91" s="372">
        <v>0</v>
      </c>
      <c r="BU91" s="375">
        <v>10</v>
      </c>
      <c r="BV91" s="373">
        <v>0</v>
      </c>
      <c r="BW91" s="373">
        <v>3</v>
      </c>
      <c r="BX91" s="373">
        <v>0</v>
      </c>
      <c r="BY91" s="373">
        <v>0</v>
      </c>
      <c r="BZ91" s="373">
        <v>36</v>
      </c>
      <c r="CA91" s="373">
        <v>0</v>
      </c>
      <c r="CB91" s="373"/>
      <c r="CC91" s="373">
        <v>0</v>
      </c>
      <c r="CD91" s="373">
        <v>0</v>
      </c>
      <c r="CE91" s="373"/>
      <c r="CF91" s="375">
        <v>49</v>
      </c>
      <c r="CG91" s="374">
        <v>0</v>
      </c>
      <c r="CH91" s="373">
        <v>150</v>
      </c>
      <c r="CI91" s="372">
        <v>150</v>
      </c>
      <c r="CJ91" s="375">
        <v>0</v>
      </c>
      <c r="CK91" s="371">
        <v>0</v>
      </c>
      <c r="CL91" s="375">
        <v>1015</v>
      </c>
      <c r="CM91" s="373">
        <v>34</v>
      </c>
      <c r="CN91" s="373">
        <v>437</v>
      </c>
      <c r="CO91" s="375">
        <v>1486</v>
      </c>
      <c r="CP91" s="371">
        <v>25</v>
      </c>
      <c r="CQ91" s="375">
        <v>346</v>
      </c>
      <c r="CR91" s="373">
        <v>0</v>
      </c>
      <c r="CS91" s="373">
        <v>0</v>
      </c>
      <c r="CT91" s="373"/>
      <c r="CU91" s="375">
        <v>346</v>
      </c>
      <c r="CV91" s="371">
        <v>0</v>
      </c>
      <c r="CW91" s="375">
        <v>0</v>
      </c>
      <c r="CX91" s="374">
        <v>58</v>
      </c>
      <c r="CY91" s="373">
        <v>141</v>
      </c>
      <c r="CZ91" s="373">
        <v>207</v>
      </c>
      <c r="DA91" s="372">
        <v>406</v>
      </c>
      <c r="DB91" s="371">
        <v>2779</v>
      </c>
      <c r="DC91" s="370">
        <f>2779/921748</f>
        <v>3.0149238186575941E-3</v>
      </c>
    </row>
    <row r="92" spans="2:107" x14ac:dyDescent="0.2">
      <c r="B92" s="172" t="s">
        <v>47</v>
      </c>
      <c r="C92" s="377"/>
      <c r="D92" s="169"/>
      <c r="E92" s="169"/>
      <c r="F92" s="376"/>
      <c r="G92" s="177">
        <v>0</v>
      </c>
      <c r="H92" s="169">
        <v>18</v>
      </c>
      <c r="I92" s="169">
        <v>0</v>
      </c>
      <c r="J92" s="169"/>
      <c r="K92" s="169"/>
      <c r="L92" s="169"/>
      <c r="M92" s="177">
        <v>18</v>
      </c>
      <c r="N92" s="174">
        <v>0</v>
      </c>
      <c r="O92" s="177">
        <v>82</v>
      </c>
      <c r="P92" s="169">
        <v>0</v>
      </c>
      <c r="Q92" s="177">
        <v>82</v>
      </c>
      <c r="R92" s="377">
        <v>0</v>
      </c>
      <c r="S92" s="169"/>
      <c r="T92" s="169"/>
      <c r="U92" s="376">
        <v>0</v>
      </c>
      <c r="V92" s="177"/>
      <c r="W92" s="169">
        <v>17</v>
      </c>
      <c r="X92" s="177">
        <v>17</v>
      </c>
      <c r="Y92" s="174">
        <v>0</v>
      </c>
      <c r="Z92" s="177">
        <v>4</v>
      </c>
      <c r="AA92" s="169">
        <v>0</v>
      </c>
      <c r="AB92" s="169"/>
      <c r="AC92" s="169"/>
      <c r="AD92" s="169"/>
      <c r="AE92" s="169"/>
      <c r="AF92" s="169"/>
      <c r="AG92" s="169"/>
      <c r="AH92" s="177">
        <v>4</v>
      </c>
      <c r="AI92" s="174"/>
      <c r="AJ92" s="177"/>
      <c r="AK92" s="169">
        <v>0</v>
      </c>
      <c r="AL92" s="169"/>
      <c r="AM92" s="169"/>
      <c r="AN92" s="169"/>
      <c r="AO92" s="169"/>
      <c r="AP92" s="169"/>
      <c r="AQ92" s="169"/>
      <c r="AR92" s="169"/>
      <c r="AS92" s="169">
        <v>0</v>
      </c>
      <c r="AT92" s="169"/>
      <c r="AU92" s="169"/>
      <c r="AV92" s="177">
        <v>0</v>
      </c>
      <c r="AW92" s="377">
        <v>0</v>
      </c>
      <c r="AX92" s="169">
        <v>23</v>
      </c>
      <c r="AY92" s="169">
        <v>0</v>
      </c>
      <c r="AZ92" s="169">
        <v>0</v>
      </c>
      <c r="BA92" s="169">
        <v>0</v>
      </c>
      <c r="BB92" s="169">
        <v>24</v>
      </c>
      <c r="BC92" s="169">
        <v>0</v>
      </c>
      <c r="BD92" s="169"/>
      <c r="BE92" s="376">
        <v>47</v>
      </c>
      <c r="BF92" s="177">
        <v>0</v>
      </c>
      <c r="BG92" s="169">
        <v>5</v>
      </c>
      <c r="BH92" s="169">
        <v>30</v>
      </c>
      <c r="BI92" s="169">
        <v>1</v>
      </c>
      <c r="BJ92" s="169"/>
      <c r="BK92" s="169"/>
      <c r="BL92" s="177">
        <v>36</v>
      </c>
      <c r="BM92" s="174"/>
      <c r="BN92" s="177">
        <v>0</v>
      </c>
      <c r="BO92" s="377">
        <v>0</v>
      </c>
      <c r="BP92" s="169">
        <v>0</v>
      </c>
      <c r="BQ92" s="169"/>
      <c r="BR92" s="169"/>
      <c r="BS92" s="169"/>
      <c r="BT92" s="376">
        <v>0</v>
      </c>
      <c r="BU92" s="177">
        <v>25</v>
      </c>
      <c r="BV92" s="169">
        <v>0</v>
      </c>
      <c r="BW92" s="169">
        <v>19</v>
      </c>
      <c r="BX92" s="169">
        <v>0</v>
      </c>
      <c r="BY92" s="169">
        <v>0</v>
      </c>
      <c r="BZ92" s="169">
        <v>29</v>
      </c>
      <c r="CA92" s="169">
        <v>0</v>
      </c>
      <c r="CB92" s="169">
        <v>0</v>
      </c>
      <c r="CC92" s="169">
        <v>0</v>
      </c>
      <c r="CD92" s="169"/>
      <c r="CE92" s="169">
        <v>0</v>
      </c>
      <c r="CF92" s="177">
        <v>73</v>
      </c>
      <c r="CG92" s="377"/>
      <c r="CH92" s="169">
        <v>0</v>
      </c>
      <c r="CI92" s="376">
        <v>0</v>
      </c>
      <c r="CJ92" s="177"/>
      <c r="CK92" s="174">
        <v>0</v>
      </c>
      <c r="CL92" s="177">
        <v>0</v>
      </c>
      <c r="CM92" s="169">
        <v>4</v>
      </c>
      <c r="CN92" s="169">
        <v>3</v>
      </c>
      <c r="CO92" s="177">
        <v>7</v>
      </c>
      <c r="CP92" s="174">
        <v>76</v>
      </c>
      <c r="CQ92" s="177"/>
      <c r="CR92" s="169"/>
      <c r="CS92" s="169"/>
      <c r="CT92" s="169"/>
      <c r="CU92" s="177"/>
      <c r="CV92" s="174">
        <v>16</v>
      </c>
      <c r="CW92" s="177">
        <v>0</v>
      </c>
      <c r="CX92" s="377">
        <v>0</v>
      </c>
      <c r="CY92" s="169">
        <v>1</v>
      </c>
      <c r="CZ92" s="169">
        <v>4</v>
      </c>
      <c r="DA92" s="376">
        <v>5</v>
      </c>
      <c r="DB92" s="174">
        <v>381</v>
      </c>
      <c r="DC92" s="179">
        <f>381/921748</f>
        <v>4.1334507913225741E-4</v>
      </c>
    </row>
    <row r="93" spans="2:107" x14ac:dyDescent="0.2">
      <c r="B93" s="172" t="s">
        <v>80</v>
      </c>
      <c r="C93" s="377"/>
      <c r="D93" s="169"/>
      <c r="E93" s="169"/>
      <c r="F93" s="376"/>
      <c r="G93" s="177"/>
      <c r="H93" s="169"/>
      <c r="I93" s="169">
        <v>0</v>
      </c>
      <c r="J93" s="169"/>
      <c r="K93" s="169"/>
      <c r="L93" s="169"/>
      <c r="M93" s="177">
        <v>0</v>
      </c>
      <c r="N93" s="174"/>
      <c r="O93" s="177">
        <v>39</v>
      </c>
      <c r="P93" s="169"/>
      <c r="Q93" s="177">
        <v>39</v>
      </c>
      <c r="R93" s="377">
        <v>0</v>
      </c>
      <c r="S93" s="169"/>
      <c r="T93" s="169"/>
      <c r="U93" s="376">
        <v>0</v>
      </c>
      <c r="V93" s="177"/>
      <c r="W93" s="169"/>
      <c r="X93" s="177"/>
      <c r="Y93" s="174"/>
      <c r="Z93" s="177"/>
      <c r="AA93" s="169"/>
      <c r="AB93" s="169"/>
      <c r="AC93" s="169"/>
      <c r="AD93" s="169"/>
      <c r="AE93" s="169"/>
      <c r="AF93" s="169"/>
      <c r="AG93" s="169"/>
      <c r="AH93" s="177"/>
      <c r="AI93" s="174"/>
      <c r="AJ93" s="177"/>
      <c r="AK93" s="169"/>
      <c r="AL93" s="169"/>
      <c r="AM93" s="169"/>
      <c r="AN93" s="169"/>
      <c r="AO93" s="169"/>
      <c r="AP93" s="169"/>
      <c r="AQ93" s="169"/>
      <c r="AR93" s="169"/>
      <c r="AS93" s="169"/>
      <c r="AT93" s="169"/>
      <c r="AU93" s="169"/>
      <c r="AV93" s="177"/>
      <c r="AW93" s="377">
        <v>0</v>
      </c>
      <c r="AX93" s="169">
        <v>2</v>
      </c>
      <c r="AY93" s="169"/>
      <c r="AZ93" s="169"/>
      <c r="BA93" s="169"/>
      <c r="BB93" s="169"/>
      <c r="BC93" s="169"/>
      <c r="BD93" s="169"/>
      <c r="BE93" s="376">
        <v>2</v>
      </c>
      <c r="BF93" s="177"/>
      <c r="BG93" s="169">
        <v>0</v>
      </c>
      <c r="BH93" s="169">
        <v>12</v>
      </c>
      <c r="BI93" s="169"/>
      <c r="BJ93" s="169"/>
      <c r="BK93" s="169"/>
      <c r="BL93" s="177">
        <v>12</v>
      </c>
      <c r="BM93" s="174"/>
      <c r="BN93" s="177"/>
      <c r="BO93" s="377"/>
      <c r="BP93" s="169">
        <v>0</v>
      </c>
      <c r="BQ93" s="169"/>
      <c r="BR93" s="169"/>
      <c r="BS93" s="169"/>
      <c r="BT93" s="376">
        <v>0</v>
      </c>
      <c r="BU93" s="177">
        <v>27</v>
      </c>
      <c r="BV93" s="169">
        <v>0</v>
      </c>
      <c r="BW93" s="169">
        <v>2</v>
      </c>
      <c r="BX93" s="169">
        <v>4</v>
      </c>
      <c r="BY93" s="169"/>
      <c r="BZ93" s="169">
        <v>4</v>
      </c>
      <c r="CA93" s="169"/>
      <c r="CB93" s="169"/>
      <c r="CC93" s="169"/>
      <c r="CD93" s="169"/>
      <c r="CE93" s="169"/>
      <c r="CF93" s="177">
        <v>37</v>
      </c>
      <c r="CG93" s="377"/>
      <c r="CH93" s="169"/>
      <c r="CI93" s="376"/>
      <c r="CJ93" s="177"/>
      <c r="CK93" s="174">
        <v>0</v>
      </c>
      <c r="CL93" s="177"/>
      <c r="CM93" s="169"/>
      <c r="CN93" s="169"/>
      <c r="CO93" s="177"/>
      <c r="CP93" s="174"/>
      <c r="CQ93" s="177"/>
      <c r="CR93" s="169"/>
      <c r="CS93" s="169"/>
      <c r="CT93" s="169"/>
      <c r="CU93" s="177"/>
      <c r="CV93" s="174"/>
      <c r="CW93" s="177">
        <v>0</v>
      </c>
      <c r="CX93" s="377"/>
      <c r="CY93" s="169"/>
      <c r="CZ93" s="169">
        <v>0</v>
      </c>
      <c r="DA93" s="376">
        <v>0</v>
      </c>
      <c r="DB93" s="174">
        <v>90</v>
      </c>
      <c r="DC93" s="179">
        <f>90/921748</f>
        <v>9.764056987376159E-5</v>
      </c>
    </row>
    <row r="94" spans="2:107" x14ac:dyDescent="0.2">
      <c r="B94" s="172" t="s">
        <v>109</v>
      </c>
      <c r="C94" s="377">
        <v>0</v>
      </c>
      <c r="D94" s="169">
        <v>0</v>
      </c>
      <c r="E94" s="169">
        <v>0</v>
      </c>
      <c r="F94" s="376">
        <v>0</v>
      </c>
      <c r="G94" s="177">
        <v>0</v>
      </c>
      <c r="H94" s="169">
        <v>66</v>
      </c>
      <c r="I94" s="169">
        <v>0</v>
      </c>
      <c r="J94" s="169"/>
      <c r="K94" s="169"/>
      <c r="L94" s="169">
        <v>0</v>
      </c>
      <c r="M94" s="177">
        <v>66</v>
      </c>
      <c r="N94" s="174">
        <v>0</v>
      </c>
      <c r="O94" s="177">
        <v>72</v>
      </c>
      <c r="P94" s="169"/>
      <c r="Q94" s="177">
        <v>72</v>
      </c>
      <c r="R94" s="377">
        <v>0</v>
      </c>
      <c r="S94" s="169">
        <v>0</v>
      </c>
      <c r="T94" s="169">
        <v>0</v>
      </c>
      <c r="U94" s="376">
        <v>0</v>
      </c>
      <c r="V94" s="177">
        <v>0</v>
      </c>
      <c r="W94" s="169"/>
      <c r="X94" s="177">
        <v>0</v>
      </c>
      <c r="Y94" s="174">
        <v>25</v>
      </c>
      <c r="Z94" s="177">
        <v>3</v>
      </c>
      <c r="AA94" s="169"/>
      <c r="AB94" s="169"/>
      <c r="AC94" s="169">
        <v>3</v>
      </c>
      <c r="AD94" s="169"/>
      <c r="AE94" s="169"/>
      <c r="AF94" s="169"/>
      <c r="AG94" s="169"/>
      <c r="AH94" s="177">
        <v>6</v>
      </c>
      <c r="AI94" s="174">
        <v>56</v>
      </c>
      <c r="AJ94" s="177"/>
      <c r="AK94" s="169">
        <v>0</v>
      </c>
      <c r="AL94" s="169">
        <v>0</v>
      </c>
      <c r="AM94" s="169">
        <v>0</v>
      </c>
      <c r="AN94" s="169">
        <v>0</v>
      </c>
      <c r="AO94" s="169">
        <v>0</v>
      </c>
      <c r="AP94" s="169">
        <v>0</v>
      </c>
      <c r="AQ94" s="169">
        <v>0</v>
      </c>
      <c r="AR94" s="169">
        <v>0</v>
      </c>
      <c r="AS94" s="169">
        <v>0</v>
      </c>
      <c r="AT94" s="169"/>
      <c r="AU94" s="169">
        <v>0</v>
      </c>
      <c r="AV94" s="177">
        <v>0</v>
      </c>
      <c r="AW94" s="377">
        <v>0</v>
      </c>
      <c r="AX94" s="169">
        <v>45</v>
      </c>
      <c r="AY94" s="169">
        <v>0</v>
      </c>
      <c r="AZ94" s="169">
        <v>0</v>
      </c>
      <c r="BA94" s="169">
        <v>0</v>
      </c>
      <c r="BB94" s="169">
        <v>0</v>
      </c>
      <c r="BC94" s="169">
        <v>0</v>
      </c>
      <c r="BD94" s="169">
        <v>0</v>
      </c>
      <c r="BE94" s="376">
        <v>45</v>
      </c>
      <c r="BF94" s="177">
        <v>0</v>
      </c>
      <c r="BG94" s="169">
        <v>0</v>
      </c>
      <c r="BH94" s="169">
        <v>19</v>
      </c>
      <c r="BI94" s="169">
        <v>1</v>
      </c>
      <c r="BJ94" s="169">
        <v>0</v>
      </c>
      <c r="BK94" s="169"/>
      <c r="BL94" s="177">
        <v>20</v>
      </c>
      <c r="BM94" s="174">
        <v>0</v>
      </c>
      <c r="BN94" s="177">
        <v>0</v>
      </c>
      <c r="BO94" s="377">
        <v>0</v>
      </c>
      <c r="BP94" s="169">
        <v>0</v>
      </c>
      <c r="BQ94" s="169">
        <v>0</v>
      </c>
      <c r="BR94" s="169"/>
      <c r="BS94" s="169"/>
      <c r="BT94" s="376">
        <v>0</v>
      </c>
      <c r="BU94" s="177">
        <v>9</v>
      </c>
      <c r="BV94" s="169">
        <v>0</v>
      </c>
      <c r="BW94" s="169">
        <v>6</v>
      </c>
      <c r="BX94" s="169">
        <v>0</v>
      </c>
      <c r="BY94" s="169">
        <v>0</v>
      </c>
      <c r="BZ94" s="169">
        <v>28</v>
      </c>
      <c r="CA94" s="169">
        <v>0</v>
      </c>
      <c r="CB94" s="169">
        <v>0</v>
      </c>
      <c r="CC94" s="169">
        <v>0</v>
      </c>
      <c r="CD94" s="169">
        <v>0</v>
      </c>
      <c r="CE94" s="169"/>
      <c r="CF94" s="177">
        <v>43</v>
      </c>
      <c r="CG94" s="377">
        <v>0</v>
      </c>
      <c r="CH94" s="169">
        <v>31</v>
      </c>
      <c r="CI94" s="376">
        <v>31</v>
      </c>
      <c r="CJ94" s="177">
        <v>0</v>
      </c>
      <c r="CK94" s="174">
        <v>0</v>
      </c>
      <c r="CL94" s="177">
        <v>644</v>
      </c>
      <c r="CM94" s="169">
        <v>29</v>
      </c>
      <c r="CN94" s="169">
        <v>59</v>
      </c>
      <c r="CO94" s="177">
        <v>732</v>
      </c>
      <c r="CP94" s="174">
        <v>0</v>
      </c>
      <c r="CQ94" s="177">
        <v>68</v>
      </c>
      <c r="CR94" s="169">
        <v>0</v>
      </c>
      <c r="CS94" s="169">
        <v>0</v>
      </c>
      <c r="CT94" s="169"/>
      <c r="CU94" s="177">
        <v>68</v>
      </c>
      <c r="CV94" s="174">
        <v>0</v>
      </c>
      <c r="CW94" s="177">
        <v>0</v>
      </c>
      <c r="CX94" s="377">
        <v>8</v>
      </c>
      <c r="CY94" s="169">
        <v>20</v>
      </c>
      <c r="CZ94" s="169">
        <v>54</v>
      </c>
      <c r="DA94" s="376">
        <v>82</v>
      </c>
      <c r="DB94" s="174">
        <v>1246</v>
      </c>
      <c r="DC94" s="179">
        <f>1246/921748</f>
        <v>1.3517794451411882E-3</v>
      </c>
    </row>
    <row r="95" spans="2:107" x14ac:dyDescent="0.2">
      <c r="B95" s="172" t="s">
        <v>136</v>
      </c>
      <c r="C95" s="377"/>
      <c r="D95" s="169"/>
      <c r="E95" s="169"/>
      <c r="F95" s="376"/>
      <c r="G95" s="177">
        <v>0</v>
      </c>
      <c r="H95" s="169">
        <v>9</v>
      </c>
      <c r="I95" s="169">
        <v>0</v>
      </c>
      <c r="J95" s="169">
        <v>0</v>
      </c>
      <c r="K95" s="169">
        <v>0</v>
      </c>
      <c r="L95" s="169">
        <v>0</v>
      </c>
      <c r="M95" s="177">
        <v>9</v>
      </c>
      <c r="N95" s="174"/>
      <c r="O95" s="177">
        <v>592</v>
      </c>
      <c r="P95" s="169"/>
      <c r="Q95" s="177">
        <v>592</v>
      </c>
      <c r="R95" s="377">
        <v>0</v>
      </c>
      <c r="S95" s="169"/>
      <c r="T95" s="169"/>
      <c r="U95" s="376">
        <v>0</v>
      </c>
      <c r="V95" s="177"/>
      <c r="W95" s="169">
        <v>10</v>
      </c>
      <c r="X95" s="177">
        <v>10</v>
      </c>
      <c r="Y95" s="174"/>
      <c r="Z95" s="177">
        <v>24</v>
      </c>
      <c r="AA95" s="169">
        <v>0</v>
      </c>
      <c r="AB95" s="169"/>
      <c r="AC95" s="169"/>
      <c r="AD95" s="169"/>
      <c r="AE95" s="169"/>
      <c r="AF95" s="169"/>
      <c r="AG95" s="169"/>
      <c r="AH95" s="177">
        <v>24</v>
      </c>
      <c r="AI95" s="174"/>
      <c r="AJ95" s="177">
        <v>0</v>
      </c>
      <c r="AK95" s="169"/>
      <c r="AL95" s="169"/>
      <c r="AM95" s="169"/>
      <c r="AN95" s="169"/>
      <c r="AO95" s="169"/>
      <c r="AP95" s="169"/>
      <c r="AQ95" s="169">
        <v>0</v>
      </c>
      <c r="AR95" s="169">
        <v>0</v>
      </c>
      <c r="AS95" s="169"/>
      <c r="AT95" s="169"/>
      <c r="AU95" s="169"/>
      <c r="AV95" s="177">
        <v>0</v>
      </c>
      <c r="AW95" s="377">
        <v>0</v>
      </c>
      <c r="AX95" s="169">
        <v>280</v>
      </c>
      <c r="AY95" s="169">
        <v>0</v>
      </c>
      <c r="AZ95" s="169">
        <v>0</v>
      </c>
      <c r="BA95" s="169"/>
      <c r="BB95" s="169">
        <v>16</v>
      </c>
      <c r="BC95" s="169"/>
      <c r="BD95" s="169">
        <v>0</v>
      </c>
      <c r="BE95" s="376">
        <v>296</v>
      </c>
      <c r="BF95" s="177">
        <v>0</v>
      </c>
      <c r="BG95" s="169">
        <v>9</v>
      </c>
      <c r="BH95" s="169">
        <v>540</v>
      </c>
      <c r="BI95" s="169">
        <v>4</v>
      </c>
      <c r="BJ95" s="169">
        <v>0</v>
      </c>
      <c r="BK95" s="169"/>
      <c r="BL95" s="177">
        <v>553</v>
      </c>
      <c r="BM95" s="174"/>
      <c r="BN95" s="177">
        <v>0</v>
      </c>
      <c r="BO95" s="377">
        <v>0</v>
      </c>
      <c r="BP95" s="169">
        <v>0</v>
      </c>
      <c r="BQ95" s="169"/>
      <c r="BR95" s="169">
        <v>0</v>
      </c>
      <c r="BS95" s="169"/>
      <c r="BT95" s="376">
        <v>0</v>
      </c>
      <c r="BU95" s="177">
        <v>12</v>
      </c>
      <c r="BV95" s="169">
        <v>0</v>
      </c>
      <c r="BW95" s="169">
        <v>2</v>
      </c>
      <c r="BX95" s="169">
        <v>0</v>
      </c>
      <c r="BY95" s="169">
        <v>0</v>
      </c>
      <c r="BZ95" s="169">
        <v>445</v>
      </c>
      <c r="CA95" s="169">
        <v>0</v>
      </c>
      <c r="CB95" s="169">
        <v>0</v>
      </c>
      <c r="CC95" s="169"/>
      <c r="CD95" s="169"/>
      <c r="CE95" s="169"/>
      <c r="CF95" s="177">
        <v>459</v>
      </c>
      <c r="CG95" s="377"/>
      <c r="CH95" s="169"/>
      <c r="CI95" s="376"/>
      <c r="CJ95" s="177"/>
      <c r="CK95" s="174">
        <v>0</v>
      </c>
      <c r="CL95" s="177">
        <v>0</v>
      </c>
      <c r="CM95" s="169"/>
      <c r="CN95" s="169">
        <v>1</v>
      </c>
      <c r="CO95" s="177">
        <v>1</v>
      </c>
      <c r="CP95" s="174">
        <v>180</v>
      </c>
      <c r="CQ95" s="177"/>
      <c r="CR95" s="169"/>
      <c r="CS95" s="169"/>
      <c r="CT95" s="169"/>
      <c r="CU95" s="177"/>
      <c r="CV95" s="174">
        <v>6</v>
      </c>
      <c r="CW95" s="177">
        <v>0</v>
      </c>
      <c r="CX95" s="377">
        <v>0</v>
      </c>
      <c r="CY95" s="169"/>
      <c r="CZ95" s="169">
        <v>0</v>
      </c>
      <c r="DA95" s="376">
        <v>0</v>
      </c>
      <c r="DB95" s="174">
        <v>2130</v>
      </c>
      <c r="DC95" s="179">
        <f>2130/921748</f>
        <v>2.3108268203456909E-3</v>
      </c>
    </row>
    <row r="96" spans="2:107" x14ac:dyDescent="0.2">
      <c r="B96" s="172" t="s">
        <v>138</v>
      </c>
      <c r="C96" s="377"/>
      <c r="D96" s="169"/>
      <c r="E96" s="169"/>
      <c r="F96" s="376"/>
      <c r="G96" s="177">
        <v>0</v>
      </c>
      <c r="H96" s="169">
        <v>79</v>
      </c>
      <c r="I96" s="169"/>
      <c r="J96" s="169"/>
      <c r="K96" s="169"/>
      <c r="L96" s="169"/>
      <c r="M96" s="177">
        <v>79</v>
      </c>
      <c r="N96" s="174"/>
      <c r="O96" s="177">
        <v>79</v>
      </c>
      <c r="P96" s="169">
        <v>0</v>
      </c>
      <c r="Q96" s="177">
        <v>79</v>
      </c>
      <c r="R96" s="377">
        <v>0</v>
      </c>
      <c r="S96" s="169"/>
      <c r="T96" s="169"/>
      <c r="U96" s="376">
        <v>0</v>
      </c>
      <c r="V96" s="177"/>
      <c r="W96" s="169"/>
      <c r="X96" s="177"/>
      <c r="Y96" s="174"/>
      <c r="Z96" s="177"/>
      <c r="AA96" s="169"/>
      <c r="AB96" s="169"/>
      <c r="AC96" s="169"/>
      <c r="AD96" s="169"/>
      <c r="AE96" s="169"/>
      <c r="AF96" s="169"/>
      <c r="AG96" s="169"/>
      <c r="AH96" s="177"/>
      <c r="AI96" s="174"/>
      <c r="AJ96" s="177">
        <v>0</v>
      </c>
      <c r="AK96" s="169"/>
      <c r="AL96" s="169"/>
      <c r="AM96" s="169"/>
      <c r="AN96" s="169"/>
      <c r="AO96" s="169"/>
      <c r="AP96" s="169"/>
      <c r="AQ96" s="169"/>
      <c r="AR96" s="169"/>
      <c r="AS96" s="169"/>
      <c r="AT96" s="169"/>
      <c r="AU96" s="169"/>
      <c r="AV96" s="177">
        <v>0</v>
      </c>
      <c r="AW96" s="377">
        <v>0</v>
      </c>
      <c r="AX96" s="169">
        <v>22</v>
      </c>
      <c r="AY96" s="169"/>
      <c r="AZ96" s="169">
        <v>0</v>
      </c>
      <c r="BA96" s="169"/>
      <c r="BB96" s="169">
        <v>0</v>
      </c>
      <c r="BC96" s="169"/>
      <c r="BD96" s="169"/>
      <c r="BE96" s="376">
        <v>22</v>
      </c>
      <c r="BF96" s="177"/>
      <c r="BG96" s="169">
        <v>0</v>
      </c>
      <c r="BH96" s="169">
        <v>64</v>
      </c>
      <c r="BI96" s="169"/>
      <c r="BJ96" s="169"/>
      <c r="BK96" s="169"/>
      <c r="BL96" s="177">
        <v>64</v>
      </c>
      <c r="BM96" s="174"/>
      <c r="BN96" s="177">
        <v>0</v>
      </c>
      <c r="BO96" s="377">
        <v>0</v>
      </c>
      <c r="BP96" s="169">
        <v>0</v>
      </c>
      <c r="BQ96" s="169"/>
      <c r="BR96" s="169"/>
      <c r="BS96" s="169"/>
      <c r="BT96" s="376">
        <v>0</v>
      </c>
      <c r="BU96" s="177">
        <v>6</v>
      </c>
      <c r="BV96" s="169">
        <v>0</v>
      </c>
      <c r="BW96" s="169">
        <v>0</v>
      </c>
      <c r="BX96" s="169"/>
      <c r="BY96" s="169"/>
      <c r="BZ96" s="169">
        <v>33</v>
      </c>
      <c r="CA96" s="169"/>
      <c r="CB96" s="169"/>
      <c r="CC96" s="169"/>
      <c r="CD96" s="169"/>
      <c r="CE96" s="169"/>
      <c r="CF96" s="177">
        <v>39</v>
      </c>
      <c r="CG96" s="377"/>
      <c r="CH96" s="169"/>
      <c r="CI96" s="376"/>
      <c r="CJ96" s="177"/>
      <c r="CK96" s="174">
        <v>0</v>
      </c>
      <c r="CL96" s="177">
        <v>0</v>
      </c>
      <c r="CM96" s="169"/>
      <c r="CN96" s="169"/>
      <c r="CO96" s="177">
        <v>0</v>
      </c>
      <c r="CP96" s="174">
        <v>182</v>
      </c>
      <c r="CQ96" s="177"/>
      <c r="CR96" s="169"/>
      <c r="CS96" s="169"/>
      <c r="CT96" s="169"/>
      <c r="CU96" s="177"/>
      <c r="CV96" s="174"/>
      <c r="CW96" s="177">
        <v>0</v>
      </c>
      <c r="CX96" s="377"/>
      <c r="CY96" s="169"/>
      <c r="CZ96" s="169">
        <v>0</v>
      </c>
      <c r="DA96" s="376">
        <v>0</v>
      </c>
      <c r="DB96" s="174">
        <v>465</v>
      </c>
      <c r="DC96" s="179">
        <f>465/921748</f>
        <v>5.0447627768110154E-4</v>
      </c>
    </row>
    <row r="97" spans="2:107" x14ac:dyDescent="0.2">
      <c r="B97" s="172" t="s">
        <v>178</v>
      </c>
      <c r="C97" s="377"/>
      <c r="D97" s="169"/>
      <c r="E97" s="169"/>
      <c r="F97" s="376"/>
      <c r="G97" s="177">
        <v>0</v>
      </c>
      <c r="H97" s="169">
        <v>8</v>
      </c>
      <c r="I97" s="169">
        <v>0</v>
      </c>
      <c r="J97" s="169"/>
      <c r="K97" s="169"/>
      <c r="L97" s="169"/>
      <c r="M97" s="177">
        <v>8</v>
      </c>
      <c r="N97" s="174"/>
      <c r="O97" s="177">
        <v>173</v>
      </c>
      <c r="P97" s="169"/>
      <c r="Q97" s="177">
        <v>173</v>
      </c>
      <c r="R97" s="377">
        <v>0</v>
      </c>
      <c r="S97" s="169"/>
      <c r="T97" s="169"/>
      <c r="U97" s="376">
        <v>0</v>
      </c>
      <c r="V97" s="177"/>
      <c r="W97" s="169">
        <v>1</v>
      </c>
      <c r="X97" s="177">
        <v>1</v>
      </c>
      <c r="Y97" s="174">
        <v>0</v>
      </c>
      <c r="Z97" s="177">
        <v>0</v>
      </c>
      <c r="AA97" s="169"/>
      <c r="AB97" s="169"/>
      <c r="AC97" s="169"/>
      <c r="AD97" s="169"/>
      <c r="AE97" s="169"/>
      <c r="AF97" s="169"/>
      <c r="AG97" s="169"/>
      <c r="AH97" s="177">
        <v>0</v>
      </c>
      <c r="AI97" s="174"/>
      <c r="AJ97" s="177">
        <v>0</v>
      </c>
      <c r="AK97" s="169"/>
      <c r="AL97" s="169"/>
      <c r="AM97" s="169"/>
      <c r="AN97" s="169"/>
      <c r="AO97" s="169"/>
      <c r="AP97" s="169"/>
      <c r="AQ97" s="169">
        <v>0</v>
      </c>
      <c r="AR97" s="169"/>
      <c r="AS97" s="169"/>
      <c r="AT97" s="169"/>
      <c r="AU97" s="169">
        <v>0</v>
      </c>
      <c r="AV97" s="177">
        <v>0</v>
      </c>
      <c r="AW97" s="377">
        <v>0</v>
      </c>
      <c r="AX97" s="169">
        <v>79</v>
      </c>
      <c r="AY97" s="169">
        <v>0</v>
      </c>
      <c r="AZ97" s="169">
        <v>0</v>
      </c>
      <c r="BA97" s="169">
        <v>0</v>
      </c>
      <c r="BB97" s="169">
        <v>1</v>
      </c>
      <c r="BC97" s="169"/>
      <c r="BD97" s="169"/>
      <c r="BE97" s="376">
        <v>80</v>
      </c>
      <c r="BF97" s="177">
        <v>0</v>
      </c>
      <c r="BG97" s="169">
        <v>0</v>
      </c>
      <c r="BH97" s="169">
        <v>33</v>
      </c>
      <c r="BI97" s="169">
        <v>0</v>
      </c>
      <c r="BJ97" s="169">
        <v>0</v>
      </c>
      <c r="BK97" s="169"/>
      <c r="BL97" s="177">
        <v>33</v>
      </c>
      <c r="BM97" s="174"/>
      <c r="BN97" s="177">
        <v>0</v>
      </c>
      <c r="BO97" s="377">
        <v>0</v>
      </c>
      <c r="BP97" s="169">
        <v>0</v>
      </c>
      <c r="BQ97" s="169"/>
      <c r="BR97" s="169"/>
      <c r="BS97" s="169"/>
      <c r="BT97" s="376">
        <v>0</v>
      </c>
      <c r="BU97" s="177">
        <v>27</v>
      </c>
      <c r="BV97" s="169">
        <v>0</v>
      </c>
      <c r="BW97" s="169">
        <v>11</v>
      </c>
      <c r="BX97" s="169">
        <v>0</v>
      </c>
      <c r="BY97" s="169">
        <v>0</v>
      </c>
      <c r="BZ97" s="169">
        <v>32</v>
      </c>
      <c r="CA97" s="169">
        <v>0</v>
      </c>
      <c r="CB97" s="169">
        <v>0</v>
      </c>
      <c r="CC97" s="169">
        <v>0</v>
      </c>
      <c r="CD97" s="169"/>
      <c r="CE97" s="169"/>
      <c r="CF97" s="177">
        <v>70</v>
      </c>
      <c r="CG97" s="377"/>
      <c r="CH97" s="169"/>
      <c r="CI97" s="376"/>
      <c r="CJ97" s="177"/>
      <c r="CK97" s="174">
        <v>0</v>
      </c>
      <c r="CL97" s="177">
        <v>1</v>
      </c>
      <c r="CM97" s="169"/>
      <c r="CN97" s="169"/>
      <c r="CO97" s="177">
        <v>1</v>
      </c>
      <c r="CP97" s="174"/>
      <c r="CQ97" s="177">
        <v>1</v>
      </c>
      <c r="CR97" s="169"/>
      <c r="CS97" s="169"/>
      <c r="CT97" s="169"/>
      <c r="CU97" s="177">
        <v>1</v>
      </c>
      <c r="CV97" s="174">
        <v>1</v>
      </c>
      <c r="CW97" s="177">
        <v>0</v>
      </c>
      <c r="CX97" s="377"/>
      <c r="CY97" s="169">
        <v>0</v>
      </c>
      <c r="CZ97" s="169">
        <v>0</v>
      </c>
      <c r="DA97" s="376">
        <v>0</v>
      </c>
      <c r="DB97" s="174">
        <v>368</v>
      </c>
      <c r="DC97" s="179">
        <f>368/921748</f>
        <v>3.9924144126160294E-4</v>
      </c>
    </row>
    <row r="98" spans="2:107" x14ac:dyDescent="0.2">
      <c r="B98" s="172" t="s">
        <v>193</v>
      </c>
      <c r="C98" s="377"/>
      <c r="D98" s="169"/>
      <c r="E98" s="169"/>
      <c r="F98" s="376"/>
      <c r="G98" s="177">
        <v>0</v>
      </c>
      <c r="H98" s="169">
        <v>2</v>
      </c>
      <c r="I98" s="169">
        <v>0</v>
      </c>
      <c r="J98" s="169"/>
      <c r="K98" s="169"/>
      <c r="L98" s="169"/>
      <c r="M98" s="177">
        <v>2</v>
      </c>
      <c r="N98" s="174"/>
      <c r="O98" s="177">
        <v>128</v>
      </c>
      <c r="P98" s="169"/>
      <c r="Q98" s="177">
        <v>128</v>
      </c>
      <c r="R98" s="377">
        <v>0</v>
      </c>
      <c r="S98" s="169"/>
      <c r="T98" s="169"/>
      <c r="U98" s="376">
        <v>0</v>
      </c>
      <c r="V98" s="177"/>
      <c r="W98" s="169"/>
      <c r="X98" s="177"/>
      <c r="Y98" s="174"/>
      <c r="Z98" s="177">
        <v>1</v>
      </c>
      <c r="AA98" s="169"/>
      <c r="AB98" s="169"/>
      <c r="AC98" s="169"/>
      <c r="AD98" s="169"/>
      <c r="AE98" s="169"/>
      <c r="AF98" s="169"/>
      <c r="AG98" s="169"/>
      <c r="AH98" s="177">
        <v>1</v>
      </c>
      <c r="AI98" s="174"/>
      <c r="AJ98" s="177">
        <v>0</v>
      </c>
      <c r="AK98" s="169"/>
      <c r="AL98" s="169"/>
      <c r="AM98" s="169"/>
      <c r="AN98" s="169"/>
      <c r="AO98" s="169"/>
      <c r="AP98" s="169"/>
      <c r="AQ98" s="169"/>
      <c r="AR98" s="169"/>
      <c r="AS98" s="169"/>
      <c r="AT98" s="169"/>
      <c r="AU98" s="169"/>
      <c r="AV98" s="177">
        <v>0</v>
      </c>
      <c r="AW98" s="377">
        <v>0</v>
      </c>
      <c r="AX98" s="169">
        <v>85</v>
      </c>
      <c r="AY98" s="169">
        <v>0</v>
      </c>
      <c r="AZ98" s="169">
        <v>0</v>
      </c>
      <c r="BA98" s="169"/>
      <c r="BB98" s="169">
        <v>0</v>
      </c>
      <c r="BC98" s="169"/>
      <c r="BD98" s="169"/>
      <c r="BE98" s="376">
        <v>85</v>
      </c>
      <c r="BF98" s="177"/>
      <c r="BG98" s="169">
        <v>0</v>
      </c>
      <c r="BH98" s="169">
        <v>178</v>
      </c>
      <c r="BI98" s="169"/>
      <c r="BJ98" s="169"/>
      <c r="BK98" s="169"/>
      <c r="BL98" s="177">
        <v>178</v>
      </c>
      <c r="BM98" s="174"/>
      <c r="BN98" s="177">
        <v>0</v>
      </c>
      <c r="BO98" s="377">
        <v>0</v>
      </c>
      <c r="BP98" s="169">
        <v>0</v>
      </c>
      <c r="BQ98" s="169"/>
      <c r="BR98" s="169"/>
      <c r="BS98" s="169"/>
      <c r="BT98" s="376">
        <v>0</v>
      </c>
      <c r="BU98" s="177">
        <v>5</v>
      </c>
      <c r="BV98" s="169">
        <v>0</v>
      </c>
      <c r="BW98" s="169">
        <v>3</v>
      </c>
      <c r="BX98" s="169">
        <v>0</v>
      </c>
      <c r="BY98" s="169">
        <v>0</v>
      </c>
      <c r="BZ98" s="169">
        <v>111</v>
      </c>
      <c r="CA98" s="169">
        <v>0</v>
      </c>
      <c r="CB98" s="169"/>
      <c r="CC98" s="169"/>
      <c r="CD98" s="169"/>
      <c r="CE98" s="169"/>
      <c r="CF98" s="177">
        <v>119</v>
      </c>
      <c r="CG98" s="377"/>
      <c r="CH98" s="169"/>
      <c r="CI98" s="376"/>
      <c r="CJ98" s="177"/>
      <c r="CK98" s="174">
        <v>0</v>
      </c>
      <c r="CL98" s="177">
        <v>0</v>
      </c>
      <c r="CM98" s="169"/>
      <c r="CN98" s="169"/>
      <c r="CO98" s="177">
        <v>0</v>
      </c>
      <c r="CP98" s="174">
        <v>156</v>
      </c>
      <c r="CQ98" s="177"/>
      <c r="CR98" s="169"/>
      <c r="CS98" s="169"/>
      <c r="CT98" s="169"/>
      <c r="CU98" s="177"/>
      <c r="CV98" s="174"/>
      <c r="CW98" s="177">
        <v>0</v>
      </c>
      <c r="CX98" s="377"/>
      <c r="CY98" s="169"/>
      <c r="CZ98" s="169">
        <v>0</v>
      </c>
      <c r="DA98" s="376">
        <v>0</v>
      </c>
      <c r="DB98" s="174">
        <v>669</v>
      </c>
      <c r="DC98" s="179">
        <f>669/921748</f>
        <v>7.2579490272829455E-4</v>
      </c>
    </row>
    <row r="99" spans="2:107" x14ac:dyDescent="0.2">
      <c r="B99" s="172" t="s">
        <v>207</v>
      </c>
      <c r="C99" s="377">
        <v>0</v>
      </c>
      <c r="D99" s="169">
        <v>0</v>
      </c>
      <c r="E99" s="169">
        <v>0</v>
      </c>
      <c r="F99" s="376">
        <v>0</v>
      </c>
      <c r="G99" s="177">
        <v>0</v>
      </c>
      <c r="H99" s="169">
        <v>156</v>
      </c>
      <c r="I99" s="169">
        <v>0</v>
      </c>
      <c r="J99" s="169">
        <v>0</v>
      </c>
      <c r="K99" s="169">
        <v>0</v>
      </c>
      <c r="L99" s="169">
        <v>0</v>
      </c>
      <c r="M99" s="177">
        <v>156</v>
      </c>
      <c r="N99" s="174">
        <v>0</v>
      </c>
      <c r="O99" s="177">
        <v>1377</v>
      </c>
      <c r="P99" s="169">
        <v>0</v>
      </c>
      <c r="Q99" s="177">
        <v>1377</v>
      </c>
      <c r="R99" s="377">
        <v>0</v>
      </c>
      <c r="S99" s="169">
        <v>0</v>
      </c>
      <c r="T99" s="169">
        <v>0</v>
      </c>
      <c r="U99" s="376">
        <v>0</v>
      </c>
      <c r="V99" s="177">
        <v>0</v>
      </c>
      <c r="W99" s="169">
        <v>5179</v>
      </c>
      <c r="X99" s="177">
        <v>5179</v>
      </c>
      <c r="Y99" s="174">
        <v>70</v>
      </c>
      <c r="Z99" s="177">
        <v>592</v>
      </c>
      <c r="AA99" s="169">
        <v>0</v>
      </c>
      <c r="AB99" s="169">
        <v>16</v>
      </c>
      <c r="AC99" s="169">
        <v>22</v>
      </c>
      <c r="AD99" s="169"/>
      <c r="AE99" s="169">
        <v>1</v>
      </c>
      <c r="AF99" s="169">
        <v>1</v>
      </c>
      <c r="AG99" s="169">
        <v>0</v>
      </c>
      <c r="AH99" s="177">
        <v>632</v>
      </c>
      <c r="AI99" s="174">
        <v>29</v>
      </c>
      <c r="AJ99" s="177">
        <v>0</v>
      </c>
      <c r="AK99" s="169">
        <v>0</v>
      </c>
      <c r="AL99" s="169">
        <v>0</v>
      </c>
      <c r="AM99" s="169">
        <v>0</v>
      </c>
      <c r="AN99" s="169">
        <v>0</v>
      </c>
      <c r="AO99" s="169">
        <v>0</v>
      </c>
      <c r="AP99" s="169">
        <v>0</v>
      </c>
      <c r="AQ99" s="169">
        <v>0</v>
      </c>
      <c r="AR99" s="169">
        <v>0</v>
      </c>
      <c r="AS99" s="169">
        <v>0</v>
      </c>
      <c r="AT99" s="169">
        <v>0</v>
      </c>
      <c r="AU99" s="169">
        <v>0</v>
      </c>
      <c r="AV99" s="177">
        <v>0</v>
      </c>
      <c r="AW99" s="377">
        <v>0</v>
      </c>
      <c r="AX99" s="169">
        <v>876</v>
      </c>
      <c r="AY99" s="169">
        <v>0</v>
      </c>
      <c r="AZ99" s="169">
        <v>0</v>
      </c>
      <c r="BA99" s="169">
        <v>0</v>
      </c>
      <c r="BB99" s="169">
        <v>8344</v>
      </c>
      <c r="BC99" s="169">
        <v>0</v>
      </c>
      <c r="BD99" s="169">
        <v>0</v>
      </c>
      <c r="BE99" s="376">
        <v>9220</v>
      </c>
      <c r="BF99" s="177">
        <v>0</v>
      </c>
      <c r="BG99" s="169">
        <v>2443</v>
      </c>
      <c r="BH99" s="169">
        <v>755</v>
      </c>
      <c r="BI99" s="169">
        <v>5</v>
      </c>
      <c r="BJ99" s="169">
        <v>0</v>
      </c>
      <c r="BK99" s="169"/>
      <c r="BL99" s="177">
        <v>3203</v>
      </c>
      <c r="BM99" s="174">
        <v>0</v>
      </c>
      <c r="BN99" s="177">
        <v>0</v>
      </c>
      <c r="BO99" s="377">
        <v>0</v>
      </c>
      <c r="BP99" s="169">
        <v>0</v>
      </c>
      <c r="BQ99" s="169"/>
      <c r="BR99" s="169">
        <v>0</v>
      </c>
      <c r="BS99" s="169"/>
      <c r="BT99" s="376">
        <v>0</v>
      </c>
      <c r="BU99" s="177">
        <v>137</v>
      </c>
      <c r="BV99" s="169">
        <v>3</v>
      </c>
      <c r="BW99" s="169">
        <v>170</v>
      </c>
      <c r="BX99" s="169">
        <v>2</v>
      </c>
      <c r="BY99" s="169">
        <v>0</v>
      </c>
      <c r="BZ99" s="169">
        <v>2276</v>
      </c>
      <c r="CA99" s="169">
        <v>0</v>
      </c>
      <c r="CB99" s="169">
        <v>0</v>
      </c>
      <c r="CC99" s="169">
        <v>0</v>
      </c>
      <c r="CD99" s="169">
        <v>0</v>
      </c>
      <c r="CE99" s="169">
        <v>0</v>
      </c>
      <c r="CF99" s="177">
        <v>2588</v>
      </c>
      <c r="CG99" s="377">
        <v>1</v>
      </c>
      <c r="CH99" s="169">
        <v>73</v>
      </c>
      <c r="CI99" s="376">
        <v>74</v>
      </c>
      <c r="CJ99" s="177">
        <v>0</v>
      </c>
      <c r="CK99" s="174">
        <v>0</v>
      </c>
      <c r="CL99" s="177">
        <v>1050</v>
      </c>
      <c r="CM99" s="169">
        <v>79</v>
      </c>
      <c r="CN99" s="169">
        <v>997</v>
      </c>
      <c r="CO99" s="177">
        <v>2126</v>
      </c>
      <c r="CP99" s="174">
        <v>9067</v>
      </c>
      <c r="CQ99" s="177">
        <v>252</v>
      </c>
      <c r="CR99" s="169">
        <v>0</v>
      </c>
      <c r="CS99" s="169">
        <v>0</v>
      </c>
      <c r="CT99" s="169"/>
      <c r="CU99" s="177">
        <v>252</v>
      </c>
      <c r="CV99" s="174">
        <v>4525</v>
      </c>
      <c r="CW99" s="177">
        <v>0</v>
      </c>
      <c r="CX99" s="377">
        <v>9</v>
      </c>
      <c r="CY99" s="169">
        <v>146</v>
      </c>
      <c r="CZ99" s="169">
        <v>1370</v>
      </c>
      <c r="DA99" s="376">
        <v>1525</v>
      </c>
      <c r="DB99" s="174">
        <v>40023</v>
      </c>
      <c r="DC99" s="179">
        <f>40023/921748</f>
        <v>4.3420761422861782E-2</v>
      </c>
    </row>
    <row r="100" spans="2:107" x14ac:dyDescent="0.2">
      <c r="B100" s="172" t="s">
        <v>234</v>
      </c>
      <c r="C100" s="377"/>
      <c r="D100" s="169"/>
      <c r="E100" s="169"/>
      <c r="F100" s="376"/>
      <c r="G100" s="177"/>
      <c r="H100" s="169"/>
      <c r="I100" s="169"/>
      <c r="J100" s="169"/>
      <c r="K100" s="169"/>
      <c r="L100" s="169"/>
      <c r="M100" s="177"/>
      <c r="N100" s="174"/>
      <c r="O100" s="177"/>
      <c r="P100" s="169"/>
      <c r="Q100" s="177"/>
      <c r="R100" s="377"/>
      <c r="S100" s="169"/>
      <c r="T100" s="169"/>
      <c r="U100" s="376"/>
      <c r="V100" s="177"/>
      <c r="W100" s="169"/>
      <c r="X100" s="177"/>
      <c r="Y100" s="174"/>
      <c r="Z100" s="177"/>
      <c r="AA100" s="169"/>
      <c r="AB100" s="169"/>
      <c r="AC100" s="169"/>
      <c r="AD100" s="169"/>
      <c r="AE100" s="169"/>
      <c r="AF100" s="169"/>
      <c r="AG100" s="169"/>
      <c r="AH100" s="177"/>
      <c r="AI100" s="174"/>
      <c r="AJ100" s="177">
        <v>0</v>
      </c>
      <c r="AK100" s="169"/>
      <c r="AL100" s="169"/>
      <c r="AM100" s="169"/>
      <c r="AN100" s="169"/>
      <c r="AO100" s="169"/>
      <c r="AP100" s="169"/>
      <c r="AQ100" s="169"/>
      <c r="AR100" s="169"/>
      <c r="AS100" s="169"/>
      <c r="AT100" s="169"/>
      <c r="AU100" s="169"/>
      <c r="AV100" s="177">
        <v>0</v>
      </c>
      <c r="AW100" s="377">
        <v>0</v>
      </c>
      <c r="AX100" s="169">
        <v>0</v>
      </c>
      <c r="AY100" s="169"/>
      <c r="AZ100" s="169"/>
      <c r="BA100" s="169"/>
      <c r="BB100" s="169"/>
      <c r="BC100" s="169"/>
      <c r="BD100" s="169"/>
      <c r="BE100" s="376">
        <v>0</v>
      </c>
      <c r="BF100" s="177"/>
      <c r="BG100" s="169">
        <v>0</v>
      </c>
      <c r="BH100" s="169">
        <v>5</v>
      </c>
      <c r="BI100" s="169"/>
      <c r="BJ100" s="169"/>
      <c r="BK100" s="169"/>
      <c r="BL100" s="177">
        <v>5</v>
      </c>
      <c r="BM100" s="174"/>
      <c r="BN100" s="177">
        <v>0</v>
      </c>
      <c r="BO100" s="377">
        <v>0</v>
      </c>
      <c r="BP100" s="169">
        <v>0</v>
      </c>
      <c r="BQ100" s="169"/>
      <c r="BR100" s="169"/>
      <c r="BS100" s="169"/>
      <c r="BT100" s="376">
        <v>0</v>
      </c>
      <c r="BU100" s="177">
        <v>2</v>
      </c>
      <c r="BV100" s="169"/>
      <c r="BW100" s="169">
        <v>0</v>
      </c>
      <c r="BX100" s="169">
        <v>0</v>
      </c>
      <c r="BY100" s="169"/>
      <c r="BZ100" s="169">
        <v>6</v>
      </c>
      <c r="CA100" s="169"/>
      <c r="CB100" s="169"/>
      <c r="CC100" s="169"/>
      <c r="CD100" s="169"/>
      <c r="CE100" s="169"/>
      <c r="CF100" s="177">
        <v>8</v>
      </c>
      <c r="CG100" s="377"/>
      <c r="CH100" s="169"/>
      <c r="CI100" s="376"/>
      <c r="CJ100" s="177"/>
      <c r="CK100" s="174">
        <v>0</v>
      </c>
      <c r="CL100" s="177">
        <v>0</v>
      </c>
      <c r="CM100" s="169"/>
      <c r="CN100" s="169"/>
      <c r="CO100" s="177">
        <v>0</v>
      </c>
      <c r="CP100" s="174">
        <v>24</v>
      </c>
      <c r="CQ100" s="177"/>
      <c r="CR100" s="169"/>
      <c r="CS100" s="169"/>
      <c r="CT100" s="169"/>
      <c r="CU100" s="177"/>
      <c r="CV100" s="174"/>
      <c r="CW100" s="177"/>
      <c r="CX100" s="377"/>
      <c r="CY100" s="169"/>
      <c r="CZ100" s="169"/>
      <c r="DA100" s="376"/>
      <c r="DB100" s="174">
        <v>37</v>
      </c>
      <c r="DC100" s="179">
        <f>37/921748</f>
        <v>4.0141123170324208E-5</v>
      </c>
    </row>
    <row r="101" spans="2:107" x14ac:dyDescent="0.2">
      <c r="B101" s="172" t="s">
        <v>245</v>
      </c>
      <c r="C101" s="377"/>
      <c r="D101" s="169"/>
      <c r="E101" s="169"/>
      <c r="F101" s="376"/>
      <c r="G101" s="177"/>
      <c r="H101" s="169"/>
      <c r="I101" s="169"/>
      <c r="J101" s="169"/>
      <c r="K101" s="169"/>
      <c r="L101" s="169"/>
      <c r="M101" s="177"/>
      <c r="N101" s="174"/>
      <c r="O101" s="177">
        <v>0</v>
      </c>
      <c r="P101" s="169"/>
      <c r="Q101" s="177">
        <v>0</v>
      </c>
      <c r="R101" s="377">
        <v>0</v>
      </c>
      <c r="S101" s="169">
        <v>0</v>
      </c>
      <c r="T101" s="169"/>
      <c r="U101" s="376">
        <v>0</v>
      </c>
      <c r="V101" s="177"/>
      <c r="W101" s="169">
        <v>0</v>
      </c>
      <c r="X101" s="177">
        <v>0</v>
      </c>
      <c r="Y101" s="174"/>
      <c r="Z101" s="177"/>
      <c r="AA101" s="169"/>
      <c r="AB101" s="169"/>
      <c r="AC101" s="169"/>
      <c r="AD101" s="169"/>
      <c r="AE101" s="169"/>
      <c r="AF101" s="169"/>
      <c r="AG101" s="169"/>
      <c r="AH101" s="177"/>
      <c r="AI101" s="174"/>
      <c r="AJ101" s="177">
        <v>0</v>
      </c>
      <c r="AK101" s="169"/>
      <c r="AL101" s="169">
        <v>0</v>
      </c>
      <c r="AM101" s="169"/>
      <c r="AN101" s="169"/>
      <c r="AO101" s="169"/>
      <c r="AP101" s="169"/>
      <c r="AQ101" s="169"/>
      <c r="AR101" s="169"/>
      <c r="AS101" s="169"/>
      <c r="AT101" s="169"/>
      <c r="AU101" s="169"/>
      <c r="AV101" s="177">
        <v>0</v>
      </c>
      <c r="AW101" s="377"/>
      <c r="AX101" s="169">
        <v>0</v>
      </c>
      <c r="AY101" s="169">
        <v>0</v>
      </c>
      <c r="AZ101" s="169">
        <v>0</v>
      </c>
      <c r="BA101" s="169"/>
      <c r="BB101" s="169">
        <v>0</v>
      </c>
      <c r="BC101" s="169"/>
      <c r="BD101" s="169"/>
      <c r="BE101" s="376">
        <v>0</v>
      </c>
      <c r="BF101" s="177"/>
      <c r="BG101" s="169">
        <v>0</v>
      </c>
      <c r="BH101" s="169">
        <v>0</v>
      </c>
      <c r="BI101" s="169"/>
      <c r="BJ101" s="169"/>
      <c r="BK101" s="169"/>
      <c r="BL101" s="177">
        <v>0</v>
      </c>
      <c r="BM101" s="174"/>
      <c r="BN101" s="177">
        <v>0</v>
      </c>
      <c r="BO101" s="377">
        <v>0</v>
      </c>
      <c r="BP101" s="169">
        <v>0</v>
      </c>
      <c r="BQ101" s="169"/>
      <c r="BR101" s="169"/>
      <c r="BS101" s="169"/>
      <c r="BT101" s="376">
        <v>0</v>
      </c>
      <c r="BU101" s="177">
        <v>1</v>
      </c>
      <c r="BV101" s="169"/>
      <c r="BW101" s="169">
        <v>1</v>
      </c>
      <c r="BX101" s="169">
        <v>0</v>
      </c>
      <c r="BY101" s="169">
        <v>0</v>
      </c>
      <c r="BZ101" s="169">
        <v>0</v>
      </c>
      <c r="CA101" s="169">
        <v>0</v>
      </c>
      <c r="CB101" s="169">
        <v>0</v>
      </c>
      <c r="CC101" s="169">
        <v>0</v>
      </c>
      <c r="CD101" s="169"/>
      <c r="CE101" s="169"/>
      <c r="CF101" s="177">
        <v>2</v>
      </c>
      <c r="CG101" s="377"/>
      <c r="CH101" s="169"/>
      <c r="CI101" s="376"/>
      <c r="CJ101" s="177"/>
      <c r="CK101" s="174"/>
      <c r="CL101" s="177">
        <v>1</v>
      </c>
      <c r="CM101" s="169"/>
      <c r="CN101" s="169">
        <v>1</v>
      </c>
      <c r="CO101" s="177">
        <v>2</v>
      </c>
      <c r="CP101" s="174">
        <v>16</v>
      </c>
      <c r="CQ101" s="177"/>
      <c r="CR101" s="169"/>
      <c r="CS101" s="169"/>
      <c r="CT101" s="169"/>
      <c r="CU101" s="177"/>
      <c r="CV101" s="174"/>
      <c r="CW101" s="177"/>
      <c r="CX101" s="377">
        <v>0</v>
      </c>
      <c r="CY101" s="169"/>
      <c r="CZ101" s="169"/>
      <c r="DA101" s="376">
        <v>0</v>
      </c>
      <c r="DB101" s="174">
        <v>20</v>
      </c>
      <c r="DC101" s="179">
        <f>20/921748</f>
        <v>2.1697904416391465E-5</v>
      </c>
    </row>
    <row r="102" spans="2:107" ht="13.5" thickBot="1" x14ac:dyDescent="0.25">
      <c r="B102" s="286" t="s">
        <v>247</v>
      </c>
      <c r="C102" s="374">
        <v>0</v>
      </c>
      <c r="D102" s="373">
        <v>0</v>
      </c>
      <c r="E102" s="373">
        <v>0</v>
      </c>
      <c r="F102" s="372">
        <v>0</v>
      </c>
      <c r="G102" s="375">
        <v>4</v>
      </c>
      <c r="H102" s="373">
        <v>711</v>
      </c>
      <c r="I102" s="373">
        <v>2</v>
      </c>
      <c r="J102" s="373">
        <v>1</v>
      </c>
      <c r="K102" s="373">
        <v>0</v>
      </c>
      <c r="L102" s="373">
        <v>7</v>
      </c>
      <c r="M102" s="375">
        <v>725</v>
      </c>
      <c r="N102" s="371">
        <v>0</v>
      </c>
      <c r="O102" s="375">
        <v>788</v>
      </c>
      <c r="P102" s="373">
        <v>0</v>
      </c>
      <c r="Q102" s="375">
        <v>788</v>
      </c>
      <c r="R102" s="374">
        <v>0</v>
      </c>
      <c r="S102" s="373">
        <v>0</v>
      </c>
      <c r="T102" s="373">
        <v>0</v>
      </c>
      <c r="U102" s="372">
        <v>0</v>
      </c>
      <c r="V102" s="375">
        <v>0</v>
      </c>
      <c r="W102" s="373">
        <v>7</v>
      </c>
      <c r="X102" s="375">
        <v>7</v>
      </c>
      <c r="Y102" s="371">
        <v>85</v>
      </c>
      <c r="Z102" s="375">
        <v>20</v>
      </c>
      <c r="AA102" s="373">
        <v>0</v>
      </c>
      <c r="AB102" s="373">
        <v>88</v>
      </c>
      <c r="AC102" s="373">
        <v>1</v>
      </c>
      <c r="AD102" s="373">
        <v>2</v>
      </c>
      <c r="AE102" s="373">
        <v>1</v>
      </c>
      <c r="AF102" s="373">
        <v>1</v>
      </c>
      <c r="AG102" s="373">
        <v>0</v>
      </c>
      <c r="AH102" s="375">
        <v>113</v>
      </c>
      <c r="AI102" s="371">
        <v>43</v>
      </c>
      <c r="AJ102" s="375">
        <v>0</v>
      </c>
      <c r="AK102" s="373">
        <v>0</v>
      </c>
      <c r="AL102" s="373">
        <v>0</v>
      </c>
      <c r="AM102" s="373">
        <v>0</v>
      </c>
      <c r="AN102" s="373">
        <v>0</v>
      </c>
      <c r="AO102" s="373">
        <v>0</v>
      </c>
      <c r="AP102" s="373">
        <v>0</v>
      </c>
      <c r="AQ102" s="373">
        <v>0</v>
      </c>
      <c r="AR102" s="373">
        <v>0</v>
      </c>
      <c r="AS102" s="373">
        <v>0</v>
      </c>
      <c r="AT102" s="373">
        <v>0</v>
      </c>
      <c r="AU102" s="373">
        <v>0</v>
      </c>
      <c r="AV102" s="375">
        <v>0</v>
      </c>
      <c r="AW102" s="374">
        <v>0</v>
      </c>
      <c r="AX102" s="373">
        <v>287</v>
      </c>
      <c r="AY102" s="373">
        <v>0</v>
      </c>
      <c r="AZ102" s="373">
        <v>0</v>
      </c>
      <c r="BA102" s="373">
        <v>0</v>
      </c>
      <c r="BB102" s="373">
        <v>10</v>
      </c>
      <c r="BC102" s="373">
        <v>0</v>
      </c>
      <c r="BD102" s="373">
        <v>0</v>
      </c>
      <c r="BE102" s="372">
        <v>297</v>
      </c>
      <c r="BF102" s="375">
        <v>0</v>
      </c>
      <c r="BG102" s="373">
        <v>6</v>
      </c>
      <c r="BH102" s="373">
        <v>141</v>
      </c>
      <c r="BI102" s="373">
        <v>20</v>
      </c>
      <c r="BJ102" s="373">
        <v>0</v>
      </c>
      <c r="BK102" s="373"/>
      <c r="BL102" s="375">
        <v>167</v>
      </c>
      <c r="BM102" s="371">
        <v>0</v>
      </c>
      <c r="BN102" s="375">
        <v>0</v>
      </c>
      <c r="BO102" s="374">
        <v>0</v>
      </c>
      <c r="BP102" s="373">
        <v>0</v>
      </c>
      <c r="BQ102" s="373">
        <v>0</v>
      </c>
      <c r="BR102" s="373"/>
      <c r="BS102" s="373"/>
      <c r="BT102" s="372">
        <v>0</v>
      </c>
      <c r="BU102" s="375">
        <v>240</v>
      </c>
      <c r="BV102" s="373">
        <v>9</v>
      </c>
      <c r="BW102" s="373">
        <v>124</v>
      </c>
      <c r="BX102" s="373">
        <v>1</v>
      </c>
      <c r="BY102" s="373">
        <v>0</v>
      </c>
      <c r="BZ102" s="373">
        <v>274</v>
      </c>
      <c r="CA102" s="373">
        <v>0</v>
      </c>
      <c r="CB102" s="373">
        <v>0</v>
      </c>
      <c r="CC102" s="373">
        <v>0</v>
      </c>
      <c r="CD102" s="373">
        <v>0</v>
      </c>
      <c r="CE102" s="373"/>
      <c r="CF102" s="375">
        <v>648</v>
      </c>
      <c r="CG102" s="374">
        <v>8</v>
      </c>
      <c r="CH102" s="373">
        <v>41</v>
      </c>
      <c r="CI102" s="372">
        <v>49</v>
      </c>
      <c r="CJ102" s="375">
        <v>0</v>
      </c>
      <c r="CK102" s="371">
        <v>0</v>
      </c>
      <c r="CL102" s="375">
        <v>267</v>
      </c>
      <c r="CM102" s="373">
        <v>45</v>
      </c>
      <c r="CN102" s="373">
        <v>383</v>
      </c>
      <c r="CO102" s="375">
        <v>695</v>
      </c>
      <c r="CP102" s="371">
        <v>10</v>
      </c>
      <c r="CQ102" s="375">
        <v>311</v>
      </c>
      <c r="CR102" s="373">
        <v>0</v>
      </c>
      <c r="CS102" s="373">
        <v>0</v>
      </c>
      <c r="CT102" s="373"/>
      <c r="CU102" s="375">
        <v>311</v>
      </c>
      <c r="CV102" s="371">
        <v>4</v>
      </c>
      <c r="CW102" s="375">
        <v>0</v>
      </c>
      <c r="CX102" s="374">
        <v>19</v>
      </c>
      <c r="CY102" s="373">
        <v>277</v>
      </c>
      <c r="CZ102" s="373">
        <v>191</v>
      </c>
      <c r="DA102" s="372">
        <v>487</v>
      </c>
      <c r="DB102" s="371">
        <v>4429</v>
      </c>
      <c r="DC102" s="370">
        <f>4429/921748</f>
        <v>4.8050009330098901E-3</v>
      </c>
    </row>
    <row r="103" spans="2:107" ht="13.5" thickBot="1" x14ac:dyDescent="0.25">
      <c r="B103" s="173" t="s">
        <v>552</v>
      </c>
      <c r="C103" s="369">
        <v>0</v>
      </c>
      <c r="D103" s="170">
        <v>0</v>
      </c>
      <c r="E103" s="170">
        <v>0</v>
      </c>
      <c r="F103" s="368">
        <v>0</v>
      </c>
      <c r="G103" s="178">
        <v>4</v>
      </c>
      <c r="H103" s="170">
        <v>1107</v>
      </c>
      <c r="I103" s="170">
        <v>2</v>
      </c>
      <c r="J103" s="170">
        <v>1</v>
      </c>
      <c r="K103" s="170">
        <v>0</v>
      </c>
      <c r="L103" s="170">
        <v>7</v>
      </c>
      <c r="M103" s="178">
        <v>1121</v>
      </c>
      <c r="N103" s="175">
        <v>0</v>
      </c>
      <c r="O103" s="178">
        <v>3369</v>
      </c>
      <c r="P103" s="170">
        <v>0</v>
      </c>
      <c r="Q103" s="178">
        <v>3369</v>
      </c>
      <c r="R103" s="369">
        <v>0</v>
      </c>
      <c r="S103" s="170">
        <v>0</v>
      </c>
      <c r="T103" s="170">
        <v>0</v>
      </c>
      <c r="U103" s="368">
        <v>0</v>
      </c>
      <c r="V103" s="178">
        <v>0</v>
      </c>
      <c r="W103" s="170">
        <v>5214</v>
      </c>
      <c r="X103" s="178">
        <v>5214</v>
      </c>
      <c r="Y103" s="175">
        <v>234</v>
      </c>
      <c r="Z103" s="178">
        <v>646</v>
      </c>
      <c r="AA103" s="170">
        <v>0</v>
      </c>
      <c r="AB103" s="170">
        <v>120</v>
      </c>
      <c r="AC103" s="170">
        <v>27</v>
      </c>
      <c r="AD103" s="170">
        <v>2</v>
      </c>
      <c r="AE103" s="170">
        <v>2</v>
      </c>
      <c r="AF103" s="170">
        <v>2</v>
      </c>
      <c r="AG103" s="170">
        <v>0</v>
      </c>
      <c r="AH103" s="178">
        <v>799</v>
      </c>
      <c r="AI103" s="175">
        <v>234</v>
      </c>
      <c r="AJ103" s="178">
        <v>0</v>
      </c>
      <c r="AK103" s="170">
        <v>0</v>
      </c>
      <c r="AL103" s="170">
        <v>0</v>
      </c>
      <c r="AM103" s="170">
        <v>0</v>
      </c>
      <c r="AN103" s="170">
        <v>0</v>
      </c>
      <c r="AO103" s="170">
        <v>0</v>
      </c>
      <c r="AP103" s="170">
        <v>0</v>
      </c>
      <c r="AQ103" s="170">
        <v>0</v>
      </c>
      <c r="AR103" s="170">
        <v>0</v>
      </c>
      <c r="AS103" s="170">
        <v>0</v>
      </c>
      <c r="AT103" s="170">
        <v>0</v>
      </c>
      <c r="AU103" s="170">
        <v>0</v>
      </c>
      <c r="AV103" s="178">
        <v>0</v>
      </c>
      <c r="AW103" s="369">
        <v>0</v>
      </c>
      <c r="AX103" s="170">
        <v>1714</v>
      </c>
      <c r="AY103" s="170">
        <v>0</v>
      </c>
      <c r="AZ103" s="170">
        <v>0</v>
      </c>
      <c r="BA103" s="170">
        <v>0</v>
      </c>
      <c r="BB103" s="170">
        <v>8395</v>
      </c>
      <c r="BC103" s="170">
        <v>0</v>
      </c>
      <c r="BD103" s="170">
        <v>0</v>
      </c>
      <c r="BE103" s="368">
        <v>10109</v>
      </c>
      <c r="BF103" s="178">
        <v>0</v>
      </c>
      <c r="BG103" s="170">
        <v>2463</v>
      </c>
      <c r="BH103" s="170">
        <v>1803</v>
      </c>
      <c r="BI103" s="170">
        <v>31</v>
      </c>
      <c r="BJ103" s="170">
        <v>0</v>
      </c>
      <c r="BK103" s="170"/>
      <c r="BL103" s="178">
        <v>4297</v>
      </c>
      <c r="BM103" s="175">
        <v>0</v>
      </c>
      <c r="BN103" s="178">
        <v>0</v>
      </c>
      <c r="BO103" s="369">
        <v>0</v>
      </c>
      <c r="BP103" s="170">
        <v>0</v>
      </c>
      <c r="BQ103" s="170">
        <v>0</v>
      </c>
      <c r="BR103" s="170">
        <v>0</v>
      </c>
      <c r="BS103" s="170"/>
      <c r="BT103" s="368">
        <v>0</v>
      </c>
      <c r="BU103" s="178">
        <v>501</v>
      </c>
      <c r="BV103" s="170">
        <v>12</v>
      </c>
      <c r="BW103" s="170">
        <v>341</v>
      </c>
      <c r="BX103" s="170">
        <v>7</v>
      </c>
      <c r="BY103" s="170">
        <v>0</v>
      </c>
      <c r="BZ103" s="170">
        <v>3274</v>
      </c>
      <c r="CA103" s="170">
        <v>0</v>
      </c>
      <c r="CB103" s="170">
        <v>0</v>
      </c>
      <c r="CC103" s="170">
        <v>0</v>
      </c>
      <c r="CD103" s="170">
        <v>0</v>
      </c>
      <c r="CE103" s="170">
        <v>0</v>
      </c>
      <c r="CF103" s="178">
        <v>4135</v>
      </c>
      <c r="CG103" s="369">
        <v>9</v>
      </c>
      <c r="CH103" s="170">
        <v>295</v>
      </c>
      <c r="CI103" s="368">
        <v>304</v>
      </c>
      <c r="CJ103" s="178">
        <v>0</v>
      </c>
      <c r="CK103" s="175">
        <v>0</v>
      </c>
      <c r="CL103" s="178">
        <v>2978</v>
      </c>
      <c r="CM103" s="170">
        <v>191</v>
      </c>
      <c r="CN103" s="170">
        <v>1881</v>
      </c>
      <c r="CO103" s="178">
        <v>5050</v>
      </c>
      <c r="CP103" s="175">
        <v>9736</v>
      </c>
      <c r="CQ103" s="178">
        <v>978</v>
      </c>
      <c r="CR103" s="170">
        <v>0</v>
      </c>
      <c r="CS103" s="170">
        <v>0</v>
      </c>
      <c r="CT103" s="170"/>
      <c r="CU103" s="178">
        <v>978</v>
      </c>
      <c r="CV103" s="175">
        <v>4552</v>
      </c>
      <c r="CW103" s="178">
        <v>0</v>
      </c>
      <c r="CX103" s="369">
        <v>94</v>
      </c>
      <c r="CY103" s="170">
        <v>585</v>
      </c>
      <c r="CZ103" s="170">
        <v>1826</v>
      </c>
      <c r="DA103" s="368">
        <v>2505</v>
      </c>
      <c r="DB103" s="175">
        <v>52637</v>
      </c>
      <c r="DC103" s="180">
        <f>52637/921748</f>
        <v>5.710562973827988E-2</v>
      </c>
    </row>
    <row r="104" spans="2:107" x14ac:dyDescent="0.2">
      <c r="B104" s="286" t="s">
        <v>23</v>
      </c>
      <c r="C104" s="374"/>
      <c r="D104" s="373"/>
      <c r="E104" s="373"/>
      <c r="F104" s="372"/>
      <c r="G104" s="375">
        <v>6</v>
      </c>
      <c r="H104" s="373">
        <v>3412</v>
      </c>
      <c r="I104" s="373">
        <v>93</v>
      </c>
      <c r="J104" s="373">
        <v>19</v>
      </c>
      <c r="K104" s="373">
        <v>0</v>
      </c>
      <c r="L104" s="373">
        <v>295</v>
      </c>
      <c r="M104" s="375">
        <v>3825</v>
      </c>
      <c r="N104" s="371"/>
      <c r="O104" s="375">
        <v>180677</v>
      </c>
      <c r="P104" s="373">
        <v>0</v>
      </c>
      <c r="Q104" s="375">
        <v>180677</v>
      </c>
      <c r="R104" s="374">
        <v>0</v>
      </c>
      <c r="S104" s="373"/>
      <c r="T104" s="373"/>
      <c r="U104" s="372">
        <v>0</v>
      </c>
      <c r="V104" s="375"/>
      <c r="W104" s="373"/>
      <c r="X104" s="375"/>
      <c r="Y104" s="371"/>
      <c r="Z104" s="375">
        <v>7132</v>
      </c>
      <c r="AA104" s="373">
        <v>0</v>
      </c>
      <c r="AB104" s="373">
        <v>1472</v>
      </c>
      <c r="AC104" s="373"/>
      <c r="AD104" s="373">
        <v>123</v>
      </c>
      <c r="AE104" s="373"/>
      <c r="AF104" s="373"/>
      <c r="AG104" s="373"/>
      <c r="AH104" s="375">
        <v>8727</v>
      </c>
      <c r="AI104" s="371"/>
      <c r="AJ104" s="375">
        <v>0</v>
      </c>
      <c r="AK104" s="373">
        <v>0</v>
      </c>
      <c r="AL104" s="373"/>
      <c r="AM104" s="373"/>
      <c r="AN104" s="373">
        <v>0</v>
      </c>
      <c r="AO104" s="373"/>
      <c r="AP104" s="373">
        <v>0</v>
      </c>
      <c r="AQ104" s="373"/>
      <c r="AR104" s="373"/>
      <c r="AS104" s="373"/>
      <c r="AT104" s="373"/>
      <c r="AU104" s="373"/>
      <c r="AV104" s="375">
        <v>0</v>
      </c>
      <c r="AW104" s="374">
        <v>0</v>
      </c>
      <c r="AX104" s="373">
        <v>43461</v>
      </c>
      <c r="AY104" s="373">
        <v>0</v>
      </c>
      <c r="AZ104" s="373">
        <v>0</v>
      </c>
      <c r="BA104" s="373">
        <v>0</v>
      </c>
      <c r="BB104" s="373">
        <v>758</v>
      </c>
      <c r="BC104" s="373">
        <v>0</v>
      </c>
      <c r="BD104" s="373">
        <v>0</v>
      </c>
      <c r="BE104" s="372">
        <v>44219</v>
      </c>
      <c r="BF104" s="375">
        <v>0</v>
      </c>
      <c r="BG104" s="373">
        <v>1739</v>
      </c>
      <c r="BH104" s="373">
        <v>3654</v>
      </c>
      <c r="BI104" s="373">
        <v>2138</v>
      </c>
      <c r="BJ104" s="373">
        <v>0</v>
      </c>
      <c r="BK104" s="373">
        <v>0</v>
      </c>
      <c r="BL104" s="375">
        <v>7531</v>
      </c>
      <c r="BM104" s="371"/>
      <c r="BN104" s="375">
        <v>0</v>
      </c>
      <c r="BO104" s="374">
        <v>0</v>
      </c>
      <c r="BP104" s="373">
        <v>0</v>
      </c>
      <c r="BQ104" s="373">
        <v>0</v>
      </c>
      <c r="BR104" s="373">
        <v>0</v>
      </c>
      <c r="BS104" s="373"/>
      <c r="BT104" s="372">
        <v>0</v>
      </c>
      <c r="BU104" s="375">
        <v>344</v>
      </c>
      <c r="BV104" s="373">
        <v>101</v>
      </c>
      <c r="BW104" s="373">
        <v>2261</v>
      </c>
      <c r="BX104" s="373">
        <v>0</v>
      </c>
      <c r="BY104" s="373">
        <v>0</v>
      </c>
      <c r="BZ104" s="373">
        <v>8165</v>
      </c>
      <c r="CA104" s="373">
        <v>0</v>
      </c>
      <c r="CB104" s="373">
        <v>93</v>
      </c>
      <c r="CC104" s="373">
        <v>0</v>
      </c>
      <c r="CD104" s="373"/>
      <c r="CE104" s="373">
        <v>0</v>
      </c>
      <c r="CF104" s="375">
        <v>10964</v>
      </c>
      <c r="CG104" s="374"/>
      <c r="CH104" s="373"/>
      <c r="CI104" s="372"/>
      <c r="CJ104" s="375"/>
      <c r="CK104" s="371"/>
      <c r="CL104" s="375"/>
      <c r="CM104" s="373"/>
      <c r="CN104" s="373"/>
      <c r="CO104" s="375"/>
      <c r="CP104" s="371">
        <v>14</v>
      </c>
      <c r="CQ104" s="375">
        <v>1</v>
      </c>
      <c r="CR104" s="373">
        <v>0</v>
      </c>
      <c r="CS104" s="373">
        <v>0</v>
      </c>
      <c r="CT104" s="373"/>
      <c r="CU104" s="375">
        <v>1</v>
      </c>
      <c r="CV104" s="371"/>
      <c r="CW104" s="375">
        <v>0</v>
      </c>
      <c r="CX104" s="374">
        <v>0</v>
      </c>
      <c r="CY104" s="373"/>
      <c r="CZ104" s="373"/>
      <c r="DA104" s="372">
        <v>0</v>
      </c>
      <c r="DB104" s="371">
        <v>255958</v>
      </c>
      <c r="DC104" s="370">
        <f>255958/921748</f>
        <v>0.27768761093053634</v>
      </c>
    </row>
    <row r="105" spans="2:107" x14ac:dyDescent="0.2">
      <c r="B105" s="172" t="s">
        <v>33</v>
      </c>
      <c r="C105" s="377"/>
      <c r="D105" s="169">
        <v>0</v>
      </c>
      <c r="E105" s="169">
        <v>0</v>
      </c>
      <c r="F105" s="376">
        <v>0</v>
      </c>
      <c r="G105" s="177">
        <v>56</v>
      </c>
      <c r="H105" s="169">
        <v>341</v>
      </c>
      <c r="I105" s="169">
        <v>6</v>
      </c>
      <c r="J105" s="169">
        <v>0</v>
      </c>
      <c r="K105" s="169"/>
      <c r="L105" s="169">
        <v>67</v>
      </c>
      <c r="M105" s="177">
        <v>470</v>
      </c>
      <c r="N105" s="174"/>
      <c r="O105" s="177">
        <v>6194</v>
      </c>
      <c r="P105" s="169">
        <v>0</v>
      </c>
      <c r="Q105" s="177">
        <v>6194</v>
      </c>
      <c r="R105" s="377">
        <v>0</v>
      </c>
      <c r="S105" s="169"/>
      <c r="T105" s="169"/>
      <c r="U105" s="376">
        <v>0</v>
      </c>
      <c r="V105" s="177"/>
      <c r="W105" s="169"/>
      <c r="X105" s="177"/>
      <c r="Y105" s="174"/>
      <c r="Z105" s="177">
        <v>335</v>
      </c>
      <c r="AA105" s="169">
        <v>0</v>
      </c>
      <c r="AB105" s="169">
        <v>186</v>
      </c>
      <c r="AC105" s="169"/>
      <c r="AD105" s="169">
        <v>18</v>
      </c>
      <c r="AE105" s="169"/>
      <c r="AF105" s="169"/>
      <c r="AG105" s="169"/>
      <c r="AH105" s="177">
        <v>539</v>
      </c>
      <c r="AI105" s="174"/>
      <c r="AJ105" s="177"/>
      <c r="AK105" s="169"/>
      <c r="AL105" s="169"/>
      <c r="AM105" s="169"/>
      <c r="AN105" s="169"/>
      <c r="AO105" s="169"/>
      <c r="AP105" s="169"/>
      <c r="AQ105" s="169"/>
      <c r="AR105" s="169"/>
      <c r="AS105" s="169"/>
      <c r="AT105" s="169"/>
      <c r="AU105" s="169"/>
      <c r="AV105" s="177"/>
      <c r="AW105" s="377">
        <v>0</v>
      </c>
      <c r="AX105" s="169">
        <v>1844</v>
      </c>
      <c r="AY105" s="169">
        <v>0</v>
      </c>
      <c r="AZ105" s="169"/>
      <c r="BA105" s="169"/>
      <c r="BB105" s="169">
        <v>97</v>
      </c>
      <c r="BC105" s="169">
        <v>0</v>
      </c>
      <c r="BD105" s="169"/>
      <c r="BE105" s="376">
        <v>1941</v>
      </c>
      <c r="BF105" s="177"/>
      <c r="BG105" s="169">
        <v>244</v>
      </c>
      <c r="BH105" s="169">
        <v>251</v>
      </c>
      <c r="BI105" s="169">
        <v>89</v>
      </c>
      <c r="BJ105" s="169">
        <v>0</v>
      </c>
      <c r="BK105" s="169"/>
      <c r="BL105" s="177">
        <v>584</v>
      </c>
      <c r="BM105" s="174"/>
      <c r="BN105" s="177"/>
      <c r="BO105" s="377">
        <v>0</v>
      </c>
      <c r="BP105" s="169">
        <v>0</v>
      </c>
      <c r="BQ105" s="169"/>
      <c r="BR105" s="169"/>
      <c r="BS105" s="169"/>
      <c r="BT105" s="376">
        <v>0</v>
      </c>
      <c r="BU105" s="177">
        <v>248</v>
      </c>
      <c r="BV105" s="169">
        <v>11</v>
      </c>
      <c r="BW105" s="169">
        <v>225</v>
      </c>
      <c r="BX105" s="169">
        <v>0</v>
      </c>
      <c r="BY105" s="169">
        <v>0</v>
      </c>
      <c r="BZ105" s="169">
        <v>803</v>
      </c>
      <c r="CA105" s="169">
        <v>0</v>
      </c>
      <c r="CB105" s="169">
        <v>5</v>
      </c>
      <c r="CC105" s="169">
        <v>0</v>
      </c>
      <c r="CD105" s="169"/>
      <c r="CE105" s="169"/>
      <c r="CF105" s="177">
        <v>1292</v>
      </c>
      <c r="CG105" s="377"/>
      <c r="CH105" s="169"/>
      <c r="CI105" s="376"/>
      <c r="CJ105" s="177"/>
      <c r="CK105" s="174"/>
      <c r="CL105" s="177">
        <v>0</v>
      </c>
      <c r="CM105" s="169"/>
      <c r="CN105" s="169"/>
      <c r="CO105" s="177">
        <v>0</v>
      </c>
      <c r="CP105" s="174"/>
      <c r="CQ105" s="177"/>
      <c r="CR105" s="169"/>
      <c r="CS105" s="169"/>
      <c r="CT105" s="169"/>
      <c r="CU105" s="177"/>
      <c r="CV105" s="174"/>
      <c r="CW105" s="177">
        <v>0</v>
      </c>
      <c r="CX105" s="377">
        <v>0</v>
      </c>
      <c r="CY105" s="169"/>
      <c r="CZ105" s="169"/>
      <c r="DA105" s="376">
        <v>0</v>
      </c>
      <c r="DB105" s="174">
        <v>11020</v>
      </c>
      <c r="DC105" s="179">
        <f>11020/921748</f>
        <v>1.1955545333431697E-2</v>
      </c>
    </row>
    <row r="106" spans="2:107" x14ac:dyDescent="0.2">
      <c r="B106" s="172" t="s">
        <v>107</v>
      </c>
      <c r="C106" s="377"/>
      <c r="D106" s="169">
        <v>0</v>
      </c>
      <c r="E106" s="169"/>
      <c r="F106" s="376">
        <v>0</v>
      </c>
      <c r="G106" s="177">
        <v>0</v>
      </c>
      <c r="H106" s="169">
        <v>0</v>
      </c>
      <c r="I106" s="169">
        <v>0</v>
      </c>
      <c r="J106" s="169"/>
      <c r="K106" s="169"/>
      <c r="L106" s="169"/>
      <c r="M106" s="177">
        <v>0</v>
      </c>
      <c r="N106" s="174"/>
      <c r="O106" s="177">
        <v>373</v>
      </c>
      <c r="P106" s="169"/>
      <c r="Q106" s="177">
        <v>373</v>
      </c>
      <c r="R106" s="377">
        <v>0</v>
      </c>
      <c r="S106" s="169"/>
      <c r="T106" s="169"/>
      <c r="U106" s="376">
        <v>0</v>
      </c>
      <c r="V106" s="177"/>
      <c r="W106" s="169"/>
      <c r="X106" s="177"/>
      <c r="Y106" s="174"/>
      <c r="Z106" s="177">
        <v>1</v>
      </c>
      <c r="AA106" s="169"/>
      <c r="AB106" s="169"/>
      <c r="AC106" s="169"/>
      <c r="AD106" s="169"/>
      <c r="AE106" s="169"/>
      <c r="AF106" s="169"/>
      <c r="AG106" s="169"/>
      <c r="AH106" s="177">
        <v>1</v>
      </c>
      <c r="AI106" s="174"/>
      <c r="AJ106" s="177"/>
      <c r="AK106" s="169">
        <v>0</v>
      </c>
      <c r="AL106" s="169">
        <v>0</v>
      </c>
      <c r="AM106" s="169"/>
      <c r="AN106" s="169">
        <v>0</v>
      </c>
      <c r="AO106" s="169"/>
      <c r="AP106" s="169"/>
      <c r="AQ106" s="169"/>
      <c r="AR106" s="169"/>
      <c r="AS106" s="169">
        <v>0</v>
      </c>
      <c r="AT106" s="169">
        <v>0</v>
      </c>
      <c r="AU106" s="169">
        <v>0</v>
      </c>
      <c r="AV106" s="177">
        <v>0</v>
      </c>
      <c r="AW106" s="377"/>
      <c r="AX106" s="169">
        <v>39</v>
      </c>
      <c r="AY106" s="169">
        <v>0</v>
      </c>
      <c r="AZ106" s="169">
        <v>0</v>
      </c>
      <c r="BA106" s="169">
        <v>0</v>
      </c>
      <c r="BB106" s="169">
        <v>0</v>
      </c>
      <c r="BC106" s="169"/>
      <c r="BD106" s="169"/>
      <c r="BE106" s="376">
        <v>39</v>
      </c>
      <c r="BF106" s="177">
        <v>0</v>
      </c>
      <c r="BG106" s="169">
        <v>10</v>
      </c>
      <c r="BH106" s="169">
        <v>31</v>
      </c>
      <c r="BI106" s="169"/>
      <c r="BJ106" s="169">
        <v>0</v>
      </c>
      <c r="BK106" s="169"/>
      <c r="BL106" s="177">
        <v>41</v>
      </c>
      <c r="BM106" s="174"/>
      <c r="BN106" s="177">
        <v>0</v>
      </c>
      <c r="BO106" s="377">
        <v>0</v>
      </c>
      <c r="BP106" s="169">
        <v>0</v>
      </c>
      <c r="BQ106" s="169"/>
      <c r="BR106" s="169"/>
      <c r="BS106" s="169"/>
      <c r="BT106" s="376">
        <v>0</v>
      </c>
      <c r="BU106" s="177">
        <v>10</v>
      </c>
      <c r="BV106" s="169">
        <v>1</v>
      </c>
      <c r="BW106" s="169">
        <v>2</v>
      </c>
      <c r="BX106" s="169">
        <v>0</v>
      </c>
      <c r="BY106" s="169"/>
      <c r="BZ106" s="169">
        <v>37</v>
      </c>
      <c r="CA106" s="169"/>
      <c r="CB106" s="169"/>
      <c r="CC106" s="169">
        <v>0</v>
      </c>
      <c r="CD106" s="169"/>
      <c r="CE106" s="169"/>
      <c r="CF106" s="177">
        <v>50</v>
      </c>
      <c r="CG106" s="377"/>
      <c r="CH106" s="169"/>
      <c r="CI106" s="376"/>
      <c r="CJ106" s="177"/>
      <c r="CK106" s="174"/>
      <c r="CL106" s="177"/>
      <c r="CM106" s="169"/>
      <c r="CN106" s="169"/>
      <c r="CO106" s="177"/>
      <c r="CP106" s="174">
        <v>0</v>
      </c>
      <c r="CQ106" s="177">
        <v>1</v>
      </c>
      <c r="CR106" s="169"/>
      <c r="CS106" s="169">
        <v>0</v>
      </c>
      <c r="CT106" s="169"/>
      <c r="CU106" s="177">
        <v>1</v>
      </c>
      <c r="CV106" s="174">
        <v>0</v>
      </c>
      <c r="CW106" s="177">
        <v>0</v>
      </c>
      <c r="CX106" s="377">
        <v>0</v>
      </c>
      <c r="CY106" s="169"/>
      <c r="CZ106" s="169"/>
      <c r="DA106" s="376">
        <v>0</v>
      </c>
      <c r="DB106" s="174">
        <v>505</v>
      </c>
      <c r="DC106" s="179">
        <f>505/921748</f>
        <v>5.4787208651388452E-4</v>
      </c>
    </row>
    <row r="107" spans="2:107" x14ac:dyDescent="0.2">
      <c r="B107" s="172" t="s">
        <v>129</v>
      </c>
      <c r="C107" s="377"/>
      <c r="D107" s="169"/>
      <c r="E107" s="169"/>
      <c r="F107" s="376"/>
      <c r="G107" s="177">
        <v>0</v>
      </c>
      <c r="H107" s="169">
        <v>25</v>
      </c>
      <c r="I107" s="169">
        <v>2</v>
      </c>
      <c r="J107" s="169"/>
      <c r="K107" s="169"/>
      <c r="L107" s="169"/>
      <c r="M107" s="177">
        <v>27</v>
      </c>
      <c r="N107" s="174"/>
      <c r="O107" s="177">
        <v>550</v>
      </c>
      <c r="P107" s="169">
        <v>0</v>
      </c>
      <c r="Q107" s="177">
        <v>550</v>
      </c>
      <c r="R107" s="377">
        <v>0</v>
      </c>
      <c r="S107" s="169"/>
      <c r="T107" s="169"/>
      <c r="U107" s="376">
        <v>0</v>
      </c>
      <c r="V107" s="177"/>
      <c r="W107" s="169"/>
      <c r="X107" s="177"/>
      <c r="Y107" s="174">
        <v>0</v>
      </c>
      <c r="Z107" s="177">
        <v>28</v>
      </c>
      <c r="AA107" s="169"/>
      <c r="AB107" s="169"/>
      <c r="AC107" s="169"/>
      <c r="AD107" s="169">
        <v>1</v>
      </c>
      <c r="AE107" s="169"/>
      <c r="AF107" s="169"/>
      <c r="AG107" s="169"/>
      <c r="AH107" s="177">
        <v>29</v>
      </c>
      <c r="AI107" s="174"/>
      <c r="AJ107" s="177"/>
      <c r="AK107" s="169"/>
      <c r="AL107" s="169"/>
      <c r="AM107" s="169"/>
      <c r="AN107" s="169"/>
      <c r="AO107" s="169"/>
      <c r="AP107" s="169"/>
      <c r="AQ107" s="169"/>
      <c r="AR107" s="169">
        <v>0</v>
      </c>
      <c r="AS107" s="169"/>
      <c r="AT107" s="169"/>
      <c r="AU107" s="169"/>
      <c r="AV107" s="177">
        <v>0</v>
      </c>
      <c r="AW107" s="377"/>
      <c r="AX107" s="169">
        <v>135</v>
      </c>
      <c r="AY107" s="169">
        <v>0</v>
      </c>
      <c r="AZ107" s="169"/>
      <c r="BA107" s="169"/>
      <c r="BB107" s="169">
        <v>1</v>
      </c>
      <c r="BC107" s="169"/>
      <c r="BD107" s="169"/>
      <c r="BE107" s="376">
        <v>136</v>
      </c>
      <c r="BF107" s="177">
        <v>0</v>
      </c>
      <c r="BG107" s="169">
        <v>22</v>
      </c>
      <c r="BH107" s="169">
        <v>18</v>
      </c>
      <c r="BI107" s="169">
        <v>6</v>
      </c>
      <c r="BJ107" s="169"/>
      <c r="BK107" s="169"/>
      <c r="BL107" s="177">
        <v>46</v>
      </c>
      <c r="BM107" s="174"/>
      <c r="BN107" s="177">
        <v>0</v>
      </c>
      <c r="BO107" s="377">
        <v>0</v>
      </c>
      <c r="BP107" s="169">
        <v>0</v>
      </c>
      <c r="BQ107" s="169"/>
      <c r="BR107" s="169"/>
      <c r="BS107" s="169"/>
      <c r="BT107" s="376">
        <v>0</v>
      </c>
      <c r="BU107" s="177">
        <v>13</v>
      </c>
      <c r="BV107" s="169">
        <v>2</v>
      </c>
      <c r="BW107" s="169">
        <v>16</v>
      </c>
      <c r="BX107" s="169">
        <v>0</v>
      </c>
      <c r="BY107" s="169">
        <v>0</v>
      </c>
      <c r="BZ107" s="169">
        <v>50</v>
      </c>
      <c r="CA107" s="169">
        <v>0</v>
      </c>
      <c r="CB107" s="169">
        <v>2</v>
      </c>
      <c r="CC107" s="169"/>
      <c r="CD107" s="169"/>
      <c r="CE107" s="169"/>
      <c r="CF107" s="177">
        <v>83</v>
      </c>
      <c r="CG107" s="377"/>
      <c r="CH107" s="169"/>
      <c r="CI107" s="376"/>
      <c r="CJ107" s="177"/>
      <c r="CK107" s="174"/>
      <c r="CL107" s="177"/>
      <c r="CM107" s="169"/>
      <c r="CN107" s="169"/>
      <c r="CO107" s="177"/>
      <c r="CP107" s="174"/>
      <c r="CQ107" s="177"/>
      <c r="CR107" s="169"/>
      <c r="CS107" s="169"/>
      <c r="CT107" s="169"/>
      <c r="CU107" s="177"/>
      <c r="CV107" s="174"/>
      <c r="CW107" s="177">
        <v>0</v>
      </c>
      <c r="CX107" s="377"/>
      <c r="CY107" s="169">
        <v>0</v>
      </c>
      <c r="CZ107" s="169"/>
      <c r="DA107" s="376">
        <v>0</v>
      </c>
      <c r="DB107" s="174">
        <v>871</v>
      </c>
      <c r="DC107" s="179">
        <f>871/921748</f>
        <v>9.4494373733384834E-4</v>
      </c>
    </row>
    <row r="108" spans="2:107" x14ac:dyDescent="0.2">
      <c r="B108" s="172" t="s">
        <v>132</v>
      </c>
      <c r="C108" s="377"/>
      <c r="D108" s="169"/>
      <c r="E108" s="169"/>
      <c r="F108" s="376"/>
      <c r="G108" s="177">
        <v>3</v>
      </c>
      <c r="H108" s="169">
        <v>444</v>
      </c>
      <c r="I108" s="169">
        <v>14</v>
      </c>
      <c r="J108" s="169">
        <v>0</v>
      </c>
      <c r="K108" s="169"/>
      <c r="L108" s="169">
        <v>73</v>
      </c>
      <c r="M108" s="177">
        <v>534</v>
      </c>
      <c r="N108" s="174"/>
      <c r="O108" s="177">
        <v>21091</v>
      </c>
      <c r="P108" s="169">
        <v>0</v>
      </c>
      <c r="Q108" s="177">
        <v>21091</v>
      </c>
      <c r="R108" s="377">
        <v>0</v>
      </c>
      <c r="S108" s="169"/>
      <c r="T108" s="169"/>
      <c r="U108" s="376">
        <v>0</v>
      </c>
      <c r="V108" s="177"/>
      <c r="W108" s="169"/>
      <c r="X108" s="177"/>
      <c r="Y108" s="174"/>
      <c r="Z108" s="177">
        <v>387</v>
      </c>
      <c r="AA108" s="169">
        <v>0</v>
      </c>
      <c r="AB108" s="169">
        <v>224</v>
      </c>
      <c r="AC108" s="169"/>
      <c r="AD108" s="169">
        <v>33</v>
      </c>
      <c r="AE108" s="169"/>
      <c r="AF108" s="169"/>
      <c r="AG108" s="169"/>
      <c r="AH108" s="177">
        <v>644</v>
      </c>
      <c r="AI108" s="174"/>
      <c r="AJ108" s="177"/>
      <c r="AK108" s="169"/>
      <c r="AL108" s="169"/>
      <c r="AM108" s="169"/>
      <c r="AN108" s="169"/>
      <c r="AO108" s="169"/>
      <c r="AP108" s="169"/>
      <c r="AQ108" s="169"/>
      <c r="AR108" s="169"/>
      <c r="AS108" s="169"/>
      <c r="AT108" s="169"/>
      <c r="AU108" s="169"/>
      <c r="AV108" s="177"/>
      <c r="AW108" s="377">
        <v>0</v>
      </c>
      <c r="AX108" s="169">
        <v>7055</v>
      </c>
      <c r="AY108" s="169">
        <v>0</v>
      </c>
      <c r="AZ108" s="169">
        <v>0</v>
      </c>
      <c r="BA108" s="169"/>
      <c r="BB108" s="169">
        <v>101</v>
      </c>
      <c r="BC108" s="169"/>
      <c r="BD108" s="169"/>
      <c r="BE108" s="376">
        <v>7156</v>
      </c>
      <c r="BF108" s="177"/>
      <c r="BG108" s="169">
        <v>216</v>
      </c>
      <c r="BH108" s="169">
        <v>611</v>
      </c>
      <c r="BI108" s="169">
        <v>148</v>
      </c>
      <c r="BJ108" s="169">
        <v>0</v>
      </c>
      <c r="BK108" s="169">
        <v>0</v>
      </c>
      <c r="BL108" s="177">
        <v>975</v>
      </c>
      <c r="BM108" s="174"/>
      <c r="BN108" s="177">
        <v>0</v>
      </c>
      <c r="BO108" s="377">
        <v>0</v>
      </c>
      <c r="BP108" s="169">
        <v>0</v>
      </c>
      <c r="BQ108" s="169">
        <v>0</v>
      </c>
      <c r="BR108" s="169"/>
      <c r="BS108" s="169"/>
      <c r="BT108" s="376">
        <v>0</v>
      </c>
      <c r="BU108" s="177">
        <v>128</v>
      </c>
      <c r="BV108" s="169">
        <v>20</v>
      </c>
      <c r="BW108" s="169">
        <v>265</v>
      </c>
      <c r="BX108" s="169">
        <v>0</v>
      </c>
      <c r="BY108" s="169">
        <v>0</v>
      </c>
      <c r="BZ108" s="169">
        <v>997</v>
      </c>
      <c r="CA108" s="169">
        <v>0</v>
      </c>
      <c r="CB108" s="169">
        <v>9</v>
      </c>
      <c r="CC108" s="169">
        <v>0</v>
      </c>
      <c r="CD108" s="169"/>
      <c r="CE108" s="169"/>
      <c r="CF108" s="177">
        <v>1419</v>
      </c>
      <c r="CG108" s="377"/>
      <c r="CH108" s="169"/>
      <c r="CI108" s="376"/>
      <c r="CJ108" s="177"/>
      <c r="CK108" s="174"/>
      <c r="CL108" s="177"/>
      <c r="CM108" s="169"/>
      <c r="CN108" s="169"/>
      <c r="CO108" s="177"/>
      <c r="CP108" s="174"/>
      <c r="CQ108" s="177">
        <v>0</v>
      </c>
      <c r="CR108" s="169"/>
      <c r="CS108" s="169"/>
      <c r="CT108" s="169"/>
      <c r="CU108" s="177">
        <v>0</v>
      </c>
      <c r="CV108" s="174"/>
      <c r="CW108" s="177">
        <v>0</v>
      </c>
      <c r="CX108" s="377">
        <v>0</v>
      </c>
      <c r="CY108" s="169"/>
      <c r="CZ108" s="169"/>
      <c r="DA108" s="376">
        <v>0</v>
      </c>
      <c r="DB108" s="174">
        <v>31819</v>
      </c>
      <c r="DC108" s="179">
        <f>31819/921748</f>
        <v>3.4520281031258003E-2</v>
      </c>
    </row>
    <row r="109" spans="2:107" x14ac:dyDescent="0.2">
      <c r="B109" s="172" t="s">
        <v>172</v>
      </c>
      <c r="C109" s="377"/>
      <c r="D109" s="169"/>
      <c r="E109" s="169"/>
      <c r="F109" s="376"/>
      <c r="G109" s="177">
        <v>0</v>
      </c>
      <c r="H109" s="169">
        <v>164</v>
      </c>
      <c r="I109" s="169">
        <v>2</v>
      </c>
      <c r="J109" s="169"/>
      <c r="K109" s="169"/>
      <c r="L109" s="169">
        <v>4</v>
      </c>
      <c r="M109" s="177">
        <v>170</v>
      </c>
      <c r="N109" s="174"/>
      <c r="O109" s="177">
        <v>9215</v>
      </c>
      <c r="P109" s="169">
        <v>0</v>
      </c>
      <c r="Q109" s="177">
        <v>9215</v>
      </c>
      <c r="R109" s="377">
        <v>0</v>
      </c>
      <c r="S109" s="169"/>
      <c r="T109" s="169"/>
      <c r="U109" s="376">
        <v>0</v>
      </c>
      <c r="V109" s="177"/>
      <c r="W109" s="169"/>
      <c r="X109" s="177"/>
      <c r="Y109" s="174"/>
      <c r="Z109" s="177">
        <v>60</v>
      </c>
      <c r="AA109" s="169"/>
      <c r="AB109" s="169">
        <v>20</v>
      </c>
      <c r="AC109" s="169"/>
      <c r="AD109" s="169">
        <v>6</v>
      </c>
      <c r="AE109" s="169"/>
      <c r="AF109" s="169"/>
      <c r="AG109" s="169"/>
      <c r="AH109" s="177">
        <v>86</v>
      </c>
      <c r="AI109" s="174"/>
      <c r="AJ109" s="177"/>
      <c r="AK109" s="169"/>
      <c r="AL109" s="169"/>
      <c r="AM109" s="169"/>
      <c r="AN109" s="169"/>
      <c r="AO109" s="169"/>
      <c r="AP109" s="169"/>
      <c r="AQ109" s="169"/>
      <c r="AR109" s="169"/>
      <c r="AS109" s="169"/>
      <c r="AT109" s="169"/>
      <c r="AU109" s="169"/>
      <c r="AV109" s="177"/>
      <c r="AW109" s="377">
        <v>0</v>
      </c>
      <c r="AX109" s="169">
        <v>2894</v>
      </c>
      <c r="AY109" s="169">
        <v>0</v>
      </c>
      <c r="AZ109" s="169">
        <v>0</v>
      </c>
      <c r="BA109" s="169">
        <v>0</v>
      </c>
      <c r="BB109" s="169">
        <v>13</v>
      </c>
      <c r="BC109" s="169">
        <v>0</v>
      </c>
      <c r="BD109" s="169"/>
      <c r="BE109" s="376">
        <v>2907</v>
      </c>
      <c r="BF109" s="177">
        <v>0</v>
      </c>
      <c r="BG109" s="169">
        <v>44</v>
      </c>
      <c r="BH109" s="169">
        <v>374</v>
      </c>
      <c r="BI109" s="169">
        <v>37</v>
      </c>
      <c r="BJ109" s="169"/>
      <c r="BK109" s="169"/>
      <c r="BL109" s="177">
        <v>455</v>
      </c>
      <c r="BM109" s="174"/>
      <c r="BN109" s="177">
        <v>0</v>
      </c>
      <c r="BO109" s="377">
        <v>0</v>
      </c>
      <c r="BP109" s="169"/>
      <c r="BQ109" s="169"/>
      <c r="BR109" s="169"/>
      <c r="BS109" s="169"/>
      <c r="BT109" s="376">
        <v>0</v>
      </c>
      <c r="BU109" s="177">
        <v>12</v>
      </c>
      <c r="BV109" s="169">
        <v>2</v>
      </c>
      <c r="BW109" s="169">
        <v>65</v>
      </c>
      <c r="BX109" s="169">
        <v>0</v>
      </c>
      <c r="BY109" s="169">
        <v>0</v>
      </c>
      <c r="BZ109" s="169">
        <v>492</v>
      </c>
      <c r="CA109" s="169">
        <v>0</v>
      </c>
      <c r="CB109" s="169">
        <v>0</v>
      </c>
      <c r="CC109" s="169">
        <v>0</v>
      </c>
      <c r="CD109" s="169"/>
      <c r="CE109" s="169"/>
      <c r="CF109" s="177">
        <v>571</v>
      </c>
      <c r="CG109" s="377"/>
      <c r="CH109" s="169"/>
      <c r="CI109" s="376"/>
      <c r="CJ109" s="177"/>
      <c r="CK109" s="174"/>
      <c r="CL109" s="177"/>
      <c r="CM109" s="169"/>
      <c r="CN109" s="169">
        <v>1</v>
      </c>
      <c r="CO109" s="177">
        <v>1</v>
      </c>
      <c r="CP109" s="174"/>
      <c r="CQ109" s="177"/>
      <c r="CR109" s="169">
        <v>0</v>
      </c>
      <c r="CS109" s="169"/>
      <c r="CT109" s="169"/>
      <c r="CU109" s="177">
        <v>0</v>
      </c>
      <c r="CV109" s="174"/>
      <c r="CW109" s="177">
        <v>0</v>
      </c>
      <c r="CX109" s="377">
        <v>0</v>
      </c>
      <c r="CY109" s="169"/>
      <c r="CZ109" s="169"/>
      <c r="DA109" s="376">
        <v>0</v>
      </c>
      <c r="DB109" s="174">
        <v>13405</v>
      </c>
      <c r="DC109" s="179">
        <f>13405/921748</f>
        <v>1.4543020435086379E-2</v>
      </c>
    </row>
    <row r="110" spans="2:107" ht="13.5" thickBot="1" x14ac:dyDescent="0.25">
      <c r="B110" s="286" t="s">
        <v>259</v>
      </c>
      <c r="C110" s="374"/>
      <c r="D110" s="373"/>
      <c r="E110" s="373"/>
      <c r="F110" s="372"/>
      <c r="G110" s="375">
        <v>1</v>
      </c>
      <c r="H110" s="373">
        <v>67</v>
      </c>
      <c r="I110" s="373">
        <v>0</v>
      </c>
      <c r="J110" s="373">
        <v>0</v>
      </c>
      <c r="K110" s="373"/>
      <c r="L110" s="373">
        <v>3</v>
      </c>
      <c r="M110" s="375">
        <v>71</v>
      </c>
      <c r="N110" s="371"/>
      <c r="O110" s="375">
        <v>785</v>
      </c>
      <c r="P110" s="373">
        <v>0</v>
      </c>
      <c r="Q110" s="375">
        <v>785</v>
      </c>
      <c r="R110" s="374">
        <v>0</v>
      </c>
      <c r="S110" s="373"/>
      <c r="T110" s="373"/>
      <c r="U110" s="372">
        <v>0</v>
      </c>
      <c r="V110" s="375"/>
      <c r="W110" s="373"/>
      <c r="X110" s="375"/>
      <c r="Y110" s="371"/>
      <c r="Z110" s="375">
        <v>36</v>
      </c>
      <c r="AA110" s="373"/>
      <c r="AB110" s="373">
        <v>60</v>
      </c>
      <c r="AC110" s="373"/>
      <c r="AD110" s="373">
        <v>4</v>
      </c>
      <c r="AE110" s="373"/>
      <c r="AF110" s="373"/>
      <c r="AG110" s="373"/>
      <c r="AH110" s="375">
        <v>100</v>
      </c>
      <c r="AI110" s="371"/>
      <c r="AJ110" s="375"/>
      <c r="AK110" s="373">
        <v>0</v>
      </c>
      <c r="AL110" s="373"/>
      <c r="AM110" s="373"/>
      <c r="AN110" s="373"/>
      <c r="AO110" s="373"/>
      <c r="AP110" s="373"/>
      <c r="AQ110" s="373"/>
      <c r="AR110" s="373"/>
      <c r="AS110" s="373"/>
      <c r="AT110" s="373"/>
      <c r="AU110" s="373"/>
      <c r="AV110" s="375">
        <v>0</v>
      </c>
      <c r="AW110" s="374"/>
      <c r="AX110" s="373">
        <v>237</v>
      </c>
      <c r="AY110" s="373">
        <v>0</v>
      </c>
      <c r="AZ110" s="373">
        <v>0</v>
      </c>
      <c r="BA110" s="373"/>
      <c r="BB110" s="373">
        <v>7</v>
      </c>
      <c r="BC110" s="373">
        <v>0</v>
      </c>
      <c r="BD110" s="373"/>
      <c r="BE110" s="372">
        <v>244</v>
      </c>
      <c r="BF110" s="375"/>
      <c r="BG110" s="373">
        <v>32</v>
      </c>
      <c r="BH110" s="373">
        <v>24</v>
      </c>
      <c r="BI110" s="373">
        <v>37</v>
      </c>
      <c r="BJ110" s="373">
        <v>0</v>
      </c>
      <c r="BK110" s="373"/>
      <c r="BL110" s="375">
        <v>93</v>
      </c>
      <c r="BM110" s="371"/>
      <c r="BN110" s="375">
        <v>0</v>
      </c>
      <c r="BO110" s="374">
        <v>0</v>
      </c>
      <c r="BP110" s="373"/>
      <c r="BQ110" s="373"/>
      <c r="BR110" s="373"/>
      <c r="BS110" s="373"/>
      <c r="BT110" s="372">
        <v>0</v>
      </c>
      <c r="BU110" s="375">
        <v>18</v>
      </c>
      <c r="BV110" s="373">
        <v>0</v>
      </c>
      <c r="BW110" s="373">
        <v>172</v>
      </c>
      <c r="BX110" s="373">
        <v>0</v>
      </c>
      <c r="BY110" s="373">
        <v>0</v>
      </c>
      <c r="BZ110" s="373">
        <v>96</v>
      </c>
      <c r="CA110" s="373">
        <v>0</v>
      </c>
      <c r="CB110" s="373">
        <v>1</v>
      </c>
      <c r="CC110" s="373">
        <v>0</v>
      </c>
      <c r="CD110" s="373"/>
      <c r="CE110" s="373"/>
      <c r="CF110" s="375">
        <v>287</v>
      </c>
      <c r="CG110" s="374"/>
      <c r="CH110" s="373">
        <v>0</v>
      </c>
      <c r="CI110" s="372">
        <v>0</v>
      </c>
      <c r="CJ110" s="375"/>
      <c r="CK110" s="371"/>
      <c r="CL110" s="375"/>
      <c r="CM110" s="373"/>
      <c r="CN110" s="373"/>
      <c r="CO110" s="375"/>
      <c r="CP110" s="371"/>
      <c r="CQ110" s="375"/>
      <c r="CR110" s="373"/>
      <c r="CS110" s="373"/>
      <c r="CT110" s="373"/>
      <c r="CU110" s="375"/>
      <c r="CV110" s="371"/>
      <c r="CW110" s="375"/>
      <c r="CX110" s="374">
        <v>0</v>
      </c>
      <c r="CY110" s="373"/>
      <c r="CZ110" s="373"/>
      <c r="DA110" s="372">
        <v>0</v>
      </c>
      <c r="DB110" s="371">
        <v>1580</v>
      </c>
      <c r="DC110" s="370">
        <f>1580/921748</f>
        <v>1.7141344488949258E-3</v>
      </c>
    </row>
    <row r="111" spans="2:107" ht="13.5" thickBot="1" x14ac:dyDescent="0.25">
      <c r="B111" s="173" t="s">
        <v>553</v>
      </c>
      <c r="C111" s="369"/>
      <c r="D111" s="170">
        <v>0</v>
      </c>
      <c r="E111" s="170">
        <v>0</v>
      </c>
      <c r="F111" s="368">
        <v>0</v>
      </c>
      <c r="G111" s="178">
        <v>66</v>
      </c>
      <c r="H111" s="170">
        <v>4453</v>
      </c>
      <c r="I111" s="170">
        <v>117</v>
      </c>
      <c r="J111" s="170">
        <v>19</v>
      </c>
      <c r="K111" s="170">
        <v>0</v>
      </c>
      <c r="L111" s="170">
        <v>442</v>
      </c>
      <c r="M111" s="178">
        <v>5097</v>
      </c>
      <c r="N111" s="175"/>
      <c r="O111" s="178">
        <v>218885</v>
      </c>
      <c r="P111" s="170">
        <v>0</v>
      </c>
      <c r="Q111" s="178">
        <v>218885</v>
      </c>
      <c r="R111" s="369">
        <v>0</v>
      </c>
      <c r="S111" s="170"/>
      <c r="T111" s="170"/>
      <c r="U111" s="368">
        <v>0</v>
      </c>
      <c r="V111" s="178"/>
      <c r="W111" s="170"/>
      <c r="X111" s="178"/>
      <c r="Y111" s="175">
        <v>0</v>
      </c>
      <c r="Z111" s="178">
        <v>7979</v>
      </c>
      <c r="AA111" s="170">
        <v>0</v>
      </c>
      <c r="AB111" s="170">
        <v>1962</v>
      </c>
      <c r="AC111" s="170"/>
      <c r="AD111" s="170">
        <v>185</v>
      </c>
      <c r="AE111" s="170"/>
      <c r="AF111" s="170"/>
      <c r="AG111" s="170"/>
      <c r="AH111" s="178">
        <v>10126</v>
      </c>
      <c r="AI111" s="175"/>
      <c r="AJ111" s="178">
        <v>0</v>
      </c>
      <c r="AK111" s="170">
        <v>0</v>
      </c>
      <c r="AL111" s="170">
        <v>0</v>
      </c>
      <c r="AM111" s="170"/>
      <c r="AN111" s="170">
        <v>0</v>
      </c>
      <c r="AO111" s="170"/>
      <c r="AP111" s="170">
        <v>0</v>
      </c>
      <c r="AQ111" s="170"/>
      <c r="AR111" s="170">
        <v>0</v>
      </c>
      <c r="AS111" s="170">
        <v>0</v>
      </c>
      <c r="AT111" s="170">
        <v>0</v>
      </c>
      <c r="AU111" s="170">
        <v>0</v>
      </c>
      <c r="AV111" s="178">
        <v>0</v>
      </c>
      <c r="AW111" s="369">
        <v>0</v>
      </c>
      <c r="AX111" s="170">
        <v>55665</v>
      </c>
      <c r="AY111" s="170">
        <v>0</v>
      </c>
      <c r="AZ111" s="170">
        <v>0</v>
      </c>
      <c r="BA111" s="170">
        <v>0</v>
      </c>
      <c r="BB111" s="170">
        <v>977</v>
      </c>
      <c r="BC111" s="170">
        <v>0</v>
      </c>
      <c r="BD111" s="170">
        <v>0</v>
      </c>
      <c r="BE111" s="368">
        <v>56642</v>
      </c>
      <c r="BF111" s="178">
        <v>0</v>
      </c>
      <c r="BG111" s="170">
        <v>2307</v>
      </c>
      <c r="BH111" s="170">
        <v>4963</v>
      </c>
      <c r="BI111" s="170">
        <v>2455</v>
      </c>
      <c r="BJ111" s="170">
        <v>0</v>
      </c>
      <c r="BK111" s="170">
        <v>0</v>
      </c>
      <c r="BL111" s="178">
        <v>9725</v>
      </c>
      <c r="BM111" s="175"/>
      <c r="BN111" s="178">
        <v>0</v>
      </c>
      <c r="BO111" s="369">
        <v>0</v>
      </c>
      <c r="BP111" s="170">
        <v>0</v>
      </c>
      <c r="BQ111" s="170">
        <v>0</v>
      </c>
      <c r="BR111" s="170">
        <v>0</v>
      </c>
      <c r="BS111" s="170"/>
      <c r="BT111" s="368">
        <v>0</v>
      </c>
      <c r="BU111" s="178">
        <v>773</v>
      </c>
      <c r="BV111" s="170">
        <v>137</v>
      </c>
      <c r="BW111" s="170">
        <v>3006</v>
      </c>
      <c r="BX111" s="170">
        <v>0</v>
      </c>
      <c r="BY111" s="170">
        <v>0</v>
      </c>
      <c r="BZ111" s="170">
        <v>10640</v>
      </c>
      <c r="CA111" s="170">
        <v>0</v>
      </c>
      <c r="CB111" s="170">
        <v>110</v>
      </c>
      <c r="CC111" s="170">
        <v>0</v>
      </c>
      <c r="CD111" s="170"/>
      <c r="CE111" s="170">
        <v>0</v>
      </c>
      <c r="CF111" s="178">
        <v>14666</v>
      </c>
      <c r="CG111" s="369"/>
      <c r="CH111" s="170">
        <v>0</v>
      </c>
      <c r="CI111" s="368">
        <v>0</v>
      </c>
      <c r="CJ111" s="178"/>
      <c r="CK111" s="175"/>
      <c r="CL111" s="178">
        <v>0</v>
      </c>
      <c r="CM111" s="170"/>
      <c r="CN111" s="170">
        <v>1</v>
      </c>
      <c r="CO111" s="178">
        <v>1</v>
      </c>
      <c r="CP111" s="175">
        <v>14</v>
      </c>
      <c r="CQ111" s="178">
        <v>2</v>
      </c>
      <c r="CR111" s="170">
        <v>0</v>
      </c>
      <c r="CS111" s="170">
        <v>0</v>
      </c>
      <c r="CT111" s="170"/>
      <c r="CU111" s="178">
        <v>2</v>
      </c>
      <c r="CV111" s="175">
        <v>0</v>
      </c>
      <c r="CW111" s="178">
        <v>0</v>
      </c>
      <c r="CX111" s="369">
        <v>0</v>
      </c>
      <c r="CY111" s="170">
        <v>0</v>
      </c>
      <c r="CZ111" s="170"/>
      <c r="DA111" s="368">
        <v>0</v>
      </c>
      <c r="DB111" s="175">
        <v>315158</v>
      </c>
      <c r="DC111" s="180">
        <f>315158/921748</f>
        <v>0.34191340800305509</v>
      </c>
    </row>
    <row r="112" spans="2:107" ht="13.5" thickBot="1" x14ac:dyDescent="0.25">
      <c r="B112" s="173" t="s">
        <v>554</v>
      </c>
      <c r="C112" s="369">
        <v>0</v>
      </c>
      <c r="D112" s="170"/>
      <c r="E112" s="170"/>
      <c r="F112" s="368">
        <v>0</v>
      </c>
      <c r="G112" s="178">
        <v>0</v>
      </c>
      <c r="H112" s="170">
        <v>0</v>
      </c>
      <c r="I112" s="170"/>
      <c r="J112" s="170"/>
      <c r="K112" s="170"/>
      <c r="L112" s="170"/>
      <c r="M112" s="178">
        <v>0</v>
      </c>
      <c r="N112" s="175"/>
      <c r="O112" s="178">
        <v>0</v>
      </c>
      <c r="P112" s="170"/>
      <c r="Q112" s="178">
        <v>0</v>
      </c>
      <c r="R112" s="369"/>
      <c r="S112" s="170"/>
      <c r="T112" s="170"/>
      <c r="U112" s="368"/>
      <c r="V112" s="178">
        <v>0</v>
      </c>
      <c r="W112" s="170"/>
      <c r="X112" s="178">
        <v>0</v>
      </c>
      <c r="Y112" s="175">
        <v>0</v>
      </c>
      <c r="Z112" s="178"/>
      <c r="AA112" s="170"/>
      <c r="AB112" s="170"/>
      <c r="AC112" s="170"/>
      <c r="AD112" s="170"/>
      <c r="AE112" s="170"/>
      <c r="AF112" s="170"/>
      <c r="AG112" s="170"/>
      <c r="AH112" s="178"/>
      <c r="AI112" s="175"/>
      <c r="AJ112" s="178"/>
      <c r="AK112" s="170">
        <v>0</v>
      </c>
      <c r="AL112" s="170">
        <v>0</v>
      </c>
      <c r="AM112" s="170"/>
      <c r="AN112" s="170">
        <v>0</v>
      </c>
      <c r="AO112" s="170"/>
      <c r="AP112" s="170">
        <v>0</v>
      </c>
      <c r="AQ112" s="170">
        <v>0</v>
      </c>
      <c r="AR112" s="170">
        <v>0</v>
      </c>
      <c r="AS112" s="170">
        <v>0</v>
      </c>
      <c r="AT112" s="170"/>
      <c r="AU112" s="170"/>
      <c r="AV112" s="178">
        <v>0</v>
      </c>
      <c r="AW112" s="369"/>
      <c r="AX112" s="170">
        <v>0</v>
      </c>
      <c r="AY112" s="170">
        <v>0</v>
      </c>
      <c r="AZ112" s="170">
        <v>0</v>
      </c>
      <c r="BA112" s="170">
        <v>0</v>
      </c>
      <c r="BB112" s="170"/>
      <c r="BC112" s="170"/>
      <c r="BD112" s="170">
        <v>0</v>
      </c>
      <c r="BE112" s="368">
        <v>0</v>
      </c>
      <c r="BF112" s="178">
        <v>0</v>
      </c>
      <c r="BG112" s="170">
        <v>0</v>
      </c>
      <c r="BH112" s="170"/>
      <c r="BI112" s="170">
        <v>0</v>
      </c>
      <c r="BJ112" s="170"/>
      <c r="BK112" s="170"/>
      <c r="BL112" s="178">
        <v>0</v>
      </c>
      <c r="BM112" s="175"/>
      <c r="BN112" s="178">
        <v>0</v>
      </c>
      <c r="BO112" s="369">
        <v>0</v>
      </c>
      <c r="BP112" s="170">
        <v>0</v>
      </c>
      <c r="BQ112" s="170"/>
      <c r="BR112" s="170"/>
      <c r="BS112" s="170"/>
      <c r="BT112" s="368">
        <v>0</v>
      </c>
      <c r="BU112" s="178">
        <v>0</v>
      </c>
      <c r="BV112" s="170">
        <v>0</v>
      </c>
      <c r="BW112" s="170">
        <v>0</v>
      </c>
      <c r="BX112" s="170"/>
      <c r="BY112" s="170">
        <v>0</v>
      </c>
      <c r="BZ112" s="170"/>
      <c r="CA112" s="170"/>
      <c r="CB112" s="170"/>
      <c r="CC112" s="170">
        <v>0</v>
      </c>
      <c r="CD112" s="170"/>
      <c r="CE112" s="170"/>
      <c r="CF112" s="178">
        <v>0</v>
      </c>
      <c r="CG112" s="369"/>
      <c r="CH112" s="170"/>
      <c r="CI112" s="368"/>
      <c r="CJ112" s="178"/>
      <c r="CK112" s="175"/>
      <c r="CL112" s="178">
        <v>7</v>
      </c>
      <c r="CM112" s="170"/>
      <c r="CN112" s="170">
        <v>0</v>
      </c>
      <c r="CO112" s="178">
        <v>7</v>
      </c>
      <c r="CP112" s="175"/>
      <c r="CQ112" s="178">
        <v>1</v>
      </c>
      <c r="CR112" s="170">
        <v>0</v>
      </c>
      <c r="CS112" s="170"/>
      <c r="CT112" s="170"/>
      <c r="CU112" s="178">
        <v>1</v>
      </c>
      <c r="CV112" s="175"/>
      <c r="CW112" s="178">
        <v>0</v>
      </c>
      <c r="CX112" s="369"/>
      <c r="CY112" s="170">
        <v>0</v>
      </c>
      <c r="CZ112" s="170"/>
      <c r="DA112" s="368">
        <v>0</v>
      </c>
      <c r="DB112" s="175">
        <v>8</v>
      </c>
      <c r="DC112" s="180">
        <f>8/921748</f>
        <v>8.6791617665565856E-6</v>
      </c>
    </row>
    <row r="113" spans="2:107" ht="13.5" thickBot="1" x14ac:dyDescent="0.25">
      <c r="B113" s="173" t="s">
        <v>555</v>
      </c>
      <c r="C113" s="369"/>
      <c r="D113" s="170"/>
      <c r="E113" s="170"/>
      <c r="F113" s="368"/>
      <c r="G113" s="178"/>
      <c r="H113" s="170"/>
      <c r="I113" s="170"/>
      <c r="J113" s="170"/>
      <c r="K113" s="170"/>
      <c r="L113" s="170"/>
      <c r="M113" s="178"/>
      <c r="N113" s="175"/>
      <c r="O113" s="178">
        <v>5</v>
      </c>
      <c r="P113" s="170"/>
      <c r="Q113" s="178">
        <v>5</v>
      </c>
      <c r="R113" s="369">
        <v>0</v>
      </c>
      <c r="S113" s="170"/>
      <c r="T113" s="170"/>
      <c r="U113" s="368">
        <v>0</v>
      </c>
      <c r="V113" s="178"/>
      <c r="W113" s="170"/>
      <c r="X113" s="178"/>
      <c r="Y113" s="175"/>
      <c r="Z113" s="178"/>
      <c r="AA113" s="170"/>
      <c r="AB113" s="170"/>
      <c r="AC113" s="170"/>
      <c r="AD113" s="170"/>
      <c r="AE113" s="170"/>
      <c r="AF113" s="170"/>
      <c r="AG113" s="170"/>
      <c r="AH113" s="178"/>
      <c r="AI113" s="175"/>
      <c r="AJ113" s="178"/>
      <c r="AK113" s="170"/>
      <c r="AL113" s="170"/>
      <c r="AM113" s="170"/>
      <c r="AN113" s="170"/>
      <c r="AO113" s="170"/>
      <c r="AP113" s="170"/>
      <c r="AQ113" s="170"/>
      <c r="AR113" s="170"/>
      <c r="AS113" s="170"/>
      <c r="AT113" s="170"/>
      <c r="AU113" s="170"/>
      <c r="AV113" s="178"/>
      <c r="AW113" s="369"/>
      <c r="AX113" s="170">
        <v>1</v>
      </c>
      <c r="AY113" s="170"/>
      <c r="AZ113" s="170"/>
      <c r="BA113" s="170"/>
      <c r="BB113" s="170"/>
      <c r="BC113" s="170"/>
      <c r="BD113" s="170"/>
      <c r="BE113" s="368">
        <v>1</v>
      </c>
      <c r="BF113" s="178"/>
      <c r="BG113" s="170"/>
      <c r="BH113" s="170"/>
      <c r="BI113" s="170"/>
      <c r="BJ113" s="170"/>
      <c r="BK113" s="170"/>
      <c r="BL113" s="178"/>
      <c r="BM113" s="175"/>
      <c r="BN113" s="178"/>
      <c r="BO113" s="369"/>
      <c r="BP113" s="170">
        <v>0</v>
      </c>
      <c r="BQ113" s="170"/>
      <c r="BR113" s="170"/>
      <c r="BS113" s="170"/>
      <c r="BT113" s="368">
        <v>0</v>
      </c>
      <c r="BU113" s="178"/>
      <c r="BV113" s="170">
        <v>0</v>
      </c>
      <c r="BW113" s="170">
        <v>0</v>
      </c>
      <c r="BX113" s="170">
        <v>0</v>
      </c>
      <c r="BY113" s="170"/>
      <c r="BZ113" s="170">
        <v>4</v>
      </c>
      <c r="CA113" s="170">
        <v>0</v>
      </c>
      <c r="CB113" s="170"/>
      <c r="CC113" s="170"/>
      <c r="CD113" s="170"/>
      <c r="CE113" s="170"/>
      <c r="CF113" s="178">
        <v>4</v>
      </c>
      <c r="CG113" s="369"/>
      <c r="CH113" s="170"/>
      <c r="CI113" s="368"/>
      <c r="CJ113" s="178"/>
      <c r="CK113" s="175"/>
      <c r="CL113" s="178"/>
      <c r="CM113" s="170"/>
      <c r="CN113" s="170"/>
      <c r="CO113" s="178"/>
      <c r="CP113" s="175"/>
      <c r="CQ113" s="178">
        <v>1</v>
      </c>
      <c r="CR113" s="170">
        <v>0</v>
      </c>
      <c r="CS113" s="170"/>
      <c r="CT113" s="170"/>
      <c r="CU113" s="178">
        <v>1</v>
      </c>
      <c r="CV113" s="175"/>
      <c r="CW113" s="178"/>
      <c r="CX113" s="369"/>
      <c r="CY113" s="170"/>
      <c r="CZ113" s="170"/>
      <c r="DA113" s="368"/>
      <c r="DB113" s="175">
        <v>11</v>
      </c>
      <c r="DC113" s="180">
        <f>11/921748</f>
        <v>1.1933847429015306E-5</v>
      </c>
    </row>
    <row r="114" spans="2:107" ht="13.5" thickBot="1" x14ac:dyDescent="0.25">
      <c r="B114" s="367" t="s">
        <v>539</v>
      </c>
      <c r="C114" s="365">
        <v>0</v>
      </c>
      <c r="D114" s="364">
        <v>0</v>
      </c>
      <c r="E114" s="364">
        <v>0</v>
      </c>
      <c r="F114" s="363">
        <v>0</v>
      </c>
      <c r="G114" s="366">
        <v>978</v>
      </c>
      <c r="H114" s="364">
        <v>23167</v>
      </c>
      <c r="I114" s="364">
        <v>479</v>
      </c>
      <c r="J114" s="364">
        <v>39</v>
      </c>
      <c r="K114" s="364">
        <v>0</v>
      </c>
      <c r="L114" s="364">
        <v>526</v>
      </c>
      <c r="M114" s="366">
        <v>25189</v>
      </c>
      <c r="N114" s="362">
        <v>0</v>
      </c>
      <c r="O114" s="366">
        <v>466697</v>
      </c>
      <c r="P114" s="364">
        <v>0</v>
      </c>
      <c r="Q114" s="366">
        <v>466697</v>
      </c>
      <c r="R114" s="365">
        <v>0</v>
      </c>
      <c r="S114" s="364">
        <v>0</v>
      </c>
      <c r="T114" s="364">
        <v>0</v>
      </c>
      <c r="U114" s="363">
        <v>0</v>
      </c>
      <c r="V114" s="366">
        <v>0</v>
      </c>
      <c r="W114" s="364">
        <v>5214</v>
      </c>
      <c r="X114" s="366">
        <v>5214</v>
      </c>
      <c r="Y114" s="362">
        <v>579</v>
      </c>
      <c r="Z114" s="366">
        <v>13671</v>
      </c>
      <c r="AA114" s="364">
        <v>0</v>
      </c>
      <c r="AB114" s="364">
        <v>6390</v>
      </c>
      <c r="AC114" s="364">
        <v>46</v>
      </c>
      <c r="AD114" s="364">
        <v>381</v>
      </c>
      <c r="AE114" s="364">
        <v>4</v>
      </c>
      <c r="AF114" s="364">
        <v>5</v>
      </c>
      <c r="AG114" s="364">
        <v>0</v>
      </c>
      <c r="AH114" s="366">
        <v>20497</v>
      </c>
      <c r="AI114" s="362">
        <v>236</v>
      </c>
      <c r="AJ114" s="366">
        <v>0</v>
      </c>
      <c r="AK114" s="364">
        <v>0</v>
      </c>
      <c r="AL114" s="364">
        <v>0</v>
      </c>
      <c r="AM114" s="364">
        <v>0</v>
      </c>
      <c r="AN114" s="364">
        <v>0</v>
      </c>
      <c r="AO114" s="364">
        <v>0</v>
      </c>
      <c r="AP114" s="364">
        <v>0</v>
      </c>
      <c r="AQ114" s="364">
        <v>0</v>
      </c>
      <c r="AR114" s="364">
        <v>0</v>
      </c>
      <c r="AS114" s="364">
        <v>0</v>
      </c>
      <c r="AT114" s="364">
        <v>0</v>
      </c>
      <c r="AU114" s="364">
        <v>0</v>
      </c>
      <c r="AV114" s="366">
        <v>0</v>
      </c>
      <c r="AW114" s="365">
        <v>0</v>
      </c>
      <c r="AX114" s="364">
        <v>118637</v>
      </c>
      <c r="AY114" s="364">
        <v>0</v>
      </c>
      <c r="AZ114" s="364">
        <v>0</v>
      </c>
      <c r="BA114" s="364">
        <v>0</v>
      </c>
      <c r="BB114" s="364">
        <v>11751</v>
      </c>
      <c r="BC114" s="364">
        <v>0</v>
      </c>
      <c r="BD114" s="364">
        <v>0</v>
      </c>
      <c r="BE114" s="363">
        <v>130388</v>
      </c>
      <c r="BF114" s="366">
        <v>0</v>
      </c>
      <c r="BG114" s="364">
        <v>7771</v>
      </c>
      <c r="BH114" s="364">
        <v>33572</v>
      </c>
      <c r="BI114" s="364">
        <v>4673</v>
      </c>
      <c r="BJ114" s="364">
        <v>0</v>
      </c>
      <c r="BK114" s="364">
        <v>0</v>
      </c>
      <c r="BL114" s="366">
        <v>46016</v>
      </c>
      <c r="BM114" s="362">
        <v>0</v>
      </c>
      <c r="BN114" s="366">
        <v>0</v>
      </c>
      <c r="BO114" s="365">
        <v>0</v>
      </c>
      <c r="BP114" s="364">
        <v>0</v>
      </c>
      <c r="BQ114" s="364">
        <v>0</v>
      </c>
      <c r="BR114" s="364">
        <v>0</v>
      </c>
      <c r="BS114" s="364">
        <v>0</v>
      </c>
      <c r="BT114" s="363">
        <v>0</v>
      </c>
      <c r="BU114" s="366">
        <v>84173</v>
      </c>
      <c r="BV114" s="364">
        <v>1507</v>
      </c>
      <c r="BW114" s="364">
        <v>36116</v>
      </c>
      <c r="BX114" s="364">
        <v>216</v>
      </c>
      <c r="BY114" s="364">
        <v>0</v>
      </c>
      <c r="BZ114" s="364">
        <v>75032</v>
      </c>
      <c r="CA114" s="364">
        <v>0</v>
      </c>
      <c r="CB114" s="364">
        <v>181</v>
      </c>
      <c r="CC114" s="364">
        <v>0</v>
      </c>
      <c r="CD114" s="364">
        <v>0</v>
      </c>
      <c r="CE114" s="364">
        <v>0</v>
      </c>
      <c r="CF114" s="366">
        <v>197225</v>
      </c>
      <c r="CG114" s="365">
        <v>9</v>
      </c>
      <c r="CH114" s="364">
        <v>336</v>
      </c>
      <c r="CI114" s="363">
        <v>345</v>
      </c>
      <c r="CJ114" s="366">
        <v>0</v>
      </c>
      <c r="CK114" s="362">
        <v>0</v>
      </c>
      <c r="CL114" s="366">
        <v>4750</v>
      </c>
      <c r="CM114" s="364">
        <v>479</v>
      </c>
      <c r="CN114" s="364">
        <v>2584</v>
      </c>
      <c r="CO114" s="366">
        <v>7813</v>
      </c>
      <c r="CP114" s="362">
        <v>11602</v>
      </c>
      <c r="CQ114" s="366">
        <v>1869</v>
      </c>
      <c r="CR114" s="364">
        <v>0</v>
      </c>
      <c r="CS114" s="364">
        <v>0</v>
      </c>
      <c r="CT114" s="364">
        <v>0</v>
      </c>
      <c r="CU114" s="366">
        <v>1869</v>
      </c>
      <c r="CV114" s="362">
        <v>4552</v>
      </c>
      <c r="CW114" s="366">
        <v>0</v>
      </c>
      <c r="CX114" s="365">
        <v>442</v>
      </c>
      <c r="CY114" s="364">
        <v>1140</v>
      </c>
      <c r="CZ114" s="364">
        <v>1944</v>
      </c>
      <c r="DA114" s="363">
        <v>3526</v>
      </c>
      <c r="DB114" s="362">
        <v>921748</v>
      </c>
      <c r="DC114" s="361">
        <f>921748/921748</f>
        <v>1</v>
      </c>
    </row>
  </sheetData>
  <mergeCells count="23">
    <mergeCell ref="CJ1:DC1"/>
    <mergeCell ref="B2:B3"/>
    <mergeCell ref="C2:F2"/>
    <mergeCell ref="G2:M2"/>
    <mergeCell ref="O2:Q2"/>
    <mergeCell ref="R2:U2"/>
    <mergeCell ref="BO2:BT2"/>
    <mergeCell ref="B1:Y1"/>
    <mergeCell ref="Z1:AV1"/>
    <mergeCell ref="AW1:BN1"/>
    <mergeCell ref="BO1:CI1"/>
    <mergeCell ref="V2:X2"/>
    <mergeCell ref="Z2:AH2"/>
    <mergeCell ref="AJ2:AV2"/>
    <mergeCell ref="AW2:BE2"/>
    <mergeCell ref="BF2:BL2"/>
    <mergeCell ref="DC2:DC3"/>
    <mergeCell ref="BU2:CF2"/>
    <mergeCell ref="CG2:CI2"/>
    <mergeCell ref="CL2:CO2"/>
    <mergeCell ref="CQ2:CU2"/>
    <mergeCell ref="CX2:DA2"/>
    <mergeCell ref="DB2:DB3"/>
  </mergeCells>
  <printOptions horizontalCentered="1" verticalCentered="1"/>
  <pageMargins left="7.874015748031496E-2" right="7.874015748031496E-2" top="7.874015748031496E-2" bottom="7.874015748031496E-2" header="3.937007874015748E-2" footer="3.937007874015748E-2"/>
  <pageSetup scale="61" orientation="landscape" r:id="rId1"/>
  <headerFooter alignWithMargins="0"/>
  <rowBreaks count="1" manualBreakCount="1">
    <brk id="57" min="1" max="106" man="1"/>
  </rowBreaks>
  <colBreaks count="4" manualBreakCount="4">
    <brk id="25" max="113" man="1"/>
    <brk id="48" max="113" man="1"/>
    <brk id="66" max="113" man="1"/>
    <brk id="87" max="11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M70"/>
  <sheetViews>
    <sheetView view="pageBreakPreview" zoomScaleNormal="100" zoomScaleSheetLayoutView="100" workbookViewId="0"/>
  </sheetViews>
  <sheetFormatPr defaultColWidth="9.140625" defaultRowHeight="12.75" x14ac:dyDescent="0.2"/>
  <cols>
    <col min="1" max="1" width="9.140625" style="143"/>
    <col min="2" max="2" width="11.5703125" customWidth="1"/>
    <col min="3" max="3" width="29" style="6" customWidth="1"/>
    <col min="4" max="10" width="8.28515625" customWidth="1"/>
    <col min="11" max="12" width="9.42578125" customWidth="1"/>
  </cols>
  <sheetData>
    <row r="1" spans="2:13" ht="30" customHeight="1" x14ac:dyDescent="0.2">
      <c r="B1" s="514" t="s">
        <v>628</v>
      </c>
      <c r="C1" s="515"/>
      <c r="D1" s="515"/>
      <c r="E1" s="515"/>
      <c r="F1" s="515"/>
      <c r="G1" s="515"/>
      <c r="H1" s="515"/>
      <c r="I1" s="515"/>
      <c r="J1" s="515"/>
      <c r="K1" s="515"/>
      <c r="L1" s="515"/>
    </row>
    <row r="2" spans="2:13" s="163" customFormat="1" ht="12.75" customHeight="1" thickBot="1" x14ac:dyDescent="0.25">
      <c r="B2" s="359"/>
      <c r="C2" s="403"/>
      <c r="D2" s="358"/>
      <c r="E2" s="358"/>
      <c r="F2" s="358"/>
      <c r="G2" s="358"/>
      <c r="H2" s="358"/>
      <c r="I2" s="358"/>
      <c r="J2" s="358"/>
      <c r="K2" s="358"/>
      <c r="L2" s="358"/>
      <c r="M2" s="358"/>
    </row>
    <row r="3" spans="2:13" ht="12.75" customHeight="1" x14ac:dyDescent="0.2">
      <c r="B3" s="37"/>
      <c r="C3" s="404"/>
      <c r="D3" s="405"/>
      <c r="E3" s="516" t="s">
        <v>1</v>
      </c>
      <c r="F3" s="516"/>
      <c r="G3" s="516"/>
      <c r="H3" s="516" t="s">
        <v>508</v>
      </c>
      <c r="I3" s="516"/>
      <c r="J3" s="516"/>
      <c r="K3" s="516" t="s">
        <v>266</v>
      </c>
      <c r="L3" s="516"/>
      <c r="M3" s="163"/>
    </row>
    <row r="4" spans="2:13" ht="25.5" customHeight="1" thickBot="1" x14ac:dyDescent="0.25">
      <c r="B4" s="475" t="s">
        <v>558</v>
      </c>
      <c r="C4" s="475"/>
      <c r="D4" s="475"/>
      <c r="E4" s="183">
        <v>2020</v>
      </c>
      <c r="F4" s="183">
        <v>2021</v>
      </c>
      <c r="G4" s="183">
        <v>2022</v>
      </c>
      <c r="H4" s="183">
        <v>2020</v>
      </c>
      <c r="I4" s="183">
        <v>2021</v>
      </c>
      <c r="J4" s="183">
        <v>2022</v>
      </c>
      <c r="K4" s="183" t="s">
        <v>267</v>
      </c>
      <c r="L4" s="183" t="s">
        <v>594</v>
      </c>
    </row>
    <row r="5" spans="2:13" ht="18" customHeight="1" x14ac:dyDescent="0.2">
      <c r="B5" s="499" t="s">
        <v>302</v>
      </c>
      <c r="C5" s="84" t="s">
        <v>361</v>
      </c>
      <c r="D5" s="500" t="s">
        <v>270</v>
      </c>
      <c r="E5" s="1">
        <v>63</v>
      </c>
      <c r="F5" s="1">
        <v>16</v>
      </c>
      <c r="G5" s="2"/>
      <c r="H5" s="3">
        <v>0.10089524511138515</v>
      </c>
      <c r="I5" s="3">
        <v>1.791893919879943E-2</v>
      </c>
      <c r="J5" s="3"/>
      <c r="K5" s="3">
        <v>-74.603174603174608</v>
      </c>
      <c r="L5" s="3">
        <v>-100</v>
      </c>
    </row>
    <row r="6" spans="2:13" ht="18" customHeight="1" x14ac:dyDescent="0.2">
      <c r="B6" s="499"/>
      <c r="C6" s="84" t="s">
        <v>362</v>
      </c>
      <c r="D6" s="500"/>
      <c r="E6" s="1">
        <v>26</v>
      </c>
      <c r="F6" s="1">
        <v>8</v>
      </c>
      <c r="G6" s="2"/>
      <c r="H6" s="3">
        <v>4.1639307506285937E-2</v>
      </c>
      <c r="I6" s="3">
        <v>8.959469599399715E-3</v>
      </c>
      <c r="J6" s="3"/>
      <c r="K6" s="3">
        <v>-69.230769230769226</v>
      </c>
      <c r="L6" s="3">
        <v>-100</v>
      </c>
    </row>
    <row r="7" spans="2:13" ht="18" customHeight="1" x14ac:dyDescent="0.2">
      <c r="B7" s="499"/>
      <c r="C7" s="84" t="s">
        <v>359</v>
      </c>
      <c r="D7" s="500"/>
      <c r="E7" s="1">
        <v>40</v>
      </c>
      <c r="F7" s="1">
        <v>30</v>
      </c>
      <c r="G7" s="2"/>
      <c r="H7" s="3">
        <v>6.4060473086593739E-2</v>
      </c>
      <c r="I7" s="3">
        <v>3.3598010997748937E-2</v>
      </c>
      <c r="J7" s="3"/>
      <c r="K7" s="3">
        <v>-25</v>
      </c>
      <c r="L7" s="3">
        <v>-100</v>
      </c>
    </row>
    <row r="8" spans="2:13" ht="18" customHeight="1" thickBot="1" x14ac:dyDescent="0.25">
      <c r="B8" s="499"/>
      <c r="C8" s="90" t="s">
        <v>17</v>
      </c>
      <c r="D8" s="87" t="s">
        <v>264</v>
      </c>
      <c r="E8" s="161">
        <v>129</v>
      </c>
      <c r="F8" s="161">
        <v>54</v>
      </c>
      <c r="G8" s="181"/>
      <c r="H8" s="162">
        <v>0.20659502570426483</v>
      </c>
      <c r="I8" s="162">
        <v>6.0476419795948082E-2</v>
      </c>
      <c r="J8" s="162"/>
      <c r="K8" s="162">
        <v>-58.139534883720927</v>
      </c>
      <c r="L8" s="162">
        <v>-100</v>
      </c>
    </row>
    <row r="9" spans="2:13" ht="18" customHeight="1" x14ac:dyDescent="0.2">
      <c r="B9" s="473" t="s">
        <v>307</v>
      </c>
      <c r="C9" s="96" t="s">
        <v>367</v>
      </c>
      <c r="D9" s="467" t="s">
        <v>270</v>
      </c>
      <c r="E9" s="184">
        <v>91</v>
      </c>
      <c r="F9" s="185"/>
      <c r="G9" s="184">
        <v>526</v>
      </c>
      <c r="H9" s="186">
        <v>0.14573757627200076</v>
      </c>
      <c r="I9" s="186"/>
      <c r="J9" s="186">
        <v>5.7065488615109551E-2</v>
      </c>
      <c r="K9" s="186">
        <v>-100</v>
      </c>
      <c r="L9" s="186"/>
    </row>
    <row r="10" spans="2:13" ht="18" customHeight="1" x14ac:dyDescent="0.2">
      <c r="B10" s="474"/>
      <c r="C10" s="98" t="s">
        <v>370</v>
      </c>
      <c r="D10" s="501"/>
      <c r="E10" s="187">
        <v>1452</v>
      </c>
      <c r="F10" s="188"/>
      <c r="G10" s="187">
        <v>23167</v>
      </c>
      <c r="H10" s="189">
        <v>2.3253951730433529</v>
      </c>
      <c r="I10" s="189"/>
      <c r="J10" s="189">
        <v>2.5133767580727056</v>
      </c>
      <c r="K10" s="189">
        <v>-100</v>
      </c>
      <c r="L10" s="189"/>
    </row>
    <row r="11" spans="2:13" ht="18" customHeight="1" x14ac:dyDescent="0.2">
      <c r="B11" s="474"/>
      <c r="C11" s="98" t="s">
        <v>369</v>
      </c>
      <c r="D11" s="501"/>
      <c r="E11" s="188"/>
      <c r="F11" s="188"/>
      <c r="G11" s="187">
        <v>39</v>
      </c>
      <c r="H11" s="189"/>
      <c r="I11" s="189"/>
      <c r="J11" s="189">
        <v>4.2310913611963361E-3</v>
      </c>
      <c r="K11" s="189"/>
      <c r="L11" s="189"/>
    </row>
    <row r="12" spans="2:13" ht="18" customHeight="1" x14ac:dyDescent="0.2">
      <c r="B12" s="474"/>
      <c r="C12" s="98" t="s">
        <v>368</v>
      </c>
      <c r="D12" s="501"/>
      <c r="E12" s="188"/>
      <c r="F12" s="188"/>
      <c r="G12" s="187">
        <v>479</v>
      </c>
      <c r="H12" s="189"/>
      <c r="I12" s="189"/>
      <c r="J12" s="189">
        <v>5.1966481077257556E-2</v>
      </c>
      <c r="K12" s="189"/>
      <c r="L12" s="189"/>
    </row>
    <row r="13" spans="2:13" ht="18" customHeight="1" x14ac:dyDescent="0.2">
      <c r="B13" s="474"/>
      <c r="C13" s="98" t="s">
        <v>606</v>
      </c>
      <c r="D13" s="501"/>
      <c r="E13" s="187">
        <v>35</v>
      </c>
      <c r="F13" s="188"/>
      <c r="G13" s="187">
        <v>978</v>
      </c>
      <c r="H13" s="189">
        <v>5.6052913950769528E-2</v>
      </c>
      <c r="I13" s="189"/>
      <c r="J13" s="189">
        <v>0.10610275259615426</v>
      </c>
      <c r="K13" s="189">
        <v>-100</v>
      </c>
      <c r="L13" s="189"/>
    </row>
    <row r="14" spans="2:13" ht="18" customHeight="1" thickBot="1" x14ac:dyDescent="0.25">
      <c r="B14" s="475"/>
      <c r="C14" s="157" t="s">
        <v>17</v>
      </c>
      <c r="D14" s="104" t="s">
        <v>264</v>
      </c>
      <c r="E14" s="190">
        <v>1578</v>
      </c>
      <c r="F14" s="191"/>
      <c r="G14" s="190">
        <v>25189</v>
      </c>
      <c r="H14" s="192">
        <v>2.5271856632661232</v>
      </c>
      <c r="I14" s="192"/>
      <c r="J14" s="192">
        <v>2.7327425717224232</v>
      </c>
      <c r="K14" s="192">
        <v>-100</v>
      </c>
      <c r="L14" s="192"/>
    </row>
    <row r="15" spans="2:13" ht="18" customHeight="1" thickBot="1" x14ac:dyDescent="0.25">
      <c r="B15" s="182" t="s">
        <v>310</v>
      </c>
      <c r="C15" s="90" t="s">
        <v>378</v>
      </c>
      <c r="D15" s="87" t="s">
        <v>270</v>
      </c>
      <c r="E15" s="161">
        <v>1644</v>
      </c>
      <c r="F15" s="161">
        <v>8605</v>
      </c>
      <c r="G15" s="161">
        <v>466697</v>
      </c>
      <c r="H15" s="162">
        <v>2.6328854438590028</v>
      </c>
      <c r="I15" s="162">
        <v>9.6370294878543188</v>
      </c>
      <c r="J15" s="162">
        <v>50.631734487083236</v>
      </c>
      <c r="K15" s="162">
        <v>423.41849148418493</v>
      </c>
      <c r="L15" s="162">
        <v>5323.556072051133</v>
      </c>
    </row>
    <row r="16" spans="2:13" ht="18" customHeight="1" x14ac:dyDescent="0.2">
      <c r="B16" s="473" t="s">
        <v>312</v>
      </c>
      <c r="C16" s="96" t="s">
        <v>614</v>
      </c>
      <c r="D16" s="467" t="s">
        <v>270</v>
      </c>
      <c r="E16" s="185"/>
      <c r="F16" s="185"/>
      <c r="G16" s="184">
        <v>5214</v>
      </c>
      <c r="H16" s="186"/>
      <c r="I16" s="186"/>
      <c r="J16" s="186">
        <v>0.5656643681353255</v>
      </c>
      <c r="K16" s="186"/>
      <c r="L16" s="186"/>
    </row>
    <row r="17" spans="2:12" ht="18" customHeight="1" x14ac:dyDescent="0.2">
      <c r="B17" s="474"/>
      <c r="C17" s="98" t="s">
        <v>501</v>
      </c>
      <c r="D17" s="501"/>
      <c r="E17" s="187">
        <v>32</v>
      </c>
      <c r="F17" s="187">
        <v>9</v>
      </c>
      <c r="G17" s="188"/>
      <c r="H17" s="189">
        <v>5.1248378469274998E-2</v>
      </c>
      <c r="I17" s="189">
        <v>1.007940329932468E-2</v>
      </c>
      <c r="J17" s="189"/>
      <c r="K17" s="189">
        <v>-71.875</v>
      </c>
      <c r="L17" s="189">
        <v>-100</v>
      </c>
    </row>
    <row r="18" spans="2:12" ht="18" customHeight="1" thickBot="1" x14ac:dyDescent="0.25">
      <c r="B18" s="475"/>
      <c r="C18" s="157" t="s">
        <v>17</v>
      </c>
      <c r="D18" s="104" t="s">
        <v>264</v>
      </c>
      <c r="E18" s="190">
        <v>32</v>
      </c>
      <c r="F18" s="190">
        <v>9</v>
      </c>
      <c r="G18" s="190">
        <v>5214</v>
      </c>
      <c r="H18" s="192">
        <v>5.1248378469274998E-2</v>
      </c>
      <c r="I18" s="192">
        <v>1.007940329932468E-2</v>
      </c>
      <c r="J18" s="192">
        <v>0.5656643681353255</v>
      </c>
      <c r="K18" s="192">
        <v>-71.875</v>
      </c>
      <c r="L18" s="192">
        <v>57833.333333333336</v>
      </c>
    </row>
    <row r="19" spans="2:12" ht="18" customHeight="1" thickBot="1" x14ac:dyDescent="0.25">
      <c r="B19" s="182" t="s">
        <v>314</v>
      </c>
      <c r="C19" s="90" t="s">
        <v>384</v>
      </c>
      <c r="D19" s="87" t="s">
        <v>270</v>
      </c>
      <c r="E19" s="161">
        <v>1386</v>
      </c>
      <c r="F19" s="161">
        <v>69</v>
      </c>
      <c r="G19" s="161">
        <v>579</v>
      </c>
      <c r="H19" s="162">
        <v>2.2196953924504732</v>
      </c>
      <c r="I19" s="162">
        <v>7.727542529482255E-2</v>
      </c>
      <c r="J19" s="162">
        <v>6.281543328545329E-2</v>
      </c>
      <c r="K19" s="162">
        <v>-95.021645021645028</v>
      </c>
      <c r="L19" s="162">
        <v>739.13043478260875</v>
      </c>
    </row>
    <row r="20" spans="2:12" ht="18" customHeight="1" x14ac:dyDescent="0.2">
      <c r="B20" s="473" t="s">
        <v>315</v>
      </c>
      <c r="C20" s="96" t="s">
        <v>391</v>
      </c>
      <c r="D20" s="467" t="s">
        <v>270</v>
      </c>
      <c r="E20" s="185"/>
      <c r="F20" s="184">
        <v>60</v>
      </c>
      <c r="G20" s="184">
        <v>6390</v>
      </c>
      <c r="H20" s="186"/>
      <c r="I20" s="186">
        <v>6.7196021995497873E-2</v>
      </c>
      <c r="J20" s="186">
        <v>0.69324804610370727</v>
      </c>
      <c r="K20" s="186"/>
      <c r="L20" s="186">
        <v>10550</v>
      </c>
    </row>
    <row r="21" spans="2:12" ht="18" customHeight="1" x14ac:dyDescent="0.2">
      <c r="B21" s="474"/>
      <c r="C21" s="98" t="s">
        <v>386</v>
      </c>
      <c r="D21" s="501"/>
      <c r="E21" s="188"/>
      <c r="F21" s="188"/>
      <c r="G21" s="187">
        <v>4</v>
      </c>
      <c r="H21" s="189"/>
      <c r="I21" s="189"/>
      <c r="J21" s="189">
        <v>4.3395808832782928E-4</v>
      </c>
      <c r="K21" s="189"/>
      <c r="L21" s="189"/>
    </row>
    <row r="22" spans="2:12" ht="18" customHeight="1" x14ac:dyDescent="0.2">
      <c r="B22" s="474"/>
      <c r="C22" s="98" t="s">
        <v>385</v>
      </c>
      <c r="D22" s="501"/>
      <c r="E22" s="188"/>
      <c r="F22" s="187">
        <v>1</v>
      </c>
      <c r="G22" s="187">
        <v>5</v>
      </c>
      <c r="H22" s="189"/>
      <c r="I22" s="189">
        <v>1.1199336999249644E-3</v>
      </c>
      <c r="J22" s="189">
        <v>5.4244761040978667E-4</v>
      </c>
      <c r="K22" s="189"/>
      <c r="L22" s="189">
        <v>400</v>
      </c>
    </row>
    <row r="23" spans="2:12" ht="18" customHeight="1" x14ac:dyDescent="0.2">
      <c r="B23" s="474"/>
      <c r="C23" s="98" t="s">
        <v>608</v>
      </c>
      <c r="D23" s="501"/>
      <c r="E23" s="188"/>
      <c r="F23" s="188"/>
      <c r="G23" s="187">
        <v>381</v>
      </c>
      <c r="H23" s="189"/>
      <c r="I23" s="189"/>
      <c r="J23" s="189">
        <v>4.1334507913225738E-2</v>
      </c>
      <c r="K23" s="189"/>
      <c r="L23" s="189"/>
    </row>
    <row r="24" spans="2:12" ht="18" customHeight="1" x14ac:dyDescent="0.2">
      <c r="B24" s="474"/>
      <c r="C24" s="98" t="s">
        <v>390</v>
      </c>
      <c r="D24" s="501"/>
      <c r="E24" s="188"/>
      <c r="F24" s="187">
        <v>2</v>
      </c>
      <c r="G24" s="187">
        <v>46</v>
      </c>
      <c r="H24" s="189"/>
      <c r="I24" s="189">
        <v>2.2398673998499288E-3</v>
      </c>
      <c r="J24" s="189">
        <v>4.9905180157700365E-3</v>
      </c>
      <c r="K24" s="189"/>
      <c r="L24" s="189">
        <v>2200</v>
      </c>
    </row>
    <row r="25" spans="2:12" ht="18" customHeight="1" x14ac:dyDescent="0.2">
      <c r="B25" s="474"/>
      <c r="C25" s="98" t="s">
        <v>387</v>
      </c>
      <c r="D25" s="501"/>
      <c r="E25" s="188"/>
      <c r="F25" s="187">
        <v>7</v>
      </c>
      <c r="G25" s="187">
        <v>13671</v>
      </c>
      <c r="H25" s="189"/>
      <c r="I25" s="189">
        <v>7.8395358994747515E-3</v>
      </c>
      <c r="J25" s="189">
        <v>1.4831602563824386</v>
      </c>
      <c r="K25" s="189"/>
      <c r="L25" s="189">
        <v>195200</v>
      </c>
    </row>
    <row r="26" spans="2:12" ht="18" customHeight="1" thickBot="1" x14ac:dyDescent="0.25">
      <c r="B26" s="475"/>
      <c r="C26" s="157" t="s">
        <v>17</v>
      </c>
      <c r="D26" s="104" t="s">
        <v>264</v>
      </c>
      <c r="E26" s="191"/>
      <c r="F26" s="190">
        <v>70</v>
      </c>
      <c r="G26" s="190">
        <v>20497</v>
      </c>
      <c r="H26" s="192"/>
      <c r="I26" s="192">
        <v>7.8395358994747505E-2</v>
      </c>
      <c r="J26" s="192">
        <v>2.2237097341138794</v>
      </c>
      <c r="K26" s="192"/>
      <c r="L26" s="192">
        <v>29181.428571428572</v>
      </c>
    </row>
    <row r="27" spans="2:12" ht="18" customHeight="1" thickBot="1" x14ac:dyDescent="0.25">
      <c r="B27" s="182" t="s">
        <v>324</v>
      </c>
      <c r="C27" s="90" t="s">
        <v>406</v>
      </c>
      <c r="D27" s="87" t="s">
        <v>270</v>
      </c>
      <c r="E27" s="161">
        <v>480</v>
      </c>
      <c r="F27" s="161">
        <v>420</v>
      </c>
      <c r="G27" s="161">
        <v>236</v>
      </c>
      <c r="H27" s="162">
        <v>0.76872567703912498</v>
      </c>
      <c r="I27" s="162">
        <v>0.47037215396848508</v>
      </c>
      <c r="J27" s="162">
        <v>2.5603527211341928E-2</v>
      </c>
      <c r="K27" s="162">
        <v>-12.5</v>
      </c>
      <c r="L27" s="162">
        <v>-43.80952380952381</v>
      </c>
    </row>
    <row r="28" spans="2:12" ht="18" customHeight="1" x14ac:dyDescent="0.2">
      <c r="B28" s="473" t="s">
        <v>326</v>
      </c>
      <c r="C28" s="96" t="s">
        <v>412</v>
      </c>
      <c r="D28" s="467" t="s">
        <v>270</v>
      </c>
      <c r="E28" s="184">
        <v>1</v>
      </c>
      <c r="F28" s="184">
        <v>4</v>
      </c>
      <c r="G28" s="185"/>
      <c r="H28" s="186">
        <v>1.6015118271648437E-3</v>
      </c>
      <c r="I28" s="186">
        <v>4.4797347996998575E-3</v>
      </c>
      <c r="J28" s="186"/>
      <c r="K28" s="186">
        <v>300</v>
      </c>
      <c r="L28" s="186">
        <v>-100</v>
      </c>
    </row>
    <row r="29" spans="2:12" ht="18" customHeight="1" x14ac:dyDescent="0.2">
      <c r="B29" s="474"/>
      <c r="C29" s="98" t="s">
        <v>410</v>
      </c>
      <c r="D29" s="501"/>
      <c r="E29" s="187">
        <v>12</v>
      </c>
      <c r="F29" s="187">
        <v>1</v>
      </c>
      <c r="G29" s="188"/>
      <c r="H29" s="189">
        <v>1.9218141925978122E-2</v>
      </c>
      <c r="I29" s="189">
        <v>1.1199336999249644E-3</v>
      </c>
      <c r="J29" s="189"/>
      <c r="K29" s="189">
        <v>-91.666666666666671</v>
      </c>
      <c r="L29" s="189">
        <v>-100</v>
      </c>
    </row>
    <row r="30" spans="2:12" ht="18" customHeight="1" x14ac:dyDescent="0.2">
      <c r="B30" s="474"/>
      <c r="C30" s="98" t="s">
        <v>423</v>
      </c>
      <c r="D30" s="501"/>
      <c r="E30" s="187">
        <v>2362</v>
      </c>
      <c r="F30" s="188"/>
      <c r="G30" s="188"/>
      <c r="H30" s="189">
        <v>3.7827709357633608</v>
      </c>
      <c r="I30" s="189"/>
      <c r="J30" s="189"/>
      <c r="K30" s="189">
        <v>-100</v>
      </c>
      <c r="L30" s="189"/>
    </row>
    <row r="31" spans="2:12" ht="18" customHeight="1" x14ac:dyDescent="0.2">
      <c r="B31" s="474"/>
      <c r="C31" s="98" t="s">
        <v>421</v>
      </c>
      <c r="D31" s="501"/>
      <c r="E31" s="187">
        <v>436</v>
      </c>
      <c r="F31" s="187">
        <v>38</v>
      </c>
      <c r="G31" s="188"/>
      <c r="H31" s="189">
        <v>0.69825915664387184</v>
      </c>
      <c r="I31" s="189">
        <v>4.2557480597148652E-2</v>
      </c>
      <c r="J31" s="189"/>
      <c r="K31" s="189">
        <v>-91.284403669724767</v>
      </c>
      <c r="L31" s="189">
        <v>-100</v>
      </c>
    </row>
    <row r="32" spans="2:12" ht="18" customHeight="1" thickBot="1" x14ac:dyDescent="0.25">
      <c r="B32" s="475"/>
      <c r="C32" s="157" t="s">
        <v>17</v>
      </c>
      <c r="D32" s="104" t="s">
        <v>264</v>
      </c>
      <c r="E32" s="190">
        <v>2811</v>
      </c>
      <c r="F32" s="190">
        <v>43</v>
      </c>
      <c r="G32" s="191"/>
      <c r="H32" s="192">
        <v>4.5018497461603753</v>
      </c>
      <c r="I32" s="192">
        <v>4.8157149096773474E-2</v>
      </c>
      <c r="J32" s="192"/>
      <c r="K32" s="192">
        <v>-98.470295268587691</v>
      </c>
      <c r="L32" s="192">
        <v>-100</v>
      </c>
    </row>
    <row r="33" spans="2:12" ht="18" customHeight="1" x14ac:dyDescent="0.2">
      <c r="B33" s="499" t="s">
        <v>329</v>
      </c>
      <c r="C33" s="84" t="s">
        <v>440</v>
      </c>
      <c r="D33" s="500" t="s">
        <v>270</v>
      </c>
      <c r="E33" s="2"/>
      <c r="F33" s="1">
        <v>1699</v>
      </c>
      <c r="G33" s="1">
        <v>118637</v>
      </c>
      <c r="H33" s="3"/>
      <c r="I33" s="3">
        <v>1.9027673561725147</v>
      </c>
      <c r="J33" s="3">
        <v>12.870871431237171</v>
      </c>
      <c r="K33" s="3"/>
      <c r="L33" s="3">
        <v>6882.7545615067684</v>
      </c>
    </row>
    <row r="34" spans="2:12" ht="18" customHeight="1" x14ac:dyDescent="0.2">
      <c r="B34" s="499"/>
      <c r="C34" s="84" t="s">
        <v>439</v>
      </c>
      <c r="D34" s="500"/>
      <c r="E34" s="2"/>
      <c r="F34" s="2"/>
      <c r="G34" s="1">
        <v>11751</v>
      </c>
      <c r="H34" s="3"/>
      <c r="I34" s="3"/>
      <c r="J34" s="3">
        <v>1.2748603739850806</v>
      </c>
      <c r="K34" s="3"/>
      <c r="L34" s="3"/>
    </row>
    <row r="35" spans="2:12" ht="18" customHeight="1" thickBot="1" x14ac:dyDescent="0.25">
      <c r="B35" s="499"/>
      <c r="C35" s="90" t="s">
        <v>17</v>
      </c>
      <c r="D35" s="87" t="s">
        <v>264</v>
      </c>
      <c r="E35" s="181"/>
      <c r="F35" s="161">
        <v>1699</v>
      </c>
      <c r="G35" s="161">
        <v>130388</v>
      </c>
      <c r="H35" s="162"/>
      <c r="I35" s="162">
        <v>1.9027673561725147</v>
      </c>
      <c r="J35" s="162">
        <v>14.145731805222251</v>
      </c>
      <c r="K35" s="162"/>
      <c r="L35" s="162">
        <v>7574.3967039434965</v>
      </c>
    </row>
    <row r="36" spans="2:12" ht="18" customHeight="1" x14ac:dyDescent="0.2">
      <c r="B36" s="473" t="s">
        <v>330</v>
      </c>
      <c r="C36" s="96" t="s">
        <v>441</v>
      </c>
      <c r="D36" s="467" t="s">
        <v>270</v>
      </c>
      <c r="E36" s="185"/>
      <c r="F36" s="185"/>
      <c r="G36" s="184">
        <v>7771</v>
      </c>
      <c r="H36" s="186"/>
      <c r="I36" s="186"/>
      <c r="J36" s="186">
        <v>0.84307207609889034</v>
      </c>
      <c r="K36" s="186"/>
      <c r="L36" s="186"/>
    </row>
    <row r="37" spans="2:12" ht="18" customHeight="1" x14ac:dyDescent="0.2">
      <c r="B37" s="474"/>
      <c r="C37" s="98" t="s">
        <v>445</v>
      </c>
      <c r="D37" s="501"/>
      <c r="E37" s="188"/>
      <c r="F37" s="188"/>
      <c r="G37" s="187">
        <v>4673</v>
      </c>
      <c r="H37" s="189"/>
      <c r="I37" s="189"/>
      <c r="J37" s="189">
        <v>0.50697153668898653</v>
      </c>
      <c r="K37" s="189"/>
      <c r="L37" s="189"/>
    </row>
    <row r="38" spans="2:12" ht="18" customHeight="1" x14ac:dyDescent="0.2">
      <c r="B38" s="474"/>
      <c r="C38" s="98" t="s">
        <v>442</v>
      </c>
      <c r="D38" s="501"/>
      <c r="E38" s="188"/>
      <c r="F38" s="188"/>
      <c r="G38" s="187">
        <v>33572</v>
      </c>
      <c r="H38" s="189"/>
      <c r="I38" s="189"/>
      <c r="J38" s="189">
        <v>3.6422102353354715</v>
      </c>
      <c r="K38" s="189"/>
      <c r="L38" s="189"/>
    </row>
    <row r="39" spans="2:12" ht="18" customHeight="1" thickBot="1" x14ac:dyDescent="0.25">
      <c r="B39" s="475"/>
      <c r="C39" s="157" t="s">
        <v>17</v>
      </c>
      <c r="D39" s="104" t="s">
        <v>264</v>
      </c>
      <c r="E39" s="191"/>
      <c r="F39" s="191"/>
      <c r="G39" s="190">
        <v>46016</v>
      </c>
      <c r="H39" s="192"/>
      <c r="I39" s="192"/>
      <c r="J39" s="192">
        <v>4.9922538481233483</v>
      </c>
      <c r="K39" s="192"/>
      <c r="L39" s="192"/>
    </row>
    <row r="40" spans="2:12" ht="18" customHeight="1" thickBot="1" x14ac:dyDescent="0.25">
      <c r="B40" s="182" t="s">
        <v>333</v>
      </c>
      <c r="C40" s="90" t="s">
        <v>449</v>
      </c>
      <c r="D40" s="87" t="s">
        <v>270</v>
      </c>
      <c r="E40" s="161">
        <v>1</v>
      </c>
      <c r="F40" s="161">
        <v>39</v>
      </c>
      <c r="G40" s="181"/>
      <c r="H40" s="162">
        <v>1.6015118271648437E-3</v>
      </c>
      <c r="I40" s="162">
        <v>4.3677414297073613E-2</v>
      </c>
      <c r="J40" s="162"/>
      <c r="K40" s="162">
        <v>3800</v>
      </c>
      <c r="L40" s="162">
        <v>-100</v>
      </c>
    </row>
    <row r="41" spans="2:12" ht="18" customHeight="1" thickBot="1" x14ac:dyDescent="0.25">
      <c r="B41" s="195" t="s">
        <v>337</v>
      </c>
      <c r="C41" s="103" t="s">
        <v>453</v>
      </c>
      <c r="D41" s="92" t="s">
        <v>270</v>
      </c>
      <c r="E41" s="193">
        <v>3985</v>
      </c>
      <c r="F41" s="193">
        <v>1207</v>
      </c>
      <c r="G41" s="406"/>
      <c r="H41" s="194">
        <v>6.3820246312519018</v>
      </c>
      <c r="I41" s="194">
        <v>1.3517599758094321</v>
      </c>
      <c r="J41" s="194"/>
      <c r="K41" s="194">
        <v>-69.711417816813054</v>
      </c>
      <c r="L41" s="194">
        <v>-100</v>
      </c>
    </row>
    <row r="42" spans="2:12" ht="18" customHeight="1" x14ac:dyDescent="0.2">
      <c r="B42" s="499" t="s">
        <v>342</v>
      </c>
      <c r="C42" s="84" t="s">
        <v>426</v>
      </c>
      <c r="D42" s="500" t="s">
        <v>270</v>
      </c>
      <c r="E42" s="1">
        <v>4881</v>
      </c>
      <c r="F42" s="1">
        <v>231</v>
      </c>
      <c r="G42" s="2"/>
      <c r="H42" s="3">
        <v>7.8169792283916015</v>
      </c>
      <c r="I42" s="3">
        <v>0.25870468468266677</v>
      </c>
      <c r="J42" s="3"/>
      <c r="K42" s="3">
        <v>-95.267363245236638</v>
      </c>
      <c r="L42" s="3">
        <v>-100</v>
      </c>
    </row>
    <row r="43" spans="2:12" ht="18" customHeight="1" x14ac:dyDescent="0.2">
      <c r="B43" s="499"/>
      <c r="C43" s="84" t="s">
        <v>429</v>
      </c>
      <c r="D43" s="500"/>
      <c r="E43" s="1">
        <v>3</v>
      </c>
      <c r="F43" s="1">
        <v>1</v>
      </c>
      <c r="G43" s="2"/>
      <c r="H43" s="3">
        <v>4.8045354814945304E-3</v>
      </c>
      <c r="I43" s="3">
        <v>1.1199336999249644E-3</v>
      </c>
      <c r="J43" s="3"/>
      <c r="K43" s="3">
        <v>-66.666666666666671</v>
      </c>
      <c r="L43" s="3">
        <v>-100</v>
      </c>
    </row>
    <row r="44" spans="2:12" ht="18" customHeight="1" x14ac:dyDescent="0.2">
      <c r="B44" s="499"/>
      <c r="C44" s="84" t="s">
        <v>425</v>
      </c>
      <c r="D44" s="500"/>
      <c r="E44" s="1">
        <v>580</v>
      </c>
      <c r="F44" s="1">
        <v>14</v>
      </c>
      <c r="G44" s="2"/>
      <c r="H44" s="3">
        <v>0.9288768597556093</v>
      </c>
      <c r="I44" s="3">
        <v>1.5679071798949503E-2</v>
      </c>
      <c r="J44" s="3"/>
      <c r="K44" s="3">
        <v>-97.58620689655173</v>
      </c>
      <c r="L44" s="3">
        <v>-100</v>
      </c>
    </row>
    <row r="45" spans="2:12" ht="18" customHeight="1" x14ac:dyDescent="0.2">
      <c r="B45" s="499"/>
      <c r="C45" s="84" t="s">
        <v>427</v>
      </c>
      <c r="D45" s="500"/>
      <c r="E45" s="1">
        <v>239</v>
      </c>
      <c r="F45" s="1">
        <v>4</v>
      </c>
      <c r="G45" s="2"/>
      <c r="H45" s="3">
        <v>0.3827613266923976</v>
      </c>
      <c r="I45" s="3">
        <v>4.4797347996998575E-3</v>
      </c>
      <c r="J45" s="3"/>
      <c r="K45" s="3">
        <v>-98.326359832635987</v>
      </c>
      <c r="L45" s="3">
        <v>-100</v>
      </c>
    </row>
    <row r="46" spans="2:12" ht="18" customHeight="1" thickBot="1" x14ac:dyDescent="0.25">
      <c r="B46" s="499"/>
      <c r="C46" s="90" t="s">
        <v>17</v>
      </c>
      <c r="D46" s="87" t="s">
        <v>264</v>
      </c>
      <c r="E46" s="161">
        <v>5703</v>
      </c>
      <c r="F46" s="161">
        <v>250</v>
      </c>
      <c r="G46" s="181"/>
      <c r="H46" s="162">
        <v>9.1334219503211038</v>
      </c>
      <c r="I46" s="162">
        <v>0.27998342498124112</v>
      </c>
      <c r="J46" s="162"/>
      <c r="K46" s="162">
        <v>-95.616342275995095</v>
      </c>
      <c r="L46" s="162">
        <v>-100</v>
      </c>
    </row>
    <row r="47" spans="2:12" ht="18" customHeight="1" x14ac:dyDescent="0.2">
      <c r="B47" s="473" t="s">
        <v>343</v>
      </c>
      <c r="C47" s="96" t="s">
        <v>460</v>
      </c>
      <c r="D47" s="467" t="s">
        <v>270</v>
      </c>
      <c r="E47" s="184">
        <v>22</v>
      </c>
      <c r="F47" s="185"/>
      <c r="G47" s="184">
        <v>84173</v>
      </c>
      <c r="H47" s="186">
        <v>3.5233260197626556E-2</v>
      </c>
      <c r="I47" s="186"/>
      <c r="J47" s="186">
        <v>9.1318885422045941</v>
      </c>
      <c r="K47" s="186">
        <v>-100</v>
      </c>
      <c r="L47" s="186"/>
    </row>
    <row r="48" spans="2:12" ht="18" customHeight="1" x14ac:dyDescent="0.2">
      <c r="B48" s="474"/>
      <c r="C48" s="98" t="s">
        <v>469</v>
      </c>
      <c r="D48" s="501"/>
      <c r="E48" s="188"/>
      <c r="F48" s="188"/>
      <c r="G48" s="187">
        <v>181</v>
      </c>
      <c r="H48" s="189"/>
      <c r="I48" s="189"/>
      <c r="J48" s="189">
        <v>1.9636603496834274E-2</v>
      </c>
      <c r="K48" s="189"/>
      <c r="L48" s="189"/>
    </row>
    <row r="49" spans="2:12" ht="18" customHeight="1" x14ac:dyDescent="0.2">
      <c r="B49" s="474"/>
      <c r="C49" s="98" t="s">
        <v>467</v>
      </c>
      <c r="D49" s="501"/>
      <c r="E49" s="188"/>
      <c r="F49" s="187">
        <v>196</v>
      </c>
      <c r="G49" s="187">
        <v>1507</v>
      </c>
      <c r="H49" s="189"/>
      <c r="I49" s="189">
        <v>0.21950700518529304</v>
      </c>
      <c r="J49" s="189">
        <v>0.16349370977750968</v>
      </c>
      <c r="K49" s="189"/>
      <c r="L49" s="189">
        <v>668.87755102040819</v>
      </c>
    </row>
    <row r="50" spans="2:12" ht="18" customHeight="1" x14ac:dyDescent="0.2">
      <c r="B50" s="474"/>
      <c r="C50" s="98" t="s">
        <v>466</v>
      </c>
      <c r="D50" s="501"/>
      <c r="E50" s="188"/>
      <c r="F50" s="187">
        <v>45116</v>
      </c>
      <c r="G50" s="187">
        <v>36116</v>
      </c>
      <c r="H50" s="189"/>
      <c r="I50" s="189">
        <v>50.526928805814698</v>
      </c>
      <c r="J50" s="189">
        <v>3.9182075795119706</v>
      </c>
      <c r="K50" s="189"/>
      <c r="L50" s="189">
        <v>-19.948577001507225</v>
      </c>
    </row>
    <row r="51" spans="2:12" ht="18" customHeight="1" x14ac:dyDescent="0.2">
      <c r="B51" s="474"/>
      <c r="C51" s="98" t="s">
        <v>461</v>
      </c>
      <c r="D51" s="501"/>
      <c r="E51" s="188"/>
      <c r="F51" s="188"/>
      <c r="G51" s="187">
        <v>216</v>
      </c>
      <c r="H51" s="189"/>
      <c r="I51" s="189"/>
      <c r="J51" s="189">
        <v>2.3433736769702781E-2</v>
      </c>
      <c r="K51" s="189"/>
      <c r="L51" s="189"/>
    </row>
    <row r="52" spans="2:12" ht="18" customHeight="1" x14ac:dyDescent="0.2">
      <c r="B52" s="474"/>
      <c r="C52" s="98" t="s">
        <v>462</v>
      </c>
      <c r="D52" s="501"/>
      <c r="E52" s="188"/>
      <c r="F52" s="188"/>
      <c r="G52" s="187">
        <v>75032</v>
      </c>
      <c r="H52" s="189"/>
      <c r="I52" s="189"/>
      <c r="J52" s="189">
        <v>8.1401858208534215</v>
      </c>
      <c r="K52" s="189"/>
      <c r="L52" s="189"/>
    </row>
    <row r="53" spans="2:12" ht="18" customHeight="1" thickBot="1" x14ac:dyDescent="0.25">
      <c r="B53" s="475"/>
      <c r="C53" s="157" t="s">
        <v>17</v>
      </c>
      <c r="D53" s="104" t="s">
        <v>264</v>
      </c>
      <c r="E53" s="190">
        <v>22</v>
      </c>
      <c r="F53" s="190">
        <v>45312</v>
      </c>
      <c r="G53" s="190">
        <v>197225</v>
      </c>
      <c r="H53" s="192">
        <v>3.5233260197626556E-2</v>
      </c>
      <c r="I53" s="192">
        <v>50.746435810999991</v>
      </c>
      <c r="J53" s="192">
        <v>21.396845992614033</v>
      </c>
      <c r="K53" s="192">
        <v>205863.63636363635</v>
      </c>
      <c r="L53" s="192">
        <v>335.25997528248587</v>
      </c>
    </row>
    <row r="54" spans="2:12" ht="18" customHeight="1" x14ac:dyDescent="0.2">
      <c r="B54" s="499" t="s">
        <v>345</v>
      </c>
      <c r="C54" s="84" t="s">
        <v>473</v>
      </c>
      <c r="D54" s="500" t="s">
        <v>270</v>
      </c>
      <c r="E54" s="1">
        <v>39</v>
      </c>
      <c r="F54" s="1">
        <v>24</v>
      </c>
      <c r="G54" s="1">
        <v>9</v>
      </c>
      <c r="H54" s="3">
        <v>6.2458961259428902E-2</v>
      </c>
      <c r="I54" s="3">
        <v>2.6878408798199145E-2</v>
      </c>
      <c r="J54" s="3">
        <v>9.764056987376159E-4</v>
      </c>
      <c r="K54" s="3">
        <v>-38.46153846153846</v>
      </c>
      <c r="L54" s="3">
        <v>-62.5</v>
      </c>
    </row>
    <row r="55" spans="2:12" ht="18" customHeight="1" x14ac:dyDescent="0.2">
      <c r="B55" s="499"/>
      <c r="C55" s="84" t="s">
        <v>474</v>
      </c>
      <c r="D55" s="500"/>
      <c r="E55" s="1">
        <v>88</v>
      </c>
      <c r="F55" s="1">
        <v>108</v>
      </c>
      <c r="G55" s="1">
        <v>336</v>
      </c>
      <c r="H55" s="3">
        <v>0.14093304079050623</v>
      </c>
      <c r="I55" s="3">
        <v>0.12095283959189616</v>
      </c>
      <c r="J55" s="3">
        <v>3.6452479419537664E-2</v>
      </c>
      <c r="K55" s="3">
        <v>22.727272727272727</v>
      </c>
      <c r="L55" s="3">
        <v>211.11111111111111</v>
      </c>
    </row>
    <row r="56" spans="2:12" ht="18" customHeight="1" thickBot="1" x14ac:dyDescent="0.25">
      <c r="B56" s="499"/>
      <c r="C56" s="90" t="s">
        <v>17</v>
      </c>
      <c r="D56" s="87" t="s">
        <v>264</v>
      </c>
      <c r="E56" s="161">
        <v>127</v>
      </c>
      <c r="F56" s="161">
        <v>132</v>
      </c>
      <c r="G56" s="161">
        <v>345</v>
      </c>
      <c r="H56" s="162">
        <v>0.20339200204993513</v>
      </c>
      <c r="I56" s="162">
        <v>0.14783124839009532</v>
      </c>
      <c r="J56" s="162">
        <v>3.7428885118275274E-2</v>
      </c>
      <c r="K56" s="162">
        <v>3.9370078740157481</v>
      </c>
      <c r="L56" s="162">
        <v>161.36363636363637</v>
      </c>
    </row>
    <row r="57" spans="2:12" ht="18" customHeight="1" thickBot="1" x14ac:dyDescent="0.25">
      <c r="B57" s="195" t="s">
        <v>347</v>
      </c>
      <c r="C57" s="103" t="s">
        <v>477</v>
      </c>
      <c r="D57" s="92" t="s">
        <v>270</v>
      </c>
      <c r="E57" s="193">
        <v>9408</v>
      </c>
      <c r="F57" s="193">
        <v>6308</v>
      </c>
      <c r="G57" s="406"/>
      <c r="H57" s="194">
        <v>15.067023269966848</v>
      </c>
      <c r="I57" s="194">
        <v>7.0645417791266754</v>
      </c>
      <c r="J57" s="194"/>
      <c r="K57" s="194">
        <v>-32.950680272108841</v>
      </c>
      <c r="L57" s="194">
        <v>-100</v>
      </c>
    </row>
    <row r="58" spans="2:12" ht="18" customHeight="1" x14ac:dyDescent="0.2">
      <c r="B58" s="499" t="s">
        <v>348</v>
      </c>
      <c r="C58" s="84" t="s">
        <v>479</v>
      </c>
      <c r="D58" s="500" t="s">
        <v>270</v>
      </c>
      <c r="E58" s="1">
        <v>11245</v>
      </c>
      <c r="F58" s="1">
        <v>9135</v>
      </c>
      <c r="G58" s="1">
        <v>4750</v>
      </c>
      <c r="H58" s="3">
        <v>18.009000496468666</v>
      </c>
      <c r="I58" s="3">
        <v>10.230594348814551</v>
      </c>
      <c r="J58" s="3">
        <v>0.5153252298892973</v>
      </c>
      <c r="K58" s="3">
        <v>-18.7638950644731</v>
      </c>
      <c r="L58" s="3">
        <v>-48.002189381499726</v>
      </c>
    </row>
    <row r="59" spans="2:12" ht="18" customHeight="1" x14ac:dyDescent="0.2">
      <c r="B59" s="499"/>
      <c r="C59" s="84" t="s">
        <v>359</v>
      </c>
      <c r="D59" s="500"/>
      <c r="E59" s="1">
        <v>1922</v>
      </c>
      <c r="F59" s="1">
        <v>2272</v>
      </c>
      <c r="G59" s="1">
        <v>479</v>
      </c>
      <c r="H59" s="3">
        <v>3.0781057318108296</v>
      </c>
      <c r="I59" s="3">
        <v>2.5444893662295192</v>
      </c>
      <c r="J59" s="3">
        <v>5.1966481077257556E-2</v>
      </c>
      <c r="K59" s="3">
        <v>18.210197710718003</v>
      </c>
      <c r="L59" s="3">
        <v>-78.917253521126767</v>
      </c>
    </row>
    <row r="60" spans="2:12" ht="18" customHeight="1" x14ac:dyDescent="0.2">
      <c r="B60" s="499"/>
      <c r="C60" s="84" t="s">
        <v>478</v>
      </c>
      <c r="D60" s="500"/>
      <c r="E60" s="1">
        <v>8394</v>
      </c>
      <c r="F60" s="1">
        <v>9540</v>
      </c>
      <c r="G60" s="1">
        <v>2584</v>
      </c>
      <c r="H60" s="3">
        <v>13.443090277221698</v>
      </c>
      <c r="I60" s="3">
        <v>10.684167497284161</v>
      </c>
      <c r="J60" s="3">
        <v>0.28033692505977775</v>
      </c>
      <c r="K60" s="3">
        <v>13.652609006433167</v>
      </c>
      <c r="L60" s="3">
        <v>-72.914046121593287</v>
      </c>
    </row>
    <row r="61" spans="2:12" ht="18" customHeight="1" thickBot="1" x14ac:dyDescent="0.25">
      <c r="B61" s="499"/>
      <c r="C61" s="90" t="s">
        <v>17</v>
      </c>
      <c r="D61" s="87" t="s">
        <v>264</v>
      </c>
      <c r="E61" s="161">
        <v>21561</v>
      </c>
      <c r="F61" s="161">
        <v>20947</v>
      </c>
      <c r="G61" s="161">
        <v>7813</v>
      </c>
      <c r="H61" s="162">
        <v>34.530196505501195</v>
      </c>
      <c r="I61" s="162">
        <v>23.45925121232823</v>
      </c>
      <c r="J61" s="162">
        <v>0.84762863602633254</v>
      </c>
      <c r="K61" s="162">
        <v>-2.8477343351421549</v>
      </c>
      <c r="L61" s="162">
        <v>-62.701102783214779</v>
      </c>
    </row>
    <row r="62" spans="2:12" ht="13.5" thickBot="1" x14ac:dyDescent="0.25">
      <c r="B62" s="195" t="s">
        <v>349</v>
      </c>
      <c r="C62" s="103" t="s">
        <v>481</v>
      </c>
      <c r="D62" s="92" t="s">
        <v>270</v>
      </c>
      <c r="E62" s="406"/>
      <c r="F62" s="406"/>
      <c r="G62" s="193">
        <v>11602</v>
      </c>
      <c r="H62" s="194"/>
      <c r="I62" s="194"/>
      <c r="J62" s="194">
        <v>1.2586954351948689</v>
      </c>
      <c r="K62" s="194"/>
      <c r="L62" s="194"/>
    </row>
    <row r="63" spans="2:12" ht="13.5" thickBot="1" x14ac:dyDescent="0.25">
      <c r="B63" s="182" t="s">
        <v>353</v>
      </c>
      <c r="C63" s="90" t="s">
        <v>487</v>
      </c>
      <c r="D63" s="87" t="s">
        <v>270</v>
      </c>
      <c r="E63" s="161">
        <v>2255</v>
      </c>
      <c r="F63" s="161">
        <v>175</v>
      </c>
      <c r="G63" s="161">
        <v>1869</v>
      </c>
      <c r="H63" s="162">
        <v>3.6114091702567221</v>
      </c>
      <c r="I63" s="162">
        <v>0.19598839748686878</v>
      </c>
      <c r="J63" s="162">
        <v>0.20276691677117825</v>
      </c>
      <c r="K63" s="162">
        <v>-92.239467849223942</v>
      </c>
      <c r="L63" s="162">
        <v>968</v>
      </c>
    </row>
    <row r="64" spans="2:12" ht="13.5" thickBot="1" x14ac:dyDescent="0.25">
      <c r="B64" s="195" t="s">
        <v>354</v>
      </c>
      <c r="C64" s="103" t="s">
        <v>488</v>
      </c>
      <c r="D64" s="92" t="s">
        <v>270</v>
      </c>
      <c r="E64" s="193">
        <v>4646</v>
      </c>
      <c r="F64" s="193">
        <v>3003</v>
      </c>
      <c r="G64" s="193">
        <v>4552</v>
      </c>
      <c r="H64" s="194">
        <v>7.4406239490078638</v>
      </c>
      <c r="I64" s="194">
        <v>3.3631609008746683</v>
      </c>
      <c r="J64" s="194">
        <v>0.49384430451706973</v>
      </c>
      <c r="K64" s="194">
        <v>-35.363753766681015</v>
      </c>
      <c r="L64" s="194">
        <v>51.581751581751583</v>
      </c>
    </row>
    <row r="65" spans="2:12" ht="13.5" thickBot="1" x14ac:dyDescent="0.25">
      <c r="B65" s="195" t="s">
        <v>357</v>
      </c>
      <c r="C65" s="103" t="s">
        <v>505</v>
      </c>
      <c r="D65" s="92" t="s">
        <v>270</v>
      </c>
      <c r="E65" s="193">
        <v>5658</v>
      </c>
      <c r="F65" s="193">
        <v>949</v>
      </c>
      <c r="G65" s="406"/>
      <c r="H65" s="194">
        <v>9.0613539180986855</v>
      </c>
      <c r="I65" s="194">
        <v>1.0628170812287911</v>
      </c>
      <c r="J65" s="194"/>
      <c r="K65" s="194">
        <v>-83.227288794627071</v>
      </c>
      <c r="L65" s="194">
        <v>-100</v>
      </c>
    </row>
    <row r="66" spans="2:12" x14ac:dyDescent="0.2">
      <c r="B66" s="499" t="s">
        <v>358</v>
      </c>
      <c r="C66" s="84" t="s">
        <v>497</v>
      </c>
      <c r="D66" s="500" t="s">
        <v>270</v>
      </c>
      <c r="E66" s="1">
        <v>218</v>
      </c>
      <c r="F66" s="2"/>
      <c r="G66" s="1">
        <v>442</v>
      </c>
      <c r="H66" s="3">
        <v>0.34912957832193592</v>
      </c>
      <c r="I66" s="3"/>
      <c r="J66" s="3">
        <v>4.7952368760225135E-2</v>
      </c>
      <c r="K66" s="3">
        <v>-100</v>
      </c>
      <c r="L66" s="3"/>
    </row>
    <row r="67" spans="2:12" x14ac:dyDescent="0.2">
      <c r="B67" s="499"/>
      <c r="C67" s="84" t="s">
        <v>498</v>
      </c>
      <c r="D67" s="500"/>
      <c r="E67" s="1">
        <v>289</v>
      </c>
      <c r="F67" s="2"/>
      <c r="G67" s="1">
        <v>1140</v>
      </c>
      <c r="H67" s="3">
        <v>0.46283691805063981</v>
      </c>
      <c r="I67" s="3"/>
      <c r="J67" s="3">
        <v>0.12367805517343135</v>
      </c>
      <c r="K67" s="3">
        <v>-100</v>
      </c>
      <c r="L67" s="3"/>
    </row>
    <row r="68" spans="2:12" x14ac:dyDescent="0.2">
      <c r="B68" s="499"/>
      <c r="C68" s="84" t="s">
        <v>496</v>
      </c>
      <c r="D68" s="500"/>
      <c r="E68" s="1">
        <v>508</v>
      </c>
      <c r="F68" s="2"/>
      <c r="G68" s="1">
        <v>1944</v>
      </c>
      <c r="H68" s="3">
        <v>0.81356800819974051</v>
      </c>
      <c r="I68" s="3"/>
      <c r="J68" s="3">
        <v>0.21090363092732503</v>
      </c>
      <c r="K68" s="3">
        <v>-100</v>
      </c>
      <c r="L68" s="3"/>
    </row>
    <row r="69" spans="2:12" ht="13.5" thickBot="1" x14ac:dyDescent="0.25">
      <c r="B69" s="499"/>
      <c r="C69" s="90" t="s">
        <v>17</v>
      </c>
      <c r="D69" s="182" t="s">
        <v>264</v>
      </c>
      <c r="E69" s="161">
        <v>1015</v>
      </c>
      <c r="F69" s="181"/>
      <c r="G69" s="161">
        <v>3526</v>
      </c>
      <c r="H69" s="162">
        <v>1.6255345045723162</v>
      </c>
      <c r="I69" s="162"/>
      <c r="J69" s="162">
        <v>0.38253405486098152</v>
      </c>
      <c r="K69" s="162">
        <v>-100</v>
      </c>
      <c r="L69" s="162"/>
    </row>
    <row r="70" spans="2:12" ht="13.5" thickBot="1" x14ac:dyDescent="0.25">
      <c r="B70" s="64" t="s">
        <v>17</v>
      </c>
      <c r="C70" s="103" t="s">
        <v>264</v>
      </c>
      <c r="D70" s="195"/>
      <c r="E70" s="193">
        <v>62441</v>
      </c>
      <c r="F70" s="193">
        <v>89291</v>
      </c>
      <c r="G70" s="193">
        <v>921748</v>
      </c>
      <c r="H70" s="194">
        <v>100</v>
      </c>
      <c r="I70" s="194">
        <v>100</v>
      </c>
      <c r="J70" s="194">
        <v>100</v>
      </c>
      <c r="K70" s="194">
        <v>43.000592559376052</v>
      </c>
      <c r="L70" s="194">
        <v>932.29664803843616</v>
      </c>
    </row>
  </sheetData>
  <mergeCells count="29">
    <mergeCell ref="D5:D7"/>
    <mergeCell ref="B1:L1"/>
    <mergeCell ref="E3:G3"/>
    <mergeCell ref="H3:J3"/>
    <mergeCell ref="K3:L3"/>
    <mergeCell ref="B5:B8"/>
    <mergeCell ref="B4:D4"/>
    <mergeCell ref="B9:B14"/>
    <mergeCell ref="D9:D13"/>
    <mergeCell ref="B16:B18"/>
    <mergeCell ref="D16:D17"/>
    <mergeCell ref="B20:B26"/>
    <mergeCell ref="D20:D25"/>
    <mergeCell ref="B28:B32"/>
    <mergeCell ref="D28:D31"/>
    <mergeCell ref="B33:B35"/>
    <mergeCell ref="D33:D34"/>
    <mergeCell ref="B36:B39"/>
    <mergeCell ref="D36:D38"/>
    <mergeCell ref="B58:B61"/>
    <mergeCell ref="D58:D60"/>
    <mergeCell ref="B66:B69"/>
    <mergeCell ref="D66:D68"/>
    <mergeCell ref="B42:B46"/>
    <mergeCell ref="D42:D45"/>
    <mergeCell ref="B47:B53"/>
    <mergeCell ref="D47:D52"/>
    <mergeCell ref="B54:B56"/>
    <mergeCell ref="D54:D55"/>
  </mergeCells>
  <printOptions horizontalCentered="1"/>
  <pageMargins left="0.19685039370078741" right="0.19685039370078741" top="0.15748031496062992" bottom="0.15748031496062992" header="0.15748031496062992" footer="0.15748031496062992"/>
  <pageSetup scale="6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8"/>
  <sheetViews>
    <sheetView view="pageBreakPreview" zoomScaleNormal="100" zoomScaleSheetLayoutView="100" workbookViewId="0"/>
  </sheetViews>
  <sheetFormatPr defaultColWidth="9.140625" defaultRowHeight="12.75" x14ac:dyDescent="0.2"/>
  <cols>
    <col min="1" max="1" width="9.140625" style="163"/>
    <col min="2" max="2" width="15.7109375" style="6" customWidth="1"/>
    <col min="3" max="5" width="14.7109375" customWidth="1"/>
    <col min="6" max="7" width="15.7109375" customWidth="1"/>
  </cols>
  <sheetData>
    <row r="1" spans="2:7" ht="18" customHeight="1" x14ac:dyDescent="0.2">
      <c r="B1" s="514" t="s">
        <v>629</v>
      </c>
      <c r="C1" s="515"/>
      <c r="D1" s="515"/>
      <c r="E1" s="515"/>
      <c r="F1" s="515"/>
      <c r="G1" s="515"/>
    </row>
    <row r="2" spans="2:7" s="163" customFormat="1" ht="18" customHeight="1" thickBot="1" x14ac:dyDescent="0.25">
      <c r="B2" s="167"/>
    </row>
    <row r="3" spans="2:7" ht="18" customHeight="1" thickBot="1" x14ac:dyDescent="0.25">
      <c r="B3" s="165" t="s">
        <v>264</v>
      </c>
      <c r="C3" s="517" t="s">
        <v>1</v>
      </c>
      <c r="D3" s="517"/>
      <c r="E3" s="517"/>
      <c r="F3" s="517" t="s">
        <v>266</v>
      </c>
      <c r="G3" s="517"/>
    </row>
    <row r="4" spans="2:7" ht="18" customHeight="1" thickBot="1" x14ac:dyDescent="0.25">
      <c r="B4" s="166" t="s">
        <v>265</v>
      </c>
      <c r="C4" s="105">
        <v>2020</v>
      </c>
      <c r="D4" s="105">
        <v>2021</v>
      </c>
      <c r="E4" s="105">
        <v>2022</v>
      </c>
      <c r="F4" s="95" t="s">
        <v>267</v>
      </c>
      <c r="G4" s="95" t="s">
        <v>594</v>
      </c>
    </row>
    <row r="5" spans="2:7" ht="18" customHeight="1" x14ac:dyDescent="0.2">
      <c r="B5" s="164" t="s">
        <v>5</v>
      </c>
      <c r="C5" s="202">
        <v>2085226</v>
      </c>
      <c r="D5" s="202">
        <v>582216</v>
      </c>
      <c r="E5" s="202">
        <v>1608241</v>
      </c>
      <c r="F5" s="207">
        <v>-72.07899767219476</v>
      </c>
      <c r="G5" s="207">
        <v>176.22755128680765</v>
      </c>
    </row>
    <row r="6" spans="2:7" ht="18" customHeight="1" x14ac:dyDescent="0.2">
      <c r="B6" s="164" t="s">
        <v>6</v>
      </c>
      <c r="C6" s="202">
        <v>1682590</v>
      </c>
      <c r="D6" s="202">
        <v>506266</v>
      </c>
      <c r="E6" s="202">
        <v>1415758</v>
      </c>
      <c r="F6" s="207">
        <v>-69.911505476675842</v>
      </c>
      <c r="G6" s="207">
        <v>179.64706300640376</v>
      </c>
    </row>
    <row r="7" spans="2:7" ht="18" customHeight="1" x14ac:dyDescent="0.2">
      <c r="B7" s="164" t="s">
        <v>7</v>
      </c>
      <c r="C7" s="202">
        <v>926067</v>
      </c>
      <c r="D7" s="202">
        <v>776192</v>
      </c>
      <c r="E7" s="202">
        <v>1969106</v>
      </c>
      <c r="F7" s="207">
        <v>-16.184034200549203</v>
      </c>
      <c r="G7" s="207">
        <v>153.68800502968338</v>
      </c>
    </row>
    <row r="8" spans="2:7" ht="18" customHeight="1" x14ac:dyDescent="0.2">
      <c r="B8" s="164" t="s">
        <v>8</v>
      </c>
      <c r="C8" s="202">
        <v>53796</v>
      </c>
      <c r="D8" s="202">
        <v>910230</v>
      </c>
      <c r="E8" s="202">
        <v>2403043</v>
      </c>
      <c r="F8" s="207">
        <v>1592.0031229087665</v>
      </c>
      <c r="G8" s="207">
        <v>164.00393307186096</v>
      </c>
    </row>
    <row r="9" spans="2:7" ht="18" customHeight="1" x14ac:dyDescent="0.2">
      <c r="B9" s="164" t="s">
        <v>9</v>
      </c>
      <c r="C9" s="202">
        <v>54840</v>
      </c>
      <c r="D9" s="202">
        <v>766928</v>
      </c>
      <c r="E9" s="202">
        <v>3500731</v>
      </c>
      <c r="F9" s="207">
        <v>1298.4828592268418</v>
      </c>
      <c r="G9" s="207">
        <v>356.46149312582145</v>
      </c>
    </row>
    <row r="10" spans="2:7" ht="18" customHeight="1" x14ac:dyDescent="0.2">
      <c r="B10" s="164" t="s">
        <v>10</v>
      </c>
      <c r="C10" s="202">
        <v>137880</v>
      </c>
      <c r="D10" s="202">
        <v>1507737</v>
      </c>
      <c r="E10" s="202">
        <v>4538431</v>
      </c>
      <c r="F10" s="207">
        <v>993.51392515230634</v>
      </c>
      <c r="G10" s="207">
        <v>201.00945987264356</v>
      </c>
    </row>
    <row r="11" spans="2:7" ht="18" customHeight="1" x14ac:dyDescent="0.2">
      <c r="B11" s="164" t="s">
        <v>11</v>
      </c>
      <c r="C11" s="202">
        <v>542781</v>
      </c>
      <c r="D11" s="202">
        <v>3350237</v>
      </c>
      <c r="E11" s="202">
        <v>5713250</v>
      </c>
      <c r="F11" s="207">
        <v>517.23549645252876</v>
      </c>
      <c r="G11" s="207">
        <v>70.532711566375752</v>
      </c>
    </row>
    <row r="12" spans="2:7" ht="18" customHeight="1" x14ac:dyDescent="0.2">
      <c r="B12" s="164" t="s">
        <v>12</v>
      </c>
      <c r="C12" s="202">
        <v>1724568</v>
      </c>
      <c r="D12" s="202">
        <v>4593059</v>
      </c>
      <c r="E12" s="202">
        <v>7101168</v>
      </c>
      <c r="F12" s="207">
        <v>166.33098839825394</v>
      </c>
      <c r="G12" s="207">
        <v>54.606505163552221</v>
      </c>
    </row>
    <row r="13" spans="2:7" ht="18" customHeight="1" x14ac:dyDescent="0.2">
      <c r="B13" s="164" t="s">
        <v>13</v>
      </c>
      <c r="C13" s="202">
        <v>2200338</v>
      </c>
      <c r="D13" s="202">
        <v>3664055</v>
      </c>
      <c r="E13" s="202">
        <v>5881570</v>
      </c>
      <c r="F13" s="207">
        <v>66.522370653963165</v>
      </c>
      <c r="G13" s="207">
        <v>60.520789125709086</v>
      </c>
    </row>
    <row r="14" spans="2:7" ht="18" customHeight="1" x14ac:dyDescent="0.2">
      <c r="B14" s="164" t="s">
        <v>14</v>
      </c>
      <c r="C14" s="202">
        <v>2015347</v>
      </c>
      <c r="D14" s="202">
        <v>3802633</v>
      </c>
      <c r="E14" s="202">
        <v>5230041</v>
      </c>
      <c r="F14" s="207">
        <v>88.683784975986768</v>
      </c>
      <c r="G14" s="207">
        <v>37.537358982578652</v>
      </c>
    </row>
    <row r="15" spans="2:7" ht="18" customHeight="1" x14ac:dyDescent="0.2">
      <c r="B15" s="164" t="s">
        <v>15</v>
      </c>
      <c r="C15" s="202">
        <v>974200</v>
      </c>
      <c r="D15" s="202">
        <v>2102260</v>
      </c>
      <c r="E15" s="202">
        <v>2958804</v>
      </c>
      <c r="F15" s="207">
        <v>115.79347156641347</v>
      </c>
      <c r="G15" s="207">
        <v>40.743961260738445</v>
      </c>
    </row>
    <row r="16" spans="2:7" ht="18" customHeight="1" thickBot="1" x14ac:dyDescent="0.25">
      <c r="B16" s="164" t="s">
        <v>16</v>
      </c>
      <c r="C16" s="202">
        <v>694912</v>
      </c>
      <c r="D16" s="202">
        <v>1671443</v>
      </c>
      <c r="E16" s="202">
        <v>2266424</v>
      </c>
      <c r="F16" s="207">
        <v>140.52585075520355</v>
      </c>
      <c r="G16" s="207">
        <v>35.596846557136558</v>
      </c>
    </row>
    <row r="17" spans="2:7" ht="18" customHeight="1" thickBot="1" x14ac:dyDescent="0.25">
      <c r="B17" s="203" t="s">
        <v>17</v>
      </c>
      <c r="C17" s="204">
        <v>13092545</v>
      </c>
      <c r="D17" s="204">
        <v>24233256</v>
      </c>
      <c r="E17" s="204">
        <v>44586567</v>
      </c>
      <c r="F17" s="208">
        <v>85.092019924315707</v>
      </c>
      <c r="G17" s="208">
        <v>83.989171739860296</v>
      </c>
    </row>
    <row r="18" spans="2:7" ht="12" customHeight="1" x14ac:dyDescent="0.2"/>
  </sheetData>
  <mergeCells count="3">
    <mergeCell ref="B1:G1"/>
    <mergeCell ref="C3:E3"/>
    <mergeCell ref="F3:G3"/>
  </mergeCells>
  <printOptions horizontalCentered="1"/>
  <pageMargins left="0.59055118110236227" right="0.59055118110236227" top="0.98425196850393704" bottom="0.98425196850393704" header="0.51181102362204722" footer="0.51181102362204722"/>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22"/>
  <sheetViews>
    <sheetView view="pageBreakPreview" zoomScaleNormal="100" zoomScaleSheetLayoutView="100" workbookViewId="0"/>
  </sheetViews>
  <sheetFormatPr defaultColWidth="9.140625" defaultRowHeight="12" x14ac:dyDescent="0.2"/>
  <cols>
    <col min="1" max="1" width="9.140625" style="107"/>
    <col min="2" max="2" width="30.42578125" style="109" customWidth="1"/>
    <col min="3" max="7" width="13" style="107" customWidth="1"/>
    <col min="8" max="8" width="11.140625" style="107" customWidth="1"/>
    <col min="9" max="16384" width="9.140625" style="107"/>
  </cols>
  <sheetData>
    <row r="1" spans="2:8" ht="30" customHeight="1" x14ac:dyDescent="0.2">
      <c r="B1" s="522" t="s">
        <v>630</v>
      </c>
      <c r="C1" s="523"/>
      <c r="D1" s="523"/>
      <c r="E1" s="523"/>
      <c r="F1" s="523"/>
      <c r="G1" s="523"/>
      <c r="H1" s="523"/>
    </row>
    <row r="2" spans="2:8" ht="12.75" customHeight="1" thickBot="1" x14ac:dyDescent="0.25">
      <c r="B2" s="206"/>
    </row>
    <row r="3" spans="2:8" ht="12.75" customHeight="1" thickBot="1" x14ac:dyDescent="0.25">
      <c r="B3" s="69" t="s">
        <v>264</v>
      </c>
      <c r="C3" s="484" t="s">
        <v>269</v>
      </c>
      <c r="D3" s="484"/>
      <c r="E3" s="484"/>
      <c r="F3" s="484"/>
      <c r="G3" s="524" t="s">
        <v>17</v>
      </c>
      <c r="H3" s="525" t="s">
        <v>274</v>
      </c>
    </row>
    <row r="4" spans="2:8" ht="12.75" customHeight="1" thickBot="1" x14ac:dyDescent="0.25">
      <c r="B4" s="200" t="s">
        <v>268</v>
      </c>
      <c r="C4" s="214" t="s">
        <v>560</v>
      </c>
      <c r="D4" s="214" t="s">
        <v>298</v>
      </c>
      <c r="E4" s="214" t="s">
        <v>299</v>
      </c>
      <c r="F4" s="214" t="s">
        <v>300</v>
      </c>
      <c r="G4" s="524"/>
      <c r="H4" s="525"/>
    </row>
    <row r="5" spans="2:8" ht="12.75" customHeight="1" x14ac:dyDescent="0.2">
      <c r="B5" s="46" t="s">
        <v>63</v>
      </c>
      <c r="C5" s="47">
        <v>370</v>
      </c>
      <c r="D5" s="47">
        <v>203898</v>
      </c>
      <c r="E5" s="47">
        <v>266</v>
      </c>
      <c r="F5" s="47">
        <v>4</v>
      </c>
      <c r="G5" s="60">
        <v>204538</v>
      </c>
      <c r="H5" s="48">
        <v>0.45874354937441136</v>
      </c>
    </row>
    <row r="6" spans="2:8" ht="12.75" customHeight="1" x14ac:dyDescent="0.2">
      <c r="B6" s="46" t="s">
        <v>85</v>
      </c>
      <c r="C6" s="47">
        <v>1308</v>
      </c>
      <c r="D6" s="47">
        <v>231242</v>
      </c>
      <c r="E6" s="47">
        <v>1337</v>
      </c>
      <c r="F6" s="47">
        <v>78</v>
      </c>
      <c r="G6" s="60">
        <v>233965</v>
      </c>
      <c r="H6" s="48">
        <v>0.52474324834203989</v>
      </c>
    </row>
    <row r="7" spans="2:8" ht="12.75" customHeight="1" x14ac:dyDescent="0.2">
      <c r="B7" s="46" t="s">
        <v>105</v>
      </c>
      <c r="C7" s="47">
        <v>3682</v>
      </c>
      <c r="D7" s="47">
        <v>65359</v>
      </c>
      <c r="E7" s="47">
        <v>262</v>
      </c>
      <c r="F7" s="49">
        <v>2</v>
      </c>
      <c r="G7" s="60">
        <v>69305</v>
      </c>
      <c r="H7" s="48">
        <v>0.15543919315429691</v>
      </c>
    </row>
    <row r="8" spans="2:8" ht="12.75" customHeight="1" x14ac:dyDescent="0.2">
      <c r="B8" s="46" t="s">
        <v>155</v>
      </c>
      <c r="C8" s="47">
        <v>5261</v>
      </c>
      <c r="D8" s="47">
        <v>220315</v>
      </c>
      <c r="E8" s="47">
        <v>311</v>
      </c>
      <c r="F8" s="49">
        <v>4</v>
      </c>
      <c r="G8" s="60">
        <v>225891</v>
      </c>
      <c r="H8" s="48">
        <v>0.50663465523147366</v>
      </c>
    </row>
    <row r="9" spans="2:8" ht="12.75" customHeight="1" x14ac:dyDescent="0.2">
      <c r="B9" s="46" t="s">
        <v>173</v>
      </c>
      <c r="C9" s="47">
        <v>5897</v>
      </c>
      <c r="D9" s="47">
        <v>217309</v>
      </c>
      <c r="E9" s="47">
        <v>388</v>
      </c>
      <c r="F9" s="49">
        <v>11</v>
      </c>
      <c r="G9" s="60">
        <v>223605</v>
      </c>
      <c r="H9" s="48">
        <v>0.5015075504691805</v>
      </c>
    </row>
    <row r="10" spans="2:8" ht="12.75" customHeight="1" x14ac:dyDescent="0.2">
      <c r="B10" s="46" t="s">
        <v>227</v>
      </c>
      <c r="C10" s="47">
        <v>31</v>
      </c>
      <c r="D10" s="47">
        <v>40203</v>
      </c>
      <c r="E10" s="47">
        <v>28</v>
      </c>
      <c r="F10" s="49">
        <v>2</v>
      </c>
      <c r="G10" s="60">
        <v>40264</v>
      </c>
      <c r="H10" s="48">
        <v>9.0305225786950591E-2</v>
      </c>
    </row>
    <row r="11" spans="2:8" ht="12.75" customHeight="1" x14ac:dyDescent="0.2">
      <c r="B11" s="46" t="s">
        <v>243</v>
      </c>
      <c r="C11" s="47">
        <v>1528</v>
      </c>
      <c r="D11" s="47">
        <v>205088</v>
      </c>
      <c r="E11" s="47">
        <v>587</v>
      </c>
      <c r="F11" s="49">
        <v>19</v>
      </c>
      <c r="G11" s="60">
        <v>207222</v>
      </c>
      <c r="H11" s="48">
        <v>0.46476329967274671</v>
      </c>
    </row>
    <row r="12" spans="2:8" ht="12.75" customHeight="1" thickBot="1" x14ac:dyDescent="0.25">
      <c r="B12" s="46" t="s">
        <v>275</v>
      </c>
      <c r="C12" s="47">
        <v>2848</v>
      </c>
      <c r="D12" s="47">
        <v>256360</v>
      </c>
      <c r="E12" s="47">
        <v>342</v>
      </c>
      <c r="F12" s="49">
        <v>9</v>
      </c>
      <c r="G12" s="60">
        <v>259559</v>
      </c>
      <c r="H12" s="48">
        <v>0.58214618766230641</v>
      </c>
    </row>
    <row r="13" spans="2:8" ht="12.75" customHeight="1" thickBot="1" x14ac:dyDescent="0.25">
      <c r="B13" s="117" t="s">
        <v>276</v>
      </c>
      <c r="C13" s="113">
        <v>20925</v>
      </c>
      <c r="D13" s="113">
        <v>1439774</v>
      </c>
      <c r="E13" s="113">
        <v>3521</v>
      </c>
      <c r="F13" s="113">
        <v>129</v>
      </c>
      <c r="G13" s="57">
        <v>1464349</v>
      </c>
      <c r="H13" s="114">
        <v>3.2842829096934061</v>
      </c>
    </row>
    <row r="14" spans="2:8" ht="12.75" customHeight="1" x14ac:dyDescent="0.2">
      <c r="B14" s="46" t="s">
        <v>29</v>
      </c>
      <c r="C14" s="47">
        <v>6523</v>
      </c>
      <c r="D14" s="47">
        <v>34570</v>
      </c>
      <c r="E14" s="47">
        <v>467</v>
      </c>
      <c r="F14" s="49">
        <v>40</v>
      </c>
      <c r="G14" s="60">
        <v>41600</v>
      </c>
      <c r="H14" s="48">
        <v>9.3301643968238243E-2</v>
      </c>
    </row>
    <row r="15" spans="2:8" ht="12.75" customHeight="1" x14ac:dyDescent="0.2">
      <c r="B15" s="46" t="s">
        <v>56</v>
      </c>
      <c r="C15" s="47">
        <v>15224</v>
      </c>
      <c r="D15" s="47">
        <v>67694</v>
      </c>
      <c r="E15" s="47">
        <v>896</v>
      </c>
      <c r="F15" s="49">
        <v>56</v>
      </c>
      <c r="G15" s="60">
        <v>83870</v>
      </c>
      <c r="H15" s="48">
        <v>0.18810598268308032</v>
      </c>
    </row>
    <row r="16" spans="2:8" ht="12.75" customHeight="1" x14ac:dyDescent="0.2">
      <c r="B16" s="46" t="s">
        <v>140</v>
      </c>
      <c r="C16" s="47">
        <v>12914</v>
      </c>
      <c r="D16" s="47">
        <v>64158</v>
      </c>
      <c r="E16" s="47">
        <v>581</v>
      </c>
      <c r="F16" s="49">
        <v>49</v>
      </c>
      <c r="G16" s="60">
        <v>77702</v>
      </c>
      <c r="H16" s="48">
        <v>0.17427221970240497</v>
      </c>
    </row>
    <row r="17" spans="2:8" ht="12.75" customHeight="1" x14ac:dyDescent="0.2">
      <c r="B17" s="46" t="s">
        <v>233</v>
      </c>
      <c r="C17" s="47">
        <v>3781</v>
      </c>
      <c r="D17" s="47">
        <v>13224</v>
      </c>
      <c r="E17" s="47">
        <v>305</v>
      </c>
      <c r="F17" s="49">
        <v>24</v>
      </c>
      <c r="G17" s="60">
        <v>17334</v>
      </c>
      <c r="H17" s="48">
        <v>3.8877180205419269E-2</v>
      </c>
    </row>
    <row r="18" spans="2:8" ht="12.75" customHeight="1" x14ac:dyDescent="0.2">
      <c r="B18" s="46" t="s">
        <v>253</v>
      </c>
      <c r="C18" s="47">
        <v>879</v>
      </c>
      <c r="D18" s="47">
        <v>17459</v>
      </c>
      <c r="E18" s="47">
        <v>104</v>
      </c>
      <c r="F18" s="49">
        <v>1</v>
      </c>
      <c r="G18" s="60">
        <v>18443</v>
      </c>
      <c r="H18" s="48">
        <v>4.1364476435245622E-2</v>
      </c>
    </row>
    <row r="19" spans="2:8" ht="12.75" customHeight="1" thickBot="1" x14ac:dyDescent="0.25">
      <c r="B19" s="46" t="s">
        <v>277</v>
      </c>
      <c r="C19" s="47">
        <v>4877</v>
      </c>
      <c r="D19" s="47">
        <v>35524</v>
      </c>
      <c r="E19" s="47">
        <v>530</v>
      </c>
      <c r="F19" s="49">
        <v>23</v>
      </c>
      <c r="G19" s="60">
        <v>40954</v>
      </c>
      <c r="H19" s="48">
        <v>9.1852777093154536E-2</v>
      </c>
    </row>
    <row r="20" spans="2:8" ht="12.75" customHeight="1" thickBot="1" x14ac:dyDescent="0.25">
      <c r="B20" s="117" t="s">
        <v>278</v>
      </c>
      <c r="C20" s="113">
        <v>44198</v>
      </c>
      <c r="D20" s="113">
        <v>232629</v>
      </c>
      <c r="E20" s="113">
        <v>2883</v>
      </c>
      <c r="F20" s="152">
        <v>193</v>
      </c>
      <c r="G20" s="57">
        <v>279903</v>
      </c>
      <c r="H20" s="114">
        <v>0.62777428008754299</v>
      </c>
    </row>
    <row r="21" spans="2:8" ht="12.75" customHeight="1" thickBot="1" x14ac:dyDescent="0.25">
      <c r="B21" s="117" t="s">
        <v>279</v>
      </c>
      <c r="C21" s="113">
        <v>1599</v>
      </c>
      <c r="D21" s="113">
        <v>38638</v>
      </c>
      <c r="E21" s="113">
        <v>1355</v>
      </c>
      <c r="F21" s="152">
        <v>8</v>
      </c>
      <c r="G21" s="57">
        <v>41600</v>
      </c>
      <c r="H21" s="114">
        <v>9.3301643968238243E-2</v>
      </c>
    </row>
    <row r="22" spans="2:8" ht="12.75" customHeight="1" thickBot="1" x14ac:dyDescent="0.25">
      <c r="B22" s="117" t="s">
        <v>280</v>
      </c>
      <c r="C22" s="113">
        <v>5283</v>
      </c>
      <c r="D22" s="113">
        <v>22129</v>
      </c>
      <c r="E22" s="113">
        <v>129</v>
      </c>
      <c r="F22" s="152">
        <v>11</v>
      </c>
      <c r="G22" s="57">
        <v>27552</v>
      </c>
      <c r="H22" s="114">
        <v>6.1794396505117782E-2</v>
      </c>
    </row>
    <row r="23" spans="2:8" ht="12.75" customHeight="1" thickBot="1" x14ac:dyDescent="0.25">
      <c r="B23" s="117" t="s">
        <v>281</v>
      </c>
      <c r="C23" s="113">
        <v>51080</v>
      </c>
      <c r="D23" s="113">
        <v>293396</v>
      </c>
      <c r="E23" s="113">
        <v>4367</v>
      </c>
      <c r="F23" s="152">
        <v>212</v>
      </c>
      <c r="G23" s="57">
        <v>349055</v>
      </c>
      <c r="H23" s="114">
        <v>0.782870320560899</v>
      </c>
    </row>
    <row r="24" spans="2:8" ht="12.75" customHeight="1" x14ac:dyDescent="0.2">
      <c r="B24" s="46" t="s">
        <v>37</v>
      </c>
      <c r="C24" s="47">
        <v>779</v>
      </c>
      <c r="D24" s="47">
        <v>97796</v>
      </c>
      <c r="E24" s="47">
        <v>183</v>
      </c>
      <c r="F24" s="49"/>
      <c r="G24" s="60">
        <v>98758</v>
      </c>
      <c r="H24" s="48">
        <v>0.22149720564940556</v>
      </c>
    </row>
    <row r="25" spans="2:8" ht="12.75" customHeight="1" x14ac:dyDescent="0.2">
      <c r="B25" s="46" t="s">
        <v>49</v>
      </c>
      <c r="C25" s="47">
        <v>359</v>
      </c>
      <c r="D25" s="47">
        <v>145625</v>
      </c>
      <c r="E25" s="47">
        <v>672</v>
      </c>
      <c r="F25" s="49">
        <v>2</v>
      </c>
      <c r="G25" s="60">
        <v>146658</v>
      </c>
      <c r="H25" s="48">
        <v>0.32892866589167991</v>
      </c>
    </row>
    <row r="26" spans="2:8" ht="12.75" customHeight="1" x14ac:dyDescent="0.2">
      <c r="B26" s="46" t="s">
        <v>116</v>
      </c>
      <c r="C26" s="47">
        <v>1069</v>
      </c>
      <c r="D26" s="47">
        <v>553897</v>
      </c>
      <c r="E26" s="47">
        <v>679826</v>
      </c>
      <c r="F26" s="49">
        <v>35</v>
      </c>
      <c r="G26" s="60">
        <v>1234827</v>
      </c>
      <c r="H26" s="48">
        <v>2.7695045460665315</v>
      </c>
    </row>
    <row r="27" spans="2:8" ht="12.75" customHeight="1" x14ac:dyDescent="0.2">
      <c r="B27" s="46" t="s">
        <v>122</v>
      </c>
      <c r="C27" s="47">
        <v>38174</v>
      </c>
      <c r="D27" s="47">
        <v>785579</v>
      </c>
      <c r="E27" s="47">
        <v>7410</v>
      </c>
      <c r="F27" s="49">
        <v>25</v>
      </c>
      <c r="G27" s="60">
        <v>831188</v>
      </c>
      <c r="H27" s="48">
        <v>1.8642117030450001</v>
      </c>
    </row>
    <row r="28" spans="2:8" ht="12.75" customHeight="1" x14ac:dyDescent="0.2">
      <c r="B28" s="46" t="s">
        <v>134</v>
      </c>
      <c r="C28" s="47">
        <v>171</v>
      </c>
      <c r="D28" s="47">
        <v>95037</v>
      </c>
      <c r="E28" s="47">
        <v>229</v>
      </c>
      <c r="F28" s="49"/>
      <c r="G28" s="60">
        <v>95437</v>
      </c>
      <c r="H28" s="48">
        <v>0.21404877392780655</v>
      </c>
    </row>
    <row r="29" spans="2:8" ht="12.75" customHeight="1" x14ac:dyDescent="0.2">
      <c r="B29" s="46" t="s">
        <v>145</v>
      </c>
      <c r="C29" s="47">
        <v>1421</v>
      </c>
      <c r="D29" s="47">
        <v>475719</v>
      </c>
      <c r="E29" s="47">
        <v>1499</v>
      </c>
      <c r="F29" s="49">
        <v>1</v>
      </c>
      <c r="G29" s="60">
        <v>478640</v>
      </c>
      <c r="H29" s="48">
        <v>1.0735071843499411</v>
      </c>
    </row>
    <row r="30" spans="2:8" ht="12.75" customHeight="1" x14ac:dyDescent="0.2">
      <c r="B30" s="46" t="s">
        <v>146</v>
      </c>
      <c r="C30" s="47">
        <v>21758</v>
      </c>
      <c r="D30" s="47">
        <v>146034</v>
      </c>
      <c r="E30" s="47">
        <v>871</v>
      </c>
      <c r="F30" s="49">
        <v>0</v>
      </c>
      <c r="G30" s="60">
        <v>168663</v>
      </c>
      <c r="H30" s="48">
        <v>0.37828209559170589</v>
      </c>
    </row>
    <row r="31" spans="2:8" ht="12.75" customHeight="1" x14ac:dyDescent="0.2">
      <c r="B31" s="46" t="s">
        <v>158</v>
      </c>
      <c r="C31" s="47">
        <v>3429</v>
      </c>
      <c r="D31" s="47">
        <v>271079</v>
      </c>
      <c r="E31" s="47">
        <v>2242</v>
      </c>
      <c r="F31" s="49">
        <v>9</v>
      </c>
      <c r="G31" s="60">
        <v>276759</v>
      </c>
      <c r="H31" s="48">
        <v>0.62072282891840491</v>
      </c>
    </row>
    <row r="32" spans="2:8" ht="12.75" customHeight="1" x14ac:dyDescent="0.2">
      <c r="B32" s="46" t="s">
        <v>230</v>
      </c>
      <c r="C32" s="47">
        <v>642</v>
      </c>
      <c r="D32" s="47">
        <v>478288</v>
      </c>
      <c r="E32" s="47">
        <v>9733</v>
      </c>
      <c r="F32" s="49">
        <v>2</v>
      </c>
      <c r="G32" s="60">
        <v>488665</v>
      </c>
      <c r="H32" s="48">
        <v>1.0959915348494984</v>
      </c>
    </row>
    <row r="33" spans="2:8" ht="12.75" customHeight="1" x14ac:dyDescent="0.2">
      <c r="B33" s="46" t="s">
        <v>250</v>
      </c>
      <c r="C33" s="47">
        <v>631</v>
      </c>
      <c r="D33" s="47">
        <v>485912</v>
      </c>
      <c r="E33" s="47">
        <v>9882</v>
      </c>
      <c r="F33" s="49">
        <v>6</v>
      </c>
      <c r="G33" s="60">
        <v>496431</v>
      </c>
      <c r="H33" s="48">
        <v>1.1134093369422229</v>
      </c>
    </row>
    <row r="34" spans="2:8" ht="12.75" customHeight="1" x14ac:dyDescent="0.2">
      <c r="B34" s="46" t="s">
        <v>257</v>
      </c>
      <c r="C34" s="47">
        <v>25</v>
      </c>
      <c r="D34" s="47">
        <v>33344</v>
      </c>
      <c r="E34" s="47">
        <v>161</v>
      </c>
      <c r="F34" s="49">
        <v>1</v>
      </c>
      <c r="G34" s="60">
        <v>33531</v>
      </c>
      <c r="H34" s="48">
        <v>7.5204264997572032E-2</v>
      </c>
    </row>
    <row r="35" spans="2:8" ht="12.75" customHeight="1" thickBot="1" x14ac:dyDescent="0.25">
      <c r="B35" s="46" t="s">
        <v>282</v>
      </c>
      <c r="C35" s="47">
        <v>9337</v>
      </c>
      <c r="D35" s="47">
        <v>407850</v>
      </c>
      <c r="E35" s="47">
        <v>254271</v>
      </c>
      <c r="F35" s="47">
        <v>1401</v>
      </c>
      <c r="G35" s="60">
        <v>672859</v>
      </c>
      <c r="H35" s="48">
        <v>1.5091069917986732</v>
      </c>
    </row>
    <row r="36" spans="2:8" ht="12.75" customHeight="1" thickBot="1" x14ac:dyDescent="0.25">
      <c r="B36" s="117" t="s">
        <v>283</v>
      </c>
      <c r="C36" s="113">
        <v>77795</v>
      </c>
      <c r="D36" s="113">
        <v>3976160</v>
      </c>
      <c r="E36" s="113">
        <v>966979</v>
      </c>
      <c r="F36" s="113">
        <v>1482</v>
      </c>
      <c r="G36" s="57">
        <v>5022416</v>
      </c>
      <c r="H36" s="114">
        <v>11.264415132028443</v>
      </c>
    </row>
    <row r="37" spans="2:8" ht="12.75" customHeight="1" x14ac:dyDescent="0.2">
      <c r="B37" s="46" t="s">
        <v>38</v>
      </c>
      <c r="C37" s="47">
        <v>529</v>
      </c>
      <c r="D37" s="47">
        <v>23626</v>
      </c>
      <c r="E37" s="47">
        <v>48</v>
      </c>
      <c r="F37" s="49">
        <v>2</v>
      </c>
      <c r="G37" s="60">
        <v>24205</v>
      </c>
      <c r="H37" s="48">
        <v>5.428765125603862E-2</v>
      </c>
    </row>
    <row r="38" spans="2:8" ht="12.75" customHeight="1" x14ac:dyDescent="0.2">
      <c r="B38" s="46" t="s">
        <v>69</v>
      </c>
      <c r="C38" s="47">
        <v>1929</v>
      </c>
      <c r="D38" s="47">
        <v>88014</v>
      </c>
      <c r="E38" s="47">
        <v>1102</v>
      </c>
      <c r="F38" s="49">
        <v>34</v>
      </c>
      <c r="G38" s="60">
        <v>91079</v>
      </c>
      <c r="H38" s="48">
        <v>0.20427452959094158</v>
      </c>
    </row>
    <row r="39" spans="2:8" ht="12.75" customHeight="1" x14ac:dyDescent="0.2">
      <c r="B39" s="46" t="s">
        <v>78</v>
      </c>
      <c r="C39" s="47">
        <v>8942</v>
      </c>
      <c r="D39" s="47">
        <v>137882</v>
      </c>
      <c r="E39" s="47">
        <v>814</v>
      </c>
      <c r="F39" s="49">
        <v>12</v>
      </c>
      <c r="G39" s="60">
        <v>147650</v>
      </c>
      <c r="H39" s="48">
        <v>0.33115355124784557</v>
      </c>
    </row>
    <row r="40" spans="2:8" ht="12.75" customHeight="1" x14ac:dyDescent="0.2">
      <c r="B40" s="46" t="s">
        <v>88</v>
      </c>
      <c r="C40" s="47">
        <v>43131</v>
      </c>
      <c r="D40" s="47">
        <v>54623</v>
      </c>
      <c r="E40" s="47">
        <v>188</v>
      </c>
      <c r="F40" s="49">
        <v>2</v>
      </c>
      <c r="G40" s="60">
        <v>97944</v>
      </c>
      <c r="H40" s="48">
        <v>0.21967154367368091</v>
      </c>
    </row>
    <row r="41" spans="2:8" ht="12.75" customHeight="1" x14ac:dyDescent="0.2">
      <c r="B41" s="46" t="s">
        <v>112</v>
      </c>
      <c r="C41" s="47">
        <v>23454</v>
      </c>
      <c r="D41" s="47">
        <v>203765</v>
      </c>
      <c r="E41" s="47">
        <v>363</v>
      </c>
      <c r="F41" s="49">
        <v>12</v>
      </c>
      <c r="G41" s="60">
        <v>227594</v>
      </c>
      <c r="H41" s="48">
        <v>0.51045419128142344</v>
      </c>
    </row>
    <row r="42" spans="2:8" ht="12.75" customHeight="1" x14ac:dyDescent="0.2">
      <c r="B42" s="46" t="s">
        <v>119</v>
      </c>
      <c r="C42" s="47">
        <v>4425</v>
      </c>
      <c r="D42" s="47">
        <v>1418772</v>
      </c>
      <c r="E42" s="47">
        <v>909444</v>
      </c>
      <c r="F42" s="47">
        <v>172</v>
      </c>
      <c r="G42" s="60">
        <v>2332813</v>
      </c>
      <c r="H42" s="48">
        <v>5.2320982685210993</v>
      </c>
    </row>
    <row r="43" spans="2:8" ht="12.75" customHeight="1" x14ac:dyDescent="0.2">
      <c r="B43" s="46" t="s">
        <v>165</v>
      </c>
      <c r="C43" s="47">
        <v>1633</v>
      </c>
      <c r="D43" s="47">
        <v>85846</v>
      </c>
      <c r="E43" s="47">
        <v>799</v>
      </c>
      <c r="F43" s="49">
        <v>95</v>
      </c>
      <c r="G43" s="60">
        <v>88373</v>
      </c>
      <c r="H43" s="48">
        <v>0.1982054370770461</v>
      </c>
    </row>
    <row r="44" spans="2:8" ht="12.75" customHeight="1" x14ac:dyDescent="0.2">
      <c r="B44" s="46" t="s">
        <v>194</v>
      </c>
      <c r="C44" s="47">
        <v>675</v>
      </c>
      <c r="D44" s="47">
        <v>185259</v>
      </c>
      <c r="E44" s="47">
        <v>617</v>
      </c>
      <c r="F44" s="49">
        <v>7</v>
      </c>
      <c r="G44" s="60">
        <v>186558</v>
      </c>
      <c r="H44" s="48">
        <v>0.41841750229390839</v>
      </c>
    </row>
    <row r="45" spans="2:8" ht="12.75" customHeight="1" x14ac:dyDescent="0.2">
      <c r="B45" s="46" t="s">
        <v>220</v>
      </c>
      <c r="C45" s="47">
        <v>775</v>
      </c>
      <c r="D45" s="47">
        <v>29288</v>
      </c>
      <c r="E45" s="47">
        <v>86</v>
      </c>
      <c r="F45" s="49">
        <v>15</v>
      </c>
      <c r="G45" s="60">
        <v>30164</v>
      </c>
      <c r="H45" s="48">
        <v>6.765266318889275E-2</v>
      </c>
    </row>
    <row r="46" spans="2:8" ht="12.75" customHeight="1" x14ac:dyDescent="0.2">
      <c r="B46" s="46" t="s">
        <v>237</v>
      </c>
      <c r="C46" s="47">
        <v>782</v>
      </c>
      <c r="D46" s="47">
        <v>28074</v>
      </c>
      <c r="E46" s="47">
        <v>495</v>
      </c>
      <c r="F46" s="49">
        <v>2</v>
      </c>
      <c r="G46" s="60">
        <v>29353</v>
      </c>
      <c r="H46" s="48">
        <v>6.5833729697108101E-2</v>
      </c>
    </row>
    <row r="47" spans="2:8" ht="12.75" customHeight="1" thickBot="1" x14ac:dyDescent="0.25">
      <c r="B47" s="46" t="s">
        <v>284</v>
      </c>
      <c r="C47" s="47">
        <v>3025</v>
      </c>
      <c r="D47" s="47">
        <v>212710</v>
      </c>
      <c r="E47" s="47">
        <v>2758</v>
      </c>
      <c r="F47" s="47">
        <v>77</v>
      </c>
      <c r="G47" s="60">
        <v>218570</v>
      </c>
      <c r="H47" s="48">
        <v>0.4902149115898517</v>
      </c>
    </row>
    <row r="48" spans="2:8" ht="12.75" customHeight="1" thickBot="1" x14ac:dyDescent="0.25">
      <c r="B48" s="117" t="s">
        <v>285</v>
      </c>
      <c r="C48" s="113">
        <v>89300</v>
      </c>
      <c r="D48" s="113">
        <v>2467859</v>
      </c>
      <c r="E48" s="113">
        <v>916714</v>
      </c>
      <c r="F48" s="113">
        <v>430</v>
      </c>
      <c r="G48" s="57">
        <v>3474303</v>
      </c>
      <c r="H48" s="114">
        <v>7.7922639794178368</v>
      </c>
    </row>
    <row r="49" spans="2:8" ht="12.75" customHeight="1" thickBot="1" x14ac:dyDescent="0.25">
      <c r="B49" s="117" t="s">
        <v>286</v>
      </c>
      <c r="C49" s="113">
        <v>167095</v>
      </c>
      <c r="D49" s="113">
        <v>6444019</v>
      </c>
      <c r="E49" s="113">
        <v>1883693</v>
      </c>
      <c r="F49" s="113">
        <v>1912</v>
      </c>
      <c r="G49" s="57">
        <v>8496719</v>
      </c>
      <c r="H49" s="114">
        <v>19.056679111446279</v>
      </c>
    </row>
    <row r="50" spans="2:8" ht="12.75" customHeight="1" x14ac:dyDescent="0.2">
      <c r="B50" s="46" t="s">
        <v>22</v>
      </c>
      <c r="C50" s="47">
        <v>182880</v>
      </c>
      <c r="D50" s="47">
        <v>5145468</v>
      </c>
      <c r="E50" s="47">
        <v>359331</v>
      </c>
      <c r="F50" s="47">
        <v>2320</v>
      </c>
      <c r="G50" s="60">
        <v>5689999</v>
      </c>
      <c r="H50" s="48">
        <v>12.761688963404605</v>
      </c>
    </row>
    <row r="51" spans="2:8" ht="12.75" customHeight="1" x14ac:dyDescent="0.2">
      <c r="B51" s="46" t="s">
        <v>34</v>
      </c>
      <c r="C51" s="47">
        <v>10267</v>
      </c>
      <c r="D51" s="47">
        <v>367895</v>
      </c>
      <c r="E51" s="47">
        <v>78411</v>
      </c>
      <c r="F51" s="47">
        <v>569</v>
      </c>
      <c r="G51" s="60">
        <v>457142</v>
      </c>
      <c r="H51" s="48">
        <v>1.025290868435778</v>
      </c>
    </row>
    <row r="52" spans="2:8" ht="12.75" customHeight="1" x14ac:dyDescent="0.2">
      <c r="B52" s="46" t="s">
        <v>43</v>
      </c>
      <c r="C52" s="47">
        <v>21388</v>
      </c>
      <c r="D52" s="47">
        <v>521504</v>
      </c>
      <c r="E52" s="47">
        <v>60988</v>
      </c>
      <c r="F52" s="47">
        <v>226</v>
      </c>
      <c r="G52" s="60">
        <v>604106</v>
      </c>
      <c r="H52" s="48">
        <v>1.3549058396893396</v>
      </c>
    </row>
    <row r="53" spans="2:8" ht="12.75" customHeight="1" x14ac:dyDescent="0.2">
      <c r="B53" s="46" t="s">
        <v>68</v>
      </c>
      <c r="C53" s="47">
        <v>5774</v>
      </c>
      <c r="D53" s="47">
        <v>284198</v>
      </c>
      <c r="E53" s="47">
        <v>5384</v>
      </c>
      <c r="F53" s="47">
        <v>72</v>
      </c>
      <c r="G53" s="60">
        <v>295428</v>
      </c>
      <c r="H53" s="48">
        <v>0.66259418447713192</v>
      </c>
    </row>
    <row r="54" spans="2:8" ht="12.75" customHeight="1" x14ac:dyDescent="0.2">
      <c r="B54" s="46" t="s">
        <v>70</v>
      </c>
      <c r="C54" s="47">
        <v>8630</v>
      </c>
      <c r="D54" s="47">
        <v>340288</v>
      </c>
      <c r="E54" s="47">
        <v>7890</v>
      </c>
      <c r="F54" s="47">
        <v>159</v>
      </c>
      <c r="G54" s="60">
        <v>356967</v>
      </c>
      <c r="H54" s="48">
        <v>0.80061557553870433</v>
      </c>
    </row>
    <row r="55" spans="2:8" ht="12.75" customHeight="1" x14ac:dyDescent="0.2">
      <c r="B55" s="46" t="s">
        <v>90</v>
      </c>
      <c r="C55" s="47">
        <v>5455</v>
      </c>
      <c r="D55" s="47">
        <v>109280</v>
      </c>
      <c r="E55" s="47">
        <v>2874</v>
      </c>
      <c r="F55" s="49">
        <v>47</v>
      </c>
      <c r="G55" s="60">
        <v>117656</v>
      </c>
      <c r="H55" s="48">
        <v>0.26388216881555382</v>
      </c>
    </row>
    <row r="56" spans="2:8" ht="12.75" customHeight="1" x14ac:dyDescent="0.2">
      <c r="B56" s="46" t="s">
        <v>91</v>
      </c>
      <c r="C56" s="47">
        <v>45193</v>
      </c>
      <c r="D56" s="47">
        <v>835406</v>
      </c>
      <c r="E56" s="47">
        <v>108856</v>
      </c>
      <c r="F56" s="47">
        <v>757</v>
      </c>
      <c r="G56" s="60">
        <v>990212</v>
      </c>
      <c r="H56" s="48">
        <v>2.2208751797374306</v>
      </c>
    </row>
    <row r="57" spans="2:8" ht="12.75" customHeight="1" x14ac:dyDescent="0.2">
      <c r="B57" s="46" t="s">
        <v>113</v>
      </c>
      <c r="C57" s="47">
        <v>50108</v>
      </c>
      <c r="D57" s="47">
        <v>1118568</v>
      </c>
      <c r="E57" s="47">
        <v>93081</v>
      </c>
      <c r="F57" s="47">
        <v>551</v>
      </c>
      <c r="G57" s="60">
        <v>1262308</v>
      </c>
      <c r="H57" s="48">
        <v>2.831139701785069</v>
      </c>
    </row>
    <row r="58" spans="2:8" ht="12.75" customHeight="1" x14ac:dyDescent="0.2">
      <c r="B58" s="46" t="s">
        <v>118</v>
      </c>
      <c r="C58" s="47">
        <v>191184</v>
      </c>
      <c r="D58" s="47">
        <v>3143819</v>
      </c>
      <c r="E58" s="47">
        <v>43421</v>
      </c>
      <c r="F58" s="47">
        <v>914</v>
      </c>
      <c r="G58" s="60">
        <v>3379338</v>
      </c>
      <c r="H58" s="48">
        <v>7.579273820296593</v>
      </c>
    </row>
    <row r="59" spans="2:8" ht="12.75" customHeight="1" x14ac:dyDescent="0.2">
      <c r="B59" s="46" t="s">
        <v>120</v>
      </c>
      <c r="C59" s="47">
        <v>12490</v>
      </c>
      <c r="D59" s="47">
        <v>122631</v>
      </c>
      <c r="E59" s="47">
        <v>1286</v>
      </c>
      <c r="F59" s="49">
        <v>141</v>
      </c>
      <c r="G59" s="60">
        <v>136548</v>
      </c>
      <c r="H59" s="48">
        <v>0.306253675013822</v>
      </c>
    </row>
    <row r="60" spans="2:8" ht="12.75" customHeight="1" x14ac:dyDescent="0.2">
      <c r="B60" s="46" t="s">
        <v>121</v>
      </c>
      <c r="C60" s="47">
        <v>44858</v>
      </c>
      <c r="D60" s="47">
        <v>246806</v>
      </c>
      <c r="E60" s="47">
        <v>5693</v>
      </c>
      <c r="F60" s="49">
        <v>507</v>
      </c>
      <c r="G60" s="60">
        <v>297864</v>
      </c>
      <c r="H60" s="48">
        <v>0.66805771343642584</v>
      </c>
    </row>
    <row r="61" spans="2:8" ht="30" customHeight="1" x14ac:dyDescent="0.2">
      <c r="B61" s="522" t="s">
        <v>630</v>
      </c>
      <c r="C61" s="523"/>
      <c r="D61" s="523"/>
      <c r="E61" s="523"/>
      <c r="F61" s="523"/>
      <c r="G61" s="523"/>
      <c r="H61" s="523"/>
    </row>
    <row r="62" spans="2:8" ht="12.75" customHeight="1" thickBot="1" x14ac:dyDescent="0.25">
      <c r="B62" s="206"/>
      <c r="C62" s="205"/>
      <c r="D62" s="205"/>
      <c r="E62" s="205"/>
      <c r="F62" s="205"/>
      <c r="G62" s="205"/>
      <c r="H62" s="205"/>
    </row>
    <row r="63" spans="2:8" ht="12.75" customHeight="1" thickBot="1" x14ac:dyDescent="0.25">
      <c r="B63" s="69" t="s">
        <v>264</v>
      </c>
      <c r="C63" s="484" t="s">
        <v>269</v>
      </c>
      <c r="D63" s="484"/>
      <c r="E63" s="484"/>
      <c r="F63" s="484"/>
      <c r="G63" s="518" t="s">
        <v>17</v>
      </c>
      <c r="H63" s="520" t="s">
        <v>274</v>
      </c>
    </row>
    <row r="64" spans="2:8" ht="12.75" customHeight="1" thickBot="1" x14ac:dyDescent="0.25">
      <c r="B64" s="200" t="s">
        <v>268</v>
      </c>
      <c r="C64" s="214" t="s">
        <v>560</v>
      </c>
      <c r="D64" s="214" t="s">
        <v>298</v>
      </c>
      <c r="E64" s="214" t="s">
        <v>299</v>
      </c>
      <c r="F64" s="214" t="s">
        <v>300</v>
      </c>
      <c r="G64" s="519"/>
      <c r="H64" s="521"/>
    </row>
    <row r="65" spans="2:8" ht="12.75" customHeight="1" x14ac:dyDescent="0.2">
      <c r="B65" s="46" t="s">
        <v>123</v>
      </c>
      <c r="C65" s="47">
        <v>8765</v>
      </c>
      <c r="D65" s="47">
        <v>388214</v>
      </c>
      <c r="E65" s="47">
        <v>21140</v>
      </c>
      <c r="F65" s="47">
        <v>95</v>
      </c>
      <c r="G65" s="60">
        <v>418214</v>
      </c>
      <c r="H65" s="48">
        <v>0.93798206083011504</v>
      </c>
    </row>
    <row r="66" spans="2:8" ht="12.75" customHeight="1" x14ac:dyDescent="0.2">
      <c r="B66" s="46" t="s">
        <v>124</v>
      </c>
      <c r="C66" s="47">
        <v>12241</v>
      </c>
      <c r="D66" s="47">
        <v>360991</v>
      </c>
      <c r="E66" s="47">
        <v>11164</v>
      </c>
      <c r="F66" s="47">
        <v>209</v>
      </c>
      <c r="G66" s="60">
        <v>384605</v>
      </c>
      <c r="H66" s="48">
        <v>0.86260285525010261</v>
      </c>
    </row>
    <row r="67" spans="2:8" ht="12.75" customHeight="1" x14ac:dyDescent="0.2">
      <c r="B67" s="46" t="s">
        <v>125</v>
      </c>
      <c r="C67" s="47">
        <v>79941</v>
      </c>
      <c r="D67" s="47">
        <v>323130</v>
      </c>
      <c r="E67" s="47">
        <v>11947</v>
      </c>
      <c r="F67" s="47">
        <v>543</v>
      </c>
      <c r="G67" s="60">
        <v>415561</v>
      </c>
      <c r="H67" s="48">
        <v>0.9320318381991598</v>
      </c>
    </row>
    <row r="68" spans="2:8" ht="12.75" customHeight="1" x14ac:dyDescent="0.2">
      <c r="B68" s="46" t="s">
        <v>126</v>
      </c>
      <c r="C68" s="47">
        <v>517</v>
      </c>
      <c r="D68" s="47">
        <v>3523</v>
      </c>
      <c r="E68" s="47">
        <v>27</v>
      </c>
      <c r="F68" s="49">
        <v>5</v>
      </c>
      <c r="G68" s="60">
        <v>4072</v>
      </c>
      <c r="H68" s="48">
        <v>9.1327955345833194E-3</v>
      </c>
    </row>
    <row r="69" spans="2:8" ht="12.75" customHeight="1" x14ac:dyDescent="0.2">
      <c r="B69" s="46" t="s">
        <v>159</v>
      </c>
      <c r="C69" s="47">
        <v>558</v>
      </c>
      <c r="D69" s="47">
        <v>12275</v>
      </c>
      <c r="E69" s="47">
        <v>313</v>
      </c>
      <c r="F69" s="49">
        <v>12</v>
      </c>
      <c r="G69" s="60">
        <v>13158</v>
      </c>
      <c r="H69" s="48">
        <v>2.9511130560915352E-2</v>
      </c>
    </row>
    <row r="70" spans="2:8" ht="12.75" customHeight="1" x14ac:dyDescent="0.2">
      <c r="B70" s="46" t="s">
        <v>160</v>
      </c>
      <c r="C70" s="47">
        <v>4874</v>
      </c>
      <c r="D70" s="47">
        <v>148598</v>
      </c>
      <c r="E70" s="47">
        <v>11954</v>
      </c>
      <c r="F70" s="47">
        <v>93</v>
      </c>
      <c r="G70" s="60">
        <v>165519</v>
      </c>
      <c r="H70" s="48">
        <v>0.37123064442256792</v>
      </c>
    </row>
    <row r="71" spans="2:8" ht="12.75" customHeight="1" x14ac:dyDescent="0.2">
      <c r="B71" s="46" t="s">
        <v>191</v>
      </c>
      <c r="C71" s="47">
        <v>5862</v>
      </c>
      <c r="D71" s="47">
        <v>181143</v>
      </c>
      <c r="E71" s="47">
        <v>5818</v>
      </c>
      <c r="F71" s="47">
        <v>59</v>
      </c>
      <c r="G71" s="60">
        <v>192882</v>
      </c>
      <c r="H71" s="48">
        <v>0.43260114643946462</v>
      </c>
    </row>
    <row r="72" spans="2:8" ht="12.75" customHeight="1" x14ac:dyDescent="0.2">
      <c r="B72" s="46" t="s">
        <v>201</v>
      </c>
      <c r="C72" s="47">
        <v>70592</v>
      </c>
      <c r="D72" s="47">
        <v>1036951</v>
      </c>
      <c r="E72" s="47">
        <v>28053</v>
      </c>
      <c r="F72" s="47">
        <v>171</v>
      </c>
      <c r="G72" s="60">
        <v>1135767</v>
      </c>
      <c r="H72" s="48">
        <v>2.5473300063671642</v>
      </c>
    </row>
    <row r="73" spans="2:8" ht="12.75" customHeight="1" x14ac:dyDescent="0.2">
      <c r="B73" s="46" t="s">
        <v>202</v>
      </c>
      <c r="C73" s="47">
        <v>7329</v>
      </c>
      <c r="D73" s="47">
        <v>66105</v>
      </c>
      <c r="E73" s="47">
        <v>2011</v>
      </c>
      <c r="F73" s="47">
        <v>82</v>
      </c>
      <c r="G73" s="60">
        <v>75527</v>
      </c>
      <c r="H73" s="48">
        <v>0.16939406884589253</v>
      </c>
    </row>
    <row r="74" spans="2:8" ht="12.75" customHeight="1" x14ac:dyDescent="0.2">
      <c r="B74" s="46" t="s">
        <v>221</v>
      </c>
      <c r="C74" s="47">
        <v>2151</v>
      </c>
      <c r="D74" s="47">
        <v>190886</v>
      </c>
      <c r="E74" s="47">
        <v>3303</v>
      </c>
      <c r="F74" s="47">
        <v>31</v>
      </c>
      <c r="G74" s="60">
        <v>196371</v>
      </c>
      <c r="H74" s="48">
        <v>0.44042637326170458</v>
      </c>
    </row>
    <row r="75" spans="2:8" ht="12.75" customHeight="1" x14ac:dyDescent="0.2">
      <c r="B75" s="46" t="s">
        <v>261</v>
      </c>
      <c r="C75" s="47">
        <v>76088</v>
      </c>
      <c r="D75" s="47">
        <v>92610</v>
      </c>
      <c r="E75" s="47">
        <v>399099</v>
      </c>
      <c r="F75" s="47">
        <v>22</v>
      </c>
      <c r="G75" s="60">
        <v>567819</v>
      </c>
      <c r="H75" s="48">
        <v>1.2735203407788718</v>
      </c>
    </row>
    <row r="76" spans="2:8" ht="12.75" customHeight="1" thickBot="1" x14ac:dyDescent="0.25">
      <c r="B76" s="46" t="s">
        <v>598</v>
      </c>
      <c r="C76" s="47">
        <v>12</v>
      </c>
      <c r="D76" s="47">
        <v>0</v>
      </c>
      <c r="E76" s="47"/>
      <c r="F76" s="47"/>
      <c r="G76" s="60">
        <v>12</v>
      </c>
      <c r="H76" s="48">
        <v>2.6913935760068721E-5</v>
      </c>
    </row>
    <row r="77" spans="2:8" ht="12.75" customHeight="1" thickBot="1" x14ac:dyDescent="0.25">
      <c r="B77" s="117" t="s">
        <v>287</v>
      </c>
      <c r="C77" s="113">
        <v>847157</v>
      </c>
      <c r="D77" s="113">
        <v>15040289</v>
      </c>
      <c r="E77" s="113">
        <v>1262044</v>
      </c>
      <c r="F77" s="113">
        <v>7585</v>
      </c>
      <c r="G77" s="57">
        <v>17157075</v>
      </c>
      <c r="H77" s="114">
        <v>38.480367865056756</v>
      </c>
    </row>
    <row r="78" spans="2:8" ht="12.75" customHeight="1" x14ac:dyDescent="0.2">
      <c r="B78" s="46" t="s">
        <v>30</v>
      </c>
      <c r="C78" s="47">
        <v>5302</v>
      </c>
      <c r="D78" s="47">
        <v>102237</v>
      </c>
      <c r="E78" s="47">
        <v>38053</v>
      </c>
      <c r="F78" s="49">
        <v>13</v>
      </c>
      <c r="G78" s="60">
        <v>145605</v>
      </c>
      <c r="H78" s="48">
        <v>0.32656696802873386</v>
      </c>
    </row>
    <row r="79" spans="2:8" ht="12.75" customHeight="1" x14ac:dyDescent="0.2">
      <c r="B79" s="46" t="s">
        <v>53</v>
      </c>
      <c r="C79" s="47">
        <v>1419</v>
      </c>
      <c r="D79" s="47">
        <v>135711</v>
      </c>
      <c r="E79" s="47">
        <v>63985</v>
      </c>
      <c r="F79" s="47">
        <v>49</v>
      </c>
      <c r="G79" s="60">
        <v>201164</v>
      </c>
      <c r="H79" s="48">
        <v>0.45117624776987203</v>
      </c>
    </row>
    <row r="80" spans="2:8" ht="12.75" customHeight="1" x14ac:dyDescent="0.2">
      <c r="B80" s="46" t="s">
        <v>58</v>
      </c>
      <c r="C80" s="47">
        <v>15018</v>
      </c>
      <c r="D80" s="47">
        <v>213860</v>
      </c>
      <c r="E80" s="47">
        <v>2641518</v>
      </c>
      <c r="F80" s="47">
        <v>5192</v>
      </c>
      <c r="G80" s="60">
        <v>2875588</v>
      </c>
      <c r="H80" s="48">
        <v>6.4494492253687081</v>
      </c>
    </row>
    <row r="81" spans="2:8" ht="12.75" customHeight="1" x14ac:dyDescent="0.2">
      <c r="B81" s="46" t="s">
        <v>81</v>
      </c>
      <c r="C81" s="47">
        <v>1209</v>
      </c>
      <c r="D81" s="47">
        <v>91098</v>
      </c>
      <c r="E81" s="47">
        <v>801</v>
      </c>
      <c r="F81" s="49">
        <v>6</v>
      </c>
      <c r="G81" s="60">
        <v>93114</v>
      </c>
      <c r="H81" s="48">
        <v>0.20883868453025325</v>
      </c>
    </row>
    <row r="82" spans="2:8" ht="12.75" customHeight="1" x14ac:dyDescent="0.2">
      <c r="B82" s="46" t="s">
        <v>106</v>
      </c>
      <c r="C82" s="47">
        <v>3114</v>
      </c>
      <c r="D82" s="47">
        <v>7578</v>
      </c>
      <c r="E82" s="47">
        <v>906</v>
      </c>
      <c r="F82" s="49">
        <v>12</v>
      </c>
      <c r="G82" s="60">
        <v>11610</v>
      </c>
      <c r="H82" s="48">
        <v>2.6039232847866488E-2</v>
      </c>
    </row>
    <row r="83" spans="2:8" ht="12.75" customHeight="1" x14ac:dyDescent="0.2">
      <c r="B83" s="46" t="s">
        <v>111</v>
      </c>
      <c r="C83" s="47">
        <v>2882</v>
      </c>
      <c r="D83" s="47">
        <v>52703</v>
      </c>
      <c r="E83" s="47">
        <v>5843</v>
      </c>
      <c r="F83" s="47">
        <v>15</v>
      </c>
      <c r="G83" s="60">
        <v>61443</v>
      </c>
      <c r="H83" s="48">
        <v>0.13780607957549187</v>
      </c>
    </row>
    <row r="84" spans="2:8" ht="12.75" customHeight="1" x14ac:dyDescent="0.2">
      <c r="B84" s="46" t="s">
        <v>133</v>
      </c>
      <c r="C84" s="47">
        <v>1306</v>
      </c>
      <c r="D84" s="47">
        <v>17555</v>
      </c>
      <c r="E84" s="47">
        <v>10513</v>
      </c>
      <c r="F84" s="47">
        <v>1</v>
      </c>
      <c r="G84" s="60">
        <v>29375</v>
      </c>
      <c r="H84" s="48">
        <v>6.588307191266822E-2</v>
      </c>
    </row>
    <row r="85" spans="2:8" ht="12.75" customHeight="1" x14ac:dyDescent="0.2">
      <c r="B85" s="46" t="s">
        <v>143</v>
      </c>
      <c r="C85" s="47">
        <v>348</v>
      </c>
      <c r="D85" s="47">
        <v>173546</v>
      </c>
      <c r="E85" s="47">
        <v>20302</v>
      </c>
      <c r="F85" s="49">
        <v>13</v>
      </c>
      <c r="G85" s="60">
        <v>194209</v>
      </c>
      <c r="H85" s="48">
        <v>0.43557737916893219</v>
      </c>
    </row>
    <row r="86" spans="2:8" ht="12.75" customHeight="1" x14ac:dyDescent="0.2">
      <c r="B86" s="46" t="s">
        <v>148</v>
      </c>
      <c r="C86" s="47">
        <v>1209</v>
      </c>
      <c r="D86" s="47">
        <v>94230</v>
      </c>
      <c r="E86" s="47">
        <v>170140</v>
      </c>
      <c r="F86" s="47">
        <v>168</v>
      </c>
      <c r="G86" s="60">
        <v>265747</v>
      </c>
      <c r="H86" s="48">
        <v>0.59602480720258189</v>
      </c>
    </row>
    <row r="87" spans="2:8" ht="12.75" customHeight="1" x14ac:dyDescent="0.2">
      <c r="B87" s="46" t="s">
        <v>153</v>
      </c>
      <c r="C87" s="47">
        <v>1636</v>
      </c>
      <c r="D87" s="47">
        <v>93319</v>
      </c>
      <c r="E87" s="47">
        <v>2132</v>
      </c>
      <c r="F87" s="49">
        <v>3</v>
      </c>
      <c r="G87" s="60">
        <v>97090</v>
      </c>
      <c r="H87" s="48">
        <v>0.21775616857875602</v>
      </c>
    </row>
    <row r="88" spans="2:8" ht="12.75" customHeight="1" x14ac:dyDescent="0.2">
      <c r="B88" s="46" t="s">
        <v>157</v>
      </c>
      <c r="C88" s="47">
        <v>3139</v>
      </c>
      <c r="D88" s="47">
        <v>246381</v>
      </c>
      <c r="E88" s="47">
        <v>2145</v>
      </c>
      <c r="F88" s="49">
        <v>16</v>
      </c>
      <c r="G88" s="60">
        <v>251681</v>
      </c>
      <c r="H88" s="48">
        <v>0.56447718883582132</v>
      </c>
    </row>
    <row r="89" spans="2:8" ht="12.75" customHeight="1" x14ac:dyDescent="0.2">
      <c r="B89" s="46" t="s">
        <v>167</v>
      </c>
      <c r="C89" s="47">
        <v>2239</v>
      </c>
      <c r="D89" s="47">
        <v>13992</v>
      </c>
      <c r="E89" s="47">
        <v>139</v>
      </c>
      <c r="F89" s="49">
        <v>11</v>
      </c>
      <c r="G89" s="60">
        <v>16381</v>
      </c>
      <c r="H89" s="48">
        <v>3.6739765140473814E-2</v>
      </c>
    </row>
    <row r="90" spans="2:8" ht="12.75" customHeight="1" x14ac:dyDescent="0.2">
      <c r="B90" s="46" t="s">
        <v>205</v>
      </c>
      <c r="C90" s="47">
        <v>15546</v>
      </c>
      <c r="D90" s="47">
        <v>472417</v>
      </c>
      <c r="E90" s="47">
        <v>393562</v>
      </c>
      <c r="F90" s="47">
        <v>492</v>
      </c>
      <c r="G90" s="60">
        <v>882017</v>
      </c>
      <c r="H90" s="48">
        <v>1.9782124064407112</v>
      </c>
    </row>
    <row r="91" spans="2:8" ht="12.75" customHeight="1" x14ac:dyDescent="0.2">
      <c r="B91" s="46" t="s">
        <v>218</v>
      </c>
      <c r="C91" s="47">
        <v>6972</v>
      </c>
      <c r="D91" s="47">
        <v>178332</v>
      </c>
      <c r="E91" s="47">
        <v>175028</v>
      </c>
      <c r="F91" s="47">
        <v>532</v>
      </c>
      <c r="G91" s="60">
        <v>360864</v>
      </c>
      <c r="H91" s="48">
        <v>0.80935587617678661</v>
      </c>
    </row>
    <row r="92" spans="2:8" ht="12.75" customHeight="1" x14ac:dyDescent="0.2">
      <c r="B92" s="46" t="s">
        <v>222</v>
      </c>
      <c r="C92" s="47">
        <v>2255</v>
      </c>
      <c r="D92" s="47">
        <v>44387</v>
      </c>
      <c r="E92" s="47">
        <v>1962</v>
      </c>
      <c r="F92" s="47">
        <v>25</v>
      </c>
      <c r="G92" s="60">
        <v>48629</v>
      </c>
      <c r="H92" s="48">
        <v>0.10906648183969848</v>
      </c>
    </row>
    <row r="93" spans="2:8" ht="12.75" customHeight="1" thickBot="1" x14ac:dyDescent="0.25">
      <c r="B93" s="46" t="s">
        <v>288</v>
      </c>
      <c r="C93" s="47">
        <v>201</v>
      </c>
      <c r="D93" s="47">
        <v>2752</v>
      </c>
      <c r="E93" s="47">
        <v>146</v>
      </c>
      <c r="F93" s="47">
        <v>3</v>
      </c>
      <c r="G93" s="60">
        <v>3102</v>
      </c>
      <c r="H93" s="48">
        <v>6.957252393977765E-3</v>
      </c>
    </row>
    <row r="94" spans="2:8" ht="12.75" customHeight="1" thickBot="1" x14ac:dyDescent="0.25">
      <c r="B94" s="117" t="s">
        <v>289</v>
      </c>
      <c r="C94" s="113">
        <v>63795</v>
      </c>
      <c r="D94" s="113">
        <v>1940098</v>
      </c>
      <c r="E94" s="113">
        <v>3527175</v>
      </c>
      <c r="F94" s="113">
        <v>6551</v>
      </c>
      <c r="G94" s="57">
        <v>5537619</v>
      </c>
      <c r="H94" s="114">
        <v>12.419926835811333</v>
      </c>
    </row>
    <row r="95" spans="2:8" ht="12.75" customHeight="1" thickBot="1" x14ac:dyDescent="0.25">
      <c r="B95" s="117" t="s">
        <v>290</v>
      </c>
      <c r="C95" s="113">
        <v>910952</v>
      </c>
      <c r="D95" s="113">
        <v>16980387</v>
      </c>
      <c r="E95" s="113">
        <v>4789219</v>
      </c>
      <c r="F95" s="113">
        <v>14136</v>
      </c>
      <c r="G95" s="57">
        <v>22694694</v>
      </c>
      <c r="H95" s="114">
        <v>50.900294700868088</v>
      </c>
    </row>
    <row r="96" spans="2:8" ht="12.75" customHeight="1" x14ac:dyDescent="0.2">
      <c r="B96" s="46" t="s">
        <v>35</v>
      </c>
      <c r="C96" s="47">
        <v>15524</v>
      </c>
      <c r="D96" s="47">
        <v>416721</v>
      </c>
      <c r="E96" s="47">
        <v>247087</v>
      </c>
      <c r="F96" s="47">
        <v>20</v>
      </c>
      <c r="G96" s="60">
        <v>679352</v>
      </c>
      <c r="H96" s="48">
        <v>1.5236696738728506</v>
      </c>
    </row>
    <row r="97" spans="2:8" ht="12.75" customHeight="1" x14ac:dyDescent="0.2">
      <c r="B97" s="46" t="s">
        <v>47</v>
      </c>
      <c r="C97" s="47">
        <v>2188</v>
      </c>
      <c r="D97" s="47">
        <v>206472</v>
      </c>
      <c r="E97" s="47">
        <v>28808</v>
      </c>
      <c r="F97" s="49">
        <v>34</v>
      </c>
      <c r="G97" s="60">
        <v>237502</v>
      </c>
      <c r="H97" s="48">
        <v>0.53267613090732013</v>
      </c>
    </row>
    <row r="98" spans="2:8" ht="12.75" customHeight="1" x14ac:dyDescent="0.2">
      <c r="B98" s="46" t="s">
        <v>80</v>
      </c>
      <c r="C98" s="47">
        <v>187</v>
      </c>
      <c r="D98" s="47">
        <v>15327</v>
      </c>
      <c r="E98" s="47">
        <v>20984</v>
      </c>
      <c r="F98" s="49">
        <v>2</v>
      </c>
      <c r="G98" s="60">
        <v>36500</v>
      </c>
      <c r="H98" s="48">
        <v>8.1863221270209036E-2</v>
      </c>
    </row>
    <row r="99" spans="2:8" ht="12.75" customHeight="1" x14ac:dyDescent="0.2">
      <c r="B99" s="46" t="s">
        <v>109</v>
      </c>
      <c r="C99" s="47">
        <v>8596</v>
      </c>
      <c r="D99" s="47">
        <v>115418</v>
      </c>
      <c r="E99" s="47">
        <v>1397125</v>
      </c>
      <c r="F99" s="47">
        <v>76</v>
      </c>
      <c r="G99" s="60">
        <v>1521215</v>
      </c>
      <c r="H99" s="48">
        <v>3.4118235656044118</v>
      </c>
    </row>
    <row r="100" spans="2:8" ht="12.75" customHeight="1" x14ac:dyDescent="0.2">
      <c r="B100" s="46" t="s">
        <v>136</v>
      </c>
      <c r="C100" s="47">
        <v>3935</v>
      </c>
      <c r="D100" s="47">
        <v>684211</v>
      </c>
      <c r="E100" s="47">
        <v>17411</v>
      </c>
      <c r="F100" s="49">
        <v>47</v>
      </c>
      <c r="G100" s="60">
        <v>705604</v>
      </c>
      <c r="H100" s="48">
        <v>1.5825483940039609</v>
      </c>
    </row>
    <row r="101" spans="2:8" ht="12.75" customHeight="1" x14ac:dyDescent="0.2">
      <c r="B101" s="46" t="s">
        <v>138</v>
      </c>
      <c r="C101" s="47">
        <v>875</v>
      </c>
      <c r="D101" s="47">
        <v>141886</v>
      </c>
      <c r="E101" s="47">
        <v>5045</v>
      </c>
      <c r="F101" s="49">
        <v>3</v>
      </c>
      <c r="G101" s="60">
        <v>147809</v>
      </c>
      <c r="H101" s="48">
        <v>0.33151016089666646</v>
      </c>
    </row>
    <row r="102" spans="2:8" ht="12.75" customHeight="1" x14ac:dyDescent="0.2">
      <c r="B102" s="46" t="s">
        <v>178</v>
      </c>
      <c r="C102" s="47">
        <v>1897</v>
      </c>
      <c r="D102" s="47">
        <v>205727</v>
      </c>
      <c r="E102" s="47">
        <v>65994</v>
      </c>
      <c r="F102" s="47">
        <v>44</v>
      </c>
      <c r="G102" s="60">
        <v>273662</v>
      </c>
      <c r="H102" s="48">
        <v>0.61377679066432722</v>
      </c>
    </row>
    <row r="103" spans="2:8" ht="12.75" customHeight="1" x14ac:dyDescent="0.2">
      <c r="B103" s="46" t="s">
        <v>193</v>
      </c>
      <c r="C103" s="47">
        <v>1281</v>
      </c>
      <c r="D103" s="47">
        <v>412432</v>
      </c>
      <c r="E103" s="47">
        <v>20717</v>
      </c>
      <c r="F103" s="49">
        <v>4</v>
      </c>
      <c r="G103" s="60">
        <v>434434</v>
      </c>
      <c r="H103" s="48">
        <v>0.97436073066580797</v>
      </c>
    </row>
    <row r="104" spans="2:8" ht="12.75" customHeight="1" x14ac:dyDescent="0.2">
      <c r="B104" s="46" t="s">
        <v>207</v>
      </c>
      <c r="C104" s="47">
        <v>80760</v>
      </c>
      <c r="D104" s="47">
        <v>4792214</v>
      </c>
      <c r="E104" s="47">
        <v>207177</v>
      </c>
      <c r="F104" s="47">
        <v>684</v>
      </c>
      <c r="G104" s="60">
        <v>5080835</v>
      </c>
      <c r="H104" s="48">
        <v>11.395438899792397</v>
      </c>
    </row>
    <row r="105" spans="2:8" ht="12.75" customHeight="1" x14ac:dyDescent="0.2">
      <c r="B105" s="46" t="s">
        <v>234</v>
      </c>
      <c r="C105" s="47">
        <v>70</v>
      </c>
      <c r="D105" s="47">
        <v>70619</v>
      </c>
      <c r="E105" s="47">
        <v>2803</v>
      </c>
      <c r="F105" s="49">
        <v>5</v>
      </c>
      <c r="G105" s="60">
        <v>73497</v>
      </c>
      <c r="H105" s="48">
        <v>0.16484112804648091</v>
      </c>
    </row>
    <row r="106" spans="2:8" ht="12.75" customHeight="1" x14ac:dyDescent="0.2">
      <c r="B106" s="46" t="s">
        <v>245</v>
      </c>
      <c r="C106" s="47">
        <v>282</v>
      </c>
      <c r="D106" s="47">
        <v>49198</v>
      </c>
      <c r="E106" s="47">
        <v>5138</v>
      </c>
      <c r="F106" s="49">
        <v>5</v>
      </c>
      <c r="G106" s="60">
        <v>54623</v>
      </c>
      <c r="H106" s="48">
        <v>0.12250999275185281</v>
      </c>
    </row>
    <row r="107" spans="2:8" ht="12.75" customHeight="1" thickBot="1" x14ac:dyDescent="0.25">
      <c r="B107" s="46" t="s">
        <v>247</v>
      </c>
      <c r="C107" s="47">
        <v>27041</v>
      </c>
      <c r="D107" s="47">
        <v>368305</v>
      </c>
      <c r="E107" s="47">
        <v>246007</v>
      </c>
      <c r="F107" s="47">
        <v>583</v>
      </c>
      <c r="G107" s="60">
        <v>641936</v>
      </c>
      <c r="H107" s="48">
        <v>1.4397520221729563</v>
      </c>
    </row>
    <row r="108" spans="2:8" ht="12.75" customHeight="1" thickBot="1" x14ac:dyDescent="0.25">
      <c r="B108" s="117" t="s">
        <v>291</v>
      </c>
      <c r="C108" s="113">
        <v>142636</v>
      </c>
      <c r="D108" s="113">
        <v>7478530</v>
      </c>
      <c r="E108" s="113">
        <v>2264296</v>
      </c>
      <c r="F108" s="113">
        <v>1507</v>
      </c>
      <c r="G108" s="57">
        <v>9886969</v>
      </c>
      <c r="H108" s="114">
        <v>22.174770710649241</v>
      </c>
    </row>
    <row r="109" spans="2:8" ht="12.75" customHeight="1" x14ac:dyDescent="0.2">
      <c r="B109" s="46" t="s">
        <v>23</v>
      </c>
      <c r="C109" s="47">
        <v>286562</v>
      </c>
      <c r="D109" s="47">
        <v>723449</v>
      </c>
      <c r="E109" s="47">
        <v>10069</v>
      </c>
      <c r="F109" s="47">
        <v>531</v>
      </c>
      <c r="G109" s="60">
        <v>1020611</v>
      </c>
      <c r="H109" s="48">
        <v>2.2890549075016247</v>
      </c>
    </row>
    <row r="110" spans="2:8" ht="12.75" customHeight="1" x14ac:dyDescent="0.2">
      <c r="B110" s="46" t="s">
        <v>33</v>
      </c>
      <c r="C110" s="47">
        <v>16414</v>
      </c>
      <c r="D110" s="47">
        <v>100113</v>
      </c>
      <c r="E110" s="47">
        <v>2768</v>
      </c>
      <c r="F110" s="47">
        <v>172</v>
      </c>
      <c r="G110" s="60">
        <v>119467</v>
      </c>
      <c r="H110" s="48">
        <v>0.26794393028734415</v>
      </c>
    </row>
    <row r="111" spans="2:8" ht="12.75" customHeight="1" x14ac:dyDescent="0.2">
      <c r="B111" s="46" t="s">
        <v>107</v>
      </c>
      <c r="C111" s="47">
        <v>2021</v>
      </c>
      <c r="D111" s="47">
        <v>93729</v>
      </c>
      <c r="E111" s="47">
        <v>2346</v>
      </c>
      <c r="F111" s="49">
        <v>137</v>
      </c>
      <c r="G111" s="60">
        <v>98233</v>
      </c>
      <c r="H111" s="48">
        <v>0.22031972095990257</v>
      </c>
    </row>
    <row r="112" spans="2:8" ht="12.75" customHeight="1" x14ac:dyDescent="0.2">
      <c r="B112" s="46" t="s">
        <v>129</v>
      </c>
      <c r="C112" s="47">
        <v>1379</v>
      </c>
      <c r="D112" s="47">
        <v>28075</v>
      </c>
      <c r="E112" s="47">
        <v>586</v>
      </c>
      <c r="F112" s="49">
        <v>87</v>
      </c>
      <c r="G112" s="60">
        <v>30127</v>
      </c>
      <c r="H112" s="48">
        <v>6.7569678553632537E-2</v>
      </c>
    </row>
    <row r="113" spans="2:8" ht="12.75" customHeight="1" x14ac:dyDescent="0.2">
      <c r="B113" s="46" t="s">
        <v>132</v>
      </c>
      <c r="C113" s="47">
        <v>36459</v>
      </c>
      <c r="D113" s="47">
        <v>162811</v>
      </c>
      <c r="E113" s="47">
        <v>2677</v>
      </c>
      <c r="F113" s="49">
        <v>94</v>
      </c>
      <c r="G113" s="60">
        <v>202041</v>
      </c>
      <c r="H113" s="48">
        <v>0.45314320790833706</v>
      </c>
    </row>
    <row r="114" spans="2:8" ht="12.75" customHeight="1" x14ac:dyDescent="0.2">
      <c r="B114" s="46" t="s">
        <v>172</v>
      </c>
      <c r="C114" s="47">
        <v>30102</v>
      </c>
      <c r="D114" s="47">
        <v>83400</v>
      </c>
      <c r="E114" s="47">
        <v>533</v>
      </c>
      <c r="F114" s="49">
        <v>58</v>
      </c>
      <c r="G114" s="60">
        <v>114093</v>
      </c>
      <c r="H114" s="48">
        <v>0.25589097272279338</v>
      </c>
    </row>
    <row r="115" spans="2:8" ht="12.75" customHeight="1" thickBot="1" x14ac:dyDescent="0.25">
      <c r="B115" s="46" t="s">
        <v>259</v>
      </c>
      <c r="C115" s="47">
        <v>2522</v>
      </c>
      <c r="D115" s="47">
        <v>12313</v>
      </c>
      <c r="E115" s="47">
        <v>454</v>
      </c>
      <c r="F115" s="47">
        <v>44</v>
      </c>
      <c r="G115" s="60">
        <v>15333</v>
      </c>
      <c r="H115" s="48">
        <v>3.4389281417427808E-2</v>
      </c>
    </row>
    <row r="116" spans="2:8" ht="12.75" customHeight="1" thickBot="1" x14ac:dyDescent="0.25">
      <c r="B116" s="52" t="s">
        <v>292</v>
      </c>
      <c r="C116" s="113">
        <v>375459</v>
      </c>
      <c r="D116" s="113">
        <v>1203890</v>
      </c>
      <c r="E116" s="113">
        <v>19433</v>
      </c>
      <c r="F116" s="113">
        <v>1123</v>
      </c>
      <c r="G116" s="57">
        <v>1599905</v>
      </c>
      <c r="H116" s="114">
        <v>3.5883116993510624</v>
      </c>
    </row>
    <row r="117" spans="2:8" ht="12.75" customHeight="1" thickBot="1" x14ac:dyDescent="0.25">
      <c r="B117" s="52" t="s">
        <v>293</v>
      </c>
      <c r="C117" s="113">
        <v>187</v>
      </c>
      <c r="D117" s="113">
        <v>91805</v>
      </c>
      <c r="E117" s="113">
        <v>2169</v>
      </c>
      <c r="F117" s="113">
        <v>7</v>
      </c>
      <c r="G117" s="57">
        <v>94168</v>
      </c>
      <c r="H117" s="114">
        <v>0.21120262522117927</v>
      </c>
    </row>
    <row r="118" spans="2:8" ht="12.75" customHeight="1" thickBot="1" x14ac:dyDescent="0.25">
      <c r="B118" s="52" t="s">
        <v>294</v>
      </c>
      <c r="C118" s="113">
        <v>24</v>
      </c>
      <c r="D118" s="113">
        <v>664</v>
      </c>
      <c r="E118" s="113">
        <v>20</v>
      </c>
      <c r="F118" s="152"/>
      <c r="G118" s="57">
        <v>708</v>
      </c>
      <c r="H118" s="114">
        <v>1.5879222098440545E-3</v>
      </c>
    </row>
    <row r="119" spans="2:8" ht="12.75" customHeight="1" thickBot="1" x14ac:dyDescent="0.25">
      <c r="B119" s="56" t="s">
        <v>295</v>
      </c>
      <c r="C119" s="57">
        <v>1668358</v>
      </c>
      <c r="D119" s="57">
        <v>33932465</v>
      </c>
      <c r="E119" s="57">
        <v>8966718</v>
      </c>
      <c r="F119" s="57">
        <v>19026</v>
      </c>
      <c r="G119" s="57">
        <v>44586567</v>
      </c>
      <c r="H119" s="114">
        <v>100</v>
      </c>
    </row>
    <row r="120" spans="2:8" ht="12.75" customHeight="1" x14ac:dyDescent="0.2"/>
    <row r="121" spans="2:8" ht="12.75" customHeight="1" x14ac:dyDescent="0.2"/>
    <row r="122" spans="2:8" ht="12.75" customHeight="1" x14ac:dyDescent="0.2"/>
  </sheetData>
  <mergeCells count="8">
    <mergeCell ref="C63:F63"/>
    <mergeCell ref="G63:G64"/>
    <mergeCell ref="H63:H64"/>
    <mergeCell ref="B1:H1"/>
    <mergeCell ref="C3:F3"/>
    <mergeCell ref="G3:G4"/>
    <mergeCell ref="H3:H4"/>
    <mergeCell ref="B61:H61"/>
  </mergeCells>
  <printOptions horizontalCentered="1"/>
  <pageMargins left="0.74803149606299213" right="0.74803149606299213" top="0.98425196850393704" bottom="0.98425196850393704" header="0.51181102362204722" footer="0.51181102362204722"/>
  <pageSetup scale="8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8"/>
  <sheetViews>
    <sheetView view="pageBreakPreview" zoomScale="96" zoomScaleNormal="100" zoomScaleSheetLayoutView="96" workbookViewId="0">
      <selection activeCell="I1" sqref="I1"/>
    </sheetView>
  </sheetViews>
  <sheetFormatPr defaultColWidth="9.140625" defaultRowHeight="12.75" x14ac:dyDescent="0.2"/>
  <cols>
    <col min="1" max="1" width="9.140625" style="196"/>
    <col min="2" max="2" width="14.140625" style="6" customWidth="1"/>
    <col min="3" max="5" width="13.85546875" customWidth="1"/>
    <col min="6" max="6" width="13.7109375" customWidth="1"/>
    <col min="7" max="8" width="15.85546875" customWidth="1"/>
  </cols>
  <sheetData>
    <row r="1" spans="2:8" ht="30" customHeight="1" x14ac:dyDescent="0.2">
      <c r="B1" s="514" t="s">
        <v>631</v>
      </c>
      <c r="C1" s="515"/>
      <c r="D1" s="515"/>
      <c r="E1" s="515"/>
      <c r="F1" s="515"/>
      <c r="G1" s="515"/>
      <c r="H1" s="515"/>
    </row>
    <row r="2" spans="2:8" s="196" customFormat="1" ht="9" customHeight="1" thickBot="1" x14ac:dyDescent="0.25">
      <c r="B2" s="201"/>
    </row>
    <row r="3" spans="2:8" ht="18" customHeight="1" x14ac:dyDescent="0.2">
      <c r="B3" s="37" t="s">
        <v>264</v>
      </c>
      <c r="C3" s="516" t="s">
        <v>269</v>
      </c>
      <c r="D3" s="516"/>
      <c r="E3" s="516"/>
      <c r="F3" s="516"/>
      <c r="G3" s="526" t="s">
        <v>17</v>
      </c>
      <c r="H3" s="467" t="s">
        <v>296</v>
      </c>
    </row>
    <row r="4" spans="2:8" s="197" customFormat="1" ht="18" customHeight="1" thickBot="1" x14ac:dyDescent="0.25">
      <c r="B4" s="199" t="s">
        <v>265</v>
      </c>
      <c r="C4" s="215" t="s">
        <v>297</v>
      </c>
      <c r="D4" s="215" t="s">
        <v>298</v>
      </c>
      <c r="E4" s="215" t="s">
        <v>299</v>
      </c>
      <c r="F4" s="215" t="s">
        <v>300</v>
      </c>
      <c r="G4" s="527"/>
      <c r="H4" s="468"/>
    </row>
    <row r="5" spans="2:8" ht="16.5" customHeight="1" x14ac:dyDescent="0.2">
      <c r="B5" s="198" t="s">
        <v>5</v>
      </c>
      <c r="C5" s="61">
        <v>10902</v>
      </c>
      <c r="D5" s="61">
        <v>1244988</v>
      </c>
      <c r="E5" s="61">
        <v>352340</v>
      </c>
      <c r="F5" s="61">
        <v>11</v>
      </c>
      <c r="G5" s="62">
        <v>1608241</v>
      </c>
      <c r="H5" s="63">
        <v>3.60700791339239</v>
      </c>
    </row>
    <row r="6" spans="2:8" ht="16.5" customHeight="1" x14ac:dyDescent="0.2">
      <c r="B6" s="198" t="s">
        <v>6</v>
      </c>
      <c r="C6" s="61">
        <v>11726</v>
      </c>
      <c r="D6" s="61">
        <v>1052099</v>
      </c>
      <c r="E6" s="61">
        <v>351922</v>
      </c>
      <c r="F6" s="61">
        <v>11</v>
      </c>
      <c r="G6" s="62">
        <v>1415758</v>
      </c>
      <c r="H6" s="63">
        <v>3.175301655316948</v>
      </c>
    </row>
    <row r="7" spans="2:8" ht="16.5" customHeight="1" x14ac:dyDescent="0.2">
      <c r="B7" s="198" t="s">
        <v>7</v>
      </c>
      <c r="C7" s="61">
        <v>11786</v>
      </c>
      <c r="D7" s="61">
        <v>1407271</v>
      </c>
      <c r="E7" s="61">
        <v>550027</v>
      </c>
      <c r="F7" s="61">
        <v>22</v>
      </c>
      <c r="G7" s="62">
        <v>1969106</v>
      </c>
      <c r="H7" s="63">
        <v>4.416366032397157</v>
      </c>
    </row>
    <row r="8" spans="2:8" ht="16.5" customHeight="1" x14ac:dyDescent="0.2">
      <c r="B8" s="198" t="s">
        <v>8</v>
      </c>
      <c r="C8" s="61">
        <v>55589</v>
      </c>
      <c r="D8" s="61">
        <v>1694122</v>
      </c>
      <c r="E8" s="61">
        <v>652809</v>
      </c>
      <c r="F8" s="61">
        <v>523</v>
      </c>
      <c r="G8" s="62">
        <v>2403043</v>
      </c>
      <c r="H8" s="63">
        <v>5.3896120775569019</v>
      </c>
    </row>
    <row r="9" spans="2:8" ht="16.5" customHeight="1" x14ac:dyDescent="0.2">
      <c r="B9" s="198" t="s">
        <v>9</v>
      </c>
      <c r="C9" s="61">
        <v>149615</v>
      </c>
      <c r="D9" s="61">
        <v>2658932</v>
      </c>
      <c r="E9" s="61">
        <v>690217</v>
      </c>
      <c r="F9" s="61">
        <v>1967</v>
      </c>
      <c r="G9" s="62">
        <v>3500731</v>
      </c>
      <c r="H9" s="63">
        <v>7.8515374372734277</v>
      </c>
    </row>
    <row r="10" spans="2:8" ht="16.5" customHeight="1" x14ac:dyDescent="0.2">
      <c r="B10" s="198" t="s">
        <v>10</v>
      </c>
      <c r="C10" s="61">
        <v>191681</v>
      </c>
      <c r="D10" s="61">
        <v>3579577</v>
      </c>
      <c r="E10" s="61">
        <v>764750</v>
      </c>
      <c r="F10" s="61">
        <v>2423</v>
      </c>
      <c r="G10" s="62">
        <v>4538431</v>
      </c>
      <c r="H10" s="63">
        <v>10.178920032125371</v>
      </c>
    </row>
    <row r="11" spans="2:8" ht="16.5" customHeight="1" x14ac:dyDescent="0.2">
      <c r="B11" s="198" t="s">
        <v>11</v>
      </c>
      <c r="C11" s="61">
        <v>240063</v>
      </c>
      <c r="D11" s="61">
        <v>4537879</v>
      </c>
      <c r="E11" s="61">
        <v>933161</v>
      </c>
      <c r="F11" s="61">
        <v>2147</v>
      </c>
      <c r="G11" s="62">
        <v>5713250</v>
      </c>
      <c r="H11" s="63">
        <v>12.813836956767719</v>
      </c>
    </row>
    <row r="12" spans="2:8" ht="16.5" customHeight="1" x14ac:dyDescent="0.2">
      <c r="B12" s="198" t="s">
        <v>12</v>
      </c>
      <c r="C12" s="61">
        <v>308130</v>
      </c>
      <c r="D12" s="61">
        <v>5425348</v>
      </c>
      <c r="E12" s="61">
        <v>1363949</v>
      </c>
      <c r="F12" s="61">
        <v>3741</v>
      </c>
      <c r="G12" s="62">
        <v>7101168</v>
      </c>
      <c r="H12" s="63">
        <v>15.926698281121308</v>
      </c>
    </row>
    <row r="13" spans="2:8" ht="16.5" customHeight="1" x14ac:dyDescent="0.2">
      <c r="B13" s="198" t="s">
        <v>13</v>
      </c>
      <c r="C13" s="61">
        <v>276688</v>
      </c>
      <c r="D13" s="61">
        <v>4508189</v>
      </c>
      <c r="E13" s="61">
        <v>1093726</v>
      </c>
      <c r="F13" s="61">
        <v>2967</v>
      </c>
      <c r="G13" s="62">
        <v>5881570</v>
      </c>
      <c r="H13" s="63">
        <v>13.191349762362282</v>
      </c>
    </row>
    <row r="14" spans="2:8" ht="16.5" customHeight="1" x14ac:dyDescent="0.2">
      <c r="B14" s="198" t="s">
        <v>14</v>
      </c>
      <c r="C14" s="61">
        <v>280183</v>
      </c>
      <c r="D14" s="61">
        <v>4069654</v>
      </c>
      <c r="E14" s="61">
        <v>878340</v>
      </c>
      <c r="F14" s="61">
        <v>1864</v>
      </c>
      <c r="G14" s="62">
        <v>5230041</v>
      </c>
      <c r="H14" s="63">
        <v>11.730082291377132</v>
      </c>
    </row>
    <row r="15" spans="2:8" ht="16.5" customHeight="1" x14ac:dyDescent="0.2">
      <c r="B15" s="198" t="s">
        <v>15</v>
      </c>
      <c r="C15" s="61">
        <v>97435</v>
      </c>
      <c r="D15" s="61">
        <v>2164883</v>
      </c>
      <c r="E15" s="61">
        <v>694570</v>
      </c>
      <c r="F15" s="61">
        <v>1916</v>
      </c>
      <c r="G15" s="62">
        <v>2958804</v>
      </c>
      <c r="H15" s="63">
        <v>6.6360883985528645</v>
      </c>
    </row>
    <row r="16" spans="2:8" ht="16.5" customHeight="1" thickBot="1" x14ac:dyDescent="0.25">
      <c r="B16" s="198" t="s">
        <v>16</v>
      </c>
      <c r="C16" s="61">
        <v>34560</v>
      </c>
      <c r="D16" s="61">
        <v>1589523</v>
      </c>
      <c r="E16" s="61">
        <v>640907</v>
      </c>
      <c r="F16" s="61">
        <v>1434</v>
      </c>
      <c r="G16" s="62">
        <v>2266424</v>
      </c>
      <c r="H16" s="63">
        <v>5.0831991617564993</v>
      </c>
    </row>
    <row r="17" spans="2:8" ht="16.5" customHeight="1" thickBot="1" x14ac:dyDescent="0.25">
      <c r="B17" s="218" t="s">
        <v>17</v>
      </c>
      <c r="C17" s="217">
        <v>1668358</v>
      </c>
      <c r="D17" s="217">
        <v>33932465</v>
      </c>
      <c r="E17" s="217">
        <v>8966718</v>
      </c>
      <c r="F17" s="217">
        <v>19026</v>
      </c>
      <c r="G17" s="217">
        <v>44586567</v>
      </c>
      <c r="H17" s="291">
        <v>100</v>
      </c>
    </row>
    <row r="18" spans="2:8" ht="16.5" customHeight="1" thickBot="1" x14ac:dyDescent="0.25">
      <c r="B18" s="64" t="s">
        <v>296</v>
      </c>
      <c r="C18" s="67">
        <v>3.7418400030663945</v>
      </c>
      <c r="D18" s="67">
        <v>76.104681932565029</v>
      </c>
      <c r="E18" s="67">
        <v>20.110806019220991</v>
      </c>
      <c r="F18" s="67">
        <v>4.2672045147588961E-2</v>
      </c>
      <c r="G18" s="216">
        <v>100</v>
      </c>
      <c r="H18" s="68"/>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66"/>
  <sheetViews>
    <sheetView view="pageBreakPreview" zoomScale="93" zoomScaleNormal="100" zoomScaleSheetLayoutView="93" workbookViewId="0"/>
  </sheetViews>
  <sheetFormatPr defaultColWidth="9.140625" defaultRowHeight="12.75" x14ac:dyDescent="0.2"/>
  <cols>
    <col min="1" max="1" width="9.140625" style="196"/>
    <col min="2" max="2" width="16.28515625" style="6" customWidth="1"/>
    <col min="3" max="8" width="13" customWidth="1"/>
  </cols>
  <sheetData>
    <row r="1" spans="2:8" ht="30" customHeight="1" x14ac:dyDescent="0.2">
      <c r="B1" s="514" t="s">
        <v>632</v>
      </c>
      <c r="C1" s="515"/>
      <c r="D1" s="515"/>
      <c r="E1" s="515"/>
      <c r="F1" s="515"/>
      <c r="G1" s="515"/>
      <c r="H1" s="515"/>
    </row>
    <row r="2" spans="2:8" s="209" customFormat="1" ht="12" customHeight="1" thickBot="1" x14ac:dyDescent="0.25">
      <c r="B2" s="213"/>
    </row>
    <row r="3" spans="2:8" ht="15" customHeight="1" x14ac:dyDescent="0.2">
      <c r="B3" s="211" t="s">
        <v>264</v>
      </c>
      <c r="C3" s="516" t="s">
        <v>269</v>
      </c>
      <c r="D3" s="516"/>
      <c r="E3" s="516"/>
      <c r="F3" s="516"/>
      <c r="G3" s="528"/>
      <c r="H3" s="528"/>
    </row>
    <row r="4" spans="2:8" ht="15" customHeight="1" thickBot="1" x14ac:dyDescent="0.25">
      <c r="B4" s="212" t="s">
        <v>301</v>
      </c>
      <c r="C4" s="215" t="s">
        <v>297</v>
      </c>
      <c r="D4" s="215" t="s">
        <v>298</v>
      </c>
      <c r="E4" s="215" t="s">
        <v>299</v>
      </c>
      <c r="F4" s="215" t="s">
        <v>300</v>
      </c>
      <c r="G4" s="224" t="s">
        <v>17</v>
      </c>
      <c r="H4" s="215" t="s">
        <v>296</v>
      </c>
    </row>
    <row r="5" spans="2:8" ht="15" customHeight="1" x14ac:dyDescent="0.2">
      <c r="B5" s="210" t="s">
        <v>302</v>
      </c>
      <c r="C5" s="221">
        <v>1771</v>
      </c>
      <c r="D5" s="221">
        <v>143140</v>
      </c>
      <c r="E5" s="222"/>
      <c r="F5" s="222"/>
      <c r="G5" s="225">
        <v>144911</v>
      </c>
      <c r="H5" s="413">
        <v>0.32501044541060986</v>
      </c>
    </row>
    <row r="6" spans="2:8" ht="15" customHeight="1" x14ac:dyDescent="0.2">
      <c r="B6" s="210" t="s">
        <v>303</v>
      </c>
      <c r="C6" s="222"/>
      <c r="D6" s="221">
        <v>4</v>
      </c>
      <c r="E6" s="222"/>
      <c r="F6" s="222"/>
      <c r="G6" s="225">
        <v>4</v>
      </c>
      <c r="H6" s="413">
        <v>8.971311920022908E-6</v>
      </c>
    </row>
    <row r="7" spans="2:8" ht="15" customHeight="1" x14ac:dyDescent="0.2">
      <c r="B7" s="210" t="s">
        <v>304</v>
      </c>
      <c r="C7" s="222"/>
      <c r="D7" s="222">
        <v>3336</v>
      </c>
      <c r="E7" s="221">
        <v>312851</v>
      </c>
      <c r="F7" s="222"/>
      <c r="G7" s="225">
        <v>316187</v>
      </c>
      <c r="H7" s="413">
        <v>0.70915305051407074</v>
      </c>
    </row>
    <row r="8" spans="2:8" ht="15" customHeight="1" x14ac:dyDescent="0.2">
      <c r="B8" s="210" t="s">
        <v>305</v>
      </c>
      <c r="C8" s="222"/>
      <c r="D8" s="221">
        <v>5</v>
      </c>
      <c r="E8" s="222"/>
      <c r="F8" s="222"/>
      <c r="G8" s="225">
        <v>5</v>
      </c>
      <c r="H8" s="413">
        <v>1.1214139900028634E-5</v>
      </c>
    </row>
    <row r="9" spans="2:8" ht="15" customHeight="1" x14ac:dyDescent="0.2">
      <c r="B9" s="210" t="s">
        <v>306</v>
      </c>
      <c r="C9" s="222"/>
      <c r="D9" s="221">
        <v>496798</v>
      </c>
      <c r="E9" s="222"/>
      <c r="F9" s="222"/>
      <c r="G9" s="225">
        <v>496798</v>
      </c>
      <c r="H9" s="413">
        <v>1.1142324548108851</v>
      </c>
    </row>
    <row r="10" spans="2:8" ht="15" customHeight="1" x14ac:dyDescent="0.2">
      <c r="B10" s="210" t="s">
        <v>307</v>
      </c>
      <c r="C10" s="221">
        <v>60998</v>
      </c>
      <c r="D10" s="221">
        <v>12658561</v>
      </c>
      <c r="E10" s="222"/>
      <c r="F10" s="222"/>
      <c r="G10" s="225">
        <v>12719559</v>
      </c>
      <c r="H10" s="413">
        <v>28.527782818533662</v>
      </c>
    </row>
    <row r="11" spans="2:8" ht="15" customHeight="1" x14ac:dyDescent="0.2">
      <c r="B11" s="210" t="s">
        <v>308</v>
      </c>
      <c r="C11" s="222"/>
      <c r="D11" s="222"/>
      <c r="E11" s="221">
        <v>60266</v>
      </c>
      <c r="F11" s="222"/>
      <c r="G11" s="225">
        <v>60266</v>
      </c>
      <c r="H11" s="413">
        <v>0.13516627104302514</v>
      </c>
    </row>
    <row r="12" spans="2:8" ht="15" customHeight="1" x14ac:dyDescent="0.2">
      <c r="B12" s="210" t="s">
        <v>309</v>
      </c>
      <c r="C12" s="221">
        <v>614</v>
      </c>
      <c r="D12" s="221">
        <v>414</v>
      </c>
      <c r="E12" s="221">
        <v>1709195</v>
      </c>
      <c r="F12" s="222"/>
      <c r="G12" s="225">
        <v>1710223</v>
      </c>
      <c r="H12" s="413">
        <v>3.8357359964493343</v>
      </c>
    </row>
    <row r="13" spans="2:8" ht="15" customHeight="1" x14ac:dyDescent="0.2">
      <c r="B13" s="210" t="s">
        <v>310</v>
      </c>
      <c r="C13" s="221">
        <v>517847</v>
      </c>
      <c r="D13" s="222"/>
      <c r="E13" s="222"/>
      <c r="F13" s="222"/>
      <c r="G13" s="225">
        <v>517847</v>
      </c>
      <c r="H13" s="413">
        <v>1.1614417409620257</v>
      </c>
    </row>
    <row r="14" spans="2:8" ht="15" customHeight="1" x14ac:dyDescent="0.2">
      <c r="B14" s="210" t="s">
        <v>311</v>
      </c>
      <c r="C14" s="221">
        <v>20156</v>
      </c>
      <c r="D14" s="221">
        <v>4465</v>
      </c>
      <c r="E14" s="222"/>
      <c r="F14" s="222"/>
      <c r="G14" s="225">
        <v>24621</v>
      </c>
      <c r="H14" s="413">
        <v>5.5220667695721003E-2</v>
      </c>
    </row>
    <row r="15" spans="2:8" ht="15" customHeight="1" x14ac:dyDescent="0.2">
      <c r="B15" s="210" t="s">
        <v>312</v>
      </c>
      <c r="C15" s="221">
        <v>6714</v>
      </c>
      <c r="D15" s="222"/>
      <c r="E15" s="222"/>
      <c r="F15" s="222"/>
      <c r="G15" s="225">
        <v>6714</v>
      </c>
      <c r="H15" s="413">
        <v>1.5058347057758451E-2</v>
      </c>
    </row>
    <row r="16" spans="2:8" ht="15" customHeight="1" x14ac:dyDescent="0.2">
      <c r="B16" s="210" t="s">
        <v>313</v>
      </c>
      <c r="C16" s="222"/>
      <c r="D16" s="221">
        <v>0</v>
      </c>
      <c r="E16" s="222"/>
      <c r="F16" s="222"/>
      <c r="G16" s="225">
        <v>0</v>
      </c>
      <c r="H16" s="413">
        <v>0</v>
      </c>
    </row>
    <row r="17" spans="2:8" ht="15" customHeight="1" x14ac:dyDescent="0.2">
      <c r="B17" s="210" t="s">
        <v>601</v>
      </c>
      <c r="C17" s="221"/>
      <c r="D17" s="221">
        <v>5</v>
      </c>
      <c r="E17" s="222"/>
      <c r="F17" s="222"/>
      <c r="G17" s="225">
        <v>5</v>
      </c>
      <c r="H17" s="413">
        <v>1.1214139900028634E-5</v>
      </c>
    </row>
    <row r="18" spans="2:8" ht="15" customHeight="1" x14ac:dyDescent="0.2">
      <c r="B18" s="210" t="s">
        <v>314</v>
      </c>
      <c r="C18" s="221">
        <v>2200</v>
      </c>
      <c r="D18" s="221">
        <v>5537</v>
      </c>
      <c r="E18" s="222"/>
      <c r="F18" s="222"/>
      <c r="G18" s="225">
        <v>7737</v>
      </c>
      <c r="H18" s="413">
        <v>1.7352760081304309E-2</v>
      </c>
    </row>
    <row r="19" spans="2:8" ht="15" customHeight="1" x14ac:dyDescent="0.2">
      <c r="B19" s="210" t="s">
        <v>315</v>
      </c>
      <c r="C19" s="222">
        <v>22436</v>
      </c>
      <c r="D19" s="221">
        <v>355</v>
      </c>
      <c r="E19" s="222"/>
      <c r="F19" s="222"/>
      <c r="G19" s="225">
        <v>22791</v>
      </c>
      <c r="H19" s="413">
        <v>5.1116292492310519E-2</v>
      </c>
    </row>
    <row r="20" spans="2:8" ht="15" customHeight="1" x14ac:dyDescent="0.2">
      <c r="B20" s="210" t="s">
        <v>316</v>
      </c>
      <c r="C20" s="222"/>
      <c r="D20" s="221">
        <v>25119</v>
      </c>
      <c r="E20" s="222"/>
      <c r="F20" s="222"/>
      <c r="G20" s="225">
        <v>25119</v>
      </c>
      <c r="H20" s="413">
        <v>5.6337596029763855E-2</v>
      </c>
    </row>
    <row r="21" spans="2:8" ht="15" customHeight="1" x14ac:dyDescent="0.2">
      <c r="B21" s="210" t="s">
        <v>317</v>
      </c>
      <c r="C21" s="222"/>
      <c r="D21" s="222">
        <v>31034</v>
      </c>
      <c r="E21" s="221"/>
      <c r="F21" s="221"/>
      <c r="G21" s="225">
        <v>31034</v>
      </c>
      <c r="H21" s="413">
        <v>6.9603923531497733E-2</v>
      </c>
    </row>
    <row r="22" spans="2:8" ht="15" customHeight="1" x14ac:dyDescent="0.2">
      <c r="B22" s="210" t="s">
        <v>318</v>
      </c>
      <c r="C22" s="222"/>
      <c r="D22" s="221"/>
      <c r="E22" s="222">
        <v>4550287</v>
      </c>
      <c r="F22" s="222">
        <v>17505</v>
      </c>
      <c r="G22" s="225">
        <v>4567792</v>
      </c>
      <c r="H22" s="413">
        <v>10.244771704446318</v>
      </c>
    </row>
    <row r="23" spans="2:8" ht="15" customHeight="1" x14ac:dyDescent="0.2">
      <c r="B23" s="210" t="s">
        <v>319</v>
      </c>
      <c r="C23" s="222"/>
      <c r="D23" s="221">
        <v>16161</v>
      </c>
      <c r="E23" s="222"/>
      <c r="F23" s="222"/>
      <c r="G23" s="225">
        <v>16161</v>
      </c>
      <c r="H23" s="413">
        <v>3.6246342984872552E-2</v>
      </c>
    </row>
    <row r="24" spans="2:8" ht="15" customHeight="1" x14ac:dyDescent="0.2">
      <c r="B24" s="210" t="s">
        <v>320</v>
      </c>
      <c r="C24" s="222"/>
      <c r="D24" s="221">
        <v>1</v>
      </c>
      <c r="E24" s="222"/>
      <c r="F24" s="222"/>
      <c r="G24" s="225">
        <v>1</v>
      </c>
      <c r="H24" s="413">
        <v>2.242827980005727E-6</v>
      </c>
    </row>
    <row r="25" spans="2:8" ht="15" customHeight="1" x14ac:dyDescent="0.2">
      <c r="B25" s="210" t="s">
        <v>321</v>
      </c>
      <c r="C25" s="222"/>
      <c r="D25" s="221">
        <v>5833</v>
      </c>
      <c r="E25" s="222"/>
      <c r="F25" s="222"/>
      <c r="G25" s="225">
        <v>5833</v>
      </c>
      <c r="H25" s="413">
        <v>1.3082415607373405E-2</v>
      </c>
    </row>
    <row r="26" spans="2:8" ht="15" customHeight="1" x14ac:dyDescent="0.2">
      <c r="B26" s="210" t="s">
        <v>322</v>
      </c>
      <c r="C26" s="222"/>
      <c r="D26" s="221">
        <v>46593</v>
      </c>
      <c r="E26" s="221"/>
      <c r="F26" s="222"/>
      <c r="G26" s="225">
        <v>46593</v>
      </c>
      <c r="H26" s="413">
        <v>0.10450008407240682</v>
      </c>
    </row>
    <row r="27" spans="2:8" ht="15" customHeight="1" x14ac:dyDescent="0.2">
      <c r="B27" s="210" t="s">
        <v>323</v>
      </c>
      <c r="C27" s="221"/>
      <c r="D27" s="222">
        <v>62443</v>
      </c>
      <c r="E27" s="222">
        <v>37410</v>
      </c>
      <c r="F27" s="222"/>
      <c r="G27" s="225">
        <v>99853</v>
      </c>
      <c r="H27" s="413">
        <v>0.22395310228751183</v>
      </c>
    </row>
    <row r="28" spans="2:8" ht="15" customHeight="1" x14ac:dyDescent="0.2">
      <c r="B28" s="210" t="s">
        <v>324</v>
      </c>
      <c r="C28" s="222">
        <v>672</v>
      </c>
      <c r="D28" s="222"/>
      <c r="E28" s="221"/>
      <c r="F28" s="222"/>
      <c r="G28" s="225">
        <v>672</v>
      </c>
      <c r="H28" s="413">
        <v>1.5071804025638485E-3</v>
      </c>
    </row>
    <row r="29" spans="2:8" ht="15" customHeight="1" x14ac:dyDescent="0.2">
      <c r="B29" s="210" t="s">
        <v>325</v>
      </c>
      <c r="C29" s="221"/>
      <c r="D29" s="221"/>
      <c r="E29" s="221">
        <v>149189</v>
      </c>
      <c r="F29" s="222"/>
      <c r="G29" s="225">
        <v>149189</v>
      </c>
      <c r="H29" s="413">
        <v>0.33460526350907438</v>
      </c>
    </row>
    <row r="30" spans="2:8" ht="15" customHeight="1" x14ac:dyDescent="0.2">
      <c r="B30" s="210" t="s">
        <v>326</v>
      </c>
      <c r="C30" s="222">
        <v>10506</v>
      </c>
      <c r="D30" s="221">
        <v>16322</v>
      </c>
      <c r="E30" s="221">
        <v>111389</v>
      </c>
      <c r="F30" s="222"/>
      <c r="G30" s="225">
        <v>138217</v>
      </c>
      <c r="H30" s="413">
        <v>0.30999695491245155</v>
      </c>
    </row>
    <row r="31" spans="2:8" ht="15" customHeight="1" x14ac:dyDescent="0.2">
      <c r="B31" s="210" t="s">
        <v>327</v>
      </c>
      <c r="C31" s="222"/>
      <c r="D31" s="221">
        <v>4581</v>
      </c>
      <c r="E31" s="222">
        <v>217162</v>
      </c>
      <c r="F31" s="222"/>
      <c r="G31" s="225">
        <v>221743</v>
      </c>
      <c r="H31" s="413">
        <v>0.49733140477040988</v>
      </c>
    </row>
    <row r="32" spans="2:8" ht="15" customHeight="1" x14ac:dyDescent="0.2">
      <c r="B32" s="210" t="s">
        <v>328</v>
      </c>
      <c r="C32" s="221"/>
      <c r="D32" s="221">
        <v>13558</v>
      </c>
      <c r="E32" s="222"/>
      <c r="F32" s="222"/>
      <c r="G32" s="225">
        <v>13558</v>
      </c>
      <c r="H32" s="413">
        <v>3.0408261752917644E-2</v>
      </c>
    </row>
    <row r="33" spans="2:8" ht="15" customHeight="1" x14ac:dyDescent="0.2">
      <c r="B33" s="210" t="s">
        <v>329</v>
      </c>
      <c r="C33" s="221">
        <v>234367</v>
      </c>
      <c r="D33" s="221">
        <v>15973408</v>
      </c>
      <c r="E33" s="222"/>
      <c r="F33" s="222"/>
      <c r="G33" s="225">
        <v>16207775</v>
      </c>
      <c r="H33" s="413">
        <v>36.351251263637316</v>
      </c>
    </row>
    <row r="34" spans="2:8" ht="15" customHeight="1" x14ac:dyDescent="0.2">
      <c r="B34" s="210" t="s">
        <v>330</v>
      </c>
      <c r="C34" s="222">
        <v>126145</v>
      </c>
      <c r="D34" s="221">
        <v>1355960</v>
      </c>
      <c r="E34" s="222"/>
      <c r="F34" s="222"/>
      <c r="G34" s="225">
        <v>1482105</v>
      </c>
      <c r="H34" s="413">
        <v>3.3241065633063878</v>
      </c>
    </row>
    <row r="35" spans="2:8" ht="15" customHeight="1" x14ac:dyDescent="0.2">
      <c r="B35" s="210" t="s">
        <v>331</v>
      </c>
      <c r="C35" s="222"/>
      <c r="D35" s="221">
        <v>19</v>
      </c>
      <c r="E35" s="222"/>
      <c r="F35" s="222"/>
      <c r="G35" s="225">
        <v>19</v>
      </c>
      <c r="H35" s="413">
        <v>4.2613731620108809E-5</v>
      </c>
    </row>
    <row r="36" spans="2:8" ht="15" customHeight="1" x14ac:dyDescent="0.2">
      <c r="B36" s="210" t="s">
        <v>332</v>
      </c>
      <c r="C36" s="221"/>
      <c r="D36" s="221">
        <v>40</v>
      </c>
      <c r="E36" s="222"/>
      <c r="F36" s="222"/>
      <c r="G36" s="225">
        <v>40</v>
      </c>
      <c r="H36" s="413">
        <v>8.9713119200229073E-5</v>
      </c>
    </row>
    <row r="37" spans="2:8" ht="15" customHeight="1" x14ac:dyDescent="0.2">
      <c r="B37" s="210" t="s">
        <v>333</v>
      </c>
      <c r="C37" s="222">
        <v>409</v>
      </c>
      <c r="D37" s="221">
        <v>13</v>
      </c>
      <c r="E37" s="222"/>
      <c r="F37" s="222"/>
      <c r="G37" s="225">
        <v>422</v>
      </c>
      <c r="H37" s="413">
        <v>9.4647340756241673E-4</v>
      </c>
    </row>
    <row r="38" spans="2:8" ht="15" customHeight="1" x14ac:dyDescent="0.2">
      <c r="B38" s="210" t="s">
        <v>334</v>
      </c>
      <c r="C38" s="222"/>
      <c r="D38" s="222">
        <v>163198</v>
      </c>
      <c r="E38" s="221"/>
      <c r="F38" s="222"/>
      <c r="G38" s="225">
        <v>163198</v>
      </c>
      <c r="H38" s="413">
        <v>0.36602504068097463</v>
      </c>
    </row>
    <row r="39" spans="2:8" ht="15" customHeight="1" x14ac:dyDescent="0.2">
      <c r="B39" s="210" t="s">
        <v>335</v>
      </c>
      <c r="C39" s="222"/>
      <c r="D39" s="222"/>
      <c r="E39" s="221">
        <v>609027</v>
      </c>
      <c r="F39" s="221"/>
      <c r="G39" s="225">
        <v>609027</v>
      </c>
      <c r="H39" s="413">
        <v>1.3659427961789479</v>
      </c>
    </row>
    <row r="40" spans="2:8" ht="15" customHeight="1" x14ac:dyDescent="0.2">
      <c r="B40" s="210" t="s">
        <v>336</v>
      </c>
      <c r="C40" s="221"/>
      <c r="D40" s="221"/>
      <c r="E40" s="222">
        <v>83142</v>
      </c>
      <c r="F40" s="222">
        <v>1392</v>
      </c>
      <c r="G40" s="225">
        <v>84534</v>
      </c>
      <c r="H40" s="413">
        <v>0.1895952204618041</v>
      </c>
    </row>
    <row r="41" spans="2:8" ht="15" customHeight="1" x14ac:dyDescent="0.2">
      <c r="B41" s="210" t="s">
        <v>337</v>
      </c>
      <c r="C41" s="222">
        <v>16046</v>
      </c>
      <c r="D41" s="221">
        <v>1134</v>
      </c>
      <c r="E41" s="222"/>
      <c r="F41" s="222"/>
      <c r="G41" s="225">
        <v>17180</v>
      </c>
      <c r="H41" s="413">
        <v>3.8531784696498386E-2</v>
      </c>
    </row>
    <row r="42" spans="2:8" ht="15" customHeight="1" x14ac:dyDescent="0.2">
      <c r="B42" s="210" t="s">
        <v>338</v>
      </c>
      <c r="C42" s="222"/>
      <c r="D42" s="221">
        <v>52672</v>
      </c>
      <c r="E42" s="222"/>
      <c r="F42" s="222"/>
      <c r="G42" s="225">
        <v>52672</v>
      </c>
      <c r="H42" s="413">
        <v>0.11813423536286165</v>
      </c>
    </row>
    <row r="43" spans="2:8" ht="15" customHeight="1" x14ac:dyDescent="0.2">
      <c r="B43" s="210" t="s">
        <v>339</v>
      </c>
      <c r="C43" s="222"/>
      <c r="D43" s="221">
        <v>7353</v>
      </c>
      <c r="E43" s="222"/>
      <c r="F43" s="222"/>
      <c r="G43" s="225">
        <v>7353</v>
      </c>
      <c r="H43" s="413">
        <v>1.6491514136982108E-2</v>
      </c>
    </row>
    <row r="44" spans="2:8" ht="15" customHeight="1" x14ac:dyDescent="0.2">
      <c r="B44" s="210" t="s">
        <v>340</v>
      </c>
      <c r="C44" s="222"/>
      <c r="D44" s="221">
        <v>6687</v>
      </c>
      <c r="E44" s="222"/>
      <c r="F44" s="222"/>
      <c r="G44" s="225">
        <v>6687</v>
      </c>
      <c r="H44" s="413">
        <v>1.4997790702298295E-2</v>
      </c>
    </row>
    <row r="45" spans="2:8" ht="15" customHeight="1" x14ac:dyDescent="0.2">
      <c r="B45" s="210" t="s">
        <v>341</v>
      </c>
      <c r="C45" s="221"/>
      <c r="D45" s="222">
        <v>1</v>
      </c>
      <c r="E45" s="222"/>
      <c r="F45" s="222"/>
      <c r="G45" s="225">
        <v>1</v>
      </c>
      <c r="H45" s="413">
        <v>2.242827980005727E-6</v>
      </c>
    </row>
    <row r="46" spans="2:8" ht="15" customHeight="1" x14ac:dyDescent="0.2">
      <c r="B46" s="210" t="s">
        <v>342</v>
      </c>
      <c r="C46" s="221">
        <v>44695</v>
      </c>
      <c r="D46" s="221"/>
      <c r="E46" s="222"/>
      <c r="F46" s="222"/>
      <c r="G46" s="225">
        <v>44695</v>
      </c>
      <c r="H46" s="413">
        <v>0.10024319656635595</v>
      </c>
    </row>
    <row r="47" spans="2:8" ht="15" customHeight="1" x14ac:dyDescent="0.2">
      <c r="B47" s="210" t="s">
        <v>343</v>
      </c>
      <c r="C47" s="222">
        <v>533457</v>
      </c>
      <c r="D47" s="221">
        <v>2425338</v>
      </c>
      <c r="E47" s="222"/>
      <c r="F47" s="222"/>
      <c r="G47" s="225">
        <v>2958795</v>
      </c>
      <c r="H47" s="413">
        <v>6.6360682131010442</v>
      </c>
    </row>
    <row r="48" spans="2:8" ht="15" customHeight="1" x14ac:dyDescent="0.2">
      <c r="B48" s="210" t="s">
        <v>602</v>
      </c>
      <c r="C48" s="221"/>
      <c r="D48" s="221">
        <v>2</v>
      </c>
      <c r="E48" s="222"/>
      <c r="F48" s="222"/>
      <c r="G48" s="225">
        <v>2</v>
      </c>
      <c r="H48" s="413">
        <v>4.485655960011454E-6</v>
      </c>
    </row>
    <row r="49" spans="2:8" ht="15" customHeight="1" x14ac:dyDescent="0.2">
      <c r="B49" s="210" t="s">
        <v>344</v>
      </c>
      <c r="C49" s="221"/>
      <c r="D49" s="222">
        <v>7415</v>
      </c>
      <c r="E49" s="222"/>
      <c r="F49" s="222"/>
      <c r="G49" s="225">
        <v>7415</v>
      </c>
      <c r="H49" s="413">
        <v>1.6630569471742466E-2</v>
      </c>
    </row>
    <row r="50" spans="2:8" ht="15" customHeight="1" x14ac:dyDescent="0.2">
      <c r="B50" s="210" t="s">
        <v>345</v>
      </c>
      <c r="C50" s="221">
        <v>1201</v>
      </c>
      <c r="D50" s="222">
        <v>5664</v>
      </c>
      <c r="E50" s="222"/>
      <c r="F50" s="222"/>
      <c r="G50" s="225">
        <v>6865</v>
      </c>
      <c r="H50" s="413">
        <v>1.5397014082739314E-2</v>
      </c>
    </row>
    <row r="51" spans="2:8" ht="15" customHeight="1" x14ac:dyDescent="0.2">
      <c r="B51" s="210" t="s">
        <v>346</v>
      </c>
      <c r="C51" s="221">
        <v>342</v>
      </c>
      <c r="D51" s="221">
        <v>1</v>
      </c>
      <c r="E51" s="222"/>
      <c r="F51" s="222"/>
      <c r="G51" s="225">
        <v>343</v>
      </c>
      <c r="H51" s="413">
        <v>7.6928999714196431E-4</v>
      </c>
    </row>
    <row r="52" spans="2:8" ht="15" customHeight="1" x14ac:dyDescent="0.2">
      <c r="B52" s="210" t="s">
        <v>347</v>
      </c>
      <c r="C52" s="221">
        <v>4516</v>
      </c>
      <c r="D52" s="221"/>
      <c r="E52" s="222"/>
      <c r="F52" s="222"/>
      <c r="G52" s="225">
        <v>4516</v>
      </c>
      <c r="H52" s="413">
        <v>1.0128611157705863E-2</v>
      </c>
    </row>
    <row r="53" spans="2:8" ht="15" customHeight="1" x14ac:dyDescent="0.2">
      <c r="B53" s="210" t="s">
        <v>348</v>
      </c>
      <c r="C53" s="222">
        <v>18686</v>
      </c>
      <c r="D53" s="221">
        <v>52833</v>
      </c>
      <c r="E53" s="222"/>
      <c r="F53" s="222"/>
      <c r="G53" s="225">
        <v>71519</v>
      </c>
      <c r="H53" s="413">
        <v>0.16040481430202957</v>
      </c>
    </row>
    <row r="54" spans="2:8" ht="15" customHeight="1" x14ac:dyDescent="0.2">
      <c r="B54" s="210" t="s">
        <v>349</v>
      </c>
      <c r="C54" s="222">
        <v>11801</v>
      </c>
      <c r="D54" s="221">
        <v>7</v>
      </c>
      <c r="E54" s="221"/>
      <c r="F54" s="222"/>
      <c r="G54" s="225">
        <v>11808</v>
      </c>
      <c r="H54" s="413">
        <v>2.6483312787907623E-2</v>
      </c>
    </row>
    <row r="55" spans="2:8" ht="15" customHeight="1" x14ac:dyDescent="0.2">
      <c r="B55" s="210" t="s">
        <v>350</v>
      </c>
      <c r="C55" s="222"/>
      <c r="D55" s="222">
        <v>557</v>
      </c>
      <c r="E55" s="221"/>
      <c r="F55" s="222"/>
      <c r="G55" s="225">
        <v>557</v>
      </c>
      <c r="H55" s="413">
        <v>1.2492551848631898E-3</v>
      </c>
    </row>
    <row r="56" spans="2:8" ht="15" customHeight="1" x14ac:dyDescent="0.2">
      <c r="B56" s="210" t="s">
        <v>351</v>
      </c>
      <c r="C56" s="221"/>
      <c r="D56" s="221">
        <v>266</v>
      </c>
      <c r="E56" s="222">
        <v>13217</v>
      </c>
      <c r="F56" s="222"/>
      <c r="G56" s="225">
        <v>13483</v>
      </c>
      <c r="H56" s="413">
        <v>3.0240049654417216E-2</v>
      </c>
    </row>
    <row r="57" spans="2:8" ht="15" customHeight="1" x14ac:dyDescent="0.2">
      <c r="B57" s="210" t="s">
        <v>352</v>
      </c>
      <c r="C57" s="221"/>
      <c r="D57" s="221"/>
      <c r="E57" s="222">
        <v>684723</v>
      </c>
      <c r="F57" s="222"/>
      <c r="G57" s="225">
        <v>684723</v>
      </c>
      <c r="H57" s="413">
        <v>1.5357159029534613</v>
      </c>
    </row>
    <row r="58" spans="2:8" ht="15" customHeight="1" x14ac:dyDescent="0.2">
      <c r="B58" s="210" t="s">
        <v>353</v>
      </c>
      <c r="C58" s="222">
        <v>5922</v>
      </c>
      <c r="D58" s="221">
        <v>8978</v>
      </c>
      <c r="E58" s="222"/>
      <c r="F58" s="222"/>
      <c r="G58" s="225">
        <v>14900</v>
      </c>
      <c r="H58" s="413">
        <v>3.3418136902085331E-2</v>
      </c>
    </row>
    <row r="59" spans="2:8" ht="15" customHeight="1" x14ac:dyDescent="0.2">
      <c r="B59" s="210" t="s">
        <v>603</v>
      </c>
      <c r="C59" s="222"/>
      <c r="D59" s="221">
        <v>1</v>
      </c>
      <c r="E59" s="221"/>
      <c r="F59" s="221"/>
      <c r="G59" s="225">
        <v>1</v>
      </c>
      <c r="H59" s="413">
        <v>2.242827980005727E-6</v>
      </c>
    </row>
    <row r="60" spans="2:8" ht="15" customHeight="1" x14ac:dyDescent="0.2">
      <c r="B60" s="210" t="s">
        <v>354</v>
      </c>
      <c r="C60" s="221">
        <v>6915</v>
      </c>
      <c r="D60" s="222">
        <v>314047</v>
      </c>
      <c r="E60" s="222"/>
      <c r="F60" s="222"/>
      <c r="G60" s="225">
        <v>320962</v>
      </c>
      <c r="H60" s="413">
        <v>0.71986255411859812</v>
      </c>
    </row>
    <row r="61" spans="2:8" ht="15" customHeight="1" x14ac:dyDescent="0.2">
      <c r="B61" s="408" t="s">
        <v>355</v>
      </c>
      <c r="C61" s="221"/>
      <c r="D61" s="222">
        <v>25</v>
      </c>
      <c r="E61" s="222"/>
      <c r="F61" s="222"/>
      <c r="G61" s="225">
        <v>25</v>
      </c>
      <c r="H61" s="413">
        <v>5.6070699500143169E-5</v>
      </c>
    </row>
    <row r="62" spans="2:8" ht="15" customHeight="1" x14ac:dyDescent="0.2">
      <c r="B62" s="408" t="s">
        <v>356</v>
      </c>
      <c r="C62" s="221"/>
      <c r="D62" s="222">
        <v>1505</v>
      </c>
      <c r="E62" s="222">
        <v>428860</v>
      </c>
      <c r="F62" s="222">
        <v>129</v>
      </c>
      <c r="G62" s="225">
        <v>430494</v>
      </c>
      <c r="H62" s="413">
        <v>0.96552398842458542</v>
      </c>
    </row>
    <row r="63" spans="2:8" ht="15" customHeight="1" x14ac:dyDescent="0.2">
      <c r="B63" s="408" t="s">
        <v>357</v>
      </c>
      <c r="C63" s="221">
        <v>7031</v>
      </c>
      <c r="D63" s="222"/>
      <c r="E63" s="222"/>
      <c r="F63" s="222"/>
      <c r="G63" s="225">
        <v>7031</v>
      </c>
      <c r="H63" s="413">
        <v>1.5769323527420265E-2</v>
      </c>
    </row>
    <row r="64" spans="2:8" ht="13.5" thickBot="1" x14ac:dyDescent="0.25">
      <c r="B64" s="210" t="s">
        <v>358</v>
      </c>
      <c r="C64" s="221">
        <v>12911</v>
      </c>
      <c r="D64" s="221">
        <v>21076</v>
      </c>
      <c r="E64" s="222"/>
      <c r="F64" s="222"/>
      <c r="G64" s="225">
        <v>33987</v>
      </c>
      <c r="H64" s="413">
        <v>7.6226994556454639E-2</v>
      </c>
    </row>
    <row r="65" spans="2:8" ht="13.5" thickBot="1" x14ac:dyDescent="0.25">
      <c r="B65" s="38" t="s">
        <v>17</v>
      </c>
      <c r="C65" s="223">
        <v>1668358</v>
      </c>
      <c r="D65" s="223">
        <v>33932465</v>
      </c>
      <c r="E65" s="223">
        <v>8966718</v>
      </c>
      <c r="F65" s="223">
        <v>19026</v>
      </c>
      <c r="G65" s="223">
        <v>44586567</v>
      </c>
      <c r="H65" s="412">
        <v>100</v>
      </c>
    </row>
    <row r="66" spans="2:8" ht="13.5" thickBot="1" x14ac:dyDescent="0.25">
      <c r="B66" s="64" t="s">
        <v>296</v>
      </c>
      <c r="C66" s="412">
        <v>3.7418400030663945</v>
      </c>
      <c r="D66" s="412">
        <v>76.104681932565029</v>
      </c>
      <c r="E66" s="412">
        <v>20.110806019220991</v>
      </c>
      <c r="F66" s="412">
        <v>4.2672045147588961E-2</v>
      </c>
      <c r="G66" s="412">
        <v>100</v>
      </c>
      <c r="H66" s="226"/>
    </row>
  </sheetData>
  <mergeCells count="3">
    <mergeCell ref="B1:H1"/>
    <mergeCell ref="C3:F3"/>
    <mergeCell ref="G3:H3"/>
  </mergeCells>
  <printOptions horizontalCentered="1" verticalCentered="1"/>
  <pageMargins left="0.74803149606299213" right="0.74803149606299213" top="0.39370078740157483" bottom="0.39370078740157483" header="0.39370078740157483" footer="0.39370078740157483"/>
  <pageSetup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226"/>
  <sheetViews>
    <sheetView view="pageBreakPreview" zoomScale="85" zoomScaleNormal="100" zoomScaleSheetLayoutView="85" workbookViewId="0"/>
  </sheetViews>
  <sheetFormatPr defaultColWidth="9.140625" defaultRowHeight="12.75" x14ac:dyDescent="0.2"/>
  <cols>
    <col min="1" max="1" width="9.140625" style="219"/>
    <col min="2" max="2" width="17.28515625" style="6" customWidth="1"/>
    <col min="3" max="3" width="38.85546875" style="6" customWidth="1"/>
    <col min="4" max="4" width="7.140625" customWidth="1"/>
    <col min="5" max="6" width="10" style="220" customWidth="1"/>
    <col min="7" max="7" width="10.140625" style="220" customWidth="1"/>
    <col min="8" max="10" width="10.42578125" style="220" customWidth="1"/>
    <col min="11" max="12" width="10" style="220" customWidth="1"/>
    <col min="13" max="13" width="10.140625" style="220" customWidth="1"/>
    <col min="14" max="15" width="10.42578125" style="220" customWidth="1"/>
    <col min="16" max="16" width="10.42578125" customWidth="1"/>
    <col min="17" max="17" width="11.5703125" bestFit="1" customWidth="1"/>
  </cols>
  <sheetData>
    <row r="1" spans="2:17" ht="30" customHeight="1" thickBot="1" x14ac:dyDescent="0.25">
      <c r="B1" s="479" t="s">
        <v>633</v>
      </c>
      <c r="C1" s="529"/>
      <c r="D1" s="529"/>
      <c r="E1" s="529"/>
      <c r="F1" s="529"/>
      <c r="G1" s="529"/>
      <c r="H1" s="529"/>
      <c r="I1" s="529"/>
      <c r="J1" s="529"/>
      <c r="K1" s="529"/>
      <c r="L1" s="529"/>
      <c r="M1" s="529"/>
      <c r="N1" s="529"/>
      <c r="O1" s="529"/>
      <c r="P1" s="529"/>
      <c r="Q1" s="529"/>
    </row>
    <row r="2" spans="2:17" ht="13.5" customHeight="1" thickBot="1" x14ac:dyDescent="0.25">
      <c r="B2" s="37" t="s">
        <v>0</v>
      </c>
      <c r="C2" s="37" t="s">
        <v>0</v>
      </c>
      <c r="D2" s="146" t="s">
        <v>0</v>
      </c>
      <c r="E2" s="517" t="s">
        <v>265</v>
      </c>
      <c r="F2" s="517"/>
      <c r="G2" s="517"/>
      <c r="H2" s="517"/>
      <c r="I2" s="517"/>
      <c r="J2" s="517"/>
      <c r="K2" s="517"/>
      <c r="L2" s="517"/>
      <c r="M2" s="517"/>
      <c r="N2" s="517"/>
      <c r="O2" s="517"/>
      <c r="P2" s="517"/>
      <c r="Q2" s="229"/>
    </row>
    <row r="3" spans="2:17" ht="26.25" customHeight="1" thickBot="1" x14ac:dyDescent="0.25">
      <c r="B3" s="475" t="s">
        <v>558</v>
      </c>
      <c r="C3" s="475"/>
      <c r="D3" s="475"/>
      <c r="E3" s="230" t="s">
        <v>5</v>
      </c>
      <c r="F3" s="230" t="s">
        <v>6</v>
      </c>
      <c r="G3" s="230" t="s">
        <v>7</v>
      </c>
      <c r="H3" s="230" t="s">
        <v>8</v>
      </c>
      <c r="I3" s="230" t="s">
        <v>9</v>
      </c>
      <c r="J3" s="230" t="s">
        <v>10</v>
      </c>
      <c r="K3" s="230" t="s">
        <v>11</v>
      </c>
      <c r="L3" s="230" t="s">
        <v>12</v>
      </c>
      <c r="M3" s="230" t="s">
        <v>13</v>
      </c>
      <c r="N3" s="230" t="s">
        <v>14</v>
      </c>
      <c r="O3" s="230" t="s">
        <v>15</v>
      </c>
      <c r="P3" s="231" t="s">
        <v>16</v>
      </c>
      <c r="Q3" s="232" t="s">
        <v>17</v>
      </c>
    </row>
    <row r="4" spans="2:17" ht="13.5" customHeight="1" x14ac:dyDescent="0.2">
      <c r="B4" s="499" t="s">
        <v>302</v>
      </c>
      <c r="C4" s="84" t="s">
        <v>359</v>
      </c>
      <c r="D4" s="409" t="s">
        <v>270</v>
      </c>
      <c r="E4" s="407">
        <v>24</v>
      </c>
      <c r="F4" s="407">
        <v>54</v>
      </c>
      <c r="G4" s="407">
        <v>31</v>
      </c>
      <c r="H4" s="407">
        <v>43</v>
      </c>
      <c r="I4" s="407">
        <v>40</v>
      </c>
      <c r="J4" s="407">
        <v>24</v>
      </c>
      <c r="K4" s="407">
        <v>83</v>
      </c>
      <c r="L4" s="407">
        <v>60</v>
      </c>
      <c r="M4" s="407">
        <v>26</v>
      </c>
      <c r="N4" s="407">
        <v>44</v>
      </c>
      <c r="O4" s="407">
        <v>36</v>
      </c>
      <c r="P4" s="407">
        <v>35</v>
      </c>
      <c r="Q4" s="227">
        <v>500</v>
      </c>
    </row>
    <row r="5" spans="2:17" ht="13.5" customHeight="1" x14ac:dyDescent="0.2">
      <c r="B5" s="499"/>
      <c r="C5" s="84" t="s">
        <v>360</v>
      </c>
      <c r="D5" s="409" t="s">
        <v>271</v>
      </c>
      <c r="E5" s="407">
        <v>6564</v>
      </c>
      <c r="F5" s="407">
        <v>5657</v>
      </c>
      <c r="G5" s="407">
        <v>8023</v>
      </c>
      <c r="H5" s="407">
        <v>8526</v>
      </c>
      <c r="I5" s="407">
        <v>10595</v>
      </c>
      <c r="J5" s="407">
        <v>13302</v>
      </c>
      <c r="K5" s="407">
        <v>19245</v>
      </c>
      <c r="L5" s="407">
        <v>27041</v>
      </c>
      <c r="M5" s="407">
        <v>16405</v>
      </c>
      <c r="N5" s="407">
        <v>12249</v>
      </c>
      <c r="O5" s="407">
        <v>7914</v>
      </c>
      <c r="P5" s="407">
        <v>7619</v>
      </c>
      <c r="Q5" s="227">
        <v>143140</v>
      </c>
    </row>
    <row r="6" spans="2:17" ht="13.5" customHeight="1" x14ac:dyDescent="0.2">
      <c r="B6" s="499"/>
      <c r="C6" s="84" t="s">
        <v>361</v>
      </c>
      <c r="D6" s="500" t="s">
        <v>270</v>
      </c>
      <c r="E6" s="407">
        <v>72</v>
      </c>
      <c r="F6" s="407">
        <v>80</v>
      </c>
      <c r="G6" s="407">
        <v>109</v>
      </c>
      <c r="H6" s="407">
        <v>78</v>
      </c>
      <c r="I6" s="407">
        <v>89</v>
      </c>
      <c r="J6" s="407">
        <v>41</v>
      </c>
      <c r="K6" s="407">
        <v>92</v>
      </c>
      <c r="L6" s="407">
        <v>64</v>
      </c>
      <c r="M6" s="407">
        <v>76</v>
      </c>
      <c r="N6" s="407">
        <v>77</v>
      </c>
      <c r="O6" s="407">
        <v>78</v>
      </c>
      <c r="P6" s="407">
        <v>79</v>
      </c>
      <c r="Q6" s="227">
        <v>935</v>
      </c>
    </row>
    <row r="7" spans="2:17" ht="13.5" customHeight="1" x14ac:dyDescent="0.2">
      <c r="B7" s="499"/>
      <c r="C7" s="84" t="s">
        <v>362</v>
      </c>
      <c r="D7" s="500"/>
      <c r="E7" s="407">
        <v>13</v>
      </c>
      <c r="F7" s="407">
        <v>20</v>
      </c>
      <c r="G7" s="407">
        <v>24</v>
      </c>
      <c r="H7" s="407">
        <v>15</v>
      </c>
      <c r="I7" s="407">
        <v>27</v>
      </c>
      <c r="J7" s="407">
        <v>35</v>
      </c>
      <c r="K7" s="407">
        <v>28</v>
      </c>
      <c r="L7" s="407">
        <v>29</v>
      </c>
      <c r="M7" s="407">
        <v>37</v>
      </c>
      <c r="N7" s="407">
        <v>42</v>
      </c>
      <c r="O7" s="407">
        <v>56</v>
      </c>
      <c r="P7" s="407">
        <v>10</v>
      </c>
      <c r="Q7" s="227">
        <v>336</v>
      </c>
    </row>
    <row r="8" spans="2:17" ht="13.5" customHeight="1" thickBot="1" x14ac:dyDescent="0.25">
      <c r="B8" s="499"/>
      <c r="C8" s="90" t="s">
        <v>17</v>
      </c>
      <c r="D8" s="87" t="s">
        <v>264</v>
      </c>
      <c r="E8" s="161">
        <v>6673</v>
      </c>
      <c r="F8" s="161">
        <v>5811</v>
      </c>
      <c r="G8" s="161">
        <v>8187</v>
      </c>
      <c r="H8" s="161">
        <v>8662</v>
      </c>
      <c r="I8" s="161">
        <v>10751</v>
      </c>
      <c r="J8" s="161">
        <v>13402</v>
      </c>
      <c r="K8" s="161">
        <v>19448</v>
      </c>
      <c r="L8" s="161">
        <v>27194</v>
      </c>
      <c r="M8" s="161">
        <v>16544</v>
      </c>
      <c r="N8" s="161">
        <v>12412</v>
      </c>
      <c r="O8" s="161">
        <v>8084</v>
      </c>
      <c r="P8" s="161">
        <v>7743</v>
      </c>
      <c r="Q8" s="228">
        <v>144911</v>
      </c>
    </row>
    <row r="9" spans="2:17" ht="13.5" customHeight="1" x14ac:dyDescent="0.2">
      <c r="B9" s="473" t="s">
        <v>303</v>
      </c>
      <c r="C9" s="96" t="s">
        <v>363</v>
      </c>
      <c r="D9" s="410" t="s">
        <v>271</v>
      </c>
      <c r="E9" s="185"/>
      <c r="F9" s="185"/>
      <c r="G9" s="185"/>
      <c r="H9" s="185"/>
      <c r="I9" s="185"/>
      <c r="J9" s="185"/>
      <c r="K9" s="185"/>
      <c r="L9" s="185"/>
      <c r="M9" s="185"/>
      <c r="N9" s="185"/>
      <c r="O9" s="185"/>
      <c r="P9" s="184">
        <v>4</v>
      </c>
      <c r="Q9" s="233">
        <v>4</v>
      </c>
    </row>
    <row r="10" spans="2:17" ht="13.5" customHeight="1" thickBot="1" x14ac:dyDescent="0.25">
      <c r="B10" s="475"/>
      <c r="C10" s="157" t="s">
        <v>17</v>
      </c>
      <c r="D10" s="104" t="s">
        <v>264</v>
      </c>
      <c r="E10" s="191"/>
      <c r="F10" s="191"/>
      <c r="G10" s="191"/>
      <c r="H10" s="191"/>
      <c r="I10" s="191"/>
      <c r="J10" s="191"/>
      <c r="K10" s="191"/>
      <c r="L10" s="191"/>
      <c r="M10" s="191"/>
      <c r="N10" s="191"/>
      <c r="O10" s="191"/>
      <c r="P10" s="190">
        <v>4</v>
      </c>
      <c r="Q10" s="234">
        <v>4</v>
      </c>
    </row>
    <row r="11" spans="2:17" ht="13.5" customHeight="1" x14ac:dyDescent="0.2">
      <c r="B11" s="499" t="s">
        <v>304</v>
      </c>
      <c r="C11" s="84" t="s">
        <v>364</v>
      </c>
      <c r="D11" s="409" t="s">
        <v>272</v>
      </c>
      <c r="E11" s="407">
        <v>16653</v>
      </c>
      <c r="F11" s="407">
        <v>16750</v>
      </c>
      <c r="G11" s="407">
        <v>38780</v>
      </c>
      <c r="H11" s="407">
        <v>25174</v>
      </c>
      <c r="I11" s="407">
        <v>19191</v>
      </c>
      <c r="J11" s="407">
        <v>26214</v>
      </c>
      <c r="K11" s="407">
        <v>31311</v>
      </c>
      <c r="L11" s="407">
        <v>32133</v>
      </c>
      <c r="M11" s="407">
        <v>41451</v>
      </c>
      <c r="N11" s="407">
        <v>24501</v>
      </c>
      <c r="O11" s="407">
        <v>20673</v>
      </c>
      <c r="P11" s="407">
        <v>20020</v>
      </c>
      <c r="Q11" s="227">
        <v>312851</v>
      </c>
    </row>
    <row r="12" spans="2:17" ht="13.5" customHeight="1" x14ac:dyDescent="0.2">
      <c r="B12" s="499"/>
      <c r="C12" s="84" t="s">
        <v>605</v>
      </c>
      <c r="D12" s="409" t="s">
        <v>271</v>
      </c>
      <c r="E12" s="2"/>
      <c r="F12" s="407">
        <v>239</v>
      </c>
      <c r="G12" s="407">
        <v>957</v>
      </c>
      <c r="H12" s="407">
        <v>463</v>
      </c>
      <c r="I12" s="2"/>
      <c r="J12" s="407">
        <v>891</v>
      </c>
      <c r="K12" s="407">
        <v>379</v>
      </c>
      <c r="L12" s="407">
        <v>271</v>
      </c>
      <c r="M12" s="2"/>
      <c r="N12" s="2"/>
      <c r="O12" s="407">
        <v>136</v>
      </c>
      <c r="P12" s="2"/>
      <c r="Q12" s="227">
        <v>3336</v>
      </c>
    </row>
    <row r="13" spans="2:17" ht="13.5" customHeight="1" thickBot="1" x14ac:dyDescent="0.25">
      <c r="B13" s="499"/>
      <c r="C13" s="90" t="s">
        <v>17</v>
      </c>
      <c r="D13" s="87" t="s">
        <v>264</v>
      </c>
      <c r="E13" s="161">
        <v>16653</v>
      </c>
      <c r="F13" s="161">
        <v>16989</v>
      </c>
      <c r="G13" s="161">
        <v>39737</v>
      </c>
      <c r="H13" s="161">
        <v>25637</v>
      </c>
      <c r="I13" s="161">
        <v>19191</v>
      </c>
      <c r="J13" s="161">
        <v>27105</v>
      </c>
      <c r="K13" s="161">
        <v>31690</v>
      </c>
      <c r="L13" s="161">
        <v>32404</v>
      </c>
      <c r="M13" s="161">
        <v>41451</v>
      </c>
      <c r="N13" s="161">
        <v>24501</v>
      </c>
      <c r="O13" s="161">
        <v>20809</v>
      </c>
      <c r="P13" s="161">
        <v>20020</v>
      </c>
      <c r="Q13" s="228">
        <v>316187</v>
      </c>
    </row>
    <row r="14" spans="2:17" ht="13.5" customHeight="1" x14ac:dyDescent="0.2">
      <c r="B14" s="473" t="s">
        <v>305</v>
      </c>
      <c r="C14" s="96" t="s">
        <v>365</v>
      </c>
      <c r="D14" s="410" t="s">
        <v>271</v>
      </c>
      <c r="E14" s="185"/>
      <c r="F14" s="185"/>
      <c r="G14" s="185"/>
      <c r="H14" s="185"/>
      <c r="I14" s="185"/>
      <c r="J14" s="184">
        <v>1</v>
      </c>
      <c r="K14" s="185"/>
      <c r="L14" s="185"/>
      <c r="M14" s="185"/>
      <c r="N14" s="184">
        <v>1</v>
      </c>
      <c r="O14" s="184">
        <v>2</v>
      </c>
      <c r="P14" s="184">
        <v>1</v>
      </c>
      <c r="Q14" s="233">
        <v>5</v>
      </c>
    </row>
    <row r="15" spans="2:17" ht="13.5" customHeight="1" thickBot="1" x14ac:dyDescent="0.25">
      <c r="B15" s="475"/>
      <c r="C15" s="157" t="s">
        <v>17</v>
      </c>
      <c r="D15" s="104" t="s">
        <v>264</v>
      </c>
      <c r="E15" s="191"/>
      <c r="F15" s="191"/>
      <c r="G15" s="191"/>
      <c r="H15" s="191"/>
      <c r="I15" s="191"/>
      <c r="J15" s="190">
        <v>1</v>
      </c>
      <c r="K15" s="191"/>
      <c r="L15" s="191"/>
      <c r="M15" s="191"/>
      <c r="N15" s="190">
        <v>1</v>
      </c>
      <c r="O15" s="190">
        <v>2</v>
      </c>
      <c r="P15" s="190">
        <v>1</v>
      </c>
      <c r="Q15" s="234">
        <v>5</v>
      </c>
    </row>
    <row r="16" spans="2:17" ht="13.5" customHeight="1" x14ac:dyDescent="0.2">
      <c r="B16" s="499" t="s">
        <v>306</v>
      </c>
      <c r="C16" s="84" t="s">
        <v>366</v>
      </c>
      <c r="D16" s="409" t="s">
        <v>271</v>
      </c>
      <c r="E16" s="407">
        <v>36231</v>
      </c>
      <c r="F16" s="407">
        <v>24207</v>
      </c>
      <c r="G16" s="407">
        <v>27831</v>
      </c>
      <c r="H16" s="407">
        <v>28110</v>
      </c>
      <c r="I16" s="407">
        <v>33777</v>
      </c>
      <c r="J16" s="407">
        <v>41245</v>
      </c>
      <c r="K16" s="407">
        <v>58370</v>
      </c>
      <c r="L16" s="407">
        <v>80351</v>
      </c>
      <c r="M16" s="407">
        <v>57150</v>
      </c>
      <c r="N16" s="407">
        <v>44496</v>
      </c>
      <c r="O16" s="407">
        <v>33379</v>
      </c>
      <c r="P16" s="407">
        <v>31651</v>
      </c>
      <c r="Q16" s="227">
        <v>496798</v>
      </c>
    </row>
    <row r="17" spans="2:17" ht="13.5" customHeight="1" thickBot="1" x14ac:dyDescent="0.25">
      <c r="B17" s="499"/>
      <c r="C17" s="90" t="s">
        <v>17</v>
      </c>
      <c r="D17" s="87" t="s">
        <v>264</v>
      </c>
      <c r="E17" s="161">
        <v>36231</v>
      </c>
      <c r="F17" s="161">
        <v>24207</v>
      </c>
      <c r="G17" s="161">
        <v>27831</v>
      </c>
      <c r="H17" s="161">
        <v>28110</v>
      </c>
      <c r="I17" s="161">
        <v>33777</v>
      </c>
      <c r="J17" s="161">
        <v>41245</v>
      </c>
      <c r="K17" s="161">
        <v>58370</v>
      </c>
      <c r="L17" s="161">
        <v>80351</v>
      </c>
      <c r="M17" s="161">
        <v>57150</v>
      </c>
      <c r="N17" s="161">
        <v>44496</v>
      </c>
      <c r="O17" s="161">
        <v>33379</v>
      </c>
      <c r="P17" s="161">
        <v>31651</v>
      </c>
      <c r="Q17" s="228">
        <v>496798</v>
      </c>
    </row>
    <row r="18" spans="2:17" ht="13.5" customHeight="1" x14ac:dyDescent="0.2">
      <c r="B18" s="473" t="s">
        <v>307</v>
      </c>
      <c r="C18" s="96" t="s">
        <v>367</v>
      </c>
      <c r="D18" s="467" t="s">
        <v>270</v>
      </c>
      <c r="E18" s="184">
        <v>1</v>
      </c>
      <c r="F18" s="185"/>
      <c r="G18" s="184">
        <v>27</v>
      </c>
      <c r="H18" s="185"/>
      <c r="I18" s="184">
        <v>10</v>
      </c>
      <c r="J18" s="184">
        <v>22</v>
      </c>
      <c r="K18" s="184">
        <v>5</v>
      </c>
      <c r="L18" s="184">
        <v>5</v>
      </c>
      <c r="M18" s="184">
        <v>19</v>
      </c>
      <c r="N18" s="184">
        <v>16</v>
      </c>
      <c r="O18" s="184">
        <v>530</v>
      </c>
      <c r="P18" s="184">
        <v>4</v>
      </c>
      <c r="Q18" s="233">
        <v>639</v>
      </c>
    </row>
    <row r="19" spans="2:17" ht="13.5" customHeight="1" x14ac:dyDescent="0.2">
      <c r="B19" s="474"/>
      <c r="C19" s="98" t="s">
        <v>369</v>
      </c>
      <c r="D19" s="501"/>
      <c r="E19" s="187">
        <v>1</v>
      </c>
      <c r="F19" s="187">
        <v>1</v>
      </c>
      <c r="G19" s="187">
        <v>2</v>
      </c>
      <c r="H19" s="187">
        <v>17</v>
      </c>
      <c r="I19" s="187">
        <v>39</v>
      </c>
      <c r="J19" s="187">
        <v>34</v>
      </c>
      <c r="K19" s="187">
        <v>51</v>
      </c>
      <c r="L19" s="187">
        <v>79</v>
      </c>
      <c r="M19" s="187">
        <v>67</v>
      </c>
      <c r="N19" s="187">
        <v>131</v>
      </c>
      <c r="O19" s="187">
        <v>15</v>
      </c>
      <c r="P19" s="187">
        <v>5</v>
      </c>
      <c r="Q19" s="235">
        <v>442</v>
      </c>
    </row>
    <row r="20" spans="2:17" ht="13.5" customHeight="1" x14ac:dyDescent="0.2">
      <c r="B20" s="474"/>
      <c r="C20" s="98" t="s">
        <v>370</v>
      </c>
      <c r="D20" s="501"/>
      <c r="E20" s="187">
        <v>48</v>
      </c>
      <c r="F20" s="187">
        <v>30</v>
      </c>
      <c r="G20" s="187">
        <v>151</v>
      </c>
      <c r="H20" s="187">
        <v>130</v>
      </c>
      <c r="I20" s="187">
        <v>3006</v>
      </c>
      <c r="J20" s="187">
        <v>1977</v>
      </c>
      <c r="K20" s="187">
        <v>2635</v>
      </c>
      <c r="L20" s="187">
        <v>1833</v>
      </c>
      <c r="M20" s="187">
        <v>4181</v>
      </c>
      <c r="N20" s="187">
        <v>14224</v>
      </c>
      <c r="O20" s="187">
        <v>7320</v>
      </c>
      <c r="P20" s="187">
        <v>435</v>
      </c>
      <c r="Q20" s="235">
        <v>35970</v>
      </c>
    </row>
    <row r="21" spans="2:17" ht="13.5" customHeight="1" x14ac:dyDescent="0.2">
      <c r="B21" s="474"/>
      <c r="C21" s="98" t="s">
        <v>371</v>
      </c>
      <c r="D21" s="501" t="s">
        <v>271</v>
      </c>
      <c r="E21" s="187">
        <v>4351</v>
      </c>
      <c r="F21" s="187">
        <v>3234</v>
      </c>
      <c r="G21" s="187">
        <v>3693</v>
      </c>
      <c r="H21" s="187">
        <v>7684</v>
      </c>
      <c r="I21" s="187">
        <v>13732</v>
      </c>
      <c r="J21" s="187">
        <v>12602</v>
      </c>
      <c r="K21" s="187">
        <v>24649</v>
      </c>
      <c r="L21" s="187">
        <v>24252</v>
      </c>
      <c r="M21" s="187">
        <v>13204</v>
      </c>
      <c r="N21" s="187">
        <v>16157</v>
      </c>
      <c r="O21" s="187">
        <v>4982</v>
      </c>
      <c r="P21" s="187">
        <v>2283</v>
      </c>
      <c r="Q21" s="235">
        <v>130823</v>
      </c>
    </row>
    <row r="22" spans="2:17" ht="13.5" customHeight="1" x14ac:dyDescent="0.2">
      <c r="B22" s="474"/>
      <c r="C22" s="98" t="s">
        <v>372</v>
      </c>
      <c r="D22" s="501"/>
      <c r="E22" s="187">
        <v>162169</v>
      </c>
      <c r="F22" s="187">
        <v>107931</v>
      </c>
      <c r="G22" s="187">
        <v>172329</v>
      </c>
      <c r="H22" s="187">
        <v>509862</v>
      </c>
      <c r="I22" s="187">
        <v>961997</v>
      </c>
      <c r="J22" s="187">
        <v>1590570</v>
      </c>
      <c r="K22" s="187">
        <v>2125985</v>
      </c>
      <c r="L22" s="187">
        <v>2350641</v>
      </c>
      <c r="M22" s="187">
        <v>1973227</v>
      </c>
      <c r="N22" s="187">
        <v>1792923</v>
      </c>
      <c r="O22" s="187">
        <v>572223</v>
      </c>
      <c r="P22" s="187">
        <v>207881</v>
      </c>
      <c r="Q22" s="235">
        <v>12527738</v>
      </c>
    </row>
    <row r="23" spans="2:17" ht="13.5" customHeight="1" x14ac:dyDescent="0.2">
      <c r="B23" s="474"/>
      <c r="C23" s="98" t="s">
        <v>606</v>
      </c>
      <c r="D23" s="501" t="s">
        <v>270</v>
      </c>
      <c r="E23" s="188"/>
      <c r="F23" s="187">
        <v>7</v>
      </c>
      <c r="G23" s="187">
        <v>75</v>
      </c>
      <c r="H23" s="187">
        <v>674</v>
      </c>
      <c r="I23" s="187">
        <v>1647</v>
      </c>
      <c r="J23" s="187">
        <v>2452</v>
      </c>
      <c r="K23" s="187">
        <v>4819</v>
      </c>
      <c r="L23" s="187">
        <v>5226</v>
      </c>
      <c r="M23" s="187">
        <v>4109</v>
      </c>
      <c r="N23" s="187">
        <v>3269</v>
      </c>
      <c r="O23" s="187">
        <v>11</v>
      </c>
      <c r="P23" s="188"/>
      <c r="Q23" s="235">
        <v>22289</v>
      </c>
    </row>
    <row r="24" spans="2:17" ht="13.5" customHeight="1" x14ac:dyDescent="0.2">
      <c r="B24" s="474"/>
      <c r="C24" s="98" t="s">
        <v>373</v>
      </c>
      <c r="D24" s="501"/>
      <c r="E24" s="188"/>
      <c r="F24" s="188"/>
      <c r="G24" s="188"/>
      <c r="H24" s="188"/>
      <c r="I24" s="187">
        <v>1</v>
      </c>
      <c r="J24" s="188"/>
      <c r="K24" s="187">
        <v>2</v>
      </c>
      <c r="L24" s="188"/>
      <c r="M24" s="187">
        <v>2</v>
      </c>
      <c r="N24" s="187">
        <v>11</v>
      </c>
      <c r="O24" s="187">
        <v>13</v>
      </c>
      <c r="P24" s="188"/>
      <c r="Q24" s="235">
        <v>29</v>
      </c>
    </row>
    <row r="25" spans="2:17" ht="13.5" customHeight="1" x14ac:dyDescent="0.2">
      <c r="B25" s="474"/>
      <c r="C25" s="98" t="s">
        <v>368</v>
      </c>
      <c r="D25" s="501"/>
      <c r="E25" s="188"/>
      <c r="F25" s="188"/>
      <c r="G25" s="188"/>
      <c r="H25" s="188"/>
      <c r="I25" s="188"/>
      <c r="J25" s="188"/>
      <c r="K25" s="188"/>
      <c r="L25" s="188"/>
      <c r="M25" s="188"/>
      <c r="N25" s="188"/>
      <c r="O25" s="187">
        <v>1327</v>
      </c>
      <c r="P25" s="187">
        <v>302</v>
      </c>
      <c r="Q25" s="235">
        <v>1629</v>
      </c>
    </row>
    <row r="26" spans="2:17" ht="13.5" customHeight="1" thickBot="1" x14ac:dyDescent="0.25">
      <c r="B26" s="475"/>
      <c r="C26" s="157" t="s">
        <v>17</v>
      </c>
      <c r="D26" s="104" t="s">
        <v>264</v>
      </c>
      <c r="E26" s="190">
        <v>166570</v>
      </c>
      <c r="F26" s="190">
        <v>111203</v>
      </c>
      <c r="G26" s="190">
        <v>176277</v>
      </c>
      <c r="H26" s="190">
        <v>518367</v>
      </c>
      <c r="I26" s="190">
        <v>980432</v>
      </c>
      <c r="J26" s="190">
        <v>1607657</v>
      </c>
      <c r="K26" s="190">
        <v>2158146</v>
      </c>
      <c r="L26" s="190">
        <v>2382036</v>
      </c>
      <c r="M26" s="190">
        <v>1994809</v>
      </c>
      <c r="N26" s="190">
        <v>1826731</v>
      </c>
      <c r="O26" s="190">
        <v>586421</v>
      </c>
      <c r="P26" s="190">
        <v>210910</v>
      </c>
      <c r="Q26" s="234">
        <v>12719559</v>
      </c>
    </row>
    <row r="27" spans="2:17" ht="13.5" customHeight="1" x14ac:dyDescent="0.2">
      <c r="B27" s="499" t="s">
        <v>309</v>
      </c>
      <c r="C27" s="84" t="s">
        <v>376</v>
      </c>
      <c r="D27" s="409" t="s">
        <v>271</v>
      </c>
      <c r="E27" s="407">
        <v>45</v>
      </c>
      <c r="F27" s="407">
        <v>50</v>
      </c>
      <c r="G27" s="407">
        <v>109</v>
      </c>
      <c r="H27" s="407">
        <v>136</v>
      </c>
      <c r="I27" s="407">
        <v>74</v>
      </c>
      <c r="J27" s="2"/>
      <c r="K27" s="2"/>
      <c r="L27" s="2"/>
      <c r="M27" s="2"/>
      <c r="N27" s="2"/>
      <c r="O27" s="2"/>
      <c r="P27" s="2"/>
      <c r="Q27" s="227">
        <v>414</v>
      </c>
    </row>
    <row r="28" spans="2:17" ht="13.5" customHeight="1" x14ac:dyDescent="0.2">
      <c r="B28" s="499"/>
      <c r="C28" s="84" t="s">
        <v>375</v>
      </c>
      <c r="D28" s="409" t="s">
        <v>272</v>
      </c>
      <c r="E28" s="407">
        <v>36643</v>
      </c>
      <c r="F28" s="407">
        <v>48540</v>
      </c>
      <c r="G28" s="407">
        <v>88510</v>
      </c>
      <c r="H28" s="407">
        <v>105737</v>
      </c>
      <c r="I28" s="407">
        <v>130684</v>
      </c>
      <c r="J28" s="407">
        <v>161208</v>
      </c>
      <c r="K28" s="407">
        <v>193208</v>
      </c>
      <c r="L28" s="407">
        <v>229478</v>
      </c>
      <c r="M28" s="407">
        <v>213365</v>
      </c>
      <c r="N28" s="407">
        <v>175240</v>
      </c>
      <c r="O28" s="407">
        <v>166301</v>
      </c>
      <c r="P28" s="407">
        <v>160281</v>
      </c>
      <c r="Q28" s="227">
        <v>1709195</v>
      </c>
    </row>
    <row r="29" spans="2:17" ht="13.5" customHeight="1" x14ac:dyDescent="0.2">
      <c r="B29" s="499"/>
      <c r="C29" s="84" t="s">
        <v>374</v>
      </c>
      <c r="D29" s="409" t="s">
        <v>270</v>
      </c>
      <c r="E29" s="2"/>
      <c r="F29" s="2"/>
      <c r="G29" s="407">
        <v>7</v>
      </c>
      <c r="H29" s="407">
        <v>25</v>
      </c>
      <c r="I29" s="407">
        <v>24</v>
      </c>
      <c r="J29" s="407">
        <v>62</v>
      </c>
      <c r="K29" s="407">
        <v>29</v>
      </c>
      <c r="L29" s="407">
        <v>71</v>
      </c>
      <c r="M29" s="407">
        <v>137</v>
      </c>
      <c r="N29" s="407">
        <v>78</v>
      </c>
      <c r="O29" s="407">
        <v>103</v>
      </c>
      <c r="P29" s="407">
        <v>78</v>
      </c>
      <c r="Q29" s="227">
        <v>614</v>
      </c>
    </row>
    <row r="30" spans="2:17" ht="13.5" customHeight="1" thickBot="1" x14ac:dyDescent="0.25">
      <c r="B30" s="499"/>
      <c r="C30" s="90" t="s">
        <v>17</v>
      </c>
      <c r="D30" s="87" t="s">
        <v>264</v>
      </c>
      <c r="E30" s="161">
        <v>36688</v>
      </c>
      <c r="F30" s="161">
        <v>48590</v>
      </c>
      <c r="G30" s="161">
        <v>88626</v>
      </c>
      <c r="H30" s="161">
        <v>105898</v>
      </c>
      <c r="I30" s="161">
        <v>130782</v>
      </c>
      <c r="J30" s="161">
        <v>161270</v>
      </c>
      <c r="K30" s="161">
        <v>193237</v>
      </c>
      <c r="L30" s="161">
        <v>229549</v>
      </c>
      <c r="M30" s="161">
        <v>213502</v>
      </c>
      <c r="N30" s="161">
        <v>175318</v>
      </c>
      <c r="O30" s="161">
        <v>166404</v>
      </c>
      <c r="P30" s="161">
        <v>160359</v>
      </c>
      <c r="Q30" s="228">
        <v>1710223</v>
      </c>
    </row>
    <row r="31" spans="2:17" ht="13.5" customHeight="1" x14ac:dyDescent="0.2">
      <c r="B31" s="473" t="s">
        <v>310</v>
      </c>
      <c r="C31" s="96" t="s">
        <v>378</v>
      </c>
      <c r="D31" s="467" t="s">
        <v>270</v>
      </c>
      <c r="E31" s="184">
        <v>835</v>
      </c>
      <c r="F31" s="184">
        <v>403</v>
      </c>
      <c r="G31" s="184">
        <v>353</v>
      </c>
      <c r="H31" s="184">
        <v>20111</v>
      </c>
      <c r="I31" s="184">
        <v>56828</v>
      </c>
      <c r="J31" s="184">
        <v>72471</v>
      </c>
      <c r="K31" s="184">
        <v>68718</v>
      </c>
      <c r="L31" s="184">
        <v>89091</v>
      </c>
      <c r="M31" s="184">
        <v>72389</v>
      </c>
      <c r="N31" s="184">
        <v>98289</v>
      </c>
      <c r="O31" s="184">
        <v>31235</v>
      </c>
      <c r="P31" s="184">
        <v>6246</v>
      </c>
      <c r="Q31" s="233">
        <v>516969</v>
      </c>
    </row>
    <row r="32" spans="2:17" ht="13.5" customHeight="1" x14ac:dyDescent="0.2">
      <c r="B32" s="474"/>
      <c r="C32" s="98" t="s">
        <v>377</v>
      </c>
      <c r="D32" s="501"/>
      <c r="E32" s="188"/>
      <c r="F32" s="187">
        <v>8</v>
      </c>
      <c r="G32" s="187">
        <v>24</v>
      </c>
      <c r="H32" s="187">
        <v>33</v>
      </c>
      <c r="I32" s="187">
        <v>69</v>
      </c>
      <c r="J32" s="187">
        <v>88</v>
      </c>
      <c r="K32" s="187">
        <v>365</v>
      </c>
      <c r="L32" s="187">
        <v>186</v>
      </c>
      <c r="M32" s="187">
        <v>63</v>
      </c>
      <c r="N32" s="187">
        <v>38</v>
      </c>
      <c r="O32" s="187">
        <v>2</v>
      </c>
      <c r="P32" s="187">
        <v>2</v>
      </c>
      <c r="Q32" s="235">
        <v>878</v>
      </c>
    </row>
    <row r="33" spans="2:17" ht="13.5" customHeight="1" thickBot="1" x14ac:dyDescent="0.25">
      <c r="B33" s="475"/>
      <c r="C33" s="157" t="s">
        <v>17</v>
      </c>
      <c r="D33" s="104" t="s">
        <v>264</v>
      </c>
      <c r="E33" s="190">
        <v>835</v>
      </c>
      <c r="F33" s="190">
        <v>411</v>
      </c>
      <c r="G33" s="190">
        <v>377</v>
      </c>
      <c r="H33" s="190">
        <v>20144</v>
      </c>
      <c r="I33" s="190">
        <v>56897</v>
      </c>
      <c r="J33" s="190">
        <v>72559</v>
      </c>
      <c r="K33" s="190">
        <v>69083</v>
      </c>
      <c r="L33" s="190">
        <v>89277</v>
      </c>
      <c r="M33" s="190">
        <v>72452</v>
      </c>
      <c r="N33" s="190">
        <v>98327</v>
      </c>
      <c r="O33" s="190">
        <v>31237</v>
      </c>
      <c r="P33" s="190">
        <v>6248</v>
      </c>
      <c r="Q33" s="234">
        <v>517847</v>
      </c>
    </row>
    <row r="34" spans="2:17" ht="13.5" customHeight="1" x14ac:dyDescent="0.2">
      <c r="B34" s="499" t="s">
        <v>311</v>
      </c>
      <c r="C34" s="84" t="s">
        <v>379</v>
      </c>
      <c r="D34" s="500" t="s">
        <v>270</v>
      </c>
      <c r="E34" s="407">
        <v>6</v>
      </c>
      <c r="F34" s="2"/>
      <c r="G34" s="407">
        <v>2</v>
      </c>
      <c r="H34" s="407">
        <v>5</v>
      </c>
      <c r="I34" s="407">
        <v>3</v>
      </c>
      <c r="J34" s="407">
        <v>2</v>
      </c>
      <c r="K34" s="407">
        <v>2</v>
      </c>
      <c r="L34" s="407">
        <v>4</v>
      </c>
      <c r="M34" s="407">
        <v>5</v>
      </c>
      <c r="N34" s="407">
        <v>4</v>
      </c>
      <c r="O34" s="407">
        <v>7</v>
      </c>
      <c r="P34" s="2"/>
      <c r="Q34" s="227">
        <v>40</v>
      </c>
    </row>
    <row r="35" spans="2:17" ht="13.5" customHeight="1" x14ac:dyDescent="0.2">
      <c r="B35" s="499"/>
      <c r="C35" s="84" t="s">
        <v>380</v>
      </c>
      <c r="D35" s="500"/>
      <c r="E35" s="407">
        <v>22</v>
      </c>
      <c r="F35" s="407">
        <v>22</v>
      </c>
      <c r="G35" s="407">
        <v>33</v>
      </c>
      <c r="H35" s="407">
        <v>52</v>
      </c>
      <c r="I35" s="407">
        <v>29</v>
      </c>
      <c r="J35" s="407">
        <v>101</v>
      </c>
      <c r="K35" s="407">
        <v>60</v>
      </c>
      <c r="L35" s="407">
        <v>100</v>
      </c>
      <c r="M35" s="407">
        <v>113</v>
      </c>
      <c r="N35" s="407">
        <v>97</v>
      </c>
      <c r="O35" s="407">
        <v>97</v>
      </c>
      <c r="P35" s="407">
        <v>250</v>
      </c>
      <c r="Q35" s="227">
        <v>976</v>
      </c>
    </row>
    <row r="36" spans="2:17" ht="13.5" customHeight="1" x14ac:dyDescent="0.2">
      <c r="B36" s="499"/>
      <c r="C36" s="84" t="s">
        <v>381</v>
      </c>
      <c r="D36" s="500"/>
      <c r="E36" s="2"/>
      <c r="F36" s="407">
        <v>1</v>
      </c>
      <c r="G36" s="2"/>
      <c r="H36" s="407">
        <v>753</v>
      </c>
      <c r="I36" s="407">
        <v>1537</v>
      </c>
      <c r="J36" s="407">
        <v>1923</v>
      </c>
      <c r="K36" s="407">
        <v>3375</v>
      </c>
      <c r="L36" s="407">
        <v>5388</v>
      </c>
      <c r="M36" s="407">
        <v>3172</v>
      </c>
      <c r="N36" s="407">
        <v>1462</v>
      </c>
      <c r="O36" s="407">
        <v>895</v>
      </c>
      <c r="P36" s="407">
        <v>634</v>
      </c>
      <c r="Q36" s="227">
        <v>19140</v>
      </c>
    </row>
    <row r="37" spans="2:17" ht="13.5" customHeight="1" x14ac:dyDescent="0.2">
      <c r="B37" s="499"/>
      <c r="C37" s="84" t="s">
        <v>382</v>
      </c>
      <c r="D37" s="409" t="s">
        <v>271</v>
      </c>
      <c r="E37" s="2"/>
      <c r="F37" s="2"/>
      <c r="G37" s="2"/>
      <c r="H37" s="2"/>
      <c r="I37" s="2"/>
      <c r="J37" s="407">
        <v>187</v>
      </c>
      <c r="K37" s="407">
        <v>1387</v>
      </c>
      <c r="L37" s="407">
        <v>1962</v>
      </c>
      <c r="M37" s="407">
        <v>917</v>
      </c>
      <c r="N37" s="407">
        <v>8</v>
      </c>
      <c r="O37" s="2"/>
      <c r="P37" s="407">
        <v>4</v>
      </c>
      <c r="Q37" s="227">
        <v>4465</v>
      </c>
    </row>
    <row r="38" spans="2:17" ht="13.5" customHeight="1" thickBot="1" x14ac:dyDescent="0.25">
      <c r="B38" s="499"/>
      <c r="C38" s="90" t="s">
        <v>17</v>
      </c>
      <c r="D38" s="87" t="s">
        <v>264</v>
      </c>
      <c r="E38" s="161">
        <v>28</v>
      </c>
      <c r="F38" s="161">
        <v>23</v>
      </c>
      <c r="G38" s="161">
        <v>35</v>
      </c>
      <c r="H38" s="161">
        <v>810</v>
      </c>
      <c r="I38" s="161">
        <v>1569</v>
      </c>
      <c r="J38" s="161">
        <v>2213</v>
      </c>
      <c r="K38" s="161">
        <v>4824</v>
      </c>
      <c r="L38" s="161">
        <v>7454</v>
      </c>
      <c r="M38" s="161">
        <v>4207</v>
      </c>
      <c r="N38" s="161">
        <v>1571</v>
      </c>
      <c r="O38" s="161">
        <v>999</v>
      </c>
      <c r="P38" s="161">
        <v>888</v>
      </c>
      <c r="Q38" s="228">
        <v>24621</v>
      </c>
    </row>
    <row r="39" spans="2:17" ht="13.5" customHeight="1" x14ac:dyDescent="0.2">
      <c r="B39" s="473" t="s">
        <v>601</v>
      </c>
      <c r="C39" s="96" t="s">
        <v>607</v>
      </c>
      <c r="D39" s="410" t="s">
        <v>271</v>
      </c>
      <c r="E39" s="185"/>
      <c r="F39" s="185"/>
      <c r="G39" s="185"/>
      <c r="H39" s="185"/>
      <c r="I39" s="185"/>
      <c r="J39" s="184">
        <v>5</v>
      </c>
      <c r="K39" s="185"/>
      <c r="L39" s="185"/>
      <c r="M39" s="185"/>
      <c r="N39" s="185"/>
      <c r="O39" s="185"/>
      <c r="P39" s="185"/>
      <c r="Q39" s="233">
        <v>5</v>
      </c>
    </row>
    <row r="40" spans="2:17" ht="13.5" customHeight="1" thickBot="1" x14ac:dyDescent="0.25">
      <c r="B40" s="475"/>
      <c r="C40" s="157" t="s">
        <v>17</v>
      </c>
      <c r="D40" s="104" t="s">
        <v>264</v>
      </c>
      <c r="E40" s="191"/>
      <c r="F40" s="191"/>
      <c r="G40" s="191"/>
      <c r="H40" s="191"/>
      <c r="I40" s="191"/>
      <c r="J40" s="190">
        <v>5</v>
      </c>
      <c r="K40" s="191"/>
      <c r="L40" s="191"/>
      <c r="M40" s="191"/>
      <c r="N40" s="191"/>
      <c r="O40" s="191"/>
      <c r="P40" s="191"/>
      <c r="Q40" s="234">
        <v>5</v>
      </c>
    </row>
    <row r="41" spans="2:17" ht="13.5" customHeight="1" x14ac:dyDescent="0.2">
      <c r="B41" s="499" t="s">
        <v>314</v>
      </c>
      <c r="C41" s="84" t="s">
        <v>383</v>
      </c>
      <c r="D41" s="409" t="s">
        <v>271</v>
      </c>
      <c r="E41" s="407">
        <v>37</v>
      </c>
      <c r="F41" s="407">
        <v>25</v>
      </c>
      <c r="G41" s="407">
        <v>50</v>
      </c>
      <c r="H41" s="407">
        <v>22</v>
      </c>
      <c r="I41" s="407">
        <v>16</v>
      </c>
      <c r="J41" s="407">
        <v>458</v>
      </c>
      <c r="K41" s="407">
        <v>1936</v>
      </c>
      <c r="L41" s="407">
        <v>2464</v>
      </c>
      <c r="M41" s="407">
        <v>423</v>
      </c>
      <c r="N41" s="407">
        <v>14</v>
      </c>
      <c r="O41" s="407">
        <v>37</v>
      </c>
      <c r="P41" s="407">
        <v>55</v>
      </c>
      <c r="Q41" s="227">
        <v>5537</v>
      </c>
    </row>
    <row r="42" spans="2:17" ht="13.5" customHeight="1" x14ac:dyDescent="0.2">
      <c r="B42" s="499"/>
      <c r="C42" s="84" t="s">
        <v>384</v>
      </c>
      <c r="D42" s="409" t="s">
        <v>270</v>
      </c>
      <c r="E42" s="407">
        <v>72</v>
      </c>
      <c r="F42" s="407">
        <v>146</v>
      </c>
      <c r="G42" s="407">
        <v>95</v>
      </c>
      <c r="H42" s="407">
        <v>94</v>
      </c>
      <c r="I42" s="407">
        <v>104</v>
      </c>
      <c r="J42" s="407">
        <v>262</v>
      </c>
      <c r="K42" s="407">
        <v>158</v>
      </c>
      <c r="L42" s="407">
        <v>216</v>
      </c>
      <c r="M42" s="407">
        <v>145</v>
      </c>
      <c r="N42" s="407">
        <v>272</v>
      </c>
      <c r="O42" s="407">
        <v>369</v>
      </c>
      <c r="P42" s="407">
        <v>267</v>
      </c>
      <c r="Q42" s="227">
        <v>2200</v>
      </c>
    </row>
    <row r="43" spans="2:17" ht="13.5" customHeight="1" thickBot="1" x14ac:dyDescent="0.25">
      <c r="B43" s="499"/>
      <c r="C43" s="90" t="s">
        <v>17</v>
      </c>
      <c r="D43" s="87" t="s">
        <v>264</v>
      </c>
      <c r="E43" s="161">
        <v>109</v>
      </c>
      <c r="F43" s="161">
        <v>171</v>
      </c>
      <c r="G43" s="161">
        <v>145</v>
      </c>
      <c r="H43" s="161">
        <v>116</v>
      </c>
      <c r="I43" s="161">
        <v>120</v>
      </c>
      <c r="J43" s="161">
        <v>720</v>
      </c>
      <c r="K43" s="161">
        <v>2094</v>
      </c>
      <c r="L43" s="161">
        <v>2680</v>
      </c>
      <c r="M43" s="161">
        <v>568</v>
      </c>
      <c r="N43" s="161">
        <v>286</v>
      </c>
      <c r="O43" s="161">
        <v>406</v>
      </c>
      <c r="P43" s="161">
        <v>322</v>
      </c>
      <c r="Q43" s="228">
        <v>7737</v>
      </c>
    </row>
    <row r="44" spans="2:17" ht="13.5" customHeight="1" x14ac:dyDescent="0.2">
      <c r="B44" s="473" t="s">
        <v>315</v>
      </c>
      <c r="C44" s="96" t="s">
        <v>385</v>
      </c>
      <c r="D44" s="467" t="s">
        <v>270</v>
      </c>
      <c r="E44" s="184">
        <v>6</v>
      </c>
      <c r="F44" s="185"/>
      <c r="G44" s="184">
        <v>40</v>
      </c>
      <c r="H44" s="184">
        <v>15</v>
      </c>
      <c r="I44" s="184">
        <v>8</v>
      </c>
      <c r="J44" s="184">
        <v>5</v>
      </c>
      <c r="K44" s="185"/>
      <c r="L44" s="184">
        <v>5</v>
      </c>
      <c r="M44" s="184">
        <v>1</v>
      </c>
      <c r="N44" s="184">
        <v>14</v>
      </c>
      <c r="O44" s="184">
        <v>8</v>
      </c>
      <c r="P44" s="184">
        <v>2</v>
      </c>
      <c r="Q44" s="233">
        <v>104</v>
      </c>
    </row>
    <row r="45" spans="2:17" ht="13.5" customHeight="1" x14ac:dyDescent="0.2">
      <c r="B45" s="474"/>
      <c r="C45" s="98" t="s">
        <v>386</v>
      </c>
      <c r="D45" s="501"/>
      <c r="E45" s="187">
        <v>7</v>
      </c>
      <c r="F45" s="188"/>
      <c r="G45" s="187">
        <v>5</v>
      </c>
      <c r="H45" s="187">
        <v>15</v>
      </c>
      <c r="I45" s="187">
        <v>9</v>
      </c>
      <c r="J45" s="187">
        <v>7</v>
      </c>
      <c r="K45" s="187">
        <v>11</v>
      </c>
      <c r="L45" s="187">
        <v>2</v>
      </c>
      <c r="M45" s="187">
        <v>6</v>
      </c>
      <c r="N45" s="187">
        <v>7</v>
      </c>
      <c r="O45" s="187">
        <v>5</v>
      </c>
      <c r="P45" s="187">
        <v>17</v>
      </c>
      <c r="Q45" s="235">
        <v>91</v>
      </c>
    </row>
    <row r="46" spans="2:17" ht="13.5" customHeight="1" x14ac:dyDescent="0.2">
      <c r="B46" s="474"/>
      <c r="C46" s="98" t="s">
        <v>387</v>
      </c>
      <c r="D46" s="501"/>
      <c r="E46" s="187">
        <v>100</v>
      </c>
      <c r="F46" s="187">
        <v>93</v>
      </c>
      <c r="G46" s="187">
        <v>86</v>
      </c>
      <c r="H46" s="187">
        <v>67</v>
      </c>
      <c r="I46" s="187">
        <v>2365</v>
      </c>
      <c r="J46" s="187">
        <v>1984</v>
      </c>
      <c r="K46" s="187">
        <v>1959</v>
      </c>
      <c r="L46" s="187">
        <v>2470</v>
      </c>
      <c r="M46" s="187">
        <v>439</v>
      </c>
      <c r="N46" s="187">
        <v>2647</v>
      </c>
      <c r="O46" s="187">
        <v>2495</v>
      </c>
      <c r="P46" s="187">
        <v>115</v>
      </c>
      <c r="Q46" s="235">
        <v>14820</v>
      </c>
    </row>
    <row r="47" spans="2:17" ht="13.5" customHeight="1" x14ac:dyDescent="0.2">
      <c r="B47" s="474"/>
      <c r="C47" s="98" t="s">
        <v>391</v>
      </c>
      <c r="D47" s="501"/>
      <c r="E47" s="187">
        <v>1</v>
      </c>
      <c r="F47" s="188"/>
      <c r="G47" s="188"/>
      <c r="H47" s="187">
        <v>690</v>
      </c>
      <c r="I47" s="187">
        <v>1152</v>
      </c>
      <c r="J47" s="187">
        <v>404</v>
      </c>
      <c r="K47" s="187">
        <v>1155</v>
      </c>
      <c r="L47" s="187">
        <v>822</v>
      </c>
      <c r="M47" s="187">
        <v>916</v>
      </c>
      <c r="N47" s="187">
        <v>748</v>
      </c>
      <c r="O47" s="187">
        <v>580</v>
      </c>
      <c r="P47" s="188"/>
      <c r="Q47" s="235">
        <v>6468</v>
      </c>
    </row>
    <row r="48" spans="2:17" ht="13.5" customHeight="1" x14ac:dyDescent="0.2">
      <c r="B48" s="474"/>
      <c r="C48" s="98" t="s">
        <v>390</v>
      </c>
      <c r="D48" s="501"/>
      <c r="E48" s="187">
        <v>29</v>
      </c>
      <c r="F48" s="187">
        <v>24</v>
      </c>
      <c r="G48" s="187">
        <v>40</v>
      </c>
      <c r="H48" s="187">
        <v>21</v>
      </c>
      <c r="I48" s="187">
        <v>45</v>
      </c>
      <c r="J48" s="187">
        <v>44</v>
      </c>
      <c r="K48" s="187">
        <v>36</v>
      </c>
      <c r="L48" s="187">
        <v>50</v>
      </c>
      <c r="M48" s="187">
        <v>37</v>
      </c>
      <c r="N48" s="187">
        <v>48</v>
      </c>
      <c r="O48" s="187">
        <v>18</v>
      </c>
      <c r="P48" s="187">
        <v>68</v>
      </c>
      <c r="Q48" s="235">
        <v>460</v>
      </c>
    </row>
    <row r="49" spans="2:17" ht="13.5" customHeight="1" x14ac:dyDescent="0.2">
      <c r="B49" s="474"/>
      <c r="C49" s="98" t="s">
        <v>388</v>
      </c>
      <c r="D49" s="501"/>
      <c r="E49" s="188"/>
      <c r="F49" s="188"/>
      <c r="G49" s="187">
        <v>4</v>
      </c>
      <c r="H49" s="187">
        <v>5</v>
      </c>
      <c r="I49" s="187">
        <v>8</v>
      </c>
      <c r="J49" s="187">
        <v>16</v>
      </c>
      <c r="K49" s="187">
        <v>18</v>
      </c>
      <c r="L49" s="187">
        <v>13</v>
      </c>
      <c r="M49" s="187">
        <v>7</v>
      </c>
      <c r="N49" s="187">
        <v>16</v>
      </c>
      <c r="O49" s="187">
        <v>5</v>
      </c>
      <c r="P49" s="187">
        <v>3</v>
      </c>
      <c r="Q49" s="235">
        <v>95</v>
      </c>
    </row>
    <row r="50" spans="2:17" ht="13.5" customHeight="1" x14ac:dyDescent="0.2">
      <c r="B50" s="474"/>
      <c r="C50" s="98" t="s">
        <v>392</v>
      </c>
      <c r="D50" s="411" t="s">
        <v>271</v>
      </c>
      <c r="E50" s="188"/>
      <c r="F50" s="188"/>
      <c r="G50" s="187">
        <v>6</v>
      </c>
      <c r="H50" s="187">
        <v>5</v>
      </c>
      <c r="I50" s="188"/>
      <c r="J50" s="187">
        <v>250</v>
      </c>
      <c r="K50" s="187">
        <v>26</v>
      </c>
      <c r="L50" s="188"/>
      <c r="M50" s="187">
        <v>41</v>
      </c>
      <c r="N50" s="187">
        <v>27</v>
      </c>
      <c r="O50" s="188"/>
      <c r="P50" s="188"/>
      <c r="Q50" s="235">
        <v>355</v>
      </c>
    </row>
    <row r="51" spans="2:17" ht="13.5" customHeight="1" x14ac:dyDescent="0.2">
      <c r="B51" s="474"/>
      <c r="C51" s="98" t="s">
        <v>389</v>
      </c>
      <c r="D51" s="501" t="s">
        <v>270</v>
      </c>
      <c r="E51" s="188"/>
      <c r="F51" s="188"/>
      <c r="G51" s="188"/>
      <c r="H51" s="188"/>
      <c r="I51" s="187">
        <v>3</v>
      </c>
      <c r="J51" s="188"/>
      <c r="K51" s="188"/>
      <c r="L51" s="187">
        <v>9</v>
      </c>
      <c r="M51" s="187">
        <v>5</v>
      </c>
      <c r="N51" s="188"/>
      <c r="O51" s="188"/>
      <c r="P51" s="188"/>
      <c r="Q51" s="235">
        <v>17</v>
      </c>
    </row>
    <row r="52" spans="2:17" ht="13.5" customHeight="1" x14ac:dyDescent="0.2">
      <c r="B52" s="474"/>
      <c r="C52" s="98" t="s">
        <v>608</v>
      </c>
      <c r="D52" s="501"/>
      <c r="E52" s="188"/>
      <c r="F52" s="188"/>
      <c r="G52" s="188"/>
      <c r="H52" s="188"/>
      <c r="I52" s="188"/>
      <c r="J52" s="188"/>
      <c r="K52" s="188"/>
      <c r="L52" s="188"/>
      <c r="M52" s="187">
        <v>381</v>
      </c>
      <c r="N52" s="188"/>
      <c r="O52" s="188"/>
      <c r="P52" s="188"/>
      <c r="Q52" s="235">
        <v>381</v>
      </c>
    </row>
    <row r="53" spans="2:17" ht="13.5" customHeight="1" thickBot="1" x14ac:dyDescent="0.25">
      <c r="B53" s="475"/>
      <c r="C53" s="157" t="s">
        <v>17</v>
      </c>
      <c r="D53" s="104" t="s">
        <v>264</v>
      </c>
      <c r="E53" s="190">
        <v>143</v>
      </c>
      <c r="F53" s="190">
        <v>117</v>
      </c>
      <c r="G53" s="190">
        <v>181</v>
      </c>
      <c r="H53" s="190">
        <v>818</v>
      </c>
      <c r="I53" s="190">
        <v>3590</v>
      </c>
      <c r="J53" s="190">
        <v>2710</v>
      </c>
      <c r="K53" s="190">
        <v>3205</v>
      </c>
      <c r="L53" s="190">
        <v>3371</v>
      </c>
      <c r="M53" s="190">
        <v>1833</v>
      </c>
      <c r="N53" s="190">
        <v>3507</v>
      </c>
      <c r="O53" s="190">
        <v>3111</v>
      </c>
      <c r="P53" s="190">
        <v>205</v>
      </c>
      <c r="Q53" s="234">
        <v>22791</v>
      </c>
    </row>
    <row r="54" spans="2:17" ht="13.5" customHeight="1" x14ac:dyDescent="0.2">
      <c r="B54" s="499" t="s">
        <v>316</v>
      </c>
      <c r="C54" s="84" t="s">
        <v>393</v>
      </c>
      <c r="D54" s="409" t="s">
        <v>271</v>
      </c>
      <c r="E54" s="407">
        <v>791</v>
      </c>
      <c r="F54" s="407">
        <v>902</v>
      </c>
      <c r="G54" s="407">
        <v>3255</v>
      </c>
      <c r="H54" s="407">
        <v>3680</v>
      </c>
      <c r="I54" s="407">
        <v>1896</v>
      </c>
      <c r="J54" s="407">
        <v>2790</v>
      </c>
      <c r="K54" s="407">
        <v>2734</v>
      </c>
      <c r="L54" s="407">
        <v>2993</v>
      </c>
      <c r="M54" s="407">
        <v>4231</v>
      </c>
      <c r="N54" s="407">
        <v>1554</v>
      </c>
      <c r="O54" s="407">
        <v>1</v>
      </c>
      <c r="P54" s="407">
        <v>292</v>
      </c>
      <c r="Q54" s="227">
        <v>25119</v>
      </c>
    </row>
    <row r="55" spans="2:17" ht="13.5" customHeight="1" thickBot="1" x14ac:dyDescent="0.25">
      <c r="B55" s="499"/>
      <c r="C55" s="90" t="s">
        <v>17</v>
      </c>
      <c r="D55" s="87" t="s">
        <v>264</v>
      </c>
      <c r="E55" s="161">
        <v>791</v>
      </c>
      <c r="F55" s="161">
        <v>902</v>
      </c>
      <c r="G55" s="161">
        <v>3255</v>
      </c>
      <c r="H55" s="161">
        <v>3680</v>
      </c>
      <c r="I55" s="161">
        <v>1896</v>
      </c>
      <c r="J55" s="161">
        <v>2790</v>
      </c>
      <c r="K55" s="161">
        <v>2734</v>
      </c>
      <c r="L55" s="161">
        <v>2993</v>
      </c>
      <c r="M55" s="161">
        <v>4231</v>
      </c>
      <c r="N55" s="161">
        <v>1554</v>
      </c>
      <c r="O55" s="161">
        <v>1</v>
      </c>
      <c r="P55" s="161">
        <v>292</v>
      </c>
      <c r="Q55" s="228">
        <v>25119</v>
      </c>
    </row>
    <row r="56" spans="2:17" ht="13.5" customHeight="1" x14ac:dyDescent="0.2">
      <c r="B56" s="473" t="s">
        <v>317</v>
      </c>
      <c r="C56" s="96" t="s">
        <v>394</v>
      </c>
      <c r="D56" s="410" t="s">
        <v>271</v>
      </c>
      <c r="E56" s="184">
        <v>656</v>
      </c>
      <c r="F56" s="184">
        <v>186</v>
      </c>
      <c r="G56" s="184">
        <v>1290</v>
      </c>
      <c r="H56" s="184">
        <v>1880</v>
      </c>
      <c r="I56" s="184">
        <v>2054</v>
      </c>
      <c r="J56" s="184">
        <v>2968</v>
      </c>
      <c r="K56" s="184">
        <v>4024</v>
      </c>
      <c r="L56" s="184">
        <v>6748</v>
      </c>
      <c r="M56" s="184">
        <v>4233</v>
      </c>
      <c r="N56" s="184">
        <v>4386</v>
      </c>
      <c r="O56" s="184">
        <v>1406</v>
      </c>
      <c r="P56" s="184">
        <v>1203</v>
      </c>
      <c r="Q56" s="233">
        <v>31034</v>
      </c>
    </row>
    <row r="57" spans="2:17" ht="13.5" customHeight="1" thickBot="1" x14ac:dyDescent="0.25">
      <c r="B57" s="475"/>
      <c r="C57" s="157" t="s">
        <v>17</v>
      </c>
      <c r="D57" s="104" t="s">
        <v>264</v>
      </c>
      <c r="E57" s="190">
        <v>656</v>
      </c>
      <c r="F57" s="190">
        <v>186</v>
      </c>
      <c r="G57" s="190">
        <v>1290</v>
      </c>
      <c r="H57" s="190">
        <v>1880</v>
      </c>
      <c r="I57" s="190">
        <v>2054</v>
      </c>
      <c r="J57" s="190">
        <v>2968</v>
      </c>
      <c r="K57" s="190">
        <v>4024</v>
      </c>
      <c r="L57" s="190">
        <v>6748</v>
      </c>
      <c r="M57" s="190">
        <v>4233</v>
      </c>
      <c r="N57" s="190">
        <v>4386</v>
      </c>
      <c r="O57" s="190">
        <v>1406</v>
      </c>
      <c r="P57" s="190">
        <v>1203</v>
      </c>
      <c r="Q57" s="234">
        <v>31034</v>
      </c>
    </row>
    <row r="58" spans="2:17" ht="13.5" customHeight="1" x14ac:dyDescent="0.2">
      <c r="B58" s="499" t="s">
        <v>318</v>
      </c>
      <c r="C58" s="84" t="s">
        <v>395</v>
      </c>
      <c r="D58" s="500" t="s">
        <v>272</v>
      </c>
      <c r="E58" s="407">
        <v>38534</v>
      </c>
      <c r="F58" s="407">
        <v>36102</v>
      </c>
      <c r="G58" s="407">
        <v>43655</v>
      </c>
      <c r="H58" s="407">
        <v>79371</v>
      </c>
      <c r="I58" s="407">
        <v>68299</v>
      </c>
      <c r="J58" s="407">
        <v>74617</v>
      </c>
      <c r="K58" s="407">
        <v>95061</v>
      </c>
      <c r="L58" s="407">
        <v>161564</v>
      </c>
      <c r="M58" s="407">
        <v>108397</v>
      </c>
      <c r="N58" s="407">
        <v>95899</v>
      </c>
      <c r="O58" s="407">
        <v>64579</v>
      </c>
      <c r="P58" s="407">
        <v>65185</v>
      </c>
      <c r="Q58" s="227">
        <v>931263</v>
      </c>
    </row>
    <row r="59" spans="2:17" ht="13.5" customHeight="1" x14ac:dyDescent="0.2">
      <c r="B59" s="499"/>
      <c r="C59" s="84" t="s">
        <v>396</v>
      </c>
      <c r="D59" s="500"/>
      <c r="E59" s="407">
        <v>13005</v>
      </c>
      <c r="F59" s="407">
        <v>16805</v>
      </c>
      <c r="G59" s="407">
        <v>31692</v>
      </c>
      <c r="H59" s="407">
        <v>38897</v>
      </c>
      <c r="I59" s="407">
        <v>45636</v>
      </c>
      <c r="J59" s="407">
        <v>52064</v>
      </c>
      <c r="K59" s="407">
        <v>65562</v>
      </c>
      <c r="L59" s="407">
        <v>143696</v>
      </c>
      <c r="M59" s="407">
        <v>73791</v>
      </c>
      <c r="N59" s="407">
        <v>62933</v>
      </c>
      <c r="O59" s="407">
        <v>46605</v>
      </c>
      <c r="P59" s="407">
        <v>44192</v>
      </c>
      <c r="Q59" s="227">
        <v>634878</v>
      </c>
    </row>
    <row r="60" spans="2:17" ht="13.5" customHeight="1" x14ac:dyDescent="0.2">
      <c r="B60" s="499"/>
      <c r="C60" s="84" t="s">
        <v>397</v>
      </c>
      <c r="D60" s="500"/>
      <c r="E60" s="407">
        <v>136387</v>
      </c>
      <c r="F60" s="407">
        <v>117883</v>
      </c>
      <c r="G60" s="407">
        <v>158815</v>
      </c>
      <c r="H60" s="407">
        <v>223232</v>
      </c>
      <c r="I60" s="407">
        <v>221015</v>
      </c>
      <c r="J60" s="407">
        <v>204330</v>
      </c>
      <c r="K60" s="407">
        <v>264955</v>
      </c>
      <c r="L60" s="407">
        <v>472508</v>
      </c>
      <c r="M60" s="407">
        <v>335580</v>
      </c>
      <c r="N60" s="407">
        <v>279861</v>
      </c>
      <c r="O60" s="407">
        <v>199416</v>
      </c>
      <c r="P60" s="407">
        <v>178343</v>
      </c>
      <c r="Q60" s="227">
        <v>2792325</v>
      </c>
    </row>
    <row r="61" spans="2:17" ht="13.5" customHeight="1" x14ac:dyDescent="0.2">
      <c r="B61" s="499"/>
      <c r="C61" s="84" t="s">
        <v>399</v>
      </c>
      <c r="D61" s="500"/>
      <c r="E61" s="407">
        <v>3161</v>
      </c>
      <c r="F61" s="407">
        <v>4402</v>
      </c>
      <c r="G61" s="407">
        <v>8389</v>
      </c>
      <c r="H61" s="407">
        <v>13789</v>
      </c>
      <c r="I61" s="407">
        <v>13889</v>
      </c>
      <c r="J61" s="407">
        <v>14465</v>
      </c>
      <c r="K61" s="407">
        <v>15144</v>
      </c>
      <c r="L61" s="407">
        <v>47347</v>
      </c>
      <c r="M61" s="407">
        <v>22227</v>
      </c>
      <c r="N61" s="407">
        <v>17778</v>
      </c>
      <c r="O61" s="407">
        <v>14782</v>
      </c>
      <c r="P61" s="407">
        <v>16448</v>
      </c>
      <c r="Q61" s="227">
        <v>191821</v>
      </c>
    </row>
    <row r="62" spans="2:17" ht="13.5" customHeight="1" x14ac:dyDescent="0.2">
      <c r="B62" s="499"/>
      <c r="C62" s="84" t="s">
        <v>398</v>
      </c>
      <c r="D62" s="409" t="s">
        <v>273</v>
      </c>
      <c r="E62" s="2"/>
      <c r="F62" s="2"/>
      <c r="G62" s="2"/>
      <c r="H62" s="407">
        <v>79</v>
      </c>
      <c r="I62" s="407">
        <v>1933</v>
      </c>
      <c r="J62" s="407">
        <v>2375</v>
      </c>
      <c r="K62" s="407">
        <v>2128</v>
      </c>
      <c r="L62" s="407">
        <v>3721</v>
      </c>
      <c r="M62" s="407">
        <v>2944</v>
      </c>
      <c r="N62" s="407">
        <v>1746</v>
      </c>
      <c r="O62" s="407">
        <v>1574</v>
      </c>
      <c r="P62" s="407">
        <v>1005</v>
      </c>
      <c r="Q62" s="227">
        <v>17505</v>
      </c>
    </row>
    <row r="63" spans="2:17" ht="13.5" customHeight="1" thickBot="1" x14ac:dyDescent="0.25">
      <c r="B63" s="499"/>
      <c r="C63" s="90" t="s">
        <v>17</v>
      </c>
      <c r="D63" s="87" t="s">
        <v>264</v>
      </c>
      <c r="E63" s="161">
        <v>191087</v>
      </c>
      <c r="F63" s="161">
        <v>175192</v>
      </c>
      <c r="G63" s="161">
        <v>242551</v>
      </c>
      <c r="H63" s="161">
        <v>355368</v>
      </c>
      <c r="I63" s="161">
        <v>350772</v>
      </c>
      <c r="J63" s="161">
        <v>347851</v>
      </c>
      <c r="K63" s="161">
        <v>442850</v>
      </c>
      <c r="L63" s="161">
        <v>828836</v>
      </c>
      <c r="M63" s="161">
        <v>542939</v>
      </c>
      <c r="N63" s="161">
        <v>458217</v>
      </c>
      <c r="O63" s="161">
        <v>326956</v>
      </c>
      <c r="P63" s="161">
        <v>305173</v>
      </c>
      <c r="Q63" s="228">
        <v>4567792</v>
      </c>
    </row>
    <row r="64" spans="2:17" ht="13.5" customHeight="1" x14ac:dyDescent="0.2">
      <c r="B64" s="473" t="s">
        <v>319</v>
      </c>
      <c r="C64" s="96" t="s">
        <v>400</v>
      </c>
      <c r="D64" s="410" t="s">
        <v>271</v>
      </c>
      <c r="E64" s="184">
        <v>245</v>
      </c>
      <c r="F64" s="184">
        <v>6</v>
      </c>
      <c r="G64" s="184">
        <v>40</v>
      </c>
      <c r="H64" s="184">
        <v>522</v>
      </c>
      <c r="I64" s="184">
        <v>770</v>
      </c>
      <c r="J64" s="184">
        <v>1397</v>
      </c>
      <c r="K64" s="184">
        <v>2900</v>
      </c>
      <c r="L64" s="184">
        <v>6281</v>
      </c>
      <c r="M64" s="184">
        <v>2245</v>
      </c>
      <c r="N64" s="184">
        <v>977</v>
      </c>
      <c r="O64" s="184">
        <v>347</v>
      </c>
      <c r="P64" s="184">
        <v>431</v>
      </c>
      <c r="Q64" s="233">
        <v>16161</v>
      </c>
    </row>
    <row r="65" spans="2:17" ht="13.5" customHeight="1" thickBot="1" x14ac:dyDescent="0.25">
      <c r="B65" s="475"/>
      <c r="C65" s="157" t="s">
        <v>17</v>
      </c>
      <c r="D65" s="104" t="s">
        <v>264</v>
      </c>
      <c r="E65" s="190">
        <v>245</v>
      </c>
      <c r="F65" s="190">
        <v>6</v>
      </c>
      <c r="G65" s="190">
        <v>40</v>
      </c>
      <c r="H65" s="190">
        <v>522</v>
      </c>
      <c r="I65" s="190">
        <v>770</v>
      </c>
      <c r="J65" s="190">
        <v>1397</v>
      </c>
      <c r="K65" s="190">
        <v>2900</v>
      </c>
      <c r="L65" s="190">
        <v>6281</v>
      </c>
      <c r="M65" s="190">
        <v>2245</v>
      </c>
      <c r="N65" s="190">
        <v>977</v>
      </c>
      <c r="O65" s="190">
        <v>347</v>
      </c>
      <c r="P65" s="190">
        <v>431</v>
      </c>
      <c r="Q65" s="234">
        <v>16161</v>
      </c>
    </row>
    <row r="66" spans="2:17" ht="13.5" customHeight="1" x14ac:dyDescent="0.2">
      <c r="B66" s="499" t="s">
        <v>320</v>
      </c>
      <c r="C66" s="84" t="s">
        <v>401</v>
      </c>
      <c r="D66" s="409" t="s">
        <v>271</v>
      </c>
      <c r="E66" s="2"/>
      <c r="F66" s="407">
        <v>1</v>
      </c>
      <c r="G66" s="2"/>
      <c r="H66" s="2"/>
      <c r="I66" s="2"/>
      <c r="J66" s="2"/>
      <c r="K66" s="2"/>
      <c r="L66" s="2"/>
      <c r="M66" s="2"/>
      <c r="N66" s="2"/>
      <c r="O66" s="2"/>
      <c r="P66" s="2"/>
      <c r="Q66" s="227">
        <v>1</v>
      </c>
    </row>
    <row r="67" spans="2:17" ht="13.5" customHeight="1" thickBot="1" x14ac:dyDescent="0.25">
      <c r="B67" s="499"/>
      <c r="C67" s="90" t="s">
        <v>17</v>
      </c>
      <c r="D67" s="87" t="s">
        <v>264</v>
      </c>
      <c r="E67" s="181"/>
      <c r="F67" s="161">
        <v>1</v>
      </c>
      <c r="G67" s="181"/>
      <c r="H67" s="181"/>
      <c r="I67" s="181"/>
      <c r="J67" s="181"/>
      <c r="K67" s="181"/>
      <c r="L67" s="181"/>
      <c r="M67" s="181"/>
      <c r="N67" s="181"/>
      <c r="O67" s="181"/>
      <c r="P67" s="181"/>
      <c r="Q67" s="228">
        <v>1</v>
      </c>
    </row>
    <row r="68" spans="2:17" ht="13.5" customHeight="1" x14ac:dyDescent="0.2">
      <c r="B68" s="473" t="s">
        <v>321</v>
      </c>
      <c r="C68" s="96" t="s">
        <v>402</v>
      </c>
      <c r="D68" s="410" t="s">
        <v>271</v>
      </c>
      <c r="E68" s="184">
        <v>575</v>
      </c>
      <c r="F68" s="184">
        <v>3</v>
      </c>
      <c r="G68" s="184">
        <v>900</v>
      </c>
      <c r="H68" s="184">
        <v>696</v>
      </c>
      <c r="I68" s="184">
        <v>691</v>
      </c>
      <c r="J68" s="184">
        <v>625</v>
      </c>
      <c r="K68" s="184">
        <v>843</v>
      </c>
      <c r="L68" s="184">
        <v>498</v>
      </c>
      <c r="M68" s="184">
        <v>231</v>
      </c>
      <c r="N68" s="184">
        <v>94</v>
      </c>
      <c r="O68" s="184">
        <v>593</v>
      </c>
      <c r="P68" s="184">
        <v>84</v>
      </c>
      <c r="Q68" s="233">
        <v>5833</v>
      </c>
    </row>
    <row r="69" spans="2:17" ht="13.5" customHeight="1" thickBot="1" x14ac:dyDescent="0.25">
      <c r="B69" s="475"/>
      <c r="C69" s="157" t="s">
        <v>17</v>
      </c>
      <c r="D69" s="104" t="s">
        <v>264</v>
      </c>
      <c r="E69" s="190">
        <v>575</v>
      </c>
      <c r="F69" s="190">
        <v>3</v>
      </c>
      <c r="G69" s="190">
        <v>900</v>
      </c>
      <c r="H69" s="190">
        <v>696</v>
      </c>
      <c r="I69" s="190">
        <v>691</v>
      </c>
      <c r="J69" s="190">
        <v>625</v>
      </c>
      <c r="K69" s="190">
        <v>843</v>
      </c>
      <c r="L69" s="190">
        <v>498</v>
      </c>
      <c r="M69" s="190">
        <v>231</v>
      </c>
      <c r="N69" s="190">
        <v>94</v>
      </c>
      <c r="O69" s="190">
        <v>593</v>
      </c>
      <c r="P69" s="190">
        <v>84</v>
      </c>
      <c r="Q69" s="234">
        <v>5833</v>
      </c>
    </row>
    <row r="70" spans="2:17" ht="13.5" customHeight="1" x14ac:dyDescent="0.2">
      <c r="B70" s="499" t="s">
        <v>322</v>
      </c>
      <c r="C70" s="84" t="s">
        <v>403</v>
      </c>
      <c r="D70" s="409" t="s">
        <v>271</v>
      </c>
      <c r="E70" s="407">
        <v>2668</v>
      </c>
      <c r="F70" s="407">
        <v>1500</v>
      </c>
      <c r="G70" s="407">
        <v>2062</v>
      </c>
      <c r="H70" s="407">
        <v>1182</v>
      </c>
      <c r="I70" s="407">
        <v>2323</v>
      </c>
      <c r="J70" s="407">
        <v>2208</v>
      </c>
      <c r="K70" s="407">
        <v>4951</v>
      </c>
      <c r="L70" s="407">
        <v>17091</v>
      </c>
      <c r="M70" s="407">
        <v>6156</v>
      </c>
      <c r="N70" s="407">
        <v>3204</v>
      </c>
      <c r="O70" s="407">
        <v>1683</v>
      </c>
      <c r="P70" s="407">
        <v>1565</v>
      </c>
      <c r="Q70" s="227">
        <v>46593</v>
      </c>
    </row>
    <row r="71" spans="2:17" ht="13.5" customHeight="1" thickBot="1" x14ac:dyDescent="0.25">
      <c r="B71" s="499"/>
      <c r="C71" s="90" t="s">
        <v>17</v>
      </c>
      <c r="D71" s="87" t="s">
        <v>264</v>
      </c>
      <c r="E71" s="161">
        <v>2668</v>
      </c>
      <c r="F71" s="161">
        <v>1500</v>
      </c>
      <c r="G71" s="161">
        <v>2062</v>
      </c>
      <c r="H71" s="161">
        <v>1182</v>
      </c>
      <c r="I71" s="161">
        <v>2323</v>
      </c>
      <c r="J71" s="161">
        <v>2208</v>
      </c>
      <c r="K71" s="161">
        <v>4951</v>
      </c>
      <c r="L71" s="161">
        <v>17091</v>
      </c>
      <c r="M71" s="161">
        <v>6156</v>
      </c>
      <c r="N71" s="161">
        <v>3204</v>
      </c>
      <c r="O71" s="161">
        <v>1683</v>
      </c>
      <c r="P71" s="161">
        <v>1565</v>
      </c>
      <c r="Q71" s="228">
        <v>46593</v>
      </c>
    </row>
    <row r="72" spans="2:17" ht="13.5" customHeight="1" x14ac:dyDescent="0.2">
      <c r="B72" s="473" t="s">
        <v>323</v>
      </c>
      <c r="C72" s="96" t="s">
        <v>404</v>
      </c>
      <c r="D72" s="410" t="s">
        <v>272</v>
      </c>
      <c r="E72" s="184">
        <v>2253</v>
      </c>
      <c r="F72" s="184">
        <v>1941</v>
      </c>
      <c r="G72" s="184">
        <v>2460</v>
      </c>
      <c r="H72" s="184">
        <v>3158</v>
      </c>
      <c r="I72" s="184">
        <v>2265</v>
      </c>
      <c r="J72" s="184">
        <v>2559</v>
      </c>
      <c r="K72" s="184">
        <v>1157</v>
      </c>
      <c r="L72" s="184">
        <v>3300</v>
      </c>
      <c r="M72" s="184">
        <v>4472</v>
      </c>
      <c r="N72" s="184">
        <v>4960</v>
      </c>
      <c r="O72" s="184">
        <v>4447</v>
      </c>
      <c r="P72" s="184">
        <v>4438</v>
      </c>
      <c r="Q72" s="233">
        <v>37410</v>
      </c>
    </row>
    <row r="73" spans="2:17" ht="13.5" customHeight="1" x14ac:dyDescent="0.2">
      <c r="B73" s="474"/>
      <c r="C73" s="98" t="s">
        <v>405</v>
      </c>
      <c r="D73" s="411" t="s">
        <v>271</v>
      </c>
      <c r="E73" s="187">
        <v>3338</v>
      </c>
      <c r="F73" s="187">
        <v>1753</v>
      </c>
      <c r="G73" s="187">
        <v>3204</v>
      </c>
      <c r="H73" s="187">
        <v>3573</v>
      </c>
      <c r="I73" s="187">
        <v>3775</v>
      </c>
      <c r="J73" s="187">
        <v>6975</v>
      </c>
      <c r="K73" s="187">
        <v>8073</v>
      </c>
      <c r="L73" s="187">
        <v>14737</v>
      </c>
      <c r="M73" s="187">
        <v>7458</v>
      </c>
      <c r="N73" s="187">
        <v>3757</v>
      </c>
      <c r="O73" s="187">
        <v>2848</v>
      </c>
      <c r="P73" s="187">
        <v>2952</v>
      </c>
      <c r="Q73" s="235">
        <v>62443</v>
      </c>
    </row>
    <row r="74" spans="2:17" ht="13.5" customHeight="1" thickBot="1" x14ac:dyDescent="0.25">
      <c r="B74" s="475"/>
      <c r="C74" s="157" t="s">
        <v>17</v>
      </c>
      <c r="D74" s="104" t="s">
        <v>264</v>
      </c>
      <c r="E74" s="190">
        <v>5591</v>
      </c>
      <c r="F74" s="190">
        <v>3694</v>
      </c>
      <c r="G74" s="190">
        <v>5664</v>
      </c>
      <c r="H74" s="190">
        <v>6731</v>
      </c>
      <c r="I74" s="190">
        <v>6040</v>
      </c>
      <c r="J74" s="190">
        <v>9534</v>
      </c>
      <c r="K74" s="190">
        <v>9230</v>
      </c>
      <c r="L74" s="190">
        <v>18037</v>
      </c>
      <c r="M74" s="190">
        <v>11930</v>
      </c>
      <c r="N74" s="190">
        <v>8717</v>
      </c>
      <c r="O74" s="190">
        <v>7295</v>
      </c>
      <c r="P74" s="190">
        <v>7390</v>
      </c>
      <c r="Q74" s="234">
        <v>99853</v>
      </c>
    </row>
    <row r="75" spans="2:17" ht="13.5" customHeight="1" x14ac:dyDescent="0.2">
      <c r="B75" s="499" t="s">
        <v>324</v>
      </c>
      <c r="C75" s="84" t="s">
        <v>406</v>
      </c>
      <c r="D75" s="409" t="s">
        <v>270</v>
      </c>
      <c r="E75" s="407">
        <v>98</v>
      </c>
      <c r="F75" s="407">
        <v>57</v>
      </c>
      <c r="G75" s="407">
        <v>59</v>
      </c>
      <c r="H75" s="407">
        <v>37</v>
      </c>
      <c r="I75" s="407">
        <v>41</v>
      </c>
      <c r="J75" s="407">
        <v>23</v>
      </c>
      <c r="K75" s="407">
        <v>45</v>
      </c>
      <c r="L75" s="407">
        <v>75</v>
      </c>
      <c r="M75" s="407">
        <v>35</v>
      </c>
      <c r="N75" s="407">
        <v>53</v>
      </c>
      <c r="O75" s="407">
        <v>25</v>
      </c>
      <c r="P75" s="407">
        <v>124</v>
      </c>
      <c r="Q75" s="227">
        <v>672</v>
      </c>
    </row>
    <row r="76" spans="2:17" ht="13.5" customHeight="1" thickBot="1" x14ac:dyDescent="0.25">
      <c r="B76" s="499"/>
      <c r="C76" s="90" t="s">
        <v>17</v>
      </c>
      <c r="D76" s="87" t="s">
        <v>264</v>
      </c>
      <c r="E76" s="161">
        <v>98</v>
      </c>
      <c r="F76" s="161">
        <v>57</v>
      </c>
      <c r="G76" s="161">
        <v>59</v>
      </c>
      <c r="H76" s="161">
        <v>37</v>
      </c>
      <c r="I76" s="161">
        <v>41</v>
      </c>
      <c r="J76" s="161">
        <v>23</v>
      </c>
      <c r="K76" s="161">
        <v>45</v>
      </c>
      <c r="L76" s="161">
        <v>75</v>
      </c>
      <c r="M76" s="161">
        <v>35</v>
      </c>
      <c r="N76" s="161">
        <v>53</v>
      </c>
      <c r="O76" s="161">
        <v>25</v>
      </c>
      <c r="P76" s="161">
        <v>124</v>
      </c>
      <c r="Q76" s="228">
        <v>672</v>
      </c>
    </row>
    <row r="77" spans="2:17" ht="13.5" customHeight="1" x14ac:dyDescent="0.2">
      <c r="B77" s="473" t="s">
        <v>325</v>
      </c>
      <c r="C77" s="96" t="s">
        <v>407</v>
      </c>
      <c r="D77" s="467" t="s">
        <v>272</v>
      </c>
      <c r="E77" s="184">
        <v>2682</v>
      </c>
      <c r="F77" s="184">
        <v>2613</v>
      </c>
      <c r="G77" s="184">
        <v>10372</v>
      </c>
      <c r="H77" s="184">
        <v>7817</v>
      </c>
      <c r="I77" s="184">
        <v>7714</v>
      </c>
      <c r="J77" s="184">
        <v>10035</v>
      </c>
      <c r="K77" s="184">
        <v>9503</v>
      </c>
      <c r="L77" s="184">
        <v>11355</v>
      </c>
      <c r="M77" s="184">
        <v>17316</v>
      </c>
      <c r="N77" s="184">
        <v>9576</v>
      </c>
      <c r="O77" s="184">
        <v>8681</v>
      </c>
      <c r="P77" s="184">
        <v>7322</v>
      </c>
      <c r="Q77" s="233">
        <v>104986</v>
      </c>
    </row>
    <row r="78" spans="2:17" ht="13.5" customHeight="1" x14ac:dyDescent="0.2">
      <c r="B78" s="474"/>
      <c r="C78" s="98" t="s">
        <v>408</v>
      </c>
      <c r="D78" s="501"/>
      <c r="E78" s="187">
        <v>1381</v>
      </c>
      <c r="F78" s="187">
        <v>1451</v>
      </c>
      <c r="G78" s="187">
        <v>1856</v>
      </c>
      <c r="H78" s="187">
        <v>1387</v>
      </c>
      <c r="I78" s="187">
        <v>2896</v>
      </c>
      <c r="J78" s="187">
        <v>4226</v>
      </c>
      <c r="K78" s="187">
        <v>6700</v>
      </c>
      <c r="L78" s="187">
        <v>6641</v>
      </c>
      <c r="M78" s="187">
        <v>6306</v>
      </c>
      <c r="N78" s="187">
        <v>4694</v>
      </c>
      <c r="O78" s="187">
        <v>3573</v>
      </c>
      <c r="P78" s="187">
        <v>3092</v>
      </c>
      <c r="Q78" s="235">
        <v>44203</v>
      </c>
    </row>
    <row r="79" spans="2:17" ht="13.5" customHeight="1" thickBot="1" x14ac:dyDescent="0.25">
      <c r="B79" s="475"/>
      <c r="C79" s="157" t="s">
        <v>17</v>
      </c>
      <c r="D79" s="104" t="s">
        <v>264</v>
      </c>
      <c r="E79" s="190">
        <v>4063</v>
      </c>
      <c r="F79" s="190">
        <v>4064</v>
      </c>
      <c r="G79" s="190">
        <v>12228</v>
      </c>
      <c r="H79" s="190">
        <v>9204</v>
      </c>
      <c r="I79" s="190">
        <v>10610</v>
      </c>
      <c r="J79" s="190">
        <v>14261</v>
      </c>
      <c r="K79" s="190">
        <v>16203</v>
      </c>
      <c r="L79" s="190">
        <v>17996</v>
      </c>
      <c r="M79" s="190">
        <v>23622</v>
      </c>
      <c r="N79" s="190">
        <v>14270</v>
      </c>
      <c r="O79" s="190">
        <v>12254</v>
      </c>
      <c r="P79" s="190">
        <v>10414</v>
      </c>
      <c r="Q79" s="234">
        <v>149189</v>
      </c>
    </row>
    <row r="80" spans="2:17" ht="13.5" customHeight="1" x14ac:dyDescent="0.2">
      <c r="B80" s="499" t="s">
        <v>326</v>
      </c>
      <c r="C80" s="84" t="s">
        <v>409</v>
      </c>
      <c r="D80" s="409" t="s">
        <v>272</v>
      </c>
      <c r="E80" s="407">
        <v>1405</v>
      </c>
      <c r="F80" s="407">
        <v>1378</v>
      </c>
      <c r="G80" s="407">
        <v>1539</v>
      </c>
      <c r="H80" s="407">
        <v>1367</v>
      </c>
      <c r="I80" s="407">
        <v>1628</v>
      </c>
      <c r="J80" s="407">
        <v>1591</v>
      </c>
      <c r="K80" s="407">
        <v>1470</v>
      </c>
      <c r="L80" s="407">
        <v>1783</v>
      </c>
      <c r="M80" s="407">
        <v>1895</v>
      </c>
      <c r="N80" s="407">
        <v>1716</v>
      </c>
      <c r="O80" s="407">
        <v>1798</v>
      </c>
      <c r="P80" s="407">
        <v>1796</v>
      </c>
      <c r="Q80" s="227">
        <v>19366</v>
      </c>
    </row>
    <row r="81" spans="2:17" ht="13.5" customHeight="1" x14ac:dyDescent="0.2">
      <c r="B81" s="499"/>
      <c r="C81" s="84" t="s">
        <v>410</v>
      </c>
      <c r="D81" s="500" t="s">
        <v>270</v>
      </c>
      <c r="E81" s="407">
        <v>12</v>
      </c>
      <c r="F81" s="407">
        <v>23</v>
      </c>
      <c r="G81" s="407">
        <v>11</v>
      </c>
      <c r="H81" s="407">
        <v>38</v>
      </c>
      <c r="I81" s="407">
        <v>17</v>
      </c>
      <c r="J81" s="407">
        <v>24</v>
      </c>
      <c r="K81" s="407">
        <v>32</v>
      </c>
      <c r="L81" s="407">
        <v>46</v>
      </c>
      <c r="M81" s="407">
        <v>27</v>
      </c>
      <c r="N81" s="407">
        <v>58</v>
      </c>
      <c r="O81" s="407">
        <v>73</v>
      </c>
      <c r="P81" s="407">
        <v>33</v>
      </c>
      <c r="Q81" s="227">
        <v>394</v>
      </c>
    </row>
    <row r="82" spans="2:17" ht="13.5" customHeight="1" x14ac:dyDescent="0.2">
      <c r="B82" s="499"/>
      <c r="C82" s="84" t="s">
        <v>411</v>
      </c>
      <c r="D82" s="500"/>
      <c r="E82" s="407">
        <v>9</v>
      </c>
      <c r="F82" s="407">
        <v>3</v>
      </c>
      <c r="G82" s="407">
        <v>7</v>
      </c>
      <c r="H82" s="407">
        <v>10</v>
      </c>
      <c r="I82" s="407">
        <v>8</v>
      </c>
      <c r="J82" s="407">
        <v>3</v>
      </c>
      <c r="K82" s="407">
        <v>18</v>
      </c>
      <c r="L82" s="407">
        <v>8</v>
      </c>
      <c r="M82" s="407">
        <v>5</v>
      </c>
      <c r="N82" s="407">
        <v>4</v>
      </c>
      <c r="O82" s="407">
        <v>10</v>
      </c>
      <c r="P82" s="407">
        <v>5</v>
      </c>
      <c r="Q82" s="227">
        <v>90</v>
      </c>
    </row>
    <row r="83" spans="2:17" ht="13.5" customHeight="1" x14ac:dyDescent="0.2">
      <c r="B83" s="499"/>
      <c r="C83" s="84" t="s">
        <v>412</v>
      </c>
      <c r="D83" s="500"/>
      <c r="E83" s="407">
        <v>17</v>
      </c>
      <c r="F83" s="407">
        <v>34</v>
      </c>
      <c r="G83" s="407">
        <v>27</v>
      </c>
      <c r="H83" s="407">
        <v>12</v>
      </c>
      <c r="I83" s="407">
        <v>3</v>
      </c>
      <c r="J83" s="407">
        <v>16</v>
      </c>
      <c r="K83" s="407">
        <v>10</v>
      </c>
      <c r="L83" s="407">
        <v>11</v>
      </c>
      <c r="M83" s="407">
        <v>16</v>
      </c>
      <c r="N83" s="407">
        <v>9</v>
      </c>
      <c r="O83" s="407">
        <v>26</v>
      </c>
      <c r="P83" s="407">
        <v>24</v>
      </c>
      <c r="Q83" s="227">
        <v>205</v>
      </c>
    </row>
    <row r="84" spans="2:17" ht="13.5" customHeight="1" x14ac:dyDescent="0.2">
      <c r="B84" s="499"/>
      <c r="C84" s="84" t="s">
        <v>413</v>
      </c>
      <c r="D84" s="409" t="s">
        <v>272</v>
      </c>
      <c r="E84" s="407">
        <v>5300</v>
      </c>
      <c r="F84" s="407">
        <v>6234</v>
      </c>
      <c r="G84" s="407">
        <v>7177</v>
      </c>
      <c r="H84" s="407">
        <v>7231</v>
      </c>
      <c r="I84" s="407">
        <v>5960</v>
      </c>
      <c r="J84" s="407">
        <v>7217</v>
      </c>
      <c r="K84" s="407">
        <v>8014</v>
      </c>
      <c r="L84" s="407">
        <v>8651</v>
      </c>
      <c r="M84" s="407">
        <v>7959</v>
      </c>
      <c r="N84" s="407">
        <v>7154</v>
      </c>
      <c r="O84" s="407">
        <v>6896</v>
      </c>
      <c r="P84" s="407">
        <v>6889</v>
      </c>
      <c r="Q84" s="227">
        <v>84682</v>
      </c>
    </row>
    <row r="85" spans="2:17" ht="13.5" customHeight="1" x14ac:dyDescent="0.2">
      <c r="B85" s="499"/>
      <c r="C85" s="84" t="s">
        <v>414</v>
      </c>
      <c r="D85" s="500" t="s">
        <v>270</v>
      </c>
      <c r="E85" s="407">
        <v>30</v>
      </c>
      <c r="F85" s="407">
        <v>37</v>
      </c>
      <c r="G85" s="407">
        <v>50</v>
      </c>
      <c r="H85" s="407">
        <v>55</v>
      </c>
      <c r="I85" s="407">
        <v>81</v>
      </c>
      <c r="J85" s="407">
        <v>16</v>
      </c>
      <c r="K85" s="407">
        <v>89</v>
      </c>
      <c r="L85" s="407">
        <v>44</v>
      </c>
      <c r="M85" s="407">
        <v>36</v>
      </c>
      <c r="N85" s="407">
        <v>63</v>
      </c>
      <c r="O85" s="407">
        <v>26</v>
      </c>
      <c r="P85" s="407">
        <v>52</v>
      </c>
      <c r="Q85" s="227">
        <v>579</v>
      </c>
    </row>
    <row r="86" spans="2:17" ht="13.5" customHeight="1" x14ac:dyDescent="0.2">
      <c r="B86" s="499"/>
      <c r="C86" s="84" t="s">
        <v>415</v>
      </c>
      <c r="D86" s="500"/>
      <c r="E86" s="407">
        <v>48</v>
      </c>
      <c r="F86" s="407">
        <v>39</v>
      </c>
      <c r="G86" s="407">
        <v>43</v>
      </c>
      <c r="H86" s="407">
        <v>46</v>
      </c>
      <c r="I86" s="407">
        <v>48</v>
      </c>
      <c r="J86" s="407">
        <v>74</v>
      </c>
      <c r="K86" s="407">
        <v>42</v>
      </c>
      <c r="L86" s="407">
        <v>55</v>
      </c>
      <c r="M86" s="407">
        <v>64</v>
      </c>
      <c r="N86" s="407">
        <v>59</v>
      </c>
      <c r="O86" s="407">
        <v>75</v>
      </c>
      <c r="P86" s="407">
        <v>73</v>
      </c>
      <c r="Q86" s="227">
        <v>666</v>
      </c>
    </row>
    <row r="87" spans="2:17" ht="13.5" customHeight="1" x14ac:dyDescent="0.2">
      <c r="B87" s="499"/>
      <c r="C87" s="84" t="s">
        <v>416</v>
      </c>
      <c r="D87" s="500"/>
      <c r="E87" s="407">
        <v>29</v>
      </c>
      <c r="F87" s="407">
        <v>64</v>
      </c>
      <c r="G87" s="407">
        <v>88</v>
      </c>
      <c r="H87" s="407">
        <v>80</v>
      </c>
      <c r="I87" s="407">
        <v>126</v>
      </c>
      <c r="J87" s="407">
        <v>181</v>
      </c>
      <c r="K87" s="407">
        <v>104</v>
      </c>
      <c r="L87" s="407">
        <v>99</v>
      </c>
      <c r="M87" s="407">
        <v>96</v>
      </c>
      <c r="N87" s="407">
        <v>171</v>
      </c>
      <c r="O87" s="407">
        <v>128</v>
      </c>
      <c r="P87" s="407">
        <v>65</v>
      </c>
      <c r="Q87" s="227">
        <v>1231</v>
      </c>
    </row>
    <row r="88" spans="2:17" ht="13.5" customHeight="1" x14ac:dyDescent="0.2">
      <c r="B88" s="499"/>
      <c r="C88" s="84" t="s">
        <v>417</v>
      </c>
      <c r="D88" s="409" t="s">
        <v>272</v>
      </c>
      <c r="E88" s="407">
        <v>198</v>
      </c>
      <c r="F88" s="407">
        <v>294</v>
      </c>
      <c r="G88" s="407">
        <v>448</v>
      </c>
      <c r="H88" s="407">
        <v>444</v>
      </c>
      <c r="I88" s="407">
        <v>573</v>
      </c>
      <c r="J88" s="407">
        <v>902</v>
      </c>
      <c r="K88" s="407">
        <v>727</v>
      </c>
      <c r="L88" s="407">
        <v>1134</v>
      </c>
      <c r="M88" s="407">
        <v>1072</v>
      </c>
      <c r="N88" s="407">
        <v>657</v>
      </c>
      <c r="O88" s="407">
        <v>567</v>
      </c>
      <c r="P88" s="407">
        <v>325</v>
      </c>
      <c r="Q88" s="227">
        <v>7341</v>
      </c>
    </row>
    <row r="89" spans="2:17" ht="13.5" customHeight="1" x14ac:dyDescent="0.2">
      <c r="B89" s="499"/>
      <c r="C89" s="84" t="s">
        <v>418</v>
      </c>
      <c r="D89" s="409" t="s">
        <v>270</v>
      </c>
      <c r="E89" s="407">
        <v>55</v>
      </c>
      <c r="F89" s="407">
        <v>40</v>
      </c>
      <c r="G89" s="407">
        <v>35</v>
      </c>
      <c r="H89" s="407">
        <v>28</v>
      </c>
      <c r="I89" s="407">
        <v>73</v>
      </c>
      <c r="J89" s="407">
        <v>55</v>
      </c>
      <c r="K89" s="407">
        <v>81</v>
      </c>
      <c r="L89" s="407">
        <v>97</v>
      </c>
      <c r="M89" s="407">
        <v>107</v>
      </c>
      <c r="N89" s="407">
        <v>173</v>
      </c>
      <c r="O89" s="407">
        <v>129</v>
      </c>
      <c r="P89" s="407">
        <v>91</v>
      </c>
      <c r="Q89" s="227">
        <v>964</v>
      </c>
    </row>
    <row r="90" spans="2:17" ht="13.5" customHeight="1" x14ac:dyDescent="0.2">
      <c r="B90" s="499"/>
      <c r="C90" s="84" t="s">
        <v>419</v>
      </c>
      <c r="D90" s="409" t="s">
        <v>271</v>
      </c>
      <c r="E90" s="407">
        <v>381</v>
      </c>
      <c r="F90" s="407">
        <v>487</v>
      </c>
      <c r="G90" s="407">
        <v>638</v>
      </c>
      <c r="H90" s="407">
        <v>456</v>
      </c>
      <c r="I90" s="407">
        <v>824</v>
      </c>
      <c r="J90" s="407">
        <v>3475</v>
      </c>
      <c r="K90" s="407">
        <v>1819</v>
      </c>
      <c r="L90" s="407">
        <v>3063</v>
      </c>
      <c r="M90" s="407">
        <v>2007</v>
      </c>
      <c r="N90" s="407">
        <v>1495</v>
      </c>
      <c r="O90" s="407">
        <v>819</v>
      </c>
      <c r="P90" s="407">
        <v>858</v>
      </c>
      <c r="Q90" s="227">
        <v>16322</v>
      </c>
    </row>
    <row r="91" spans="2:17" ht="13.5" customHeight="1" x14ac:dyDescent="0.2">
      <c r="B91" s="499"/>
      <c r="C91" s="84" t="s">
        <v>421</v>
      </c>
      <c r="D91" s="500" t="s">
        <v>270</v>
      </c>
      <c r="E91" s="407">
        <v>30</v>
      </c>
      <c r="F91" s="407">
        <v>28</v>
      </c>
      <c r="G91" s="407">
        <v>32</v>
      </c>
      <c r="H91" s="407">
        <v>11</v>
      </c>
      <c r="I91" s="407">
        <v>40</v>
      </c>
      <c r="J91" s="407">
        <v>29</v>
      </c>
      <c r="K91" s="407">
        <v>36</v>
      </c>
      <c r="L91" s="407">
        <v>56</v>
      </c>
      <c r="M91" s="407">
        <v>82</v>
      </c>
      <c r="N91" s="407">
        <v>85</v>
      </c>
      <c r="O91" s="407">
        <v>143</v>
      </c>
      <c r="P91" s="407">
        <v>14</v>
      </c>
      <c r="Q91" s="227">
        <v>586</v>
      </c>
    </row>
    <row r="92" spans="2:17" ht="13.5" customHeight="1" x14ac:dyDescent="0.2">
      <c r="B92" s="499"/>
      <c r="C92" s="84" t="s">
        <v>422</v>
      </c>
      <c r="D92" s="500"/>
      <c r="E92" s="407">
        <v>33</v>
      </c>
      <c r="F92" s="407">
        <v>36</v>
      </c>
      <c r="G92" s="407">
        <v>129</v>
      </c>
      <c r="H92" s="407">
        <v>150</v>
      </c>
      <c r="I92" s="407">
        <v>93</v>
      </c>
      <c r="J92" s="407">
        <v>150</v>
      </c>
      <c r="K92" s="407">
        <v>210</v>
      </c>
      <c r="L92" s="407">
        <v>125</v>
      </c>
      <c r="M92" s="407">
        <v>152</v>
      </c>
      <c r="N92" s="407">
        <v>119</v>
      </c>
      <c r="O92" s="407">
        <v>66</v>
      </c>
      <c r="P92" s="407">
        <v>153</v>
      </c>
      <c r="Q92" s="227">
        <v>1416</v>
      </c>
    </row>
    <row r="93" spans="2:17" ht="13.5" customHeight="1" x14ac:dyDescent="0.2">
      <c r="B93" s="499"/>
      <c r="C93" s="84" t="s">
        <v>423</v>
      </c>
      <c r="D93" s="500"/>
      <c r="E93" s="407">
        <v>134</v>
      </c>
      <c r="F93" s="407">
        <v>119</v>
      </c>
      <c r="G93" s="407">
        <v>211</v>
      </c>
      <c r="H93" s="407">
        <v>189</v>
      </c>
      <c r="I93" s="407">
        <v>190</v>
      </c>
      <c r="J93" s="407">
        <v>251</v>
      </c>
      <c r="K93" s="407">
        <v>232</v>
      </c>
      <c r="L93" s="407">
        <v>207</v>
      </c>
      <c r="M93" s="407">
        <v>315</v>
      </c>
      <c r="N93" s="407">
        <v>176</v>
      </c>
      <c r="O93" s="407">
        <v>204</v>
      </c>
      <c r="P93" s="407">
        <v>169</v>
      </c>
      <c r="Q93" s="227">
        <v>2397</v>
      </c>
    </row>
    <row r="94" spans="2:17" ht="13.5" customHeight="1" x14ac:dyDescent="0.2">
      <c r="B94" s="499"/>
      <c r="C94" s="84" t="s">
        <v>420</v>
      </c>
      <c r="D94" s="500"/>
      <c r="E94" s="2"/>
      <c r="F94" s="407">
        <v>14</v>
      </c>
      <c r="G94" s="407">
        <v>44</v>
      </c>
      <c r="H94" s="407">
        <v>30</v>
      </c>
      <c r="I94" s="407">
        <v>35</v>
      </c>
      <c r="J94" s="407">
        <v>70</v>
      </c>
      <c r="K94" s="407">
        <v>70</v>
      </c>
      <c r="L94" s="407">
        <v>58</v>
      </c>
      <c r="M94" s="407">
        <v>74</v>
      </c>
      <c r="N94" s="407">
        <v>50</v>
      </c>
      <c r="O94" s="407">
        <v>56</v>
      </c>
      <c r="P94" s="407">
        <v>72</v>
      </c>
      <c r="Q94" s="227">
        <v>573</v>
      </c>
    </row>
    <row r="95" spans="2:17" ht="13.5" customHeight="1" x14ac:dyDescent="0.2">
      <c r="B95" s="499"/>
      <c r="C95" s="84" t="s">
        <v>609</v>
      </c>
      <c r="D95" s="500"/>
      <c r="E95" s="2"/>
      <c r="F95" s="2"/>
      <c r="G95" s="2"/>
      <c r="H95" s="2"/>
      <c r="I95" s="407">
        <v>1</v>
      </c>
      <c r="J95" s="407">
        <v>65</v>
      </c>
      <c r="K95" s="407">
        <v>382</v>
      </c>
      <c r="L95" s="407">
        <v>625</v>
      </c>
      <c r="M95" s="407">
        <v>298</v>
      </c>
      <c r="N95" s="407">
        <v>34</v>
      </c>
      <c r="O95" s="2"/>
      <c r="P95" s="2"/>
      <c r="Q95" s="227">
        <v>1405</v>
      </c>
    </row>
    <row r="96" spans="2:17" ht="13.5" customHeight="1" thickBot="1" x14ac:dyDescent="0.25">
      <c r="B96" s="499"/>
      <c r="C96" s="90" t="s">
        <v>17</v>
      </c>
      <c r="D96" s="87" t="s">
        <v>264</v>
      </c>
      <c r="E96" s="161">
        <v>7681</v>
      </c>
      <c r="F96" s="161">
        <v>8830</v>
      </c>
      <c r="G96" s="161">
        <v>10479</v>
      </c>
      <c r="H96" s="161">
        <v>10147</v>
      </c>
      <c r="I96" s="161">
        <v>9700</v>
      </c>
      <c r="J96" s="161">
        <v>14119</v>
      </c>
      <c r="K96" s="161">
        <v>13336</v>
      </c>
      <c r="L96" s="161">
        <v>16062</v>
      </c>
      <c r="M96" s="161">
        <v>14205</v>
      </c>
      <c r="N96" s="161">
        <v>12023</v>
      </c>
      <c r="O96" s="161">
        <v>11016</v>
      </c>
      <c r="P96" s="161">
        <v>10619</v>
      </c>
      <c r="Q96" s="228">
        <v>138217</v>
      </c>
    </row>
    <row r="97" spans="2:17" ht="13.5" customHeight="1" x14ac:dyDescent="0.2">
      <c r="B97" s="473" t="s">
        <v>328</v>
      </c>
      <c r="C97" s="96" t="s">
        <v>424</v>
      </c>
      <c r="D97" s="410" t="s">
        <v>271</v>
      </c>
      <c r="E97" s="185"/>
      <c r="F97" s="184">
        <v>150</v>
      </c>
      <c r="G97" s="184">
        <v>676</v>
      </c>
      <c r="H97" s="184">
        <v>704</v>
      </c>
      <c r="I97" s="184">
        <v>1137</v>
      </c>
      <c r="J97" s="184">
        <v>1897</v>
      </c>
      <c r="K97" s="184">
        <v>2034</v>
      </c>
      <c r="L97" s="184">
        <v>1852</v>
      </c>
      <c r="M97" s="184">
        <v>2041</v>
      </c>
      <c r="N97" s="184">
        <v>1227</v>
      </c>
      <c r="O97" s="184">
        <v>1125</v>
      </c>
      <c r="P97" s="184">
        <v>715</v>
      </c>
      <c r="Q97" s="233">
        <v>13558</v>
      </c>
    </row>
    <row r="98" spans="2:17" ht="13.5" customHeight="1" thickBot="1" x14ac:dyDescent="0.25">
      <c r="B98" s="475"/>
      <c r="C98" s="157" t="s">
        <v>17</v>
      </c>
      <c r="D98" s="104" t="s">
        <v>264</v>
      </c>
      <c r="E98" s="191"/>
      <c r="F98" s="190">
        <v>150</v>
      </c>
      <c r="G98" s="190">
        <v>676</v>
      </c>
      <c r="H98" s="190">
        <v>704</v>
      </c>
      <c r="I98" s="190">
        <v>1137</v>
      </c>
      <c r="J98" s="190">
        <v>1897</v>
      </c>
      <c r="K98" s="190">
        <v>2034</v>
      </c>
      <c r="L98" s="190">
        <v>1852</v>
      </c>
      <c r="M98" s="190">
        <v>2041</v>
      </c>
      <c r="N98" s="190">
        <v>1227</v>
      </c>
      <c r="O98" s="190">
        <v>1125</v>
      </c>
      <c r="P98" s="190">
        <v>715</v>
      </c>
      <c r="Q98" s="234">
        <v>13558</v>
      </c>
    </row>
    <row r="99" spans="2:17" ht="13.5" customHeight="1" x14ac:dyDescent="0.2">
      <c r="B99" s="499" t="s">
        <v>342</v>
      </c>
      <c r="C99" s="84" t="s">
        <v>425</v>
      </c>
      <c r="D99" s="500" t="s">
        <v>270</v>
      </c>
      <c r="E99" s="407">
        <v>677</v>
      </c>
      <c r="F99" s="407">
        <v>875</v>
      </c>
      <c r="G99" s="407">
        <v>1216</v>
      </c>
      <c r="H99" s="407">
        <v>1113</v>
      </c>
      <c r="I99" s="407">
        <v>1658</v>
      </c>
      <c r="J99" s="407">
        <v>1670</v>
      </c>
      <c r="K99" s="407">
        <v>4505</v>
      </c>
      <c r="L99" s="407">
        <v>6102</v>
      </c>
      <c r="M99" s="407">
        <v>4792</v>
      </c>
      <c r="N99" s="407">
        <v>2852</v>
      </c>
      <c r="O99" s="407">
        <v>2386</v>
      </c>
      <c r="P99" s="407">
        <v>1997</v>
      </c>
      <c r="Q99" s="227">
        <v>29843</v>
      </c>
    </row>
    <row r="100" spans="2:17" ht="13.5" customHeight="1" x14ac:dyDescent="0.2">
      <c r="B100" s="499"/>
      <c r="C100" s="84" t="s">
        <v>426</v>
      </c>
      <c r="D100" s="500"/>
      <c r="E100" s="407">
        <v>253</v>
      </c>
      <c r="F100" s="407">
        <v>505</v>
      </c>
      <c r="G100" s="407">
        <v>514</v>
      </c>
      <c r="H100" s="407">
        <v>487</v>
      </c>
      <c r="I100" s="407">
        <v>822</v>
      </c>
      <c r="J100" s="407">
        <v>1521</v>
      </c>
      <c r="K100" s="407">
        <v>1469</v>
      </c>
      <c r="L100" s="407">
        <v>1623</v>
      </c>
      <c r="M100" s="407">
        <v>1915</v>
      </c>
      <c r="N100" s="407">
        <v>1645</v>
      </c>
      <c r="O100" s="407">
        <v>1814</v>
      </c>
      <c r="P100" s="407">
        <v>1759</v>
      </c>
      <c r="Q100" s="227">
        <v>14327</v>
      </c>
    </row>
    <row r="101" spans="2:17" ht="13.5" customHeight="1" x14ac:dyDescent="0.2">
      <c r="B101" s="499"/>
      <c r="C101" s="84" t="s">
        <v>427</v>
      </c>
      <c r="D101" s="500"/>
      <c r="E101" s="407">
        <v>14</v>
      </c>
      <c r="F101" s="407">
        <v>22</v>
      </c>
      <c r="G101" s="407">
        <v>21</v>
      </c>
      <c r="H101" s="407">
        <v>1</v>
      </c>
      <c r="I101" s="407">
        <v>22</v>
      </c>
      <c r="J101" s="407">
        <v>10</v>
      </c>
      <c r="K101" s="407">
        <v>4</v>
      </c>
      <c r="L101" s="407">
        <v>89</v>
      </c>
      <c r="M101" s="407">
        <v>66</v>
      </c>
      <c r="N101" s="407">
        <v>55</v>
      </c>
      <c r="O101" s="407">
        <v>41</v>
      </c>
      <c r="P101" s="407">
        <v>120</v>
      </c>
      <c r="Q101" s="227">
        <v>465</v>
      </c>
    </row>
    <row r="102" spans="2:17" ht="13.5" customHeight="1" x14ac:dyDescent="0.2">
      <c r="B102" s="499"/>
      <c r="C102" s="84" t="s">
        <v>428</v>
      </c>
      <c r="D102" s="500"/>
      <c r="E102" s="2"/>
      <c r="F102" s="2"/>
      <c r="G102" s="2"/>
      <c r="H102" s="2"/>
      <c r="I102" s="407">
        <v>1</v>
      </c>
      <c r="J102" s="407">
        <v>2</v>
      </c>
      <c r="K102" s="407">
        <v>2</v>
      </c>
      <c r="L102" s="2"/>
      <c r="M102" s="2"/>
      <c r="N102" s="407">
        <v>2</v>
      </c>
      <c r="O102" s="2"/>
      <c r="P102" s="2"/>
      <c r="Q102" s="227">
        <v>7</v>
      </c>
    </row>
    <row r="103" spans="2:17" ht="13.5" customHeight="1" x14ac:dyDescent="0.2">
      <c r="B103" s="499"/>
      <c r="C103" s="84" t="s">
        <v>610</v>
      </c>
      <c r="D103" s="500"/>
      <c r="E103" s="2"/>
      <c r="F103" s="2"/>
      <c r="G103" s="2"/>
      <c r="H103" s="2"/>
      <c r="I103" s="2"/>
      <c r="J103" s="2"/>
      <c r="K103" s="407">
        <v>53</v>
      </c>
      <c r="L103" s="2"/>
      <c r="M103" s="2"/>
      <c r="N103" s="2"/>
      <c r="O103" s="2"/>
      <c r="P103" s="2"/>
      <c r="Q103" s="227">
        <v>53</v>
      </c>
    </row>
    <row r="104" spans="2:17" ht="13.5" customHeight="1" thickBot="1" x14ac:dyDescent="0.25">
      <c r="B104" s="499"/>
      <c r="C104" s="90" t="s">
        <v>17</v>
      </c>
      <c r="D104" s="87" t="s">
        <v>264</v>
      </c>
      <c r="E104" s="161">
        <v>944</v>
      </c>
      <c r="F104" s="161">
        <v>1402</v>
      </c>
      <c r="G104" s="161">
        <v>1751</v>
      </c>
      <c r="H104" s="161">
        <v>1601</v>
      </c>
      <c r="I104" s="161">
        <v>2503</v>
      </c>
      <c r="J104" s="161">
        <v>3203</v>
      </c>
      <c r="K104" s="161">
        <v>6033</v>
      </c>
      <c r="L104" s="161">
        <v>7814</v>
      </c>
      <c r="M104" s="161">
        <v>6773</v>
      </c>
      <c r="N104" s="161">
        <v>4554</v>
      </c>
      <c r="O104" s="161">
        <v>4241</v>
      </c>
      <c r="P104" s="161">
        <v>3876</v>
      </c>
      <c r="Q104" s="228">
        <v>44695</v>
      </c>
    </row>
    <row r="105" spans="2:17" ht="13.5" customHeight="1" x14ac:dyDescent="0.2">
      <c r="B105" s="473" t="s">
        <v>329</v>
      </c>
      <c r="C105" s="96" t="s">
        <v>430</v>
      </c>
      <c r="D105" s="467" t="s">
        <v>270</v>
      </c>
      <c r="E105" s="184">
        <v>924</v>
      </c>
      <c r="F105" s="184">
        <v>1274</v>
      </c>
      <c r="G105" s="184">
        <v>1106</v>
      </c>
      <c r="H105" s="184">
        <v>1076</v>
      </c>
      <c r="I105" s="184">
        <v>933</v>
      </c>
      <c r="J105" s="184">
        <v>1033</v>
      </c>
      <c r="K105" s="184">
        <v>961</v>
      </c>
      <c r="L105" s="184">
        <v>1012</v>
      </c>
      <c r="M105" s="184">
        <v>1169</v>
      </c>
      <c r="N105" s="184">
        <v>999</v>
      </c>
      <c r="O105" s="184">
        <v>1047</v>
      </c>
      <c r="P105" s="184">
        <v>1091</v>
      </c>
      <c r="Q105" s="233">
        <v>12625</v>
      </c>
    </row>
    <row r="106" spans="2:17" ht="13.5" customHeight="1" x14ac:dyDescent="0.2">
      <c r="B106" s="474"/>
      <c r="C106" s="98" t="s">
        <v>438</v>
      </c>
      <c r="D106" s="501"/>
      <c r="E106" s="187">
        <v>15</v>
      </c>
      <c r="F106" s="187">
        <v>3</v>
      </c>
      <c r="G106" s="188"/>
      <c r="H106" s="187">
        <v>29</v>
      </c>
      <c r="I106" s="187">
        <v>35</v>
      </c>
      <c r="J106" s="187">
        <v>31</v>
      </c>
      <c r="K106" s="187">
        <v>20</v>
      </c>
      <c r="L106" s="187">
        <v>16</v>
      </c>
      <c r="M106" s="187">
        <v>32</v>
      </c>
      <c r="N106" s="187">
        <v>11</v>
      </c>
      <c r="O106" s="187">
        <v>5</v>
      </c>
      <c r="P106" s="187">
        <v>5</v>
      </c>
      <c r="Q106" s="235">
        <v>202</v>
      </c>
    </row>
    <row r="107" spans="2:17" ht="13.5" customHeight="1" x14ac:dyDescent="0.2">
      <c r="B107" s="474"/>
      <c r="C107" s="98" t="s">
        <v>431</v>
      </c>
      <c r="D107" s="411" t="s">
        <v>271</v>
      </c>
      <c r="E107" s="187">
        <v>1147</v>
      </c>
      <c r="F107" s="187">
        <v>816</v>
      </c>
      <c r="G107" s="187">
        <v>1329</v>
      </c>
      <c r="H107" s="187">
        <v>1214</v>
      </c>
      <c r="I107" s="187">
        <v>1424</v>
      </c>
      <c r="J107" s="187">
        <v>1587</v>
      </c>
      <c r="K107" s="187">
        <v>1682</v>
      </c>
      <c r="L107" s="187">
        <v>1615</v>
      </c>
      <c r="M107" s="187">
        <v>1828</v>
      </c>
      <c r="N107" s="187">
        <v>1857</v>
      </c>
      <c r="O107" s="187">
        <v>1366</v>
      </c>
      <c r="P107" s="187">
        <v>1320</v>
      </c>
      <c r="Q107" s="235">
        <v>17185</v>
      </c>
    </row>
    <row r="108" spans="2:17" ht="13.5" customHeight="1" x14ac:dyDescent="0.2">
      <c r="B108" s="474"/>
      <c r="C108" s="98" t="s">
        <v>432</v>
      </c>
      <c r="D108" s="411" t="s">
        <v>270</v>
      </c>
      <c r="E108" s="187">
        <v>128</v>
      </c>
      <c r="F108" s="187">
        <v>96</v>
      </c>
      <c r="G108" s="187">
        <v>157</v>
      </c>
      <c r="H108" s="187">
        <v>147</v>
      </c>
      <c r="I108" s="187">
        <v>173</v>
      </c>
      <c r="J108" s="187">
        <v>153</v>
      </c>
      <c r="K108" s="187">
        <v>177</v>
      </c>
      <c r="L108" s="187">
        <v>107</v>
      </c>
      <c r="M108" s="187">
        <v>161</v>
      </c>
      <c r="N108" s="187">
        <v>166</v>
      </c>
      <c r="O108" s="187">
        <v>237</v>
      </c>
      <c r="P108" s="187">
        <v>206</v>
      </c>
      <c r="Q108" s="235">
        <v>1908</v>
      </c>
    </row>
    <row r="109" spans="2:17" ht="13.5" customHeight="1" x14ac:dyDescent="0.2">
      <c r="B109" s="474"/>
      <c r="C109" s="98" t="s">
        <v>433</v>
      </c>
      <c r="D109" s="501" t="s">
        <v>271</v>
      </c>
      <c r="E109" s="187">
        <v>323414</v>
      </c>
      <c r="F109" s="187">
        <v>290610</v>
      </c>
      <c r="G109" s="187">
        <v>338768</v>
      </c>
      <c r="H109" s="187">
        <v>277220</v>
      </c>
      <c r="I109" s="187">
        <v>341524</v>
      </c>
      <c r="J109" s="187">
        <v>333034</v>
      </c>
      <c r="K109" s="187">
        <v>371596</v>
      </c>
      <c r="L109" s="187">
        <v>482748</v>
      </c>
      <c r="M109" s="187">
        <v>457230</v>
      </c>
      <c r="N109" s="187">
        <v>464273</v>
      </c>
      <c r="O109" s="187">
        <v>389872</v>
      </c>
      <c r="P109" s="187">
        <v>350250</v>
      </c>
      <c r="Q109" s="235">
        <v>4420539</v>
      </c>
    </row>
    <row r="110" spans="2:17" ht="13.5" customHeight="1" x14ac:dyDescent="0.2">
      <c r="B110" s="474"/>
      <c r="C110" s="98" t="s">
        <v>434</v>
      </c>
      <c r="D110" s="501"/>
      <c r="E110" s="187">
        <v>640585</v>
      </c>
      <c r="F110" s="187">
        <v>579136</v>
      </c>
      <c r="G110" s="187">
        <v>786342</v>
      </c>
      <c r="H110" s="187">
        <v>684136</v>
      </c>
      <c r="I110" s="187">
        <v>938580</v>
      </c>
      <c r="J110" s="187">
        <v>1005398</v>
      </c>
      <c r="K110" s="187">
        <v>1145352</v>
      </c>
      <c r="L110" s="187">
        <v>1378414</v>
      </c>
      <c r="M110" s="187">
        <v>1230821</v>
      </c>
      <c r="N110" s="187">
        <v>1166779</v>
      </c>
      <c r="O110" s="187">
        <v>1059928</v>
      </c>
      <c r="P110" s="187">
        <v>920213</v>
      </c>
      <c r="Q110" s="235">
        <v>11535684</v>
      </c>
    </row>
    <row r="111" spans="2:17" ht="13.5" customHeight="1" x14ac:dyDescent="0.2">
      <c r="B111" s="474"/>
      <c r="C111" s="98" t="s">
        <v>435</v>
      </c>
      <c r="D111" s="501" t="s">
        <v>270</v>
      </c>
      <c r="E111" s="187">
        <v>114</v>
      </c>
      <c r="F111" s="187">
        <v>149</v>
      </c>
      <c r="G111" s="187">
        <v>208</v>
      </c>
      <c r="H111" s="187">
        <v>171</v>
      </c>
      <c r="I111" s="187">
        <v>203</v>
      </c>
      <c r="J111" s="187">
        <v>193</v>
      </c>
      <c r="K111" s="187">
        <v>205</v>
      </c>
      <c r="L111" s="187">
        <v>204</v>
      </c>
      <c r="M111" s="187">
        <v>209</v>
      </c>
      <c r="N111" s="187">
        <v>180</v>
      </c>
      <c r="O111" s="187">
        <v>203</v>
      </c>
      <c r="P111" s="187">
        <v>255</v>
      </c>
      <c r="Q111" s="235">
        <v>2294</v>
      </c>
    </row>
    <row r="112" spans="2:17" ht="13.5" customHeight="1" x14ac:dyDescent="0.2">
      <c r="B112" s="474"/>
      <c r="C112" s="98" t="s">
        <v>440</v>
      </c>
      <c r="D112" s="501"/>
      <c r="E112" s="187">
        <v>279</v>
      </c>
      <c r="F112" s="188"/>
      <c r="G112" s="187">
        <v>166</v>
      </c>
      <c r="H112" s="187">
        <v>9719</v>
      </c>
      <c r="I112" s="187">
        <v>17068</v>
      </c>
      <c r="J112" s="187">
        <v>18845</v>
      </c>
      <c r="K112" s="187">
        <v>23272</v>
      </c>
      <c r="L112" s="187">
        <v>22962</v>
      </c>
      <c r="M112" s="187">
        <v>26700</v>
      </c>
      <c r="N112" s="187">
        <v>38838</v>
      </c>
      <c r="O112" s="187">
        <v>13736</v>
      </c>
      <c r="P112" s="187">
        <v>483</v>
      </c>
      <c r="Q112" s="235">
        <v>172068</v>
      </c>
    </row>
    <row r="113" spans="2:17" ht="13.5" customHeight="1" x14ac:dyDescent="0.2">
      <c r="B113" s="474"/>
      <c r="C113" s="98" t="s">
        <v>436</v>
      </c>
      <c r="D113" s="501"/>
      <c r="E113" s="187">
        <v>1110</v>
      </c>
      <c r="F113" s="187">
        <v>1440</v>
      </c>
      <c r="G113" s="187">
        <v>1416</v>
      </c>
      <c r="H113" s="187">
        <v>1818</v>
      </c>
      <c r="I113" s="187">
        <v>1983</v>
      </c>
      <c r="J113" s="187">
        <v>2040</v>
      </c>
      <c r="K113" s="187">
        <v>2112</v>
      </c>
      <c r="L113" s="187">
        <v>1971</v>
      </c>
      <c r="M113" s="187">
        <v>1715</v>
      </c>
      <c r="N113" s="187">
        <v>1885</v>
      </c>
      <c r="O113" s="187">
        <v>2001</v>
      </c>
      <c r="P113" s="187">
        <v>1777</v>
      </c>
      <c r="Q113" s="235">
        <v>21268</v>
      </c>
    </row>
    <row r="114" spans="2:17" ht="13.5" customHeight="1" x14ac:dyDescent="0.2">
      <c r="B114" s="474"/>
      <c r="C114" s="98" t="s">
        <v>437</v>
      </c>
      <c r="D114" s="501"/>
      <c r="E114" s="187">
        <v>171</v>
      </c>
      <c r="F114" s="187">
        <v>226</v>
      </c>
      <c r="G114" s="187">
        <v>57</v>
      </c>
      <c r="H114" s="187">
        <v>264</v>
      </c>
      <c r="I114" s="187">
        <v>518</v>
      </c>
      <c r="J114" s="187">
        <v>1303</v>
      </c>
      <c r="K114" s="187">
        <v>613</v>
      </c>
      <c r="L114" s="187">
        <v>1015</v>
      </c>
      <c r="M114" s="187">
        <v>1878</v>
      </c>
      <c r="N114" s="187">
        <v>1199</v>
      </c>
      <c r="O114" s="187">
        <v>809</v>
      </c>
      <c r="P114" s="187">
        <v>666</v>
      </c>
      <c r="Q114" s="235">
        <v>8719</v>
      </c>
    </row>
    <row r="115" spans="2:17" ht="13.5" customHeight="1" x14ac:dyDescent="0.2">
      <c r="B115" s="474"/>
      <c r="C115" s="98" t="s">
        <v>439</v>
      </c>
      <c r="D115" s="501"/>
      <c r="E115" s="188"/>
      <c r="F115" s="188"/>
      <c r="G115" s="188"/>
      <c r="H115" s="187">
        <v>192</v>
      </c>
      <c r="I115" s="187">
        <v>1048</v>
      </c>
      <c r="J115" s="187">
        <v>258</v>
      </c>
      <c r="K115" s="187">
        <v>1271</v>
      </c>
      <c r="L115" s="187">
        <v>2229</v>
      </c>
      <c r="M115" s="187">
        <v>4023</v>
      </c>
      <c r="N115" s="187">
        <v>4231</v>
      </c>
      <c r="O115" s="187">
        <v>1580</v>
      </c>
      <c r="P115" s="187">
        <v>451</v>
      </c>
      <c r="Q115" s="235">
        <v>15283</v>
      </c>
    </row>
    <row r="116" spans="2:17" ht="13.5" customHeight="1" thickBot="1" x14ac:dyDescent="0.25">
      <c r="B116" s="475"/>
      <c r="C116" s="157" t="s">
        <v>17</v>
      </c>
      <c r="D116" s="104" t="s">
        <v>264</v>
      </c>
      <c r="E116" s="190">
        <v>967887</v>
      </c>
      <c r="F116" s="190">
        <v>873750</v>
      </c>
      <c r="G116" s="190">
        <v>1129549</v>
      </c>
      <c r="H116" s="190">
        <v>975986</v>
      </c>
      <c r="I116" s="190">
        <v>1303489</v>
      </c>
      <c r="J116" s="190">
        <v>1363875</v>
      </c>
      <c r="K116" s="190">
        <v>1547261</v>
      </c>
      <c r="L116" s="190">
        <v>1892293</v>
      </c>
      <c r="M116" s="190">
        <v>1725766</v>
      </c>
      <c r="N116" s="190">
        <v>1680418</v>
      </c>
      <c r="O116" s="190">
        <v>1470784</v>
      </c>
      <c r="P116" s="190">
        <v>1276717</v>
      </c>
      <c r="Q116" s="234">
        <v>16207775</v>
      </c>
    </row>
    <row r="117" spans="2:17" ht="13.5" customHeight="1" x14ac:dyDescent="0.2">
      <c r="B117" s="499" t="s">
        <v>330</v>
      </c>
      <c r="C117" s="84" t="s">
        <v>441</v>
      </c>
      <c r="D117" s="500" t="s">
        <v>270</v>
      </c>
      <c r="E117" s="407">
        <v>68</v>
      </c>
      <c r="F117" s="407">
        <v>171</v>
      </c>
      <c r="G117" s="407">
        <v>1056</v>
      </c>
      <c r="H117" s="407">
        <v>4679</v>
      </c>
      <c r="I117" s="407">
        <v>5607</v>
      </c>
      <c r="J117" s="407">
        <v>6643</v>
      </c>
      <c r="K117" s="407">
        <v>9499</v>
      </c>
      <c r="L117" s="407">
        <v>15537</v>
      </c>
      <c r="M117" s="407">
        <v>11852</v>
      </c>
      <c r="N117" s="407">
        <v>9082</v>
      </c>
      <c r="O117" s="407">
        <v>6027</v>
      </c>
      <c r="P117" s="407">
        <v>3789</v>
      </c>
      <c r="Q117" s="227">
        <v>74010</v>
      </c>
    </row>
    <row r="118" spans="2:17" ht="13.5" customHeight="1" x14ac:dyDescent="0.2">
      <c r="B118" s="499"/>
      <c r="C118" s="84" t="s">
        <v>442</v>
      </c>
      <c r="D118" s="500"/>
      <c r="E118" s="407">
        <v>499</v>
      </c>
      <c r="F118" s="407">
        <v>381</v>
      </c>
      <c r="G118" s="407">
        <v>64</v>
      </c>
      <c r="H118" s="407">
        <v>51</v>
      </c>
      <c r="I118" s="407">
        <v>4112</v>
      </c>
      <c r="J118" s="407">
        <v>3830</v>
      </c>
      <c r="K118" s="407">
        <v>3963</v>
      </c>
      <c r="L118" s="407">
        <v>6108</v>
      </c>
      <c r="M118" s="407">
        <v>11106</v>
      </c>
      <c r="N118" s="407">
        <v>2331</v>
      </c>
      <c r="O118" s="407">
        <v>4098</v>
      </c>
      <c r="P118" s="407">
        <v>734</v>
      </c>
      <c r="Q118" s="227">
        <v>37277</v>
      </c>
    </row>
    <row r="119" spans="2:17" ht="13.5" customHeight="1" x14ac:dyDescent="0.2">
      <c r="B119" s="499"/>
      <c r="C119" s="84" t="s">
        <v>443</v>
      </c>
      <c r="D119" s="500"/>
      <c r="E119" s="407">
        <v>340</v>
      </c>
      <c r="F119" s="407">
        <v>433</v>
      </c>
      <c r="G119" s="407">
        <v>313</v>
      </c>
      <c r="H119" s="407">
        <v>477</v>
      </c>
      <c r="I119" s="407">
        <v>879</v>
      </c>
      <c r="J119" s="407">
        <v>830</v>
      </c>
      <c r="K119" s="407">
        <v>1063</v>
      </c>
      <c r="L119" s="407">
        <v>910</v>
      </c>
      <c r="M119" s="407">
        <v>868</v>
      </c>
      <c r="N119" s="407">
        <v>766</v>
      </c>
      <c r="O119" s="407">
        <v>711</v>
      </c>
      <c r="P119" s="407">
        <v>878</v>
      </c>
      <c r="Q119" s="227">
        <v>8468</v>
      </c>
    </row>
    <row r="120" spans="2:17" ht="13.5" customHeight="1" x14ac:dyDescent="0.2">
      <c r="B120" s="499"/>
      <c r="C120" s="84" t="s">
        <v>444</v>
      </c>
      <c r="D120" s="409" t="s">
        <v>271</v>
      </c>
      <c r="E120" s="407">
        <v>38919</v>
      </c>
      <c r="F120" s="407">
        <v>21626</v>
      </c>
      <c r="G120" s="407">
        <v>37044</v>
      </c>
      <c r="H120" s="407">
        <v>72088</v>
      </c>
      <c r="I120" s="407">
        <v>101598</v>
      </c>
      <c r="J120" s="407">
        <v>151885</v>
      </c>
      <c r="K120" s="407">
        <v>194364</v>
      </c>
      <c r="L120" s="407">
        <v>283992</v>
      </c>
      <c r="M120" s="407">
        <v>201826</v>
      </c>
      <c r="N120" s="407">
        <v>170676</v>
      </c>
      <c r="O120" s="407">
        <v>47278</v>
      </c>
      <c r="P120" s="407">
        <v>34664</v>
      </c>
      <c r="Q120" s="227">
        <v>1355960</v>
      </c>
    </row>
    <row r="121" spans="2:17" ht="13.5" customHeight="1" x14ac:dyDescent="0.2">
      <c r="B121" s="499"/>
      <c r="C121" s="84" t="s">
        <v>445</v>
      </c>
      <c r="D121" s="500" t="s">
        <v>270</v>
      </c>
      <c r="E121" s="407">
        <v>10</v>
      </c>
      <c r="F121" s="407">
        <v>11</v>
      </c>
      <c r="G121" s="407">
        <v>6</v>
      </c>
      <c r="H121" s="407">
        <v>398</v>
      </c>
      <c r="I121" s="407">
        <v>138</v>
      </c>
      <c r="J121" s="407">
        <v>1222</v>
      </c>
      <c r="K121" s="407">
        <v>198</v>
      </c>
      <c r="L121" s="407">
        <v>1193</v>
      </c>
      <c r="M121" s="407">
        <v>871</v>
      </c>
      <c r="N121" s="407">
        <v>437</v>
      </c>
      <c r="O121" s="407">
        <v>773</v>
      </c>
      <c r="P121" s="407">
        <v>81</v>
      </c>
      <c r="Q121" s="227">
        <v>5338</v>
      </c>
    </row>
    <row r="122" spans="2:17" ht="13.5" customHeight="1" x14ac:dyDescent="0.2">
      <c r="B122" s="499"/>
      <c r="C122" s="84" t="s">
        <v>447</v>
      </c>
      <c r="D122" s="500"/>
      <c r="E122" s="2"/>
      <c r="F122" s="2"/>
      <c r="G122" s="2"/>
      <c r="H122" s="407">
        <v>27</v>
      </c>
      <c r="I122" s="407">
        <v>110</v>
      </c>
      <c r="J122" s="407">
        <v>170</v>
      </c>
      <c r="K122" s="407">
        <v>364</v>
      </c>
      <c r="L122" s="407">
        <v>359</v>
      </c>
      <c r="M122" s="407">
        <v>12</v>
      </c>
      <c r="N122" s="2"/>
      <c r="O122" s="2"/>
      <c r="P122" s="2"/>
      <c r="Q122" s="227">
        <v>1042</v>
      </c>
    </row>
    <row r="123" spans="2:17" ht="13.5" customHeight="1" x14ac:dyDescent="0.2">
      <c r="B123" s="499"/>
      <c r="C123" s="84" t="s">
        <v>446</v>
      </c>
      <c r="D123" s="500"/>
      <c r="E123" s="2"/>
      <c r="F123" s="2"/>
      <c r="G123" s="2"/>
      <c r="H123" s="407">
        <v>5</v>
      </c>
      <c r="I123" s="2"/>
      <c r="J123" s="407">
        <v>1</v>
      </c>
      <c r="K123" s="2"/>
      <c r="L123" s="407">
        <v>1</v>
      </c>
      <c r="M123" s="407">
        <v>2</v>
      </c>
      <c r="N123" s="2"/>
      <c r="O123" s="407">
        <v>1</v>
      </c>
      <c r="P123" s="2"/>
      <c r="Q123" s="227">
        <v>10</v>
      </c>
    </row>
    <row r="124" spans="2:17" ht="13.5" customHeight="1" thickBot="1" x14ac:dyDescent="0.25">
      <c r="B124" s="499"/>
      <c r="C124" s="90" t="s">
        <v>17</v>
      </c>
      <c r="D124" s="87" t="s">
        <v>264</v>
      </c>
      <c r="E124" s="161">
        <v>39836</v>
      </c>
      <c r="F124" s="161">
        <v>22622</v>
      </c>
      <c r="G124" s="161">
        <v>38483</v>
      </c>
      <c r="H124" s="161">
        <v>77725</v>
      </c>
      <c r="I124" s="161">
        <v>112444</v>
      </c>
      <c r="J124" s="161">
        <v>164581</v>
      </c>
      <c r="K124" s="161">
        <v>209451</v>
      </c>
      <c r="L124" s="161">
        <v>308100</v>
      </c>
      <c r="M124" s="161">
        <v>226537</v>
      </c>
      <c r="N124" s="161">
        <v>183292</v>
      </c>
      <c r="O124" s="161">
        <v>58888</v>
      </c>
      <c r="P124" s="161">
        <v>40146</v>
      </c>
      <c r="Q124" s="228">
        <v>1482105</v>
      </c>
    </row>
    <row r="125" spans="2:17" ht="13.5" customHeight="1" x14ac:dyDescent="0.2">
      <c r="B125" s="473" t="s">
        <v>332</v>
      </c>
      <c r="C125" s="96" t="s">
        <v>448</v>
      </c>
      <c r="D125" s="410" t="s">
        <v>271</v>
      </c>
      <c r="E125" s="185"/>
      <c r="F125" s="185"/>
      <c r="G125" s="185"/>
      <c r="H125" s="185"/>
      <c r="I125" s="185"/>
      <c r="J125" s="184">
        <v>34</v>
      </c>
      <c r="K125" s="184">
        <v>5</v>
      </c>
      <c r="L125" s="185"/>
      <c r="M125" s="184">
        <v>1</v>
      </c>
      <c r="N125" s="185"/>
      <c r="O125" s="185"/>
      <c r="P125" s="185"/>
      <c r="Q125" s="233">
        <v>40</v>
      </c>
    </row>
    <row r="126" spans="2:17" ht="13.5" customHeight="1" thickBot="1" x14ac:dyDescent="0.25">
      <c r="B126" s="475"/>
      <c r="C126" s="157" t="s">
        <v>17</v>
      </c>
      <c r="D126" s="104" t="s">
        <v>264</v>
      </c>
      <c r="E126" s="191"/>
      <c r="F126" s="191"/>
      <c r="G126" s="191"/>
      <c r="H126" s="191"/>
      <c r="I126" s="191"/>
      <c r="J126" s="190">
        <v>34</v>
      </c>
      <c r="K126" s="190">
        <v>5</v>
      </c>
      <c r="L126" s="191"/>
      <c r="M126" s="190">
        <v>1</v>
      </c>
      <c r="N126" s="191"/>
      <c r="O126" s="191"/>
      <c r="P126" s="191"/>
      <c r="Q126" s="234">
        <v>40</v>
      </c>
    </row>
    <row r="127" spans="2:17" ht="13.5" customHeight="1" x14ac:dyDescent="0.2">
      <c r="B127" s="499" t="s">
        <v>333</v>
      </c>
      <c r="C127" s="84" t="s">
        <v>449</v>
      </c>
      <c r="D127" s="409" t="s">
        <v>270</v>
      </c>
      <c r="E127" s="407">
        <v>34</v>
      </c>
      <c r="F127" s="407">
        <v>23</v>
      </c>
      <c r="G127" s="407">
        <v>49</v>
      </c>
      <c r="H127" s="407">
        <v>34</v>
      </c>
      <c r="I127" s="407">
        <v>19</v>
      </c>
      <c r="J127" s="407">
        <v>58</v>
      </c>
      <c r="K127" s="407">
        <v>32</v>
      </c>
      <c r="L127" s="407">
        <v>42</v>
      </c>
      <c r="M127" s="407">
        <v>18</v>
      </c>
      <c r="N127" s="407">
        <v>16</v>
      </c>
      <c r="O127" s="407">
        <v>37</v>
      </c>
      <c r="P127" s="407">
        <v>47</v>
      </c>
      <c r="Q127" s="227">
        <v>409</v>
      </c>
    </row>
    <row r="128" spans="2:17" ht="13.5" customHeight="1" x14ac:dyDescent="0.2">
      <c r="B128" s="499"/>
      <c r="C128" s="84" t="s">
        <v>450</v>
      </c>
      <c r="D128" s="409" t="s">
        <v>271</v>
      </c>
      <c r="E128" s="2"/>
      <c r="F128" s="2"/>
      <c r="G128" s="2"/>
      <c r="H128" s="407">
        <v>5</v>
      </c>
      <c r="I128" s="2"/>
      <c r="J128" s="2"/>
      <c r="K128" s="407">
        <v>4</v>
      </c>
      <c r="L128" s="2"/>
      <c r="M128" s="407">
        <v>4</v>
      </c>
      <c r="N128" s="2"/>
      <c r="O128" s="2"/>
      <c r="P128" s="2"/>
      <c r="Q128" s="227">
        <v>13</v>
      </c>
    </row>
    <row r="129" spans="2:17" ht="13.5" customHeight="1" thickBot="1" x14ac:dyDescent="0.25">
      <c r="B129" s="499"/>
      <c r="C129" s="90" t="s">
        <v>17</v>
      </c>
      <c r="D129" s="87" t="s">
        <v>264</v>
      </c>
      <c r="E129" s="161">
        <v>34</v>
      </c>
      <c r="F129" s="161">
        <v>23</v>
      </c>
      <c r="G129" s="161">
        <v>49</v>
      </c>
      <c r="H129" s="161">
        <v>39</v>
      </c>
      <c r="I129" s="161">
        <v>19</v>
      </c>
      <c r="J129" s="161">
        <v>58</v>
      </c>
      <c r="K129" s="161">
        <v>36</v>
      </c>
      <c r="L129" s="161">
        <v>42</v>
      </c>
      <c r="M129" s="161">
        <v>22</v>
      </c>
      <c r="N129" s="161">
        <v>16</v>
      </c>
      <c r="O129" s="161">
        <v>37</v>
      </c>
      <c r="P129" s="161">
        <v>47</v>
      </c>
      <c r="Q129" s="228">
        <v>422</v>
      </c>
    </row>
    <row r="130" spans="2:17" ht="13.5" customHeight="1" x14ac:dyDescent="0.2">
      <c r="B130" s="473" t="s">
        <v>334</v>
      </c>
      <c r="C130" s="96" t="s">
        <v>451</v>
      </c>
      <c r="D130" s="410" t="s">
        <v>271</v>
      </c>
      <c r="E130" s="184">
        <v>12562</v>
      </c>
      <c r="F130" s="184">
        <v>6150</v>
      </c>
      <c r="G130" s="184">
        <v>7578</v>
      </c>
      <c r="H130" s="184">
        <v>7107</v>
      </c>
      <c r="I130" s="184">
        <v>10459</v>
      </c>
      <c r="J130" s="184">
        <v>12581</v>
      </c>
      <c r="K130" s="184">
        <v>20424</v>
      </c>
      <c r="L130" s="184">
        <v>41324</v>
      </c>
      <c r="M130" s="184">
        <v>20569</v>
      </c>
      <c r="N130" s="184">
        <v>11546</v>
      </c>
      <c r="O130" s="184">
        <v>6965</v>
      </c>
      <c r="P130" s="184">
        <v>5933</v>
      </c>
      <c r="Q130" s="233">
        <v>163198</v>
      </c>
    </row>
    <row r="131" spans="2:17" ht="13.5" customHeight="1" thickBot="1" x14ac:dyDescent="0.25">
      <c r="B131" s="475"/>
      <c r="C131" s="157" t="s">
        <v>17</v>
      </c>
      <c r="D131" s="104" t="s">
        <v>264</v>
      </c>
      <c r="E131" s="190">
        <v>12562</v>
      </c>
      <c r="F131" s="190">
        <v>6150</v>
      </c>
      <c r="G131" s="190">
        <v>7578</v>
      </c>
      <c r="H131" s="190">
        <v>7107</v>
      </c>
      <c r="I131" s="190">
        <v>10459</v>
      </c>
      <c r="J131" s="190">
        <v>12581</v>
      </c>
      <c r="K131" s="190">
        <v>20424</v>
      </c>
      <c r="L131" s="190">
        <v>41324</v>
      </c>
      <c r="M131" s="190">
        <v>20569</v>
      </c>
      <c r="N131" s="190">
        <v>11546</v>
      </c>
      <c r="O131" s="190">
        <v>6965</v>
      </c>
      <c r="P131" s="190">
        <v>5933</v>
      </c>
      <c r="Q131" s="234">
        <v>163198</v>
      </c>
    </row>
    <row r="132" spans="2:17" ht="13.5" customHeight="1" x14ac:dyDescent="0.2">
      <c r="B132" s="499" t="s">
        <v>335</v>
      </c>
      <c r="C132" s="84" t="s">
        <v>452</v>
      </c>
      <c r="D132" s="409" t="s">
        <v>272</v>
      </c>
      <c r="E132" s="407">
        <v>20347</v>
      </c>
      <c r="F132" s="407">
        <v>18824</v>
      </c>
      <c r="G132" s="407">
        <v>27298</v>
      </c>
      <c r="H132" s="407">
        <v>51205</v>
      </c>
      <c r="I132" s="407">
        <v>53670</v>
      </c>
      <c r="J132" s="407">
        <v>59857</v>
      </c>
      <c r="K132" s="407">
        <v>72371</v>
      </c>
      <c r="L132" s="407">
        <v>83113</v>
      </c>
      <c r="M132" s="407">
        <v>65679</v>
      </c>
      <c r="N132" s="407">
        <v>70616</v>
      </c>
      <c r="O132" s="407">
        <v>45881</v>
      </c>
      <c r="P132" s="407">
        <v>40166</v>
      </c>
      <c r="Q132" s="227">
        <v>609027</v>
      </c>
    </row>
    <row r="133" spans="2:17" ht="13.5" customHeight="1" thickBot="1" x14ac:dyDescent="0.25">
      <c r="B133" s="499"/>
      <c r="C133" s="90" t="s">
        <v>17</v>
      </c>
      <c r="D133" s="87" t="s">
        <v>264</v>
      </c>
      <c r="E133" s="161">
        <v>20347</v>
      </c>
      <c r="F133" s="161">
        <v>18824</v>
      </c>
      <c r="G133" s="161">
        <v>27298</v>
      </c>
      <c r="H133" s="161">
        <v>51205</v>
      </c>
      <c r="I133" s="161">
        <v>53670</v>
      </c>
      <c r="J133" s="161">
        <v>59857</v>
      </c>
      <c r="K133" s="161">
        <v>72371</v>
      </c>
      <c r="L133" s="161">
        <v>83113</v>
      </c>
      <c r="M133" s="161">
        <v>65679</v>
      </c>
      <c r="N133" s="161">
        <v>70616</v>
      </c>
      <c r="O133" s="161">
        <v>45881</v>
      </c>
      <c r="P133" s="161">
        <v>40166</v>
      </c>
      <c r="Q133" s="228">
        <v>609027</v>
      </c>
    </row>
    <row r="134" spans="2:17" ht="13.5" customHeight="1" x14ac:dyDescent="0.2">
      <c r="B134" s="473" t="s">
        <v>337</v>
      </c>
      <c r="C134" s="96" t="s">
        <v>453</v>
      </c>
      <c r="D134" s="410" t="s">
        <v>270</v>
      </c>
      <c r="E134" s="184">
        <v>545</v>
      </c>
      <c r="F134" s="184">
        <v>723</v>
      </c>
      <c r="G134" s="184">
        <v>599</v>
      </c>
      <c r="H134" s="184">
        <v>916</v>
      </c>
      <c r="I134" s="184">
        <v>1383</v>
      </c>
      <c r="J134" s="184">
        <v>1715</v>
      </c>
      <c r="K134" s="184">
        <v>1644</v>
      </c>
      <c r="L134" s="184">
        <v>1386</v>
      </c>
      <c r="M134" s="184">
        <v>1544</v>
      </c>
      <c r="N134" s="184">
        <v>1788</v>
      </c>
      <c r="O134" s="184">
        <v>1749</v>
      </c>
      <c r="P134" s="184">
        <v>2054</v>
      </c>
      <c r="Q134" s="233">
        <v>16046</v>
      </c>
    </row>
    <row r="135" spans="2:17" ht="13.5" customHeight="1" x14ac:dyDescent="0.2">
      <c r="B135" s="474"/>
      <c r="C135" s="98" t="s">
        <v>454</v>
      </c>
      <c r="D135" s="411" t="s">
        <v>271</v>
      </c>
      <c r="E135" s="188"/>
      <c r="F135" s="188"/>
      <c r="G135" s="188"/>
      <c r="H135" s="188"/>
      <c r="I135" s="188"/>
      <c r="J135" s="187">
        <v>588</v>
      </c>
      <c r="K135" s="187">
        <v>499</v>
      </c>
      <c r="L135" s="188"/>
      <c r="M135" s="187">
        <v>42</v>
      </c>
      <c r="N135" s="188"/>
      <c r="O135" s="187">
        <v>3</v>
      </c>
      <c r="P135" s="187">
        <v>2</v>
      </c>
      <c r="Q135" s="235">
        <v>1134</v>
      </c>
    </row>
    <row r="136" spans="2:17" ht="13.5" customHeight="1" thickBot="1" x14ac:dyDescent="0.25">
      <c r="B136" s="475"/>
      <c r="C136" s="157" t="s">
        <v>17</v>
      </c>
      <c r="D136" s="104" t="s">
        <v>264</v>
      </c>
      <c r="E136" s="190">
        <v>545</v>
      </c>
      <c r="F136" s="190">
        <v>723</v>
      </c>
      <c r="G136" s="190">
        <v>599</v>
      </c>
      <c r="H136" s="190">
        <v>916</v>
      </c>
      <c r="I136" s="190">
        <v>1383</v>
      </c>
      <c r="J136" s="190">
        <v>2303</v>
      </c>
      <c r="K136" s="190">
        <v>2143</v>
      </c>
      <c r="L136" s="190">
        <v>1386</v>
      </c>
      <c r="M136" s="190">
        <v>1586</v>
      </c>
      <c r="N136" s="190">
        <v>1788</v>
      </c>
      <c r="O136" s="190">
        <v>1752</v>
      </c>
      <c r="P136" s="190">
        <v>2056</v>
      </c>
      <c r="Q136" s="234">
        <v>17180</v>
      </c>
    </row>
    <row r="137" spans="2:17" ht="13.5" customHeight="1" x14ac:dyDescent="0.2">
      <c r="B137" s="499" t="s">
        <v>338</v>
      </c>
      <c r="C137" s="84" t="s">
        <v>455</v>
      </c>
      <c r="D137" s="409" t="s">
        <v>271</v>
      </c>
      <c r="E137" s="407">
        <v>2902</v>
      </c>
      <c r="F137" s="407">
        <v>1420</v>
      </c>
      <c r="G137" s="407">
        <v>2109</v>
      </c>
      <c r="H137" s="407">
        <v>1670</v>
      </c>
      <c r="I137" s="407">
        <v>2583</v>
      </c>
      <c r="J137" s="407">
        <v>2811</v>
      </c>
      <c r="K137" s="407">
        <v>10295</v>
      </c>
      <c r="L137" s="407">
        <v>16210</v>
      </c>
      <c r="M137" s="407">
        <v>5588</v>
      </c>
      <c r="N137" s="407">
        <v>3979</v>
      </c>
      <c r="O137" s="407">
        <v>1222</v>
      </c>
      <c r="P137" s="407">
        <v>1883</v>
      </c>
      <c r="Q137" s="227">
        <v>52672</v>
      </c>
    </row>
    <row r="138" spans="2:17" ht="13.5" customHeight="1" thickBot="1" x14ac:dyDescent="0.25">
      <c r="B138" s="499"/>
      <c r="C138" s="90" t="s">
        <v>17</v>
      </c>
      <c r="D138" s="87" t="s">
        <v>264</v>
      </c>
      <c r="E138" s="161">
        <v>2902</v>
      </c>
      <c r="F138" s="161">
        <v>1420</v>
      </c>
      <c r="G138" s="161">
        <v>2109</v>
      </c>
      <c r="H138" s="161">
        <v>1670</v>
      </c>
      <c r="I138" s="161">
        <v>2583</v>
      </c>
      <c r="J138" s="161">
        <v>2811</v>
      </c>
      <c r="K138" s="161">
        <v>10295</v>
      </c>
      <c r="L138" s="161">
        <v>16210</v>
      </c>
      <c r="M138" s="161">
        <v>5588</v>
      </c>
      <c r="N138" s="161">
        <v>3979</v>
      </c>
      <c r="O138" s="161">
        <v>1222</v>
      </c>
      <c r="P138" s="161">
        <v>1883</v>
      </c>
      <c r="Q138" s="228">
        <v>52672</v>
      </c>
    </row>
    <row r="139" spans="2:17" ht="13.5" customHeight="1" x14ac:dyDescent="0.2">
      <c r="B139" s="473" t="s">
        <v>339</v>
      </c>
      <c r="C139" s="96" t="s">
        <v>456</v>
      </c>
      <c r="D139" s="410" t="s">
        <v>271</v>
      </c>
      <c r="E139" s="185"/>
      <c r="F139" s="184">
        <v>11</v>
      </c>
      <c r="G139" s="184">
        <v>138</v>
      </c>
      <c r="H139" s="184">
        <v>967</v>
      </c>
      <c r="I139" s="184">
        <v>260</v>
      </c>
      <c r="J139" s="184">
        <v>264</v>
      </c>
      <c r="K139" s="184">
        <v>1431</v>
      </c>
      <c r="L139" s="184">
        <v>3255</v>
      </c>
      <c r="M139" s="184">
        <v>873</v>
      </c>
      <c r="N139" s="184">
        <v>154</v>
      </c>
      <c r="O139" s="185"/>
      <c r="P139" s="185"/>
      <c r="Q139" s="233">
        <v>7353</v>
      </c>
    </row>
    <row r="140" spans="2:17" ht="13.5" customHeight="1" thickBot="1" x14ac:dyDescent="0.25">
      <c r="B140" s="475"/>
      <c r="C140" s="157" t="s">
        <v>17</v>
      </c>
      <c r="D140" s="104" t="s">
        <v>264</v>
      </c>
      <c r="E140" s="191"/>
      <c r="F140" s="190">
        <v>11</v>
      </c>
      <c r="G140" s="190">
        <v>138</v>
      </c>
      <c r="H140" s="190">
        <v>967</v>
      </c>
      <c r="I140" s="190">
        <v>260</v>
      </c>
      <c r="J140" s="190">
        <v>264</v>
      </c>
      <c r="K140" s="190">
        <v>1431</v>
      </c>
      <c r="L140" s="190">
        <v>3255</v>
      </c>
      <c r="M140" s="190">
        <v>873</v>
      </c>
      <c r="N140" s="190">
        <v>154</v>
      </c>
      <c r="O140" s="191"/>
      <c r="P140" s="191"/>
      <c r="Q140" s="234">
        <v>7353</v>
      </c>
    </row>
    <row r="141" spans="2:17" ht="13.5" customHeight="1" x14ac:dyDescent="0.2">
      <c r="B141" s="499" t="s">
        <v>340</v>
      </c>
      <c r="C141" s="84" t="s">
        <v>457</v>
      </c>
      <c r="D141" s="409" t="s">
        <v>271</v>
      </c>
      <c r="E141" s="2"/>
      <c r="F141" s="407">
        <v>479</v>
      </c>
      <c r="G141" s="407">
        <v>481</v>
      </c>
      <c r="H141" s="407">
        <v>1080</v>
      </c>
      <c r="I141" s="2"/>
      <c r="J141" s="407">
        <v>1669</v>
      </c>
      <c r="K141" s="407">
        <v>758</v>
      </c>
      <c r="L141" s="407">
        <v>1138</v>
      </c>
      <c r="M141" s="407">
        <v>730</v>
      </c>
      <c r="N141" s="407">
        <v>344</v>
      </c>
      <c r="O141" s="407">
        <v>1</v>
      </c>
      <c r="P141" s="407">
        <v>7</v>
      </c>
      <c r="Q141" s="227">
        <v>6687</v>
      </c>
    </row>
    <row r="142" spans="2:17" ht="13.5" customHeight="1" thickBot="1" x14ac:dyDescent="0.25">
      <c r="B142" s="499"/>
      <c r="C142" s="90" t="s">
        <v>17</v>
      </c>
      <c r="D142" s="87" t="s">
        <v>264</v>
      </c>
      <c r="E142" s="181"/>
      <c r="F142" s="161">
        <v>479</v>
      </c>
      <c r="G142" s="161">
        <v>481</v>
      </c>
      <c r="H142" s="161">
        <v>1080</v>
      </c>
      <c r="I142" s="181"/>
      <c r="J142" s="161">
        <v>1669</v>
      </c>
      <c r="K142" s="161">
        <v>758</v>
      </c>
      <c r="L142" s="161">
        <v>1138</v>
      </c>
      <c r="M142" s="161">
        <v>730</v>
      </c>
      <c r="N142" s="161">
        <v>344</v>
      </c>
      <c r="O142" s="161">
        <v>1</v>
      </c>
      <c r="P142" s="161">
        <v>7</v>
      </c>
      <c r="Q142" s="228">
        <v>6687</v>
      </c>
    </row>
    <row r="143" spans="2:17" ht="13.5" customHeight="1" x14ac:dyDescent="0.2">
      <c r="B143" s="473" t="s">
        <v>331</v>
      </c>
      <c r="C143" s="96" t="s">
        <v>458</v>
      </c>
      <c r="D143" s="410" t="s">
        <v>271</v>
      </c>
      <c r="E143" s="185"/>
      <c r="F143" s="184">
        <v>7</v>
      </c>
      <c r="G143" s="184">
        <v>11</v>
      </c>
      <c r="H143" s="185"/>
      <c r="I143" s="185"/>
      <c r="J143" s="184">
        <v>1</v>
      </c>
      <c r="K143" s="185"/>
      <c r="L143" s="185"/>
      <c r="M143" s="185"/>
      <c r="N143" s="185"/>
      <c r="O143" s="185"/>
      <c r="P143" s="185"/>
      <c r="Q143" s="233">
        <v>19</v>
      </c>
    </row>
    <row r="144" spans="2:17" ht="13.5" customHeight="1" thickBot="1" x14ac:dyDescent="0.25">
      <c r="B144" s="475"/>
      <c r="C144" s="157" t="s">
        <v>17</v>
      </c>
      <c r="D144" s="104" t="s">
        <v>264</v>
      </c>
      <c r="E144" s="191"/>
      <c r="F144" s="190">
        <v>7</v>
      </c>
      <c r="G144" s="190">
        <v>11</v>
      </c>
      <c r="H144" s="191"/>
      <c r="I144" s="191"/>
      <c r="J144" s="190">
        <v>1</v>
      </c>
      <c r="K144" s="191"/>
      <c r="L144" s="191"/>
      <c r="M144" s="191"/>
      <c r="N144" s="191"/>
      <c r="O144" s="191"/>
      <c r="P144" s="191"/>
      <c r="Q144" s="234">
        <v>19</v>
      </c>
    </row>
    <row r="145" spans="2:17" ht="13.5" customHeight="1" x14ac:dyDescent="0.2">
      <c r="B145" s="499" t="s">
        <v>341</v>
      </c>
      <c r="C145" s="84" t="s">
        <v>459</v>
      </c>
      <c r="D145" s="409" t="s">
        <v>271</v>
      </c>
      <c r="E145" s="407">
        <v>1</v>
      </c>
      <c r="F145" s="2"/>
      <c r="G145" s="2"/>
      <c r="H145" s="2"/>
      <c r="I145" s="2"/>
      <c r="J145" s="2"/>
      <c r="K145" s="2"/>
      <c r="L145" s="2"/>
      <c r="M145" s="2"/>
      <c r="N145" s="2"/>
      <c r="O145" s="2"/>
      <c r="P145" s="2"/>
      <c r="Q145" s="227">
        <v>1</v>
      </c>
    </row>
    <row r="146" spans="2:17" ht="13.5" customHeight="1" thickBot="1" x14ac:dyDescent="0.25">
      <c r="B146" s="499"/>
      <c r="C146" s="90" t="s">
        <v>17</v>
      </c>
      <c r="D146" s="87" t="s">
        <v>264</v>
      </c>
      <c r="E146" s="161">
        <v>1</v>
      </c>
      <c r="F146" s="181"/>
      <c r="G146" s="181"/>
      <c r="H146" s="181"/>
      <c r="I146" s="181"/>
      <c r="J146" s="181"/>
      <c r="K146" s="181"/>
      <c r="L146" s="181"/>
      <c r="M146" s="181"/>
      <c r="N146" s="181"/>
      <c r="O146" s="181"/>
      <c r="P146" s="181"/>
      <c r="Q146" s="228">
        <v>1</v>
      </c>
    </row>
    <row r="147" spans="2:17" ht="13.5" customHeight="1" x14ac:dyDescent="0.2">
      <c r="B147" s="473" t="s">
        <v>343</v>
      </c>
      <c r="C147" s="96" t="s">
        <v>460</v>
      </c>
      <c r="D147" s="467" t="s">
        <v>270</v>
      </c>
      <c r="E147" s="184">
        <v>50</v>
      </c>
      <c r="F147" s="184">
        <v>14</v>
      </c>
      <c r="G147" s="184">
        <v>24</v>
      </c>
      <c r="H147" s="184">
        <v>1414</v>
      </c>
      <c r="I147" s="184">
        <v>21553</v>
      </c>
      <c r="J147" s="184">
        <v>30265</v>
      </c>
      <c r="K147" s="184">
        <v>44202</v>
      </c>
      <c r="L147" s="184">
        <v>52440</v>
      </c>
      <c r="M147" s="184">
        <v>42733</v>
      </c>
      <c r="N147" s="184">
        <v>32198</v>
      </c>
      <c r="O147" s="184">
        <v>1773</v>
      </c>
      <c r="P147" s="184">
        <v>1156</v>
      </c>
      <c r="Q147" s="233">
        <v>227822</v>
      </c>
    </row>
    <row r="148" spans="2:17" ht="13.5" customHeight="1" x14ac:dyDescent="0.2">
      <c r="B148" s="474"/>
      <c r="C148" s="98" t="s">
        <v>461</v>
      </c>
      <c r="D148" s="501"/>
      <c r="E148" s="187">
        <v>2</v>
      </c>
      <c r="F148" s="188"/>
      <c r="G148" s="187">
        <v>2</v>
      </c>
      <c r="H148" s="187">
        <v>6</v>
      </c>
      <c r="I148" s="187">
        <v>292</v>
      </c>
      <c r="J148" s="187">
        <v>2049</v>
      </c>
      <c r="K148" s="187">
        <v>2931</v>
      </c>
      <c r="L148" s="187">
        <v>4585</v>
      </c>
      <c r="M148" s="187">
        <v>2801</v>
      </c>
      <c r="N148" s="187">
        <v>592</v>
      </c>
      <c r="O148" s="187">
        <v>205</v>
      </c>
      <c r="P148" s="187">
        <v>82</v>
      </c>
      <c r="Q148" s="235">
        <v>13547</v>
      </c>
    </row>
    <row r="149" spans="2:17" ht="13.5" customHeight="1" x14ac:dyDescent="0.2">
      <c r="B149" s="474"/>
      <c r="C149" s="98" t="s">
        <v>462</v>
      </c>
      <c r="D149" s="501"/>
      <c r="E149" s="187">
        <v>37</v>
      </c>
      <c r="F149" s="187">
        <v>10</v>
      </c>
      <c r="G149" s="187">
        <v>4</v>
      </c>
      <c r="H149" s="187">
        <v>4236</v>
      </c>
      <c r="I149" s="187">
        <v>8307</v>
      </c>
      <c r="J149" s="187">
        <v>11774</v>
      </c>
      <c r="K149" s="187">
        <v>27378</v>
      </c>
      <c r="L149" s="187">
        <v>39822</v>
      </c>
      <c r="M149" s="187">
        <v>34790</v>
      </c>
      <c r="N149" s="187">
        <v>17304</v>
      </c>
      <c r="O149" s="187">
        <v>2379</v>
      </c>
      <c r="P149" s="187">
        <v>130</v>
      </c>
      <c r="Q149" s="235">
        <v>146171</v>
      </c>
    </row>
    <row r="150" spans="2:17" ht="13.5" customHeight="1" x14ac:dyDescent="0.2">
      <c r="B150" s="474"/>
      <c r="C150" s="98" t="s">
        <v>468</v>
      </c>
      <c r="D150" s="501"/>
      <c r="E150" s="187">
        <v>13</v>
      </c>
      <c r="F150" s="187">
        <v>14</v>
      </c>
      <c r="G150" s="187">
        <v>41</v>
      </c>
      <c r="H150" s="187">
        <v>9</v>
      </c>
      <c r="I150" s="187">
        <v>15</v>
      </c>
      <c r="J150" s="187">
        <v>11</v>
      </c>
      <c r="K150" s="187">
        <v>11</v>
      </c>
      <c r="L150" s="187">
        <v>8</v>
      </c>
      <c r="M150" s="187">
        <v>4</v>
      </c>
      <c r="N150" s="187">
        <v>12</v>
      </c>
      <c r="O150" s="187">
        <v>4</v>
      </c>
      <c r="P150" s="187">
        <v>5</v>
      </c>
      <c r="Q150" s="235">
        <v>147</v>
      </c>
    </row>
    <row r="151" spans="2:17" ht="13.5" customHeight="1" x14ac:dyDescent="0.2">
      <c r="B151" s="474"/>
      <c r="C151" s="98" t="s">
        <v>463</v>
      </c>
      <c r="D151" s="501" t="s">
        <v>271</v>
      </c>
      <c r="E151" s="187">
        <v>34</v>
      </c>
      <c r="F151" s="187">
        <v>44</v>
      </c>
      <c r="G151" s="187">
        <v>2041</v>
      </c>
      <c r="H151" s="187">
        <v>56897</v>
      </c>
      <c r="I151" s="187">
        <v>133324</v>
      </c>
      <c r="J151" s="187">
        <v>219851</v>
      </c>
      <c r="K151" s="187">
        <v>265957</v>
      </c>
      <c r="L151" s="187">
        <v>312422</v>
      </c>
      <c r="M151" s="187">
        <v>267016</v>
      </c>
      <c r="N151" s="187">
        <v>225536</v>
      </c>
      <c r="O151" s="187">
        <v>16429</v>
      </c>
      <c r="P151" s="187">
        <v>4965</v>
      </c>
      <c r="Q151" s="235">
        <v>1504516</v>
      </c>
    </row>
    <row r="152" spans="2:17" ht="13.5" customHeight="1" x14ac:dyDescent="0.2">
      <c r="B152" s="474"/>
      <c r="C152" s="98" t="s">
        <v>465</v>
      </c>
      <c r="D152" s="501"/>
      <c r="E152" s="187">
        <v>95</v>
      </c>
      <c r="F152" s="187">
        <v>38</v>
      </c>
      <c r="G152" s="187">
        <v>457</v>
      </c>
      <c r="H152" s="187">
        <v>15299</v>
      </c>
      <c r="I152" s="187">
        <v>76930</v>
      </c>
      <c r="J152" s="187">
        <v>134835</v>
      </c>
      <c r="K152" s="187">
        <v>179529</v>
      </c>
      <c r="L152" s="187">
        <v>218671</v>
      </c>
      <c r="M152" s="187">
        <v>169945</v>
      </c>
      <c r="N152" s="187">
        <v>118668</v>
      </c>
      <c r="O152" s="187">
        <v>5132</v>
      </c>
      <c r="P152" s="187">
        <v>1223</v>
      </c>
      <c r="Q152" s="235">
        <v>920822</v>
      </c>
    </row>
    <row r="153" spans="2:17" ht="13.5" customHeight="1" x14ac:dyDescent="0.2">
      <c r="B153" s="474"/>
      <c r="C153" s="98" t="s">
        <v>469</v>
      </c>
      <c r="D153" s="501" t="s">
        <v>270</v>
      </c>
      <c r="E153" s="187">
        <v>26</v>
      </c>
      <c r="F153" s="187">
        <v>14</v>
      </c>
      <c r="G153" s="187">
        <v>6</v>
      </c>
      <c r="H153" s="187">
        <v>50</v>
      </c>
      <c r="I153" s="187">
        <v>139</v>
      </c>
      <c r="J153" s="187">
        <v>260</v>
      </c>
      <c r="K153" s="187">
        <v>231</v>
      </c>
      <c r="L153" s="187">
        <v>424</v>
      </c>
      <c r="M153" s="187">
        <v>254</v>
      </c>
      <c r="N153" s="187">
        <v>189</v>
      </c>
      <c r="O153" s="187">
        <v>424</v>
      </c>
      <c r="P153" s="187">
        <v>34</v>
      </c>
      <c r="Q153" s="235">
        <v>2051</v>
      </c>
    </row>
    <row r="154" spans="2:17" ht="13.5" customHeight="1" x14ac:dyDescent="0.2">
      <c r="B154" s="474"/>
      <c r="C154" s="98" t="s">
        <v>466</v>
      </c>
      <c r="D154" s="501"/>
      <c r="E154" s="187">
        <v>37</v>
      </c>
      <c r="F154" s="187">
        <v>68</v>
      </c>
      <c r="G154" s="187">
        <v>143</v>
      </c>
      <c r="H154" s="187">
        <v>1141</v>
      </c>
      <c r="I154" s="187">
        <v>9324</v>
      </c>
      <c r="J154" s="187">
        <v>13441</v>
      </c>
      <c r="K154" s="187">
        <v>15924</v>
      </c>
      <c r="L154" s="187">
        <v>22232</v>
      </c>
      <c r="M154" s="187">
        <v>21205</v>
      </c>
      <c r="N154" s="187">
        <v>21850</v>
      </c>
      <c r="O154" s="187">
        <v>2208</v>
      </c>
      <c r="P154" s="187">
        <v>1113</v>
      </c>
      <c r="Q154" s="235">
        <v>108686</v>
      </c>
    </row>
    <row r="155" spans="2:17" ht="13.5" customHeight="1" x14ac:dyDescent="0.2">
      <c r="B155" s="474"/>
      <c r="C155" s="98" t="s">
        <v>467</v>
      </c>
      <c r="D155" s="501"/>
      <c r="E155" s="187">
        <v>75</v>
      </c>
      <c r="F155" s="187">
        <v>70</v>
      </c>
      <c r="G155" s="187">
        <v>347</v>
      </c>
      <c r="H155" s="187">
        <v>690</v>
      </c>
      <c r="I155" s="187">
        <v>2160</v>
      </c>
      <c r="J155" s="187">
        <v>3349</v>
      </c>
      <c r="K155" s="187">
        <v>6254</v>
      </c>
      <c r="L155" s="187">
        <v>7061</v>
      </c>
      <c r="M155" s="187">
        <v>4378</v>
      </c>
      <c r="N155" s="187">
        <v>2943</v>
      </c>
      <c r="O155" s="187">
        <v>1478</v>
      </c>
      <c r="P155" s="187">
        <v>362</v>
      </c>
      <c r="Q155" s="235">
        <v>29167</v>
      </c>
    </row>
    <row r="156" spans="2:17" ht="13.5" customHeight="1" x14ac:dyDescent="0.2">
      <c r="B156" s="474"/>
      <c r="C156" s="98" t="s">
        <v>471</v>
      </c>
      <c r="D156" s="501"/>
      <c r="E156" s="187">
        <v>14</v>
      </c>
      <c r="F156" s="187">
        <v>1</v>
      </c>
      <c r="G156" s="187">
        <v>4</v>
      </c>
      <c r="H156" s="187">
        <v>8</v>
      </c>
      <c r="I156" s="187">
        <v>67</v>
      </c>
      <c r="J156" s="187">
        <v>289</v>
      </c>
      <c r="K156" s="187">
        <v>792</v>
      </c>
      <c r="L156" s="187">
        <v>1146</v>
      </c>
      <c r="M156" s="187">
        <v>343</v>
      </c>
      <c r="N156" s="187">
        <v>51</v>
      </c>
      <c r="O156" s="187">
        <v>15</v>
      </c>
      <c r="P156" s="187">
        <v>10</v>
      </c>
      <c r="Q156" s="235">
        <v>2740</v>
      </c>
    </row>
    <row r="157" spans="2:17" ht="13.5" customHeight="1" x14ac:dyDescent="0.2">
      <c r="B157" s="474"/>
      <c r="C157" s="98" t="s">
        <v>464</v>
      </c>
      <c r="D157" s="501"/>
      <c r="E157" s="188"/>
      <c r="F157" s="188"/>
      <c r="G157" s="187">
        <v>9</v>
      </c>
      <c r="H157" s="187">
        <v>21</v>
      </c>
      <c r="I157" s="187">
        <v>68</v>
      </c>
      <c r="J157" s="187">
        <v>200</v>
      </c>
      <c r="K157" s="187">
        <v>306</v>
      </c>
      <c r="L157" s="187">
        <v>262</v>
      </c>
      <c r="M157" s="187">
        <v>213</v>
      </c>
      <c r="N157" s="187">
        <v>133</v>
      </c>
      <c r="O157" s="187">
        <v>10</v>
      </c>
      <c r="P157" s="187">
        <v>5</v>
      </c>
      <c r="Q157" s="235">
        <v>1227</v>
      </c>
    </row>
    <row r="158" spans="2:17" ht="13.5" customHeight="1" x14ac:dyDescent="0.2">
      <c r="B158" s="474"/>
      <c r="C158" s="98" t="s">
        <v>470</v>
      </c>
      <c r="D158" s="501"/>
      <c r="E158" s="188"/>
      <c r="F158" s="188"/>
      <c r="G158" s="188"/>
      <c r="H158" s="187">
        <v>4</v>
      </c>
      <c r="I158" s="188"/>
      <c r="J158" s="187">
        <v>1</v>
      </c>
      <c r="K158" s="187">
        <v>11</v>
      </c>
      <c r="L158" s="187">
        <v>5</v>
      </c>
      <c r="M158" s="187">
        <v>5</v>
      </c>
      <c r="N158" s="187">
        <v>2</v>
      </c>
      <c r="O158" s="188"/>
      <c r="P158" s="188"/>
      <c r="Q158" s="235">
        <v>28</v>
      </c>
    </row>
    <row r="159" spans="2:17" ht="13.5" customHeight="1" x14ac:dyDescent="0.2">
      <c r="B159" s="474"/>
      <c r="C159" s="98" t="s">
        <v>611</v>
      </c>
      <c r="D159" s="501"/>
      <c r="E159" s="188"/>
      <c r="F159" s="188"/>
      <c r="G159" s="188"/>
      <c r="H159" s="188"/>
      <c r="I159" s="187">
        <v>97</v>
      </c>
      <c r="J159" s="187">
        <v>259</v>
      </c>
      <c r="K159" s="187">
        <v>477</v>
      </c>
      <c r="L159" s="187">
        <v>575</v>
      </c>
      <c r="M159" s="187">
        <v>357</v>
      </c>
      <c r="N159" s="187">
        <v>106</v>
      </c>
      <c r="O159" s="188"/>
      <c r="P159" s="188"/>
      <c r="Q159" s="235">
        <v>1871</v>
      </c>
    </row>
    <row r="160" spans="2:17" ht="13.5" customHeight="1" thickBot="1" x14ac:dyDescent="0.25">
      <c r="B160" s="475"/>
      <c r="C160" s="157" t="s">
        <v>17</v>
      </c>
      <c r="D160" s="104" t="s">
        <v>264</v>
      </c>
      <c r="E160" s="190">
        <v>383</v>
      </c>
      <c r="F160" s="190">
        <v>273</v>
      </c>
      <c r="G160" s="190">
        <v>3078</v>
      </c>
      <c r="H160" s="190">
        <v>79775</v>
      </c>
      <c r="I160" s="190">
        <v>252276</v>
      </c>
      <c r="J160" s="190">
        <v>416584</v>
      </c>
      <c r="K160" s="190">
        <v>544003</v>
      </c>
      <c r="L160" s="190">
        <v>659653</v>
      </c>
      <c r="M160" s="190">
        <v>544044</v>
      </c>
      <c r="N160" s="190">
        <v>419584</v>
      </c>
      <c r="O160" s="190">
        <v>30057</v>
      </c>
      <c r="P160" s="190">
        <v>9085</v>
      </c>
      <c r="Q160" s="234">
        <v>2958795</v>
      </c>
    </row>
    <row r="161" spans="2:17" ht="13.5" customHeight="1" x14ac:dyDescent="0.2">
      <c r="B161" s="499" t="s">
        <v>602</v>
      </c>
      <c r="C161" s="84" t="s">
        <v>612</v>
      </c>
      <c r="D161" s="409" t="s">
        <v>271</v>
      </c>
      <c r="E161" s="2"/>
      <c r="F161" s="2"/>
      <c r="G161" s="2"/>
      <c r="H161" s="2"/>
      <c r="I161" s="2"/>
      <c r="J161" s="2"/>
      <c r="K161" s="407">
        <v>1</v>
      </c>
      <c r="L161" s="2"/>
      <c r="M161" s="2"/>
      <c r="N161" s="2"/>
      <c r="O161" s="2"/>
      <c r="P161" s="407">
        <v>1</v>
      </c>
      <c r="Q161" s="227">
        <v>2</v>
      </c>
    </row>
    <row r="162" spans="2:17" ht="13.5" customHeight="1" thickBot="1" x14ac:dyDescent="0.25">
      <c r="B162" s="499"/>
      <c r="C162" s="90" t="s">
        <v>17</v>
      </c>
      <c r="D162" s="87" t="s">
        <v>264</v>
      </c>
      <c r="E162" s="181"/>
      <c r="F162" s="181"/>
      <c r="G162" s="181"/>
      <c r="H162" s="181"/>
      <c r="I162" s="181"/>
      <c r="J162" s="181"/>
      <c r="K162" s="161">
        <v>1</v>
      </c>
      <c r="L162" s="181"/>
      <c r="M162" s="181"/>
      <c r="N162" s="181"/>
      <c r="O162" s="181"/>
      <c r="P162" s="161">
        <v>1</v>
      </c>
      <c r="Q162" s="228">
        <v>2</v>
      </c>
    </row>
    <row r="163" spans="2:17" ht="13.5" customHeight="1" x14ac:dyDescent="0.2">
      <c r="B163" s="473" t="s">
        <v>344</v>
      </c>
      <c r="C163" s="96" t="s">
        <v>472</v>
      </c>
      <c r="D163" s="410" t="s">
        <v>271</v>
      </c>
      <c r="E163" s="184">
        <v>17</v>
      </c>
      <c r="F163" s="184">
        <v>23</v>
      </c>
      <c r="G163" s="184">
        <v>122</v>
      </c>
      <c r="H163" s="184">
        <v>2021</v>
      </c>
      <c r="I163" s="184">
        <v>1661</v>
      </c>
      <c r="J163" s="184">
        <v>14</v>
      </c>
      <c r="K163" s="184">
        <v>80</v>
      </c>
      <c r="L163" s="184">
        <v>123</v>
      </c>
      <c r="M163" s="184">
        <v>1099</v>
      </c>
      <c r="N163" s="184">
        <v>1709</v>
      </c>
      <c r="O163" s="184">
        <v>300</v>
      </c>
      <c r="P163" s="184">
        <v>246</v>
      </c>
      <c r="Q163" s="233">
        <v>7415</v>
      </c>
    </row>
    <row r="164" spans="2:17" ht="13.5" customHeight="1" thickBot="1" x14ac:dyDescent="0.25">
      <c r="B164" s="475"/>
      <c r="C164" s="157" t="s">
        <v>17</v>
      </c>
      <c r="D164" s="104" t="s">
        <v>264</v>
      </c>
      <c r="E164" s="190">
        <v>17</v>
      </c>
      <c r="F164" s="190">
        <v>23</v>
      </c>
      <c r="G164" s="190">
        <v>122</v>
      </c>
      <c r="H164" s="190">
        <v>2021</v>
      </c>
      <c r="I164" s="190">
        <v>1661</v>
      </c>
      <c r="J164" s="190">
        <v>14</v>
      </c>
      <c r="K164" s="190">
        <v>80</v>
      </c>
      <c r="L164" s="190">
        <v>123</v>
      </c>
      <c r="M164" s="190">
        <v>1099</v>
      </c>
      <c r="N164" s="190">
        <v>1709</v>
      </c>
      <c r="O164" s="190">
        <v>300</v>
      </c>
      <c r="P164" s="190">
        <v>246</v>
      </c>
      <c r="Q164" s="234">
        <v>7415</v>
      </c>
    </row>
    <row r="165" spans="2:17" ht="13.5" customHeight="1" x14ac:dyDescent="0.2">
      <c r="B165" s="499" t="s">
        <v>345</v>
      </c>
      <c r="C165" s="84" t="s">
        <v>473</v>
      </c>
      <c r="D165" s="500" t="s">
        <v>270</v>
      </c>
      <c r="E165" s="407">
        <v>4</v>
      </c>
      <c r="F165" s="407">
        <v>12</v>
      </c>
      <c r="G165" s="407">
        <v>21</v>
      </c>
      <c r="H165" s="407">
        <v>12</v>
      </c>
      <c r="I165" s="407">
        <v>15</v>
      </c>
      <c r="J165" s="407">
        <v>46</v>
      </c>
      <c r="K165" s="407">
        <v>24</v>
      </c>
      <c r="L165" s="407">
        <v>14</v>
      </c>
      <c r="M165" s="407">
        <v>8</v>
      </c>
      <c r="N165" s="407">
        <v>6</v>
      </c>
      <c r="O165" s="2"/>
      <c r="P165" s="407">
        <v>21</v>
      </c>
      <c r="Q165" s="227">
        <v>183</v>
      </c>
    </row>
    <row r="166" spans="2:17" ht="13.5" customHeight="1" x14ac:dyDescent="0.2">
      <c r="B166" s="499"/>
      <c r="C166" s="84" t="s">
        <v>474</v>
      </c>
      <c r="D166" s="500"/>
      <c r="E166" s="407">
        <v>64</v>
      </c>
      <c r="F166" s="407">
        <v>63</v>
      </c>
      <c r="G166" s="407">
        <v>55</v>
      </c>
      <c r="H166" s="407">
        <v>46</v>
      </c>
      <c r="I166" s="407">
        <v>62</v>
      </c>
      <c r="J166" s="407">
        <v>62</v>
      </c>
      <c r="K166" s="407">
        <v>120</v>
      </c>
      <c r="L166" s="407">
        <v>122</v>
      </c>
      <c r="M166" s="407">
        <v>77</v>
      </c>
      <c r="N166" s="407">
        <v>64</v>
      </c>
      <c r="O166" s="407">
        <v>56</v>
      </c>
      <c r="P166" s="407">
        <v>227</v>
      </c>
      <c r="Q166" s="227">
        <v>1018</v>
      </c>
    </row>
    <row r="167" spans="2:17" ht="13.5" customHeight="1" x14ac:dyDescent="0.2">
      <c r="B167" s="499"/>
      <c r="C167" s="84" t="s">
        <v>475</v>
      </c>
      <c r="D167" s="409" t="s">
        <v>271</v>
      </c>
      <c r="E167" s="2"/>
      <c r="F167" s="2"/>
      <c r="G167" s="2"/>
      <c r="H167" s="407">
        <v>39</v>
      </c>
      <c r="I167" s="2"/>
      <c r="J167" s="407">
        <v>270</v>
      </c>
      <c r="K167" s="407">
        <v>1327</v>
      </c>
      <c r="L167" s="407">
        <v>2674</v>
      </c>
      <c r="M167" s="407">
        <v>1267</v>
      </c>
      <c r="N167" s="407">
        <v>1</v>
      </c>
      <c r="O167" s="407">
        <v>4</v>
      </c>
      <c r="P167" s="407">
        <v>82</v>
      </c>
      <c r="Q167" s="227">
        <v>5664</v>
      </c>
    </row>
    <row r="168" spans="2:17" ht="13.5" customHeight="1" thickBot="1" x14ac:dyDescent="0.25">
      <c r="B168" s="499"/>
      <c r="C168" s="90" t="s">
        <v>17</v>
      </c>
      <c r="D168" s="87" t="s">
        <v>264</v>
      </c>
      <c r="E168" s="161">
        <v>68</v>
      </c>
      <c r="F168" s="161">
        <v>75</v>
      </c>
      <c r="G168" s="161">
        <v>76</v>
      </c>
      <c r="H168" s="161">
        <v>97</v>
      </c>
      <c r="I168" s="161">
        <v>77</v>
      </c>
      <c r="J168" s="161">
        <v>378</v>
      </c>
      <c r="K168" s="161">
        <v>1471</v>
      </c>
      <c r="L168" s="161">
        <v>2810</v>
      </c>
      <c r="M168" s="161">
        <v>1352</v>
      </c>
      <c r="N168" s="161">
        <v>71</v>
      </c>
      <c r="O168" s="161">
        <v>60</v>
      </c>
      <c r="P168" s="161">
        <v>330</v>
      </c>
      <c r="Q168" s="228">
        <v>6865</v>
      </c>
    </row>
    <row r="169" spans="2:17" ht="13.5" customHeight="1" x14ac:dyDescent="0.2">
      <c r="B169" s="473" t="s">
        <v>346</v>
      </c>
      <c r="C169" s="96" t="s">
        <v>476</v>
      </c>
      <c r="D169" s="410" t="s">
        <v>270</v>
      </c>
      <c r="E169" s="184">
        <v>34</v>
      </c>
      <c r="F169" s="184">
        <v>20</v>
      </c>
      <c r="G169" s="184">
        <v>15</v>
      </c>
      <c r="H169" s="184">
        <v>40</v>
      </c>
      <c r="I169" s="184">
        <v>45</v>
      </c>
      <c r="J169" s="184">
        <v>64</v>
      </c>
      <c r="K169" s="185"/>
      <c r="L169" s="184">
        <v>55</v>
      </c>
      <c r="M169" s="184">
        <v>31</v>
      </c>
      <c r="N169" s="184">
        <v>13</v>
      </c>
      <c r="O169" s="184">
        <v>22</v>
      </c>
      <c r="P169" s="184">
        <v>3</v>
      </c>
      <c r="Q169" s="233">
        <v>342</v>
      </c>
    </row>
    <row r="170" spans="2:17" ht="13.5" customHeight="1" x14ac:dyDescent="0.2">
      <c r="B170" s="474"/>
      <c r="C170" s="98" t="s">
        <v>613</v>
      </c>
      <c r="D170" s="411" t="s">
        <v>271</v>
      </c>
      <c r="E170" s="188"/>
      <c r="F170" s="188"/>
      <c r="G170" s="188"/>
      <c r="H170" s="188"/>
      <c r="I170" s="188"/>
      <c r="J170" s="188"/>
      <c r="K170" s="187">
        <v>1</v>
      </c>
      <c r="L170" s="188"/>
      <c r="M170" s="188"/>
      <c r="N170" s="188"/>
      <c r="O170" s="188"/>
      <c r="P170" s="188"/>
      <c r="Q170" s="235">
        <v>1</v>
      </c>
    </row>
    <row r="171" spans="2:17" ht="13.5" customHeight="1" thickBot="1" x14ac:dyDescent="0.25">
      <c r="B171" s="475"/>
      <c r="C171" s="157" t="s">
        <v>17</v>
      </c>
      <c r="D171" s="104" t="s">
        <v>264</v>
      </c>
      <c r="E171" s="190">
        <v>34</v>
      </c>
      <c r="F171" s="190">
        <v>20</v>
      </c>
      <c r="G171" s="190">
        <v>15</v>
      </c>
      <c r="H171" s="190">
        <v>40</v>
      </c>
      <c r="I171" s="190">
        <v>45</v>
      </c>
      <c r="J171" s="190">
        <v>64</v>
      </c>
      <c r="K171" s="190">
        <v>1</v>
      </c>
      <c r="L171" s="190">
        <v>55</v>
      </c>
      <c r="M171" s="190">
        <v>31</v>
      </c>
      <c r="N171" s="190">
        <v>13</v>
      </c>
      <c r="O171" s="190">
        <v>22</v>
      </c>
      <c r="P171" s="190">
        <v>3</v>
      </c>
      <c r="Q171" s="234">
        <v>343</v>
      </c>
    </row>
    <row r="172" spans="2:17" ht="13.5" customHeight="1" x14ac:dyDescent="0.2">
      <c r="B172" s="499" t="s">
        <v>347</v>
      </c>
      <c r="C172" s="84" t="s">
        <v>477</v>
      </c>
      <c r="D172" s="409" t="s">
        <v>270</v>
      </c>
      <c r="E172" s="407">
        <v>440</v>
      </c>
      <c r="F172" s="407">
        <v>385</v>
      </c>
      <c r="G172" s="407">
        <v>13</v>
      </c>
      <c r="H172" s="407">
        <v>17</v>
      </c>
      <c r="I172" s="407">
        <v>348</v>
      </c>
      <c r="J172" s="407">
        <v>479</v>
      </c>
      <c r="K172" s="407">
        <v>368</v>
      </c>
      <c r="L172" s="407">
        <v>458</v>
      </c>
      <c r="M172" s="407">
        <v>658</v>
      </c>
      <c r="N172" s="407">
        <v>598</v>
      </c>
      <c r="O172" s="407">
        <v>437</v>
      </c>
      <c r="P172" s="407">
        <v>315</v>
      </c>
      <c r="Q172" s="227">
        <v>4516</v>
      </c>
    </row>
    <row r="173" spans="2:17" ht="13.5" customHeight="1" thickBot="1" x14ac:dyDescent="0.25">
      <c r="B173" s="499"/>
      <c r="C173" s="90" t="s">
        <v>17</v>
      </c>
      <c r="D173" s="87" t="s">
        <v>264</v>
      </c>
      <c r="E173" s="161">
        <v>440</v>
      </c>
      <c r="F173" s="161">
        <v>385</v>
      </c>
      <c r="G173" s="161">
        <v>13</v>
      </c>
      <c r="H173" s="161">
        <v>17</v>
      </c>
      <c r="I173" s="161">
        <v>348</v>
      </c>
      <c r="J173" s="161">
        <v>479</v>
      </c>
      <c r="K173" s="161">
        <v>368</v>
      </c>
      <c r="L173" s="161">
        <v>458</v>
      </c>
      <c r="M173" s="161">
        <v>658</v>
      </c>
      <c r="N173" s="161">
        <v>598</v>
      </c>
      <c r="O173" s="161">
        <v>437</v>
      </c>
      <c r="P173" s="161">
        <v>315</v>
      </c>
      <c r="Q173" s="228">
        <v>4516</v>
      </c>
    </row>
    <row r="174" spans="2:17" ht="13.5" customHeight="1" x14ac:dyDescent="0.2">
      <c r="B174" s="473" t="s">
        <v>348</v>
      </c>
      <c r="C174" s="96" t="s">
        <v>478</v>
      </c>
      <c r="D174" s="467" t="s">
        <v>270</v>
      </c>
      <c r="E174" s="184">
        <v>473</v>
      </c>
      <c r="F174" s="184">
        <v>652</v>
      </c>
      <c r="G174" s="184">
        <v>128</v>
      </c>
      <c r="H174" s="184">
        <v>274</v>
      </c>
      <c r="I174" s="184">
        <v>305</v>
      </c>
      <c r="J174" s="184">
        <v>535</v>
      </c>
      <c r="K174" s="184">
        <v>567</v>
      </c>
      <c r="L174" s="184">
        <v>626</v>
      </c>
      <c r="M174" s="184">
        <v>556</v>
      </c>
      <c r="N174" s="184">
        <v>384</v>
      </c>
      <c r="O174" s="184">
        <v>521</v>
      </c>
      <c r="P174" s="184">
        <v>462</v>
      </c>
      <c r="Q174" s="233">
        <v>5483</v>
      </c>
    </row>
    <row r="175" spans="2:17" ht="13.5" customHeight="1" x14ac:dyDescent="0.2">
      <c r="B175" s="474"/>
      <c r="C175" s="98" t="s">
        <v>479</v>
      </c>
      <c r="D175" s="501"/>
      <c r="E175" s="187">
        <v>1337</v>
      </c>
      <c r="F175" s="187">
        <v>889</v>
      </c>
      <c r="G175" s="187">
        <v>399</v>
      </c>
      <c r="H175" s="187">
        <v>563</v>
      </c>
      <c r="I175" s="187">
        <v>506</v>
      </c>
      <c r="J175" s="187">
        <v>1139</v>
      </c>
      <c r="K175" s="187">
        <v>1225</v>
      </c>
      <c r="L175" s="187">
        <v>1490</v>
      </c>
      <c r="M175" s="187">
        <v>1489</v>
      </c>
      <c r="N175" s="187">
        <v>1296</v>
      </c>
      <c r="O175" s="187">
        <v>1123</v>
      </c>
      <c r="P175" s="187">
        <v>927</v>
      </c>
      <c r="Q175" s="235">
        <v>12383</v>
      </c>
    </row>
    <row r="176" spans="2:17" ht="13.5" customHeight="1" x14ac:dyDescent="0.2">
      <c r="B176" s="474"/>
      <c r="C176" s="98" t="s">
        <v>359</v>
      </c>
      <c r="D176" s="501"/>
      <c r="E176" s="187">
        <v>122</v>
      </c>
      <c r="F176" s="187">
        <v>170</v>
      </c>
      <c r="G176" s="187">
        <v>7</v>
      </c>
      <c r="H176" s="187">
        <v>20</v>
      </c>
      <c r="I176" s="187">
        <v>36</v>
      </c>
      <c r="J176" s="187">
        <v>101</v>
      </c>
      <c r="K176" s="187">
        <v>84</v>
      </c>
      <c r="L176" s="187">
        <v>52</v>
      </c>
      <c r="M176" s="187">
        <v>91</v>
      </c>
      <c r="N176" s="187">
        <v>46</v>
      </c>
      <c r="O176" s="187">
        <v>67</v>
      </c>
      <c r="P176" s="187">
        <v>24</v>
      </c>
      <c r="Q176" s="235">
        <v>820</v>
      </c>
    </row>
    <row r="177" spans="2:17" ht="13.5" customHeight="1" x14ac:dyDescent="0.2">
      <c r="B177" s="474"/>
      <c r="C177" s="98" t="s">
        <v>480</v>
      </c>
      <c r="D177" s="411" t="s">
        <v>271</v>
      </c>
      <c r="E177" s="187">
        <v>2861</v>
      </c>
      <c r="F177" s="187">
        <v>2149</v>
      </c>
      <c r="G177" s="187">
        <v>2663</v>
      </c>
      <c r="H177" s="187">
        <v>2965</v>
      </c>
      <c r="I177" s="187">
        <v>3324</v>
      </c>
      <c r="J177" s="187">
        <v>4065</v>
      </c>
      <c r="K177" s="187">
        <v>9491</v>
      </c>
      <c r="L177" s="187">
        <v>12218</v>
      </c>
      <c r="M177" s="187">
        <v>6066</v>
      </c>
      <c r="N177" s="187">
        <v>3193</v>
      </c>
      <c r="O177" s="187">
        <v>1805</v>
      </c>
      <c r="P177" s="187">
        <v>2033</v>
      </c>
      <c r="Q177" s="235">
        <v>52833</v>
      </c>
    </row>
    <row r="178" spans="2:17" ht="13.5" customHeight="1" thickBot="1" x14ac:dyDescent="0.25">
      <c r="B178" s="475"/>
      <c r="C178" s="157" t="s">
        <v>17</v>
      </c>
      <c r="D178" s="104" t="s">
        <v>264</v>
      </c>
      <c r="E178" s="190">
        <v>4793</v>
      </c>
      <c r="F178" s="190">
        <v>3860</v>
      </c>
      <c r="G178" s="190">
        <v>3197</v>
      </c>
      <c r="H178" s="190">
        <v>3822</v>
      </c>
      <c r="I178" s="190">
        <v>4171</v>
      </c>
      <c r="J178" s="190">
        <v>5840</v>
      </c>
      <c r="K178" s="190">
        <v>11367</v>
      </c>
      <c r="L178" s="190">
        <v>14386</v>
      </c>
      <c r="M178" s="190">
        <v>8202</v>
      </c>
      <c r="N178" s="190">
        <v>4919</v>
      </c>
      <c r="O178" s="190">
        <v>3516</v>
      </c>
      <c r="P178" s="190">
        <v>3446</v>
      </c>
      <c r="Q178" s="234">
        <v>71519</v>
      </c>
    </row>
    <row r="179" spans="2:17" ht="13.5" customHeight="1" x14ac:dyDescent="0.2">
      <c r="B179" s="499" t="s">
        <v>349</v>
      </c>
      <c r="C179" s="84" t="s">
        <v>481</v>
      </c>
      <c r="D179" s="409" t="s">
        <v>270</v>
      </c>
      <c r="E179" s="2"/>
      <c r="F179" s="407">
        <v>3</v>
      </c>
      <c r="G179" s="407">
        <v>48</v>
      </c>
      <c r="H179" s="407">
        <v>7</v>
      </c>
      <c r="I179" s="407">
        <v>10</v>
      </c>
      <c r="J179" s="407">
        <v>14</v>
      </c>
      <c r="K179" s="407">
        <v>16</v>
      </c>
      <c r="L179" s="407">
        <v>3571</v>
      </c>
      <c r="M179" s="407">
        <v>4001</v>
      </c>
      <c r="N179" s="407">
        <v>4108</v>
      </c>
      <c r="O179" s="407">
        <v>2</v>
      </c>
      <c r="P179" s="407">
        <v>21</v>
      </c>
      <c r="Q179" s="227">
        <v>11801</v>
      </c>
    </row>
    <row r="180" spans="2:17" ht="13.5" customHeight="1" x14ac:dyDescent="0.2">
      <c r="B180" s="499"/>
      <c r="C180" s="84" t="s">
        <v>482</v>
      </c>
      <c r="D180" s="409" t="s">
        <v>271</v>
      </c>
      <c r="E180" s="2"/>
      <c r="F180" s="407">
        <v>4</v>
      </c>
      <c r="G180" s="2"/>
      <c r="H180" s="2"/>
      <c r="I180" s="2"/>
      <c r="J180" s="2"/>
      <c r="K180" s="2"/>
      <c r="L180" s="2"/>
      <c r="M180" s="2"/>
      <c r="N180" s="2"/>
      <c r="O180" s="407">
        <v>3</v>
      </c>
      <c r="P180" s="2"/>
      <c r="Q180" s="227">
        <v>7</v>
      </c>
    </row>
    <row r="181" spans="2:17" ht="13.5" customHeight="1" thickBot="1" x14ac:dyDescent="0.25">
      <c r="B181" s="499"/>
      <c r="C181" s="90" t="s">
        <v>17</v>
      </c>
      <c r="D181" s="87" t="s">
        <v>264</v>
      </c>
      <c r="E181" s="181"/>
      <c r="F181" s="161">
        <v>7</v>
      </c>
      <c r="G181" s="161">
        <v>48</v>
      </c>
      <c r="H181" s="161">
        <v>7</v>
      </c>
      <c r="I181" s="161">
        <v>10</v>
      </c>
      <c r="J181" s="161">
        <v>14</v>
      </c>
      <c r="K181" s="161">
        <v>16</v>
      </c>
      <c r="L181" s="161">
        <v>3571</v>
      </c>
      <c r="M181" s="161">
        <v>4001</v>
      </c>
      <c r="N181" s="161">
        <v>4108</v>
      </c>
      <c r="O181" s="161">
        <v>5</v>
      </c>
      <c r="P181" s="161">
        <v>21</v>
      </c>
      <c r="Q181" s="228">
        <v>11808</v>
      </c>
    </row>
    <row r="182" spans="2:17" ht="13.5" customHeight="1" x14ac:dyDescent="0.2">
      <c r="B182" s="473" t="s">
        <v>350</v>
      </c>
      <c r="C182" s="96" t="s">
        <v>483</v>
      </c>
      <c r="D182" s="410" t="s">
        <v>271</v>
      </c>
      <c r="E182" s="184">
        <v>11</v>
      </c>
      <c r="F182" s="185"/>
      <c r="G182" s="184">
        <v>4</v>
      </c>
      <c r="H182" s="184">
        <v>2</v>
      </c>
      <c r="I182" s="185"/>
      <c r="J182" s="185"/>
      <c r="K182" s="185"/>
      <c r="L182" s="184">
        <v>219</v>
      </c>
      <c r="M182" s="184">
        <v>91</v>
      </c>
      <c r="N182" s="184">
        <v>207</v>
      </c>
      <c r="O182" s="184">
        <v>16</v>
      </c>
      <c r="P182" s="184">
        <v>7</v>
      </c>
      <c r="Q182" s="233">
        <v>557</v>
      </c>
    </row>
    <row r="183" spans="2:17" ht="13.5" customHeight="1" thickBot="1" x14ac:dyDescent="0.25">
      <c r="B183" s="475"/>
      <c r="C183" s="157" t="s">
        <v>17</v>
      </c>
      <c r="D183" s="104" t="s">
        <v>264</v>
      </c>
      <c r="E183" s="190">
        <v>11</v>
      </c>
      <c r="F183" s="191"/>
      <c r="G183" s="190">
        <v>4</v>
      </c>
      <c r="H183" s="190">
        <v>2</v>
      </c>
      <c r="I183" s="191"/>
      <c r="J183" s="191"/>
      <c r="K183" s="191"/>
      <c r="L183" s="190">
        <v>219</v>
      </c>
      <c r="M183" s="190">
        <v>91</v>
      </c>
      <c r="N183" s="190">
        <v>207</v>
      </c>
      <c r="O183" s="190">
        <v>16</v>
      </c>
      <c r="P183" s="190">
        <v>7</v>
      </c>
      <c r="Q183" s="234">
        <v>557</v>
      </c>
    </row>
    <row r="184" spans="2:17" ht="13.5" customHeight="1" x14ac:dyDescent="0.2">
      <c r="B184" s="499" t="s">
        <v>353</v>
      </c>
      <c r="C184" s="84" t="s">
        <v>484</v>
      </c>
      <c r="D184" s="409" t="s">
        <v>271</v>
      </c>
      <c r="E184" s="407">
        <v>45</v>
      </c>
      <c r="F184" s="407">
        <v>103</v>
      </c>
      <c r="G184" s="407">
        <v>124</v>
      </c>
      <c r="H184" s="407">
        <v>111</v>
      </c>
      <c r="I184" s="407">
        <v>157</v>
      </c>
      <c r="J184" s="407">
        <v>161</v>
      </c>
      <c r="K184" s="407">
        <v>1703</v>
      </c>
      <c r="L184" s="407">
        <v>3221</v>
      </c>
      <c r="M184" s="407">
        <v>2540</v>
      </c>
      <c r="N184" s="407">
        <v>633</v>
      </c>
      <c r="O184" s="407">
        <v>102</v>
      </c>
      <c r="P184" s="407">
        <v>78</v>
      </c>
      <c r="Q184" s="227">
        <v>8978</v>
      </c>
    </row>
    <row r="185" spans="2:17" ht="13.5" customHeight="1" x14ac:dyDescent="0.2">
      <c r="B185" s="499"/>
      <c r="C185" s="84" t="s">
        <v>485</v>
      </c>
      <c r="D185" s="500" t="s">
        <v>270</v>
      </c>
      <c r="E185" s="407">
        <v>44</v>
      </c>
      <c r="F185" s="407">
        <v>52</v>
      </c>
      <c r="G185" s="407">
        <v>65</v>
      </c>
      <c r="H185" s="407">
        <v>48</v>
      </c>
      <c r="I185" s="407">
        <v>41</v>
      </c>
      <c r="J185" s="407">
        <v>141</v>
      </c>
      <c r="K185" s="407">
        <v>183</v>
      </c>
      <c r="L185" s="407">
        <v>153</v>
      </c>
      <c r="M185" s="407">
        <v>147</v>
      </c>
      <c r="N185" s="407">
        <v>122</v>
      </c>
      <c r="O185" s="407">
        <v>132</v>
      </c>
      <c r="P185" s="407">
        <v>141</v>
      </c>
      <c r="Q185" s="227">
        <v>1269</v>
      </c>
    </row>
    <row r="186" spans="2:17" ht="13.5" customHeight="1" x14ac:dyDescent="0.2">
      <c r="B186" s="499"/>
      <c r="C186" s="84" t="s">
        <v>486</v>
      </c>
      <c r="D186" s="500"/>
      <c r="E186" s="407">
        <v>66</v>
      </c>
      <c r="F186" s="407">
        <v>118</v>
      </c>
      <c r="G186" s="407">
        <v>80</v>
      </c>
      <c r="H186" s="407">
        <v>105</v>
      </c>
      <c r="I186" s="407">
        <v>59</v>
      </c>
      <c r="J186" s="407">
        <v>81</v>
      </c>
      <c r="K186" s="407">
        <v>69</v>
      </c>
      <c r="L186" s="407">
        <v>100</v>
      </c>
      <c r="M186" s="407">
        <v>75</v>
      </c>
      <c r="N186" s="407">
        <v>124</v>
      </c>
      <c r="O186" s="407">
        <v>77</v>
      </c>
      <c r="P186" s="407">
        <v>57</v>
      </c>
      <c r="Q186" s="227">
        <v>1011</v>
      </c>
    </row>
    <row r="187" spans="2:17" ht="13.5" customHeight="1" x14ac:dyDescent="0.2">
      <c r="B187" s="499"/>
      <c r="C187" s="84" t="s">
        <v>487</v>
      </c>
      <c r="D187" s="500"/>
      <c r="E187" s="407">
        <v>61</v>
      </c>
      <c r="F187" s="407">
        <v>91</v>
      </c>
      <c r="G187" s="407">
        <v>112</v>
      </c>
      <c r="H187" s="407">
        <v>80</v>
      </c>
      <c r="I187" s="407">
        <v>119</v>
      </c>
      <c r="J187" s="407">
        <v>412</v>
      </c>
      <c r="K187" s="407">
        <v>391</v>
      </c>
      <c r="L187" s="407">
        <v>362</v>
      </c>
      <c r="M187" s="407">
        <v>403</v>
      </c>
      <c r="N187" s="407">
        <v>530</v>
      </c>
      <c r="O187" s="407">
        <v>505</v>
      </c>
      <c r="P187" s="407">
        <v>575</v>
      </c>
      <c r="Q187" s="227">
        <v>3641</v>
      </c>
    </row>
    <row r="188" spans="2:17" ht="13.5" customHeight="1" x14ac:dyDescent="0.2">
      <c r="B188" s="499"/>
      <c r="C188" s="84" t="s">
        <v>618</v>
      </c>
      <c r="D188" s="500"/>
      <c r="E188" s="2"/>
      <c r="F188" s="2"/>
      <c r="G188" s="2"/>
      <c r="H188" s="2"/>
      <c r="I188" s="2"/>
      <c r="J188" s="2"/>
      <c r="K188" s="2"/>
      <c r="L188" s="2"/>
      <c r="M188" s="2"/>
      <c r="N188" s="2"/>
      <c r="O188" s="407">
        <v>1</v>
      </c>
      <c r="P188" s="2"/>
      <c r="Q188" s="227">
        <v>1</v>
      </c>
    </row>
    <row r="189" spans="2:17" ht="13.5" customHeight="1" thickBot="1" x14ac:dyDescent="0.25">
      <c r="B189" s="499"/>
      <c r="C189" s="90" t="s">
        <v>17</v>
      </c>
      <c r="D189" s="87" t="s">
        <v>264</v>
      </c>
      <c r="E189" s="161">
        <v>216</v>
      </c>
      <c r="F189" s="161">
        <v>364</v>
      </c>
      <c r="G189" s="161">
        <v>381</v>
      </c>
      <c r="H189" s="161">
        <v>344</v>
      </c>
      <c r="I189" s="161">
        <v>376</v>
      </c>
      <c r="J189" s="161">
        <v>795</v>
      </c>
      <c r="K189" s="161">
        <v>2346</v>
      </c>
      <c r="L189" s="161">
        <v>3836</v>
      </c>
      <c r="M189" s="161">
        <v>3165</v>
      </c>
      <c r="N189" s="161">
        <v>1409</v>
      </c>
      <c r="O189" s="161">
        <v>817</v>
      </c>
      <c r="P189" s="161">
        <v>851</v>
      </c>
      <c r="Q189" s="228">
        <v>14900</v>
      </c>
    </row>
    <row r="190" spans="2:17" ht="13.5" customHeight="1" x14ac:dyDescent="0.2">
      <c r="B190" s="473" t="s">
        <v>603</v>
      </c>
      <c r="C190" s="96" t="s">
        <v>617</v>
      </c>
      <c r="D190" s="410" t="s">
        <v>271</v>
      </c>
      <c r="E190" s="185"/>
      <c r="F190" s="185"/>
      <c r="G190" s="185"/>
      <c r="H190" s="185"/>
      <c r="I190" s="185"/>
      <c r="J190" s="185"/>
      <c r="K190" s="185"/>
      <c r="L190" s="185"/>
      <c r="M190" s="185"/>
      <c r="N190" s="185"/>
      <c r="O190" s="184">
        <v>1</v>
      </c>
      <c r="P190" s="185"/>
      <c r="Q190" s="233">
        <v>1</v>
      </c>
    </row>
    <row r="191" spans="2:17" ht="13.5" customHeight="1" thickBot="1" x14ac:dyDescent="0.25">
      <c r="B191" s="475"/>
      <c r="C191" s="157" t="s">
        <v>17</v>
      </c>
      <c r="D191" s="104" t="s">
        <v>264</v>
      </c>
      <c r="E191" s="191"/>
      <c r="F191" s="191"/>
      <c r="G191" s="191"/>
      <c r="H191" s="191"/>
      <c r="I191" s="191"/>
      <c r="J191" s="191"/>
      <c r="K191" s="191"/>
      <c r="L191" s="191"/>
      <c r="M191" s="191"/>
      <c r="N191" s="191"/>
      <c r="O191" s="190">
        <v>1</v>
      </c>
      <c r="P191" s="191"/>
      <c r="Q191" s="234">
        <v>1</v>
      </c>
    </row>
    <row r="192" spans="2:17" ht="13.5" customHeight="1" x14ac:dyDescent="0.2">
      <c r="B192" s="499" t="s">
        <v>354</v>
      </c>
      <c r="C192" s="84" t="s">
        <v>488</v>
      </c>
      <c r="D192" s="409" t="s">
        <v>270</v>
      </c>
      <c r="E192" s="407">
        <v>116</v>
      </c>
      <c r="F192" s="407">
        <v>94</v>
      </c>
      <c r="G192" s="407">
        <v>219</v>
      </c>
      <c r="H192" s="407">
        <v>201</v>
      </c>
      <c r="I192" s="407">
        <v>108</v>
      </c>
      <c r="J192" s="407">
        <v>185</v>
      </c>
      <c r="K192" s="407">
        <v>126</v>
      </c>
      <c r="L192" s="407">
        <v>164</v>
      </c>
      <c r="M192" s="407">
        <v>1819</v>
      </c>
      <c r="N192" s="407">
        <v>3017</v>
      </c>
      <c r="O192" s="407">
        <v>417</v>
      </c>
      <c r="P192" s="407">
        <v>449</v>
      </c>
      <c r="Q192" s="227">
        <v>6915</v>
      </c>
    </row>
    <row r="193" spans="2:17" ht="13.5" customHeight="1" x14ac:dyDescent="0.2">
      <c r="B193" s="499"/>
      <c r="C193" s="84" t="s">
        <v>489</v>
      </c>
      <c r="D193" s="409" t="s">
        <v>271</v>
      </c>
      <c r="E193" s="407">
        <v>3407</v>
      </c>
      <c r="F193" s="407">
        <v>2206</v>
      </c>
      <c r="G193" s="407">
        <v>2074</v>
      </c>
      <c r="H193" s="407">
        <v>1743</v>
      </c>
      <c r="I193" s="407">
        <v>12222</v>
      </c>
      <c r="J193" s="407">
        <v>25980</v>
      </c>
      <c r="K193" s="407">
        <v>69084</v>
      </c>
      <c r="L193" s="407">
        <v>120738</v>
      </c>
      <c r="M193" s="407">
        <v>47458</v>
      </c>
      <c r="N193" s="407">
        <v>15196</v>
      </c>
      <c r="O193" s="407">
        <v>5823</v>
      </c>
      <c r="P193" s="407">
        <v>8116</v>
      </c>
      <c r="Q193" s="227">
        <v>314047</v>
      </c>
    </row>
    <row r="194" spans="2:17" ht="13.5" customHeight="1" thickBot="1" x14ac:dyDescent="0.25">
      <c r="B194" s="499"/>
      <c r="C194" s="90" t="s">
        <v>17</v>
      </c>
      <c r="D194" s="87" t="s">
        <v>264</v>
      </c>
      <c r="E194" s="161">
        <v>3523</v>
      </c>
      <c r="F194" s="161">
        <v>2300</v>
      </c>
      <c r="G194" s="161">
        <v>2293</v>
      </c>
      <c r="H194" s="161">
        <v>1944</v>
      </c>
      <c r="I194" s="161">
        <v>12330</v>
      </c>
      <c r="J194" s="161">
        <v>26165</v>
      </c>
      <c r="K194" s="161">
        <v>69210</v>
      </c>
      <c r="L194" s="161">
        <v>120902</v>
      </c>
      <c r="M194" s="161">
        <v>49277</v>
      </c>
      <c r="N194" s="161">
        <v>18213</v>
      </c>
      <c r="O194" s="161">
        <v>6240</v>
      </c>
      <c r="P194" s="161">
        <v>8565</v>
      </c>
      <c r="Q194" s="228">
        <v>320962</v>
      </c>
    </row>
    <row r="195" spans="2:17" ht="13.5" customHeight="1" x14ac:dyDescent="0.2">
      <c r="B195" s="473" t="s">
        <v>351</v>
      </c>
      <c r="C195" s="96" t="s">
        <v>490</v>
      </c>
      <c r="D195" s="410" t="s">
        <v>272</v>
      </c>
      <c r="E195" s="184">
        <v>547</v>
      </c>
      <c r="F195" s="184">
        <v>507</v>
      </c>
      <c r="G195" s="184">
        <v>703</v>
      </c>
      <c r="H195" s="184">
        <v>808</v>
      </c>
      <c r="I195" s="184">
        <v>926</v>
      </c>
      <c r="J195" s="184">
        <v>1261</v>
      </c>
      <c r="K195" s="184">
        <v>1278</v>
      </c>
      <c r="L195" s="184">
        <v>1577</v>
      </c>
      <c r="M195" s="184">
        <v>1714</v>
      </c>
      <c r="N195" s="184">
        <v>1405</v>
      </c>
      <c r="O195" s="184">
        <v>1450</v>
      </c>
      <c r="P195" s="184">
        <v>1041</v>
      </c>
      <c r="Q195" s="233">
        <v>13217</v>
      </c>
    </row>
    <row r="196" spans="2:17" ht="13.5" customHeight="1" x14ac:dyDescent="0.2">
      <c r="B196" s="474"/>
      <c r="C196" s="98" t="s">
        <v>491</v>
      </c>
      <c r="D196" s="411" t="s">
        <v>271</v>
      </c>
      <c r="E196" s="188"/>
      <c r="F196" s="188"/>
      <c r="G196" s="187">
        <v>8</v>
      </c>
      <c r="H196" s="188"/>
      <c r="I196" s="187">
        <v>32</v>
      </c>
      <c r="J196" s="188"/>
      <c r="K196" s="188"/>
      <c r="L196" s="188"/>
      <c r="M196" s="187">
        <v>221</v>
      </c>
      <c r="N196" s="187">
        <v>1</v>
      </c>
      <c r="O196" s="188"/>
      <c r="P196" s="187">
        <v>4</v>
      </c>
      <c r="Q196" s="235">
        <v>266</v>
      </c>
    </row>
    <row r="197" spans="2:17" ht="13.5" customHeight="1" thickBot="1" x14ac:dyDescent="0.25">
      <c r="B197" s="475"/>
      <c r="C197" s="157" t="s">
        <v>17</v>
      </c>
      <c r="D197" s="104" t="s">
        <v>264</v>
      </c>
      <c r="E197" s="190">
        <v>547</v>
      </c>
      <c r="F197" s="190">
        <v>507</v>
      </c>
      <c r="G197" s="190">
        <v>711</v>
      </c>
      <c r="H197" s="190">
        <v>808</v>
      </c>
      <c r="I197" s="190">
        <v>958</v>
      </c>
      <c r="J197" s="190">
        <v>1261</v>
      </c>
      <c r="K197" s="190">
        <v>1278</v>
      </c>
      <c r="L197" s="190">
        <v>1577</v>
      </c>
      <c r="M197" s="190">
        <v>1935</v>
      </c>
      <c r="N197" s="190">
        <v>1406</v>
      </c>
      <c r="O197" s="190">
        <v>1450</v>
      </c>
      <c r="P197" s="190">
        <v>1045</v>
      </c>
      <c r="Q197" s="234">
        <v>13483</v>
      </c>
    </row>
    <row r="198" spans="2:17" ht="13.5" customHeight="1" x14ac:dyDescent="0.2">
      <c r="B198" s="499" t="s">
        <v>355</v>
      </c>
      <c r="C198" s="84" t="s">
        <v>492</v>
      </c>
      <c r="D198" s="409" t="s">
        <v>271</v>
      </c>
      <c r="E198" s="2"/>
      <c r="F198" s="2"/>
      <c r="G198" s="2"/>
      <c r="H198" s="407">
        <v>5</v>
      </c>
      <c r="I198" s="2"/>
      <c r="J198" s="407">
        <v>8</v>
      </c>
      <c r="K198" s="2"/>
      <c r="L198" s="407">
        <v>1</v>
      </c>
      <c r="M198" s="407">
        <v>2</v>
      </c>
      <c r="N198" s="407">
        <v>9</v>
      </c>
      <c r="O198" s="2"/>
      <c r="P198" s="2"/>
      <c r="Q198" s="227">
        <v>25</v>
      </c>
    </row>
    <row r="199" spans="2:17" ht="13.5" customHeight="1" thickBot="1" x14ac:dyDescent="0.25">
      <c r="B199" s="499"/>
      <c r="C199" s="90" t="s">
        <v>17</v>
      </c>
      <c r="D199" s="87" t="s">
        <v>264</v>
      </c>
      <c r="E199" s="181"/>
      <c r="F199" s="181"/>
      <c r="G199" s="181"/>
      <c r="H199" s="161">
        <v>5</v>
      </c>
      <c r="I199" s="181"/>
      <c r="J199" s="161">
        <v>8</v>
      </c>
      <c r="K199" s="181"/>
      <c r="L199" s="161">
        <v>1</v>
      </c>
      <c r="M199" s="161">
        <v>2</v>
      </c>
      <c r="N199" s="161">
        <v>9</v>
      </c>
      <c r="O199" s="181"/>
      <c r="P199" s="181"/>
      <c r="Q199" s="228">
        <v>25</v>
      </c>
    </row>
    <row r="200" spans="2:17" ht="13.5" customHeight="1" x14ac:dyDescent="0.2">
      <c r="B200" s="473" t="s">
        <v>356</v>
      </c>
      <c r="C200" s="96" t="s">
        <v>493</v>
      </c>
      <c r="D200" s="410" t="s">
        <v>273</v>
      </c>
      <c r="E200" s="184">
        <v>11</v>
      </c>
      <c r="F200" s="184">
        <v>8</v>
      </c>
      <c r="G200" s="184">
        <v>8</v>
      </c>
      <c r="H200" s="184">
        <v>8</v>
      </c>
      <c r="I200" s="184">
        <v>8</v>
      </c>
      <c r="J200" s="184">
        <v>14</v>
      </c>
      <c r="K200" s="184">
        <v>8</v>
      </c>
      <c r="L200" s="184">
        <v>8</v>
      </c>
      <c r="M200" s="184">
        <v>8</v>
      </c>
      <c r="N200" s="184">
        <v>21</v>
      </c>
      <c r="O200" s="184">
        <v>7</v>
      </c>
      <c r="P200" s="184">
        <v>20</v>
      </c>
      <c r="Q200" s="233">
        <v>129</v>
      </c>
    </row>
    <row r="201" spans="2:17" ht="13.5" customHeight="1" x14ac:dyDescent="0.2">
      <c r="B201" s="474"/>
      <c r="C201" s="98" t="s">
        <v>494</v>
      </c>
      <c r="D201" s="411" t="s">
        <v>272</v>
      </c>
      <c r="E201" s="187">
        <v>12502</v>
      </c>
      <c r="F201" s="187">
        <v>16413</v>
      </c>
      <c r="G201" s="187">
        <v>38882</v>
      </c>
      <c r="H201" s="187">
        <v>26620</v>
      </c>
      <c r="I201" s="187">
        <v>27026</v>
      </c>
      <c r="J201" s="187">
        <v>33660</v>
      </c>
      <c r="K201" s="187">
        <v>48442</v>
      </c>
      <c r="L201" s="187">
        <v>52398</v>
      </c>
      <c r="M201" s="187">
        <v>82894</v>
      </c>
      <c r="N201" s="187">
        <v>38809</v>
      </c>
      <c r="O201" s="187">
        <v>29030</v>
      </c>
      <c r="P201" s="187">
        <v>22184</v>
      </c>
      <c r="Q201" s="235">
        <v>428860</v>
      </c>
    </row>
    <row r="202" spans="2:17" ht="13.5" customHeight="1" x14ac:dyDescent="0.2">
      <c r="B202" s="474"/>
      <c r="C202" s="98" t="s">
        <v>495</v>
      </c>
      <c r="D202" s="411" t="s">
        <v>271</v>
      </c>
      <c r="E202" s="187">
        <v>239</v>
      </c>
      <c r="F202" s="187">
        <v>563</v>
      </c>
      <c r="G202" s="187">
        <v>252</v>
      </c>
      <c r="H202" s="187">
        <v>17</v>
      </c>
      <c r="I202" s="187">
        <v>1</v>
      </c>
      <c r="J202" s="187">
        <v>19</v>
      </c>
      <c r="K202" s="187">
        <v>411</v>
      </c>
      <c r="L202" s="187">
        <v>3</v>
      </c>
      <c r="M202" s="188"/>
      <c r="N202" s="188"/>
      <c r="O202" s="188"/>
      <c r="P202" s="188"/>
      <c r="Q202" s="235">
        <v>1505</v>
      </c>
    </row>
    <row r="203" spans="2:17" ht="13.5" customHeight="1" thickBot="1" x14ac:dyDescent="0.25">
      <c r="B203" s="475"/>
      <c r="C203" s="157" t="s">
        <v>17</v>
      </c>
      <c r="D203" s="104" t="s">
        <v>264</v>
      </c>
      <c r="E203" s="190">
        <v>12752</v>
      </c>
      <c r="F203" s="190">
        <v>16984</v>
      </c>
      <c r="G203" s="190">
        <v>39142</v>
      </c>
      <c r="H203" s="190">
        <v>26645</v>
      </c>
      <c r="I203" s="190">
        <v>27035</v>
      </c>
      <c r="J203" s="190">
        <v>33693</v>
      </c>
      <c r="K203" s="190">
        <v>48861</v>
      </c>
      <c r="L203" s="190">
        <v>52409</v>
      </c>
      <c r="M203" s="190">
        <v>82902</v>
      </c>
      <c r="N203" s="190">
        <v>38830</v>
      </c>
      <c r="O203" s="190">
        <v>29037</v>
      </c>
      <c r="P203" s="190">
        <v>22204</v>
      </c>
      <c r="Q203" s="234">
        <v>430494</v>
      </c>
    </row>
    <row r="204" spans="2:17" ht="13.5" customHeight="1" x14ac:dyDescent="0.2">
      <c r="B204" s="499" t="s">
        <v>358</v>
      </c>
      <c r="C204" s="84" t="s">
        <v>499</v>
      </c>
      <c r="D204" s="409" t="s">
        <v>271</v>
      </c>
      <c r="E204" s="407">
        <v>698</v>
      </c>
      <c r="F204" s="407">
        <v>383</v>
      </c>
      <c r="G204" s="407">
        <v>663</v>
      </c>
      <c r="H204" s="407">
        <v>1078</v>
      </c>
      <c r="I204" s="407">
        <v>1192</v>
      </c>
      <c r="J204" s="407">
        <v>1356</v>
      </c>
      <c r="K204" s="407">
        <v>4520</v>
      </c>
      <c r="L204" s="407">
        <v>5006</v>
      </c>
      <c r="M204" s="407">
        <v>2524</v>
      </c>
      <c r="N204" s="407">
        <v>1852</v>
      </c>
      <c r="O204" s="407">
        <v>906</v>
      </c>
      <c r="P204" s="407">
        <v>898</v>
      </c>
      <c r="Q204" s="227">
        <v>21076</v>
      </c>
    </row>
    <row r="205" spans="2:17" ht="13.5" customHeight="1" x14ac:dyDescent="0.2">
      <c r="B205" s="499"/>
      <c r="C205" s="84" t="s">
        <v>496</v>
      </c>
      <c r="D205" s="500" t="s">
        <v>270</v>
      </c>
      <c r="E205" s="407">
        <v>151</v>
      </c>
      <c r="F205" s="407">
        <v>126</v>
      </c>
      <c r="G205" s="407">
        <v>92</v>
      </c>
      <c r="H205" s="407">
        <v>171</v>
      </c>
      <c r="I205" s="407">
        <v>235</v>
      </c>
      <c r="J205" s="407">
        <v>430</v>
      </c>
      <c r="K205" s="407">
        <v>484</v>
      </c>
      <c r="L205" s="407">
        <v>617</v>
      </c>
      <c r="M205" s="407">
        <v>580</v>
      </c>
      <c r="N205" s="407">
        <v>464</v>
      </c>
      <c r="O205" s="407">
        <v>222</v>
      </c>
      <c r="P205" s="407">
        <v>492</v>
      </c>
      <c r="Q205" s="227">
        <v>4064</v>
      </c>
    </row>
    <row r="206" spans="2:17" ht="13.5" customHeight="1" x14ac:dyDescent="0.2">
      <c r="B206" s="499"/>
      <c r="C206" s="84" t="s">
        <v>497</v>
      </c>
      <c r="D206" s="500"/>
      <c r="E206" s="407">
        <v>169</v>
      </c>
      <c r="F206" s="407">
        <v>220</v>
      </c>
      <c r="G206" s="407">
        <v>283</v>
      </c>
      <c r="H206" s="407">
        <v>188</v>
      </c>
      <c r="I206" s="407">
        <v>151</v>
      </c>
      <c r="J206" s="407">
        <v>458</v>
      </c>
      <c r="K206" s="407">
        <v>453</v>
      </c>
      <c r="L206" s="407">
        <v>307</v>
      </c>
      <c r="M206" s="407">
        <v>292</v>
      </c>
      <c r="N206" s="407">
        <v>616</v>
      </c>
      <c r="O206" s="407">
        <v>746</v>
      </c>
      <c r="P206" s="407">
        <v>538</v>
      </c>
      <c r="Q206" s="227">
        <v>4421</v>
      </c>
    </row>
    <row r="207" spans="2:17" ht="13.5" customHeight="1" x14ac:dyDescent="0.2">
      <c r="B207" s="499"/>
      <c r="C207" s="84" t="s">
        <v>498</v>
      </c>
      <c r="D207" s="500"/>
      <c r="E207" s="407">
        <v>73</v>
      </c>
      <c r="F207" s="407">
        <v>160</v>
      </c>
      <c r="G207" s="407">
        <v>179</v>
      </c>
      <c r="H207" s="407">
        <v>317</v>
      </c>
      <c r="I207" s="407">
        <v>354</v>
      </c>
      <c r="J207" s="407">
        <v>469</v>
      </c>
      <c r="K207" s="407">
        <v>311</v>
      </c>
      <c r="L207" s="407">
        <v>354</v>
      </c>
      <c r="M207" s="407">
        <v>460</v>
      </c>
      <c r="N207" s="407">
        <v>721</v>
      </c>
      <c r="O207" s="407">
        <v>542</v>
      </c>
      <c r="P207" s="407">
        <v>486</v>
      </c>
      <c r="Q207" s="227">
        <v>4426</v>
      </c>
    </row>
    <row r="208" spans="2:17" ht="13.5" customHeight="1" thickBot="1" x14ac:dyDescent="0.25">
      <c r="B208" s="499"/>
      <c r="C208" s="90" t="s">
        <v>17</v>
      </c>
      <c r="D208" s="87" t="s">
        <v>264</v>
      </c>
      <c r="E208" s="161">
        <v>1091</v>
      </c>
      <c r="F208" s="161">
        <v>889</v>
      </c>
      <c r="G208" s="161">
        <v>1217</v>
      </c>
      <c r="H208" s="161">
        <v>1754</v>
      </c>
      <c r="I208" s="161">
        <v>1932</v>
      </c>
      <c r="J208" s="161">
        <v>2713</v>
      </c>
      <c r="K208" s="161">
        <v>5768</v>
      </c>
      <c r="L208" s="161">
        <v>6284</v>
      </c>
      <c r="M208" s="161">
        <v>3856</v>
      </c>
      <c r="N208" s="161">
        <v>3653</v>
      </c>
      <c r="O208" s="161">
        <v>2416</v>
      </c>
      <c r="P208" s="161">
        <v>2414</v>
      </c>
      <c r="Q208" s="228">
        <v>33987</v>
      </c>
    </row>
    <row r="209" spans="2:17" ht="13.5" customHeight="1" x14ac:dyDescent="0.2">
      <c r="B209" s="473" t="s">
        <v>352</v>
      </c>
      <c r="C209" s="96" t="s">
        <v>500</v>
      </c>
      <c r="D209" s="410" t="s">
        <v>272</v>
      </c>
      <c r="E209" s="184">
        <v>40345</v>
      </c>
      <c r="F209" s="184">
        <v>37979</v>
      </c>
      <c r="G209" s="184">
        <v>51839</v>
      </c>
      <c r="H209" s="184">
        <v>31712</v>
      </c>
      <c r="I209" s="184">
        <v>45319</v>
      </c>
      <c r="J209" s="184">
        <v>58351</v>
      </c>
      <c r="K209" s="184">
        <v>94019</v>
      </c>
      <c r="L209" s="184">
        <v>85781</v>
      </c>
      <c r="M209" s="184">
        <v>86281</v>
      </c>
      <c r="N209" s="184">
        <v>60263</v>
      </c>
      <c r="O209" s="184">
        <v>48121</v>
      </c>
      <c r="P209" s="184">
        <v>44713</v>
      </c>
      <c r="Q209" s="233">
        <v>684723</v>
      </c>
    </row>
    <row r="210" spans="2:17" ht="13.5" customHeight="1" thickBot="1" x14ac:dyDescent="0.25">
      <c r="B210" s="475"/>
      <c r="C210" s="157" t="s">
        <v>17</v>
      </c>
      <c r="D210" s="104" t="s">
        <v>264</v>
      </c>
      <c r="E210" s="190">
        <v>40345</v>
      </c>
      <c r="F210" s="190">
        <v>37979</v>
      </c>
      <c r="G210" s="190">
        <v>51839</v>
      </c>
      <c r="H210" s="190">
        <v>31712</v>
      </c>
      <c r="I210" s="190">
        <v>45319</v>
      </c>
      <c r="J210" s="190">
        <v>58351</v>
      </c>
      <c r="K210" s="190">
        <v>94019</v>
      </c>
      <c r="L210" s="190">
        <v>85781</v>
      </c>
      <c r="M210" s="190">
        <v>86281</v>
      </c>
      <c r="N210" s="190">
        <v>60263</v>
      </c>
      <c r="O210" s="190">
        <v>48121</v>
      </c>
      <c r="P210" s="190">
        <v>44713</v>
      </c>
      <c r="Q210" s="234">
        <v>684723</v>
      </c>
    </row>
    <row r="211" spans="2:17" ht="13.5" customHeight="1" x14ac:dyDescent="0.2">
      <c r="B211" s="499" t="s">
        <v>312</v>
      </c>
      <c r="C211" s="84" t="s">
        <v>501</v>
      </c>
      <c r="D211" s="500" t="s">
        <v>270</v>
      </c>
      <c r="E211" s="407">
        <v>132</v>
      </c>
      <c r="F211" s="407">
        <v>140</v>
      </c>
      <c r="G211" s="407">
        <v>195</v>
      </c>
      <c r="H211" s="407">
        <v>118</v>
      </c>
      <c r="I211" s="407">
        <v>152</v>
      </c>
      <c r="J211" s="407">
        <v>137</v>
      </c>
      <c r="K211" s="407">
        <v>114</v>
      </c>
      <c r="L211" s="407">
        <v>144</v>
      </c>
      <c r="M211" s="407">
        <v>93</v>
      </c>
      <c r="N211" s="407">
        <v>104</v>
      </c>
      <c r="O211" s="407">
        <v>68</v>
      </c>
      <c r="P211" s="407">
        <v>98</v>
      </c>
      <c r="Q211" s="227">
        <v>1495</v>
      </c>
    </row>
    <row r="212" spans="2:17" ht="13.5" customHeight="1" x14ac:dyDescent="0.2">
      <c r="B212" s="499"/>
      <c r="C212" s="84" t="s">
        <v>614</v>
      </c>
      <c r="D212" s="500"/>
      <c r="E212" s="2"/>
      <c r="F212" s="2"/>
      <c r="G212" s="2"/>
      <c r="H212" s="2"/>
      <c r="I212" s="2"/>
      <c r="J212" s="2"/>
      <c r="K212" s="2"/>
      <c r="L212" s="407">
        <v>327</v>
      </c>
      <c r="M212" s="407">
        <v>1649</v>
      </c>
      <c r="N212" s="407">
        <v>2796</v>
      </c>
      <c r="O212" s="2"/>
      <c r="P212" s="407">
        <v>447</v>
      </c>
      <c r="Q212" s="227">
        <v>5219</v>
      </c>
    </row>
    <row r="213" spans="2:17" ht="13.5" thickBot="1" x14ac:dyDescent="0.25">
      <c r="B213" s="499"/>
      <c r="C213" s="90" t="s">
        <v>17</v>
      </c>
      <c r="D213" s="87" t="s">
        <v>264</v>
      </c>
      <c r="E213" s="161">
        <v>132</v>
      </c>
      <c r="F213" s="161">
        <v>140</v>
      </c>
      <c r="G213" s="161">
        <v>195</v>
      </c>
      <c r="H213" s="161">
        <v>118</v>
      </c>
      <c r="I213" s="161">
        <v>152</v>
      </c>
      <c r="J213" s="161">
        <v>137</v>
      </c>
      <c r="K213" s="161">
        <v>114</v>
      </c>
      <c r="L213" s="161">
        <v>471</v>
      </c>
      <c r="M213" s="161">
        <v>1742</v>
      </c>
      <c r="N213" s="161">
        <v>2900</v>
      </c>
      <c r="O213" s="161">
        <v>68</v>
      </c>
      <c r="P213" s="161">
        <v>545</v>
      </c>
      <c r="Q213" s="228">
        <v>6714</v>
      </c>
    </row>
    <row r="214" spans="2:17" x14ac:dyDescent="0.2">
      <c r="B214" s="473" t="s">
        <v>308</v>
      </c>
      <c r="C214" s="96" t="s">
        <v>502</v>
      </c>
      <c r="D214" s="467" t="s">
        <v>272</v>
      </c>
      <c r="E214" s="184">
        <v>37</v>
      </c>
      <c r="F214" s="184">
        <v>57</v>
      </c>
      <c r="G214" s="184">
        <v>98</v>
      </c>
      <c r="H214" s="184">
        <v>178</v>
      </c>
      <c r="I214" s="185"/>
      <c r="J214" s="184">
        <v>125</v>
      </c>
      <c r="K214" s="184">
        <v>2242</v>
      </c>
      <c r="L214" s="184">
        <v>3940</v>
      </c>
      <c r="M214" s="184">
        <v>3045</v>
      </c>
      <c r="N214" s="184">
        <v>2758</v>
      </c>
      <c r="O214" s="184">
        <v>2787</v>
      </c>
      <c r="P214" s="184">
        <v>3046</v>
      </c>
      <c r="Q214" s="233">
        <v>18313</v>
      </c>
    </row>
    <row r="215" spans="2:17" x14ac:dyDescent="0.2">
      <c r="B215" s="474"/>
      <c r="C215" s="98" t="s">
        <v>503</v>
      </c>
      <c r="D215" s="501"/>
      <c r="E215" s="187">
        <v>396</v>
      </c>
      <c r="F215" s="187">
        <v>634</v>
      </c>
      <c r="G215" s="187">
        <v>1241</v>
      </c>
      <c r="H215" s="187">
        <v>2232</v>
      </c>
      <c r="I215" s="187">
        <v>3871</v>
      </c>
      <c r="J215" s="187">
        <v>5174</v>
      </c>
      <c r="K215" s="187">
        <v>5143</v>
      </c>
      <c r="L215" s="187">
        <v>5675</v>
      </c>
      <c r="M215" s="187">
        <v>4495</v>
      </c>
      <c r="N215" s="187">
        <v>4391</v>
      </c>
      <c r="O215" s="187">
        <v>4414</v>
      </c>
      <c r="P215" s="187">
        <v>4287</v>
      </c>
      <c r="Q215" s="235">
        <v>41953</v>
      </c>
    </row>
    <row r="216" spans="2:17" ht="13.5" thickBot="1" x14ac:dyDescent="0.25">
      <c r="B216" s="475"/>
      <c r="C216" s="157" t="s">
        <v>17</v>
      </c>
      <c r="D216" s="104" t="s">
        <v>264</v>
      </c>
      <c r="E216" s="190">
        <v>433</v>
      </c>
      <c r="F216" s="190">
        <v>691</v>
      </c>
      <c r="G216" s="190">
        <v>1339</v>
      </c>
      <c r="H216" s="190">
        <v>2410</v>
      </c>
      <c r="I216" s="190">
        <v>3871</v>
      </c>
      <c r="J216" s="190">
        <v>5299</v>
      </c>
      <c r="K216" s="190">
        <v>7385</v>
      </c>
      <c r="L216" s="190">
        <v>9615</v>
      </c>
      <c r="M216" s="190">
        <v>7540</v>
      </c>
      <c r="N216" s="190">
        <v>7149</v>
      </c>
      <c r="O216" s="190">
        <v>7201</v>
      </c>
      <c r="P216" s="190">
        <v>7333</v>
      </c>
      <c r="Q216" s="234">
        <v>60266</v>
      </c>
    </row>
    <row r="217" spans="2:17" x14ac:dyDescent="0.2">
      <c r="B217" s="499" t="s">
        <v>327</v>
      </c>
      <c r="C217" s="84" t="s">
        <v>504</v>
      </c>
      <c r="D217" s="409" t="s">
        <v>272</v>
      </c>
      <c r="E217" s="407">
        <v>15130</v>
      </c>
      <c r="F217" s="407">
        <v>17708</v>
      </c>
      <c r="G217" s="407">
        <v>30321</v>
      </c>
      <c r="H217" s="407">
        <v>24105</v>
      </c>
      <c r="I217" s="407">
        <v>33415</v>
      </c>
      <c r="J217" s="407">
        <v>39191</v>
      </c>
      <c r="K217" s="407">
        <v>9198</v>
      </c>
      <c r="L217" s="407">
        <v>4158</v>
      </c>
      <c r="M217" s="407">
        <v>7361</v>
      </c>
      <c r="N217" s="407">
        <v>7916</v>
      </c>
      <c r="O217" s="407">
        <v>18315</v>
      </c>
      <c r="P217" s="407">
        <v>10344</v>
      </c>
      <c r="Q217" s="227">
        <v>217162</v>
      </c>
    </row>
    <row r="218" spans="2:17" x14ac:dyDescent="0.2">
      <c r="B218" s="499"/>
      <c r="C218" s="84" t="s">
        <v>510</v>
      </c>
      <c r="D218" s="409" t="s">
        <v>271</v>
      </c>
      <c r="E218" s="2"/>
      <c r="F218" s="2"/>
      <c r="G218" s="2"/>
      <c r="H218" s="407">
        <v>957</v>
      </c>
      <c r="I218" s="2"/>
      <c r="J218" s="407">
        <v>1320</v>
      </c>
      <c r="K218" s="407">
        <v>10</v>
      </c>
      <c r="L218" s="407">
        <v>1111</v>
      </c>
      <c r="M218" s="407">
        <v>479</v>
      </c>
      <c r="N218" s="407">
        <v>472</v>
      </c>
      <c r="O218" s="407">
        <v>232</v>
      </c>
      <c r="P218" s="2"/>
      <c r="Q218" s="227">
        <v>4581</v>
      </c>
    </row>
    <row r="219" spans="2:17" ht="13.5" thickBot="1" x14ac:dyDescent="0.25">
      <c r="B219" s="499"/>
      <c r="C219" s="90" t="s">
        <v>17</v>
      </c>
      <c r="D219" s="87" t="s">
        <v>264</v>
      </c>
      <c r="E219" s="161">
        <v>15130</v>
      </c>
      <c r="F219" s="161">
        <v>17708</v>
      </c>
      <c r="G219" s="161">
        <v>30321</v>
      </c>
      <c r="H219" s="161">
        <v>25062</v>
      </c>
      <c r="I219" s="161">
        <v>33415</v>
      </c>
      <c r="J219" s="161">
        <v>40511</v>
      </c>
      <c r="K219" s="161">
        <v>9208</v>
      </c>
      <c r="L219" s="161">
        <v>5269</v>
      </c>
      <c r="M219" s="161">
        <v>7840</v>
      </c>
      <c r="N219" s="161">
        <v>8388</v>
      </c>
      <c r="O219" s="161">
        <v>18547</v>
      </c>
      <c r="P219" s="161">
        <v>10344</v>
      </c>
      <c r="Q219" s="228">
        <v>221743</v>
      </c>
    </row>
    <row r="220" spans="2:17" x14ac:dyDescent="0.2">
      <c r="B220" s="473" t="s">
        <v>357</v>
      </c>
      <c r="C220" s="96" t="s">
        <v>505</v>
      </c>
      <c r="D220" s="410" t="s">
        <v>270</v>
      </c>
      <c r="E220" s="184">
        <v>449</v>
      </c>
      <c r="F220" s="184">
        <v>625</v>
      </c>
      <c r="G220" s="184">
        <v>503</v>
      </c>
      <c r="H220" s="184">
        <v>670</v>
      </c>
      <c r="I220" s="184">
        <v>536</v>
      </c>
      <c r="J220" s="184">
        <v>591</v>
      </c>
      <c r="K220" s="184">
        <v>632</v>
      </c>
      <c r="L220" s="184">
        <v>559</v>
      </c>
      <c r="M220" s="184">
        <v>603</v>
      </c>
      <c r="N220" s="184">
        <v>723</v>
      </c>
      <c r="O220" s="184">
        <v>580</v>
      </c>
      <c r="P220" s="184">
        <v>560</v>
      </c>
      <c r="Q220" s="233">
        <v>7031</v>
      </c>
    </row>
    <row r="221" spans="2:17" ht="13.5" thickBot="1" x14ac:dyDescent="0.25">
      <c r="B221" s="475"/>
      <c r="C221" s="157" t="s">
        <v>17</v>
      </c>
      <c r="D221" s="104" t="s">
        <v>264</v>
      </c>
      <c r="E221" s="190">
        <v>449</v>
      </c>
      <c r="F221" s="190">
        <v>625</v>
      </c>
      <c r="G221" s="190">
        <v>503</v>
      </c>
      <c r="H221" s="190">
        <v>670</v>
      </c>
      <c r="I221" s="190">
        <v>536</v>
      </c>
      <c r="J221" s="190">
        <v>591</v>
      </c>
      <c r="K221" s="190">
        <v>632</v>
      </c>
      <c r="L221" s="190">
        <v>559</v>
      </c>
      <c r="M221" s="190">
        <v>603</v>
      </c>
      <c r="N221" s="190">
        <v>723</v>
      </c>
      <c r="O221" s="190">
        <v>580</v>
      </c>
      <c r="P221" s="190">
        <v>560</v>
      </c>
      <c r="Q221" s="234">
        <v>7031</v>
      </c>
    </row>
    <row r="222" spans="2:17" x14ac:dyDescent="0.2">
      <c r="B222" s="499" t="s">
        <v>336</v>
      </c>
      <c r="C222" s="84" t="s">
        <v>506</v>
      </c>
      <c r="D222" s="409" t="s">
        <v>272</v>
      </c>
      <c r="E222" s="407">
        <v>5434</v>
      </c>
      <c r="F222" s="407">
        <v>5407</v>
      </c>
      <c r="G222" s="407">
        <v>5952</v>
      </c>
      <c r="H222" s="407">
        <v>8345</v>
      </c>
      <c r="I222" s="407">
        <v>6240</v>
      </c>
      <c r="J222" s="407">
        <v>7703</v>
      </c>
      <c r="K222" s="407">
        <v>7656</v>
      </c>
      <c r="L222" s="407">
        <v>7717</v>
      </c>
      <c r="M222" s="407">
        <v>8426</v>
      </c>
      <c r="N222" s="407">
        <v>7213</v>
      </c>
      <c r="O222" s="407">
        <v>6254</v>
      </c>
      <c r="P222" s="407">
        <v>6795</v>
      </c>
      <c r="Q222" s="227">
        <v>83142</v>
      </c>
    </row>
    <row r="223" spans="2:17" x14ac:dyDescent="0.2">
      <c r="B223" s="499"/>
      <c r="C223" s="84" t="s">
        <v>507</v>
      </c>
      <c r="D223" s="409" t="s">
        <v>273</v>
      </c>
      <c r="E223" s="2"/>
      <c r="F223" s="407">
        <v>3</v>
      </c>
      <c r="G223" s="407">
        <v>14</v>
      </c>
      <c r="H223" s="407">
        <v>436</v>
      </c>
      <c r="I223" s="407">
        <v>26</v>
      </c>
      <c r="J223" s="407">
        <v>34</v>
      </c>
      <c r="K223" s="407">
        <v>11</v>
      </c>
      <c r="L223" s="407">
        <v>12</v>
      </c>
      <c r="M223" s="407">
        <v>15</v>
      </c>
      <c r="N223" s="407">
        <v>97</v>
      </c>
      <c r="O223" s="407">
        <v>335</v>
      </c>
      <c r="P223" s="407">
        <v>409</v>
      </c>
      <c r="Q223" s="227">
        <v>1392</v>
      </c>
    </row>
    <row r="224" spans="2:17" ht="13.5" thickBot="1" x14ac:dyDescent="0.25">
      <c r="B224" s="499"/>
      <c r="C224" s="90" t="s">
        <v>17</v>
      </c>
      <c r="D224" s="182" t="s">
        <v>264</v>
      </c>
      <c r="E224" s="161">
        <v>5434</v>
      </c>
      <c r="F224" s="161">
        <v>5410</v>
      </c>
      <c r="G224" s="161">
        <v>5966</v>
      </c>
      <c r="H224" s="161">
        <v>8781</v>
      </c>
      <c r="I224" s="161">
        <v>6266</v>
      </c>
      <c r="J224" s="161">
        <v>7737</v>
      </c>
      <c r="K224" s="161">
        <v>7667</v>
      </c>
      <c r="L224" s="161">
        <v>7729</v>
      </c>
      <c r="M224" s="161">
        <v>8441</v>
      </c>
      <c r="N224" s="161">
        <v>7310</v>
      </c>
      <c r="O224" s="161">
        <v>6589</v>
      </c>
      <c r="P224" s="161">
        <v>7204</v>
      </c>
      <c r="Q224" s="228">
        <v>84534</v>
      </c>
    </row>
    <row r="225" spans="2:17" ht="13.5" thickBot="1" x14ac:dyDescent="0.25">
      <c r="B225" s="203" t="s">
        <v>17</v>
      </c>
      <c r="C225" s="203" t="s">
        <v>264</v>
      </c>
      <c r="D225" s="355"/>
      <c r="E225" s="414">
        <v>1608241</v>
      </c>
      <c r="F225" s="414">
        <v>1415758</v>
      </c>
      <c r="G225" s="414">
        <v>1969106</v>
      </c>
      <c r="H225" s="414">
        <v>2403043</v>
      </c>
      <c r="I225" s="414">
        <v>3500731</v>
      </c>
      <c r="J225" s="414">
        <v>4538431</v>
      </c>
      <c r="K225" s="414">
        <v>5713250</v>
      </c>
      <c r="L225" s="414">
        <v>7101168</v>
      </c>
      <c r="M225" s="414">
        <v>5881570</v>
      </c>
      <c r="N225" s="414">
        <v>5230041</v>
      </c>
      <c r="O225" s="414">
        <v>2958804</v>
      </c>
      <c r="P225" s="414">
        <v>2266424</v>
      </c>
      <c r="Q225" s="414">
        <v>44586567</v>
      </c>
    </row>
    <row r="226" spans="2:17" ht="13.5" thickBot="1" x14ac:dyDescent="0.25">
      <c r="B226" s="64" t="s">
        <v>296</v>
      </c>
      <c r="C226" s="103" t="s">
        <v>0</v>
      </c>
      <c r="D226" s="92" t="s">
        <v>0</v>
      </c>
      <c r="E226" s="194">
        <v>3.60700791339239</v>
      </c>
      <c r="F226" s="194">
        <v>3.175301655316948</v>
      </c>
      <c r="G226" s="194">
        <v>4.416366032397157</v>
      </c>
      <c r="H226" s="194">
        <v>5.3896120775569019</v>
      </c>
      <c r="I226" s="194">
        <v>7.8515374372734277</v>
      </c>
      <c r="J226" s="194">
        <v>10.178920032125371</v>
      </c>
      <c r="K226" s="194">
        <v>12.813836956767719</v>
      </c>
      <c r="L226" s="194">
        <v>15.926698281121308</v>
      </c>
      <c r="M226" s="194">
        <v>13.191349762362282</v>
      </c>
      <c r="N226" s="194">
        <v>11.730082291377132</v>
      </c>
      <c r="O226" s="194">
        <v>6.6360883985528645</v>
      </c>
      <c r="P226" s="194">
        <v>5.0831991617564993</v>
      </c>
      <c r="Q226" s="194">
        <v>100</v>
      </c>
    </row>
  </sheetData>
  <mergeCells count="90">
    <mergeCell ref="B217:B219"/>
    <mergeCell ref="B220:B221"/>
    <mergeCell ref="B182:B183"/>
    <mergeCell ref="B184:B189"/>
    <mergeCell ref="D185:D188"/>
    <mergeCell ref="B190:B191"/>
    <mergeCell ref="B192:B194"/>
    <mergeCell ref="B195:B197"/>
    <mergeCell ref="B200:B203"/>
    <mergeCell ref="B204:B208"/>
    <mergeCell ref="D205:D207"/>
    <mergeCell ref="B209:B210"/>
    <mergeCell ref="B211:B213"/>
    <mergeCell ref="D211:D212"/>
    <mergeCell ref="B214:B216"/>
    <mergeCell ref="D214:D215"/>
    <mergeCell ref="D99:D103"/>
    <mergeCell ref="B105:B116"/>
    <mergeCell ref="D105:D106"/>
    <mergeCell ref="D109:D110"/>
    <mergeCell ref="D111:D115"/>
    <mergeCell ref="B174:B178"/>
    <mergeCell ref="B179:B181"/>
    <mergeCell ref="B44:B53"/>
    <mergeCell ref="D58:D61"/>
    <mergeCell ref="B64:B65"/>
    <mergeCell ref="B66:B67"/>
    <mergeCell ref="B70:B71"/>
    <mergeCell ref="D77:D78"/>
    <mergeCell ref="B80:B96"/>
    <mergeCell ref="D81:D83"/>
    <mergeCell ref="D85:D87"/>
    <mergeCell ref="D91:D95"/>
    <mergeCell ref="B68:B69"/>
    <mergeCell ref="B72:B74"/>
    <mergeCell ref="B75:B76"/>
    <mergeCell ref="B77:B79"/>
    <mergeCell ref="B169:B171"/>
    <mergeCell ref="B172:B173"/>
    <mergeCell ref="B1:Q1"/>
    <mergeCell ref="E2:P2"/>
    <mergeCell ref="B4:B8"/>
    <mergeCell ref="B9:B10"/>
    <mergeCell ref="B3:D3"/>
    <mergeCell ref="B11:B13"/>
    <mergeCell ref="B14:B15"/>
    <mergeCell ref="B16:B17"/>
    <mergeCell ref="B18:B26"/>
    <mergeCell ref="D18:D20"/>
    <mergeCell ref="D21:D22"/>
    <mergeCell ref="D23:D25"/>
    <mergeCell ref="B27:B30"/>
    <mergeCell ref="B31:B33"/>
    <mergeCell ref="D31:D32"/>
    <mergeCell ref="B34:B38"/>
    <mergeCell ref="D34:D36"/>
    <mergeCell ref="B39:B40"/>
    <mergeCell ref="D44:D49"/>
    <mergeCell ref="D51:D52"/>
    <mergeCell ref="B54:B55"/>
    <mergeCell ref="B41:B43"/>
    <mergeCell ref="B222:B224"/>
    <mergeCell ref="D6:D7"/>
    <mergeCell ref="B198:B199"/>
    <mergeCell ref="D117:D119"/>
    <mergeCell ref="D121:D123"/>
    <mergeCell ref="D147:D150"/>
    <mergeCell ref="D151:D152"/>
    <mergeCell ref="D153:D159"/>
    <mergeCell ref="D165:D166"/>
    <mergeCell ref="D174:D176"/>
    <mergeCell ref="B130:B131"/>
    <mergeCell ref="B132:B133"/>
    <mergeCell ref="B134:B136"/>
    <mergeCell ref="B163:B164"/>
    <mergeCell ref="B165:B168"/>
    <mergeCell ref="B56:B57"/>
    <mergeCell ref="B58:B63"/>
    <mergeCell ref="B97:B98"/>
    <mergeCell ref="B99:B104"/>
    <mergeCell ref="B161:B162"/>
    <mergeCell ref="B145:B146"/>
    <mergeCell ref="B147:B160"/>
    <mergeCell ref="B117:B124"/>
    <mergeCell ref="B125:B126"/>
    <mergeCell ref="B127:B129"/>
    <mergeCell ref="B137:B138"/>
    <mergeCell ref="B139:B140"/>
    <mergeCell ref="B141:B142"/>
    <mergeCell ref="B143:B144"/>
  </mergeCells>
  <printOptions horizontalCentered="1"/>
  <pageMargins left="0.35433070866141736" right="0.35433070866141736" top="0.39370078740157483" bottom="0.15748031496062992" header="0.15748031496062992" footer="0.15748031496062992"/>
  <pageSetup scale="64" pageOrder="overThenDown" orientation="landscape" r:id="rId1"/>
  <headerFooter alignWithMargins="0"/>
  <rowBreaks count="3" manualBreakCount="3">
    <brk id="63" min="1" max="16" man="1"/>
    <brk id="124" min="1" max="16" man="1"/>
    <brk id="183"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8"/>
  <sheetViews>
    <sheetView view="pageBreakPreview" zoomScale="50" zoomScaleNormal="100" zoomScaleSheetLayoutView="50" workbookViewId="0">
      <selection activeCell="O30" sqref="O30"/>
    </sheetView>
  </sheetViews>
  <sheetFormatPr defaultRowHeight="12.75" x14ac:dyDescent="0.2"/>
  <cols>
    <col min="1" max="16384" width="9.140625" style="237"/>
  </cols>
  <sheetData>
    <row r="4" spans="1:1" x14ac:dyDescent="0.2">
      <c r="A4" s="253"/>
    </row>
    <row r="5" spans="1:1" x14ac:dyDescent="0.2">
      <c r="A5" s="254"/>
    </row>
    <row r="6" spans="1:1" x14ac:dyDescent="0.2">
      <c r="A6" s="253"/>
    </row>
    <row r="7" spans="1:1" x14ac:dyDescent="0.2">
      <c r="A7" s="255"/>
    </row>
    <row r="8" spans="1:1" x14ac:dyDescent="0.2">
      <c r="A8" s="256"/>
    </row>
    <row r="10" spans="1:1" x14ac:dyDescent="0.2">
      <c r="A10" s="255"/>
    </row>
    <row r="11" spans="1:1" x14ac:dyDescent="0.2">
      <c r="A11" s="255"/>
    </row>
    <row r="12" spans="1:1" x14ac:dyDescent="0.2">
      <c r="A12" s="255"/>
    </row>
    <row r="13" spans="1:1" x14ac:dyDescent="0.2">
      <c r="A13" s="255"/>
    </row>
    <row r="14" spans="1:1" x14ac:dyDescent="0.2">
      <c r="A14" s="255"/>
    </row>
    <row r="38" spans="1:14" x14ac:dyDescent="0.2">
      <c r="A38" s="253"/>
      <c r="N38" s="237" t="s">
        <v>0</v>
      </c>
    </row>
    <row r="39" spans="1:14" x14ac:dyDescent="0.2">
      <c r="A39" s="254"/>
    </row>
    <row r="40" spans="1:14" x14ac:dyDescent="0.2">
      <c r="A40" s="253"/>
    </row>
    <row r="41" spans="1:14" x14ac:dyDescent="0.2">
      <c r="A41" s="255"/>
    </row>
    <row r="42" spans="1:14" x14ac:dyDescent="0.2">
      <c r="A42" s="256"/>
    </row>
    <row r="44" spans="1:14" x14ac:dyDescent="0.2">
      <c r="A44" s="255"/>
    </row>
    <row r="45" spans="1:14" x14ac:dyDescent="0.2">
      <c r="A45" s="255"/>
    </row>
    <row r="46" spans="1:14" x14ac:dyDescent="0.2">
      <c r="A46" s="255"/>
    </row>
    <row r="47" spans="1:14" x14ac:dyDescent="0.2">
      <c r="A47" s="255"/>
    </row>
    <row r="48" spans="1:14" x14ac:dyDescent="0.2">
      <c r="A48" s="255"/>
    </row>
  </sheetData>
  <printOptions horizontalCentered="1" verticalCentered="1"/>
  <pageMargins left="0.47244094488188981" right="0.39370078740157483" top="0.43307086614173229" bottom="0.27559055118110237"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view="pageBreakPreview" zoomScaleNormal="100" zoomScaleSheetLayoutView="100" workbookViewId="0">
      <selection activeCell="B1" sqref="B1"/>
    </sheetView>
  </sheetViews>
  <sheetFormatPr defaultRowHeight="12.75" x14ac:dyDescent="0.2"/>
  <cols>
    <col min="1" max="1" width="102" style="237" customWidth="1"/>
    <col min="2" max="16384" width="9.140625" style="237"/>
  </cols>
  <sheetData>
    <row r="1" spans="1:1" ht="18.75" x14ac:dyDescent="0.2">
      <c r="A1" s="252" t="s">
        <v>584</v>
      </c>
    </row>
    <row r="2" spans="1:1" ht="15" x14ac:dyDescent="0.2">
      <c r="A2" s="246"/>
    </row>
    <row r="3" spans="1:1" ht="105.75" customHeight="1" x14ac:dyDescent="0.2">
      <c r="A3" s="247" t="s">
        <v>585</v>
      </c>
    </row>
    <row r="4" spans="1:1" ht="15" x14ac:dyDescent="0.2">
      <c r="A4" s="246"/>
    </row>
    <row r="5" spans="1:1" ht="14.25" x14ac:dyDescent="0.2">
      <c r="A5" s="249"/>
    </row>
    <row r="6" spans="1:1" ht="18.75" x14ac:dyDescent="0.2">
      <c r="A6" s="252" t="s">
        <v>586</v>
      </c>
    </row>
    <row r="7" spans="1:1" ht="15" x14ac:dyDescent="0.2">
      <c r="A7" s="246"/>
    </row>
    <row r="8" spans="1:1" x14ac:dyDescent="0.2">
      <c r="A8" s="434" t="s">
        <v>587</v>
      </c>
    </row>
    <row r="9" spans="1:1" ht="12.75" customHeight="1" x14ac:dyDescent="0.2">
      <c r="A9" s="434"/>
    </row>
    <row r="10" spans="1:1" ht="12.75" customHeight="1" x14ac:dyDescent="0.2">
      <c r="A10" s="434"/>
    </row>
    <row r="11" spans="1:1" ht="12.75" customHeight="1" x14ac:dyDescent="0.2">
      <c r="A11" s="434"/>
    </row>
    <row r="12" spans="1:1" ht="12.75" customHeight="1" x14ac:dyDescent="0.2">
      <c r="A12" s="434"/>
    </row>
    <row r="13" spans="1:1" ht="12.75" customHeight="1" x14ac:dyDescent="0.2">
      <c r="A13" s="434"/>
    </row>
    <row r="14" spans="1:1" ht="12.75" customHeight="1" x14ac:dyDescent="0.2">
      <c r="A14" s="434"/>
    </row>
    <row r="15" spans="1:1" ht="12.75" customHeight="1" x14ac:dyDescent="0.2">
      <c r="A15" s="434"/>
    </row>
    <row r="16" spans="1:1" ht="12.75" customHeight="1" x14ac:dyDescent="0.2">
      <c r="A16" s="434"/>
    </row>
    <row r="17" spans="1:1" ht="12.75" customHeight="1" x14ac:dyDescent="0.2">
      <c r="A17" s="434"/>
    </row>
    <row r="18" spans="1:1" ht="12.75" customHeight="1" x14ac:dyDescent="0.2">
      <c r="A18" s="434"/>
    </row>
    <row r="19" spans="1:1" ht="21.75" customHeight="1" x14ac:dyDescent="0.2">
      <c r="A19" s="434"/>
    </row>
  </sheetData>
  <mergeCells count="1">
    <mergeCell ref="A8:A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B1" sqref="B1"/>
    </sheetView>
  </sheetViews>
  <sheetFormatPr defaultRowHeight="12.75" x14ac:dyDescent="0.2"/>
  <cols>
    <col min="1" max="1" width="107" style="237" customWidth="1"/>
    <col min="2" max="16384" width="9.140625" style="237"/>
  </cols>
  <sheetData>
    <row r="1" spans="1:1" x14ac:dyDescent="0.2">
      <c r="A1" s="435" t="s">
        <v>580</v>
      </c>
    </row>
    <row r="2" spans="1:1" x14ac:dyDescent="0.2">
      <c r="A2" s="435"/>
    </row>
    <row r="3" spans="1:1" ht="15" x14ac:dyDescent="0.2">
      <c r="A3" s="246"/>
    </row>
    <row r="4" spans="1:1" ht="56.25" x14ac:dyDescent="0.2">
      <c r="A4" s="247" t="s">
        <v>638</v>
      </c>
    </row>
    <row r="5" spans="1:1" ht="18.75" x14ac:dyDescent="0.2">
      <c r="A5" s="248"/>
    </row>
    <row r="6" spans="1:1" ht="37.5" x14ac:dyDescent="0.2">
      <c r="A6" s="247" t="s">
        <v>581</v>
      </c>
    </row>
    <row r="7" spans="1:1" ht="18.75" x14ac:dyDescent="0.2">
      <c r="A7" s="248"/>
    </row>
    <row r="8" spans="1:1" ht="54.75" customHeight="1" x14ac:dyDescent="0.2">
      <c r="A8" s="247" t="s">
        <v>582</v>
      </c>
    </row>
    <row r="9" spans="1:1" ht="18.75" x14ac:dyDescent="0.2">
      <c r="A9" s="248"/>
    </row>
    <row r="10" spans="1:1" ht="37.5" x14ac:dyDescent="0.2">
      <c r="A10" s="247" t="s">
        <v>639</v>
      </c>
    </row>
    <row r="11" spans="1:1" ht="15" x14ac:dyDescent="0.2">
      <c r="A11" s="246"/>
    </row>
    <row r="12" spans="1:1" ht="15" x14ac:dyDescent="0.2">
      <c r="A12" s="246"/>
    </row>
    <row r="13" spans="1:1" ht="15" x14ac:dyDescent="0.2">
      <c r="A13" s="246"/>
    </row>
    <row r="14" spans="1:1" ht="14.25" x14ac:dyDescent="0.2">
      <c r="A14" s="249"/>
    </row>
    <row r="15" spans="1:1" ht="14.25" x14ac:dyDescent="0.2">
      <c r="A15" s="250" t="s">
        <v>583</v>
      </c>
    </row>
    <row r="16" spans="1:1" x14ac:dyDescent="0.2">
      <c r="A16" s="251"/>
    </row>
    <row r="17" spans="1:1" x14ac:dyDescent="0.2">
      <c r="A17" s="251"/>
    </row>
    <row r="18" spans="1:1" x14ac:dyDescent="0.2">
      <c r="A18" s="251"/>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C1" sqref="C1"/>
    </sheetView>
  </sheetViews>
  <sheetFormatPr defaultRowHeight="12.75" x14ac:dyDescent="0.2"/>
  <cols>
    <col min="1" max="1" width="87.42578125" style="237" customWidth="1"/>
    <col min="2" max="2" width="9.140625" style="237" hidden="1" customWidth="1"/>
    <col min="3" max="16384" width="9.140625" style="237"/>
  </cols>
  <sheetData>
    <row r="1" spans="1:2" ht="20.25" x14ac:dyDescent="0.2">
      <c r="A1" s="241" t="s">
        <v>561</v>
      </c>
      <c r="B1" s="6"/>
    </row>
    <row r="2" spans="1:2" ht="15.75" x14ac:dyDescent="0.2">
      <c r="A2" s="242"/>
      <c r="B2" s="6"/>
    </row>
    <row r="3" spans="1:2" ht="15.75" x14ac:dyDescent="0.2">
      <c r="A3" s="243" t="s">
        <v>562</v>
      </c>
      <c r="B3" s="6"/>
    </row>
    <row r="4" spans="1:2" ht="15.75" x14ac:dyDescent="0.2">
      <c r="A4" s="242"/>
      <c r="B4" s="6"/>
    </row>
    <row r="5" spans="1:2" ht="31.5" x14ac:dyDescent="0.2">
      <c r="A5" s="244" t="s">
        <v>563</v>
      </c>
      <c r="B5" s="6"/>
    </row>
    <row r="6" spans="1:2" ht="15.75" x14ac:dyDescent="0.2">
      <c r="A6" s="242"/>
      <c r="B6" s="6"/>
    </row>
    <row r="7" spans="1:2" ht="15.75" x14ac:dyDescent="0.2">
      <c r="A7" s="243" t="s">
        <v>564</v>
      </c>
      <c r="B7" s="6"/>
    </row>
    <row r="8" spans="1:2" ht="15.75" x14ac:dyDescent="0.2">
      <c r="A8" s="242"/>
      <c r="B8" s="6"/>
    </row>
    <row r="9" spans="1:2" ht="31.5" x14ac:dyDescent="0.2">
      <c r="A9" s="244" t="s">
        <v>565</v>
      </c>
      <c r="B9" s="6"/>
    </row>
    <row r="10" spans="1:2" ht="15.75" x14ac:dyDescent="0.2">
      <c r="A10" s="242"/>
      <c r="B10" s="6"/>
    </row>
    <row r="11" spans="1:2" ht="15.75" x14ac:dyDescent="0.2">
      <c r="A11" s="243" t="s">
        <v>566</v>
      </c>
      <c r="B11" s="6"/>
    </row>
    <row r="12" spans="1:2" ht="15.75" x14ac:dyDescent="0.2">
      <c r="A12" s="242"/>
      <c r="B12" s="6"/>
    </row>
    <row r="13" spans="1:2" ht="31.5" x14ac:dyDescent="0.2">
      <c r="A13" s="244" t="s">
        <v>567</v>
      </c>
      <c r="B13" s="6"/>
    </row>
    <row r="14" spans="1:2" ht="15.75" x14ac:dyDescent="0.2">
      <c r="A14" s="242"/>
      <c r="B14" s="6"/>
    </row>
    <row r="15" spans="1:2" ht="15.75" x14ac:dyDescent="0.2">
      <c r="A15" s="243" t="s">
        <v>568</v>
      </c>
      <c r="B15" s="6"/>
    </row>
    <row r="16" spans="1:2" ht="6" customHeight="1" x14ac:dyDescent="0.2">
      <c r="A16" s="242"/>
      <c r="B16" s="6"/>
    </row>
    <row r="17" spans="1:5" ht="26.25" customHeight="1" x14ac:dyDescent="0.2">
      <c r="A17" s="244" t="s">
        <v>569</v>
      </c>
      <c r="B17" s="6"/>
    </row>
    <row r="18" spans="1:5" ht="36.75" customHeight="1" x14ac:dyDescent="0.2">
      <c r="A18" s="244" t="s">
        <v>570</v>
      </c>
      <c r="B18" s="6"/>
      <c r="E18" s="240"/>
    </row>
    <row r="19" spans="1:5" ht="21" customHeight="1" x14ac:dyDescent="0.2">
      <c r="A19" s="244" t="s">
        <v>571</v>
      </c>
      <c r="B19" s="6"/>
    </row>
    <row r="20" spans="1:5" ht="15.75" x14ac:dyDescent="0.2">
      <c r="A20" s="244" t="s">
        <v>572</v>
      </c>
      <c r="B20" s="6"/>
    </row>
    <row r="21" spans="1:5" ht="15.75" x14ac:dyDescent="0.2">
      <c r="A21" s="242"/>
      <c r="B21" s="6"/>
    </row>
    <row r="22" spans="1:5" ht="15.75" x14ac:dyDescent="0.2">
      <c r="A22" s="243" t="s">
        <v>573</v>
      </c>
      <c r="B22" s="6"/>
    </row>
    <row r="23" spans="1:5" ht="15.75" x14ac:dyDescent="0.2">
      <c r="A23" s="242"/>
      <c r="B23" s="6"/>
    </row>
    <row r="24" spans="1:5" ht="15.75" x14ac:dyDescent="0.2">
      <c r="A24" s="242" t="s">
        <v>574</v>
      </c>
      <c r="B24" s="245" t="s">
        <v>575</v>
      </c>
    </row>
    <row r="25" spans="1:5" ht="15.75" x14ac:dyDescent="0.2">
      <c r="A25" s="242" t="s">
        <v>576</v>
      </c>
      <c r="B25" s="245" t="s">
        <v>577</v>
      </c>
    </row>
    <row r="26" spans="1:5" ht="15.75" x14ac:dyDescent="0.2">
      <c r="A26" s="242"/>
      <c r="B26" s="6"/>
    </row>
    <row r="27" spans="1:5" ht="15.75" x14ac:dyDescent="0.2">
      <c r="A27" s="243" t="s">
        <v>578</v>
      </c>
      <c r="B27" s="6"/>
    </row>
    <row r="28" spans="1:5" ht="15.75" x14ac:dyDescent="0.2">
      <c r="A28" s="242"/>
      <c r="B28" s="6"/>
    </row>
    <row r="29" spans="1:5" ht="15.75" x14ac:dyDescent="0.2">
      <c r="A29" s="242" t="s">
        <v>579</v>
      </c>
      <c r="B29" s="6"/>
    </row>
  </sheetData>
  <pageMargins left="0.79"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U21"/>
  <sheetViews>
    <sheetView view="pageBreakPreview" zoomScale="90" zoomScaleNormal="100" zoomScaleSheetLayoutView="90" workbookViewId="0">
      <selection activeCell="S10" sqref="S10"/>
    </sheetView>
  </sheetViews>
  <sheetFormatPr defaultColWidth="9.140625" defaultRowHeight="12.75" x14ac:dyDescent="0.2"/>
  <cols>
    <col min="1" max="1" width="3.5703125" customWidth="1"/>
  </cols>
  <sheetData>
    <row r="1" spans="1:21" ht="23.1" customHeight="1" x14ac:dyDescent="0.2">
      <c r="B1" s="437" t="s">
        <v>557</v>
      </c>
      <c r="C1" s="437"/>
      <c r="D1" s="437"/>
      <c r="E1" s="437"/>
      <c r="F1" s="437"/>
      <c r="G1" s="437"/>
      <c r="H1" s="437"/>
      <c r="I1" s="437"/>
      <c r="J1" s="437"/>
      <c r="K1" s="437"/>
      <c r="L1" s="437"/>
      <c r="M1" s="437"/>
      <c r="N1" s="437"/>
      <c r="O1" s="437"/>
      <c r="P1" s="416"/>
      <c r="Q1" s="416"/>
      <c r="R1" s="416"/>
      <c r="S1" s="416"/>
      <c r="T1" s="416"/>
      <c r="U1" s="416"/>
    </row>
    <row r="2" spans="1:21" ht="23.1" customHeight="1" x14ac:dyDescent="0.2">
      <c r="A2" s="4">
        <v>1</v>
      </c>
      <c r="B2" s="436" t="s">
        <v>634</v>
      </c>
      <c r="C2" s="436"/>
      <c r="D2" s="436"/>
      <c r="E2" s="436"/>
      <c r="F2" s="436"/>
      <c r="G2" s="436"/>
      <c r="H2" s="436"/>
      <c r="I2" s="436"/>
      <c r="J2" s="436"/>
      <c r="K2" s="436"/>
      <c r="L2" s="436"/>
      <c r="M2" s="436"/>
      <c r="N2" s="436"/>
      <c r="O2" s="436"/>
      <c r="P2" s="417"/>
      <c r="Q2" s="417"/>
      <c r="R2" s="417"/>
      <c r="S2" s="417"/>
      <c r="T2" s="417"/>
      <c r="U2" s="417"/>
    </row>
    <row r="3" spans="1:21" ht="23.1" customHeight="1" x14ac:dyDescent="0.2">
      <c r="A3" s="4">
        <v>2</v>
      </c>
      <c r="B3" s="436" t="s">
        <v>590</v>
      </c>
      <c r="C3" s="436"/>
      <c r="D3" s="436"/>
      <c r="E3" s="436"/>
      <c r="F3" s="436"/>
      <c r="G3" s="436"/>
      <c r="H3" s="436"/>
      <c r="I3" s="436"/>
      <c r="J3" s="436"/>
      <c r="K3" s="436"/>
      <c r="L3" s="436"/>
      <c r="M3" s="436"/>
      <c r="N3" s="436"/>
      <c r="O3" s="436"/>
      <c r="P3" s="417"/>
      <c r="Q3" s="417"/>
      <c r="R3" s="417"/>
      <c r="S3" s="417"/>
      <c r="T3" s="417"/>
      <c r="U3" s="417"/>
    </row>
    <row r="4" spans="1:21" ht="23.1" customHeight="1" x14ac:dyDescent="0.2">
      <c r="A4" s="4">
        <v>3</v>
      </c>
      <c r="B4" s="436" t="s">
        <v>595</v>
      </c>
      <c r="C4" s="436"/>
      <c r="D4" s="436"/>
      <c r="E4" s="436"/>
      <c r="F4" s="436"/>
      <c r="G4" s="436"/>
      <c r="H4" s="436"/>
      <c r="I4" s="436"/>
      <c r="J4" s="436"/>
      <c r="K4" s="436"/>
      <c r="L4" s="436"/>
      <c r="M4" s="436"/>
      <c r="N4" s="436"/>
      <c r="O4" s="436"/>
      <c r="P4" s="417"/>
      <c r="Q4" s="417"/>
      <c r="R4" s="417"/>
      <c r="S4" s="417"/>
      <c r="T4" s="417"/>
      <c r="U4" s="417"/>
    </row>
    <row r="5" spans="1:21" ht="23.1" customHeight="1" x14ac:dyDescent="0.2">
      <c r="A5" s="4">
        <v>4</v>
      </c>
      <c r="B5" s="436" t="s">
        <v>635</v>
      </c>
      <c r="C5" s="436"/>
      <c r="D5" s="436"/>
      <c r="E5" s="436"/>
      <c r="F5" s="436"/>
      <c r="G5" s="436"/>
      <c r="H5" s="436"/>
      <c r="I5" s="436"/>
      <c r="J5" s="436"/>
      <c r="K5" s="436"/>
      <c r="L5" s="436"/>
      <c r="M5" s="436"/>
      <c r="N5" s="436"/>
      <c r="O5" s="436"/>
      <c r="P5" s="417"/>
      <c r="Q5" s="417"/>
      <c r="R5" s="417"/>
      <c r="S5" s="417"/>
      <c r="T5" s="417"/>
      <c r="U5" s="417"/>
    </row>
    <row r="6" spans="1:21" ht="23.1" customHeight="1" x14ac:dyDescent="0.2">
      <c r="A6" s="4">
        <v>5</v>
      </c>
      <c r="B6" s="436" t="s">
        <v>597</v>
      </c>
      <c r="C6" s="436"/>
      <c r="D6" s="436"/>
      <c r="E6" s="436"/>
      <c r="F6" s="436"/>
      <c r="G6" s="436"/>
      <c r="H6" s="436"/>
      <c r="I6" s="436"/>
      <c r="J6" s="436"/>
      <c r="K6" s="436"/>
      <c r="L6" s="436"/>
      <c r="M6" s="436"/>
      <c r="N6" s="436"/>
      <c r="O6" s="436"/>
      <c r="P6" s="417"/>
      <c r="Q6" s="417"/>
      <c r="R6" s="417"/>
      <c r="S6" s="417"/>
      <c r="T6" s="417"/>
      <c r="U6" s="417"/>
    </row>
    <row r="7" spans="1:21" ht="23.1" customHeight="1" x14ac:dyDescent="0.2">
      <c r="A7" s="4">
        <v>6</v>
      </c>
      <c r="B7" s="436" t="s">
        <v>599</v>
      </c>
      <c r="C7" s="436"/>
      <c r="D7" s="436"/>
      <c r="E7" s="436"/>
      <c r="F7" s="436"/>
      <c r="G7" s="436"/>
      <c r="H7" s="436"/>
      <c r="I7" s="436"/>
      <c r="J7" s="436"/>
      <c r="K7" s="436"/>
      <c r="L7" s="436"/>
      <c r="M7" s="436"/>
      <c r="N7" s="436"/>
      <c r="O7" s="436"/>
      <c r="P7" s="417"/>
      <c r="Q7" s="417"/>
      <c r="R7" s="417"/>
      <c r="S7" s="417"/>
      <c r="T7" s="417"/>
      <c r="U7" s="417"/>
    </row>
    <row r="8" spans="1:21" ht="23.1" customHeight="1" x14ac:dyDescent="0.2">
      <c r="A8" s="4">
        <v>7</v>
      </c>
      <c r="B8" s="436" t="s">
        <v>600</v>
      </c>
      <c r="C8" s="436"/>
      <c r="D8" s="436"/>
      <c r="E8" s="436"/>
      <c r="F8" s="436"/>
      <c r="G8" s="436"/>
      <c r="H8" s="436"/>
      <c r="I8" s="436"/>
      <c r="J8" s="436"/>
      <c r="K8" s="436"/>
      <c r="L8" s="436"/>
      <c r="M8" s="436"/>
      <c r="N8" s="436"/>
      <c r="O8" s="436"/>
      <c r="P8" s="417"/>
      <c r="Q8" s="417"/>
      <c r="R8" s="417"/>
      <c r="S8" s="417"/>
      <c r="T8" s="417"/>
      <c r="U8" s="417"/>
    </row>
    <row r="9" spans="1:21" ht="23.1" customHeight="1" x14ac:dyDescent="0.2">
      <c r="A9" s="4">
        <v>8</v>
      </c>
      <c r="B9" s="436" t="s">
        <v>604</v>
      </c>
      <c r="C9" s="436"/>
      <c r="D9" s="436"/>
      <c r="E9" s="436"/>
      <c r="F9" s="436"/>
      <c r="G9" s="436"/>
      <c r="H9" s="436"/>
      <c r="I9" s="436"/>
      <c r="J9" s="436"/>
      <c r="K9" s="436"/>
      <c r="L9" s="436"/>
      <c r="M9" s="436"/>
      <c r="N9" s="436"/>
      <c r="O9" s="436"/>
      <c r="P9" s="415"/>
      <c r="Q9" s="415"/>
      <c r="R9" s="415"/>
      <c r="S9" s="415"/>
      <c r="T9" s="415"/>
      <c r="U9" s="415"/>
    </row>
    <row r="10" spans="1:21" ht="23.1" customHeight="1" x14ac:dyDescent="0.2">
      <c r="A10" s="4">
        <v>9</v>
      </c>
      <c r="B10" s="436" t="s">
        <v>636</v>
      </c>
      <c r="C10" s="436"/>
      <c r="D10" s="436"/>
      <c r="E10" s="436"/>
      <c r="F10" s="436"/>
      <c r="G10" s="436"/>
      <c r="H10" s="436"/>
      <c r="I10" s="436"/>
      <c r="J10" s="436"/>
      <c r="K10" s="436"/>
      <c r="L10" s="436"/>
      <c r="M10" s="436"/>
      <c r="N10" s="436"/>
      <c r="O10" s="436"/>
      <c r="P10" s="417"/>
      <c r="Q10" s="417"/>
      <c r="R10" s="417"/>
      <c r="S10" s="417"/>
      <c r="T10" s="417"/>
      <c r="U10" s="417"/>
    </row>
    <row r="11" spans="1:21" ht="23.1" customHeight="1" x14ac:dyDescent="0.2">
      <c r="A11" s="4">
        <v>10</v>
      </c>
      <c r="B11" s="436" t="s">
        <v>616</v>
      </c>
      <c r="C11" s="436"/>
      <c r="D11" s="436"/>
      <c r="E11" s="436"/>
      <c r="F11" s="436"/>
      <c r="G11" s="436"/>
      <c r="H11" s="436"/>
      <c r="I11" s="436"/>
      <c r="J11" s="436"/>
      <c r="K11" s="436"/>
      <c r="L11" s="436"/>
      <c r="M11" s="436"/>
      <c r="N11" s="436"/>
      <c r="O11" s="436"/>
      <c r="P11" s="417"/>
      <c r="Q11" s="417"/>
      <c r="R11" s="417"/>
      <c r="S11" s="417"/>
      <c r="T11" s="417"/>
      <c r="U11" s="417"/>
    </row>
    <row r="12" spans="1:21" ht="23.1" customHeight="1" x14ac:dyDescent="0.2">
      <c r="A12" s="4">
        <v>11</v>
      </c>
      <c r="B12" s="436" t="s">
        <v>624</v>
      </c>
      <c r="C12" s="436"/>
      <c r="D12" s="436"/>
      <c r="E12" s="436"/>
      <c r="F12" s="436"/>
      <c r="G12" s="436"/>
      <c r="H12" s="436"/>
      <c r="I12" s="436"/>
      <c r="J12" s="436"/>
      <c r="K12" s="436"/>
      <c r="L12" s="436"/>
      <c r="M12" s="436"/>
      <c r="N12" s="436"/>
      <c r="O12" s="436"/>
      <c r="P12" s="417"/>
      <c r="Q12" s="417"/>
      <c r="R12" s="417"/>
      <c r="S12" s="417"/>
      <c r="T12" s="417"/>
      <c r="U12" s="417"/>
    </row>
    <row r="13" spans="1:21" ht="23.1" customHeight="1" x14ac:dyDescent="0.2">
      <c r="A13" s="4">
        <v>12</v>
      </c>
      <c r="B13" s="436" t="s">
        <v>625</v>
      </c>
      <c r="C13" s="436"/>
      <c r="D13" s="436"/>
      <c r="E13" s="436"/>
      <c r="F13" s="436"/>
      <c r="G13" s="436"/>
      <c r="H13" s="436"/>
      <c r="I13" s="436"/>
      <c r="J13" s="436"/>
      <c r="K13" s="436"/>
      <c r="L13" s="436"/>
      <c r="M13" s="436"/>
      <c r="N13" s="436"/>
      <c r="O13" s="436"/>
      <c r="P13" s="417"/>
      <c r="Q13" s="417"/>
      <c r="R13" s="417"/>
      <c r="S13" s="417"/>
      <c r="T13" s="417"/>
      <c r="U13" s="417"/>
    </row>
    <row r="14" spans="1:21" ht="23.1" customHeight="1" x14ac:dyDescent="0.2">
      <c r="A14" s="4">
        <v>13</v>
      </c>
      <c r="B14" s="436" t="s">
        <v>626</v>
      </c>
      <c r="C14" s="436"/>
      <c r="D14" s="436"/>
      <c r="E14" s="436"/>
      <c r="F14" s="436"/>
      <c r="G14" s="436"/>
      <c r="H14" s="436"/>
      <c r="I14" s="436"/>
      <c r="J14" s="436"/>
      <c r="K14" s="436"/>
      <c r="L14" s="436"/>
      <c r="M14" s="436"/>
      <c r="N14" s="436"/>
      <c r="O14" s="436"/>
      <c r="P14" s="417"/>
      <c r="Q14" s="417"/>
      <c r="R14" s="417"/>
      <c r="S14" s="417"/>
      <c r="T14" s="417"/>
      <c r="U14" s="417"/>
    </row>
    <row r="15" spans="1:21" ht="23.1" customHeight="1" x14ac:dyDescent="0.2">
      <c r="A15" s="4">
        <v>14</v>
      </c>
      <c r="B15" s="436" t="s">
        <v>627</v>
      </c>
      <c r="C15" s="436"/>
      <c r="D15" s="436"/>
      <c r="E15" s="436"/>
      <c r="F15" s="436"/>
      <c r="G15" s="436"/>
      <c r="H15" s="436"/>
      <c r="I15" s="436"/>
      <c r="J15" s="436"/>
      <c r="K15" s="436"/>
      <c r="L15" s="436"/>
      <c r="M15" s="436"/>
      <c r="N15" s="436"/>
      <c r="O15" s="436"/>
      <c r="P15" s="417"/>
      <c r="Q15" s="417"/>
      <c r="R15" s="417"/>
      <c r="S15" s="417"/>
      <c r="T15" s="417"/>
      <c r="U15" s="417"/>
    </row>
    <row r="16" spans="1:21" ht="23.1" customHeight="1" x14ac:dyDescent="0.2">
      <c r="A16" s="4">
        <v>15</v>
      </c>
      <c r="B16" s="436" t="s">
        <v>628</v>
      </c>
      <c r="C16" s="436"/>
      <c r="D16" s="436"/>
      <c r="E16" s="436"/>
      <c r="F16" s="436"/>
      <c r="G16" s="436"/>
      <c r="H16" s="436"/>
      <c r="I16" s="436"/>
      <c r="J16" s="436"/>
      <c r="K16" s="436"/>
      <c r="L16" s="436"/>
      <c r="M16" s="436"/>
      <c r="N16" s="436"/>
      <c r="O16" s="436"/>
      <c r="P16" s="417"/>
      <c r="Q16" s="417"/>
      <c r="R16" s="417"/>
      <c r="S16" s="417"/>
      <c r="T16" s="417"/>
      <c r="U16" s="417"/>
    </row>
    <row r="17" spans="1:21" ht="23.1" customHeight="1" x14ac:dyDescent="0.2">
      <c r="A17" s="4">
        <v>16</v>
      </c>
      <c r="B17" s="436" t="s">
        <v>637</v>
      </c>
      <c r="C17" s="436"/>
      <c r="D17" s="436"/>
      <c r="E17" s="436"/>
      <c r="F17" s="436"/>
      <c r="G17" s="436"/>
      <c r="H17" s="436"/>
      <c r="I17" s="436"/>
      <c r="J17" s="436"/>
      <c r="K17" s="436"/>
      <c r="L17" s="436"/>
      <c r="M17" s="436"/>
      <c r="N17" s="436"/>
      <c r="O17" s="436"/>
      <c r="P17" s="417"/>
      <c r="Q17" s="417"/>
      <c r="R17" s="417"/>
      <c r="S17" s="417"/>
      <c r="T17" s="417"/>
      <c r="U17" s="417"/>
    </row>
    <row r="18" spans="1:21" ht="23.1" customHeight="1" x14ac:dyDescent="0.2">
      <c r="A18" s="4">
        <v>17</v>
      </c>
      <c r="B18" s="436" t="s">
        <v>630</v>
      </c>
      <c r="C18" s="436"/>
      <c r="D18" s="436"/>
      <c r="E18" s="436"/>
      <c r="F18" s="436"/>
      <c r="G18" s="436"/>
      <c r="H18" s="436"/>
      <c r="I18" s="436"/>
      <c r="J18" s="436"/>
      <c r="K18" s="436"/>
      <c r="L18" s="436"/>
      <c r="M18" s="436"/>
      <c r="N18" s="436"/>
      <c r="O18" s="436"/>
      <c r="P18" s="417"/>
      <c r="Q18" s="417"/>
      <c r="R18" s="417"/>
      <c r="S18" s="417"/>
      <c r="T18" s="417"/>
      <c r="U18" s="417"/>
    </row>
    <row r="19" spans="1:21" ht="23.1" customHeight="1" x14ac:dyDescent="0.2">
      <c r="A19" s="4">
        <v>18</v>
      </c>
      <c r="B19" s="436" t="s">
        <v>631</v>
      </c>
      <c r="C19" s="436"/>
      <c r="D19" s="436"/>
      <c r="E19" s="436"/>
      <c r="F19" s="436"/>
      <c r="G19" s="436"/>
      <c r="H19" s="436"/>
      <c r="I19" s="436"/>
      <c r="J19" s="436"/>
      <c r="K19" s="436"/>
      <c r="L19" s="436"/>
      <c r="M19" s="436"/>
      <c r="N19" s="436"/>
      <c r="O19" s="436"/>
      <c r="P19" s="417"/>
      <c r="Q19" s="417"/>
      <c r="R19" s="417"/>
      <c r="S19" s="417"/>
      <c r="T19" s="417"/>
      <c r="U19" s="417"/>
    </row>
    <row r="20" spans="1:21" ht="23.1" customHeight="1" x14ac:dyDescent="0.2">
      <c r="A20" s="4">
        <v>19</v>
      </c>
      <c r="B20" s="436" t="s">
        <v>632</v>
      </c>
      <c r="C20" s="436"/>
      <c r="D20" s="436"/>
      <c r="E20" s="436"/>
      <c r="F20" s="436"/>
      <c r="G20" s="436"/>
      <c r="H20" s="436"/>
      <c r="I20" s="436"/>
      <c r="J20" s="436"/>
      <c r="K20" s="436"/>
      <c r="L20" s="436"/>
      <c r="M20" s="436"/>
      <c r="N20" s="436"/>
      <c r="O20" s="436"/>
      <c r="P20" s="417"/>
      <c r="Q20" s="417"/>
      <c r="R20" s="417"/>
      <c r="S20" s="417"/>
      <c r="T20" s="417"/>
      <c r="U20" s="417"/>
    </row>
    <row r="21" spans="1:21" ht="23.1" customHeight="1" x14ac:dyDescent="0.2">
      <c r="A21" s="4">
        <v>20</v>
      </c>
      <c r="B21" s="436" t="s">
        <v>633</v>
      </c>
      <c r="C21" s="436"/>
      <c r="D21" s="436"/>
      <c r="E21" s="436"/>
      <c r="F21" s="436"/>
      <c r="G21" s="436"/>
      <c r="H21" s="436"/>
      <c r="I21" s="436"/>
      <c r="J21" s="436"/>
      <c r="K21" s="436"/>
      <c r="L21" s="436"/>
      <c r="M21" s="436"/>
      <c r="N21" s="436"/>
      <c r="O21" s="436"/>
      <c r="P21" s="417"/>
      <c r="Q21" s="417"/>
      <c r="R21" s="417"/>
      <c r="S21" s="417"/>
      <c r="T21" s="417"/>
      <c r="U21" s="417"/>
    </row>
  </sheetData>
  <mergeCells count="21">
    <mergeCell ref="B5:O5"/>
    <mergeCell ref="B4:O4"/>
    <mergeCell ref="B3:O3"/>
    <mergeCell ref="B2:O2"/>
    <mergeCell ref="B1:O1"/>
    <mergeCell ref="B8:O8"/>
    <mergeCell ref="B7:O7"/>
    <mergeCell ref="B6:O6"/>
    <mergeCell ref="B10:O10"/>
    <mergeCell ref="B9:O9"/>
    <mergeCell ref="B11:O11"/>
    <mergeCell ref="B12:O12"/>
    <mergeCell ref="B13:O13"/>
    <mergeCell ref="B14:O14"/>
    <mergeCell ref="B15:O15"/>
    <mergeCell ref="B21:O21"/>
    <mergeCell ref="B20:O20"/>
    <mergeCell ref="B16:O16"/>
    <mergeCell ref="B17:O17"/>
    <mergeCell ref="B18:O18"/>
    <mergeCell ref="B19:O19"/>
  </mergeCells>
  <hyperlinks>
    <hyperlink ref="B2:C22" location="'Yıl-Aya Göre G. Ziyaretçi'!A1" display="A-TÜRKİYE'YE GELEN ZİYARETÇİLERİN YILLARA VE AYLARA GÖRE DAĞILIMI ( 2012 - 2021)"/>
    <hyperlink ref="B3:C23" location="'Yıl-Ay Göre Günübirlikçi'!A1" display="B-GÜNÜBİRLİKÇİLERİN YILLARA VE AYLARA GÖRE DAĞILIMI (2012 - 2021)"/>
    <hyperlink ref="B4:C24" location="'Mil Göre G.Yabancı'!A1" display="C-ÜLKEMİZE GELEN YABANCI ZİYARETÇİLERİN MİLLİYETLERİNE GÖRE DAĞILIMI (2002 - 2021)"/>
    <hyperlink ref="B5:C25" location="'G.Y.Ziyaretçi'!A1" display="TÜRKİYE'YE GELEN YABANCI ZİYARETÇİLER (2012-2021)"/>
    <hyperlink ref="B5:C26" location="'Ç.Y.Ziyaretçi'!A1" display="TÜRKİYE'DEN ÇIKAN YABANCI ZİYARETÇİLER (2012-2021)"/>
    <hyperlink ref="B5:C27" location="'Aya Göre G.Ziyaretçi'!A1" display="AYLARA GÖRE GELEN YABANCI ZİYARETÇİLER (2020-2021)"/>
    <hyperlink ref="B5:C28" location="'Aya Göre Günübirlikçi'!A1" display="AYLARA GÖRE GELEN YABANCI GÜNÜBİRLİKÇİLER (2020-2021)"/>
    <hyperlink ref="B5:C29" location="'Milliyete Göre G.Yabancı(İlk5)'!A1" display="MİLLİYETLERİNE GÖRE GELEN YABANCI ZİYARETÇİLER - 2020 - 2021 (İLK 5)"/>
    <hyperlink ref="B5:C30" location="'Yıl-Aya Göre G. Yabancı'!A1" display="1- TÜRKİYE'YE GELEN YABANCI ZİYARETÇİLERİN YILLARA VE AYLARA GÖRE DAĞILIMI - 2021"/>
    <hyperlink ref="B6:C31" location="'Mil-TaşıtA. Göre G.Yabancı'!A1" display="2- TÜRKİYE'YE GELEN YABANCI ZİYARETÇİLERİN MİLLİYETLERİNE VE TAŞIT ARAÇLARINA GÖRE DAĞILIMI - 2021"/>
    <hyperlink ref="B7:C32" location="'Ay-TaşıtA. Göre G.Yabancı'!A1" display="3- TÜRKİYE'YE GELEN YABANCI ZİYARETÇİLERİN AYLARA VE TAŞIT ARACINA GÖRE DAĞILIMI 2021"/>
    <hyperlink ref="B8:C33" location="'İl-TaşıtA. Göre G.Yabancı'!A1" display="4- TÜRKİYE'YE GELEN YABANCI ZİYARETÇİLERİN SINIR KAPILARININ BAĞLI OLDUĞU İLLERE VE TAŞIT ARAÇLARINA GÖRE DAĞILIMI - 2021"/>
    <hyperlink ref="B9:C34" location="'SınırK.-Ay Göre G.Yabancı'!A1" display="5- TÜRKİYE'YE GELEN YABANCI ZİYARETÇİLERİN SINIR KAPILARINA VE AYLARA GÖRE DAĞILIMI 2021"/>
    <hyperlink ref="B10:C35" location="'Mil-Yıl Göre G.Yabancı'!A1" display="6- 2019/2021 YILLARINDA ÜLKEMİZE GELEN YABANCI ZİYARETÇİLERİN MİLLİYETLERİNE GÖRE KARŞILAŞTIRILMASI"/>
    <hyperlink ref="B11:C36" location="'Mil-Ay Göre G.Yabancı'!A1" display="7- TÜRKİYE'YE GELEN YABANCI ZİYARETÇİLERİN MİLLİYETLERE VE AYLARA GÖRE DAĞILIMI - 2021"/>
    <hyperlink ref="B12:C37" location="'Mil-SınırK Göre G.Yabancı'!A1" display="8- TÜRKİYE'YE GELEN YABANCI ZİYARETÇİLERİN MİLLİYETLERİNE VE SINIR KAPILARINA GÖRE DAĞILIMI - 2021"/>
    <hyperlink ref="B13:C38" location="'Ay-Yıl Göre Y.Günübirlikçi'!A1" display="9- YABANCI GÜNÜBİRLİKÇİLERİN YILLARA VE AYLARA GÖRE DAĞILIMI - 2021"/>
    <hyperlink ref="B14:C39" location="'SınırK. Ay Göre Y.Günübirlikçi'!A1" display="10- TÜRKİYE'YE GELEN  YABANCI GÜNÜBİRLİKÇİLERİN SINIR KAPILARINA VE AYLARA GÖRE DAĞILIMI - 2021"/>
    <hyperlink ref="B15:C40" location="'GirişK-Mil.GöreY.Günübirlikçi'!A1" display="11- YABANCI GÜNÜBİRLİKÇİLERİN MİLLİYETLERE VE SINIR KAPILARINA GÖRE DAĞILIMI - 2021"/>
    <hyperlink ref="B16:C41" location="'SınırK.-Yıl Göre Y.Günübirlikçi'!A1" display="12- 2019 - 2021 YILLARINDA YABANCI GÜNÜBİRLİKÇİLERİN SINIR KAPILARINA VE YILLARA GÖRE KARŞILAŞTIRILMASI"/>
    <hyperlink ref="B17:C42" location="'Yıl-Ay Göre Ç.Ziyaretçi'!A1" display="13- TÜRKİYE'DEN ÇIKAN YABANCI ZİYARETÇİLERİN YILLARA VE AYLARA GÖRE DAĞILIMI - 2021"/>
    <hyperlink ref="B18:C43" location="'Mil-TaşıtA. Göre Ç.Yabancı'!A1" display="14- TÜRKİYE'DEN ÇIKAN YABANCI ZİYARETÇİLERİN MİLLİYETLERİNE VE TAŞIT ARAÇLARINA GÖRE DAĞILIMI - 2021"/>
    <hyperlink ref="B19:C44" location="'Ay-TaşıtA. Göre Ç Yabancı'!A1" display="15- TÜRKİYE'DEN ÇIKAN YABANCI ZİYARETÇİLERİN AYLARA VE TAŞIT ARAÇLARINA GÖRE DAĞILIMI - 2021"/>
    <hyperlink ref="B20:C45" location="'SınırK.-TaşıtA Göre Ç.Yabancı'!A1" display="16- TÜRKİYE'DEN ÇIKAN YABANCI ZİYARETÇİLERİN SINIR KAPILARININ BAĞLI OLDUĞU İLLERE VE TAŞIT ARAÇLARINA GÖRE DAĞILIMI - 2021"/>
    <hyperlink ref="B21:C46" location="'SınırK.-Ay Göre Ç.Yabancı'!A1" display="17-TÜRKİYE'DEN ÇIKAN YABANCI ZİYARETÇİLERİN SINIR KAPILARINA VE AYLARA GÖRE DAĞILIMI - 2021"/>
  </hyperlinks>
  <pageMargins left="0.35433070866141736" right="0.35433070866141736" top="0.78740157480314965" bottom="0.78740157480314965" header="0.51181102362204722" footer="0.51181102362204722"/>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Q51"/>
  <sheetViews>
    <sheetView view="pageBreakPreview" zoomScale="80" zoomScaleNormal="85" zoomScaleSheetLayoutView="80" workbookViewId="0"/>
  </sheetViews>
  <sheetFormatPr defaultColWidth="9.140625" defaultRowHeight="14.25" x14ac:dyDescent="0.2"/>
  <cols>
    <col min="1" max="1" width="9.140625" style="7"/>
    <col min="2" max="2" width="11.7109375" style="10" customWidth="1"/>
    <col min="3" max="3" width="14.5703125" style="7" customWidth="1"/>
    <col min="4" max="4" width="15.28515625" style="7" customWidth="1"/>
    <col min="5" max="5" width="15" style="7" customWidth="1"/>
    <col min="6" max="6" width="14.42578125" style="7" bestFit="1" customWidth="1"/>
    <col min="7" max="7" width="13.85546875" style="7" customWidth="1"/>
    <col min="8" max="8" width="14.28515625" style="7" customWidth="1"/>
    <col min="9" max="9" width="14.42578125" style="7" bestFit="1" customWidth="1"/>
    <col min="10" max="10" width="14.42578125" style="7" customWidth="1"/>
    <col min="11" max="12" width="14.28515625" style="7" customWidth="1"/>
    <col min="13" max="13" width="12.85546875" style="7" customWidth="1"/>
    <col min="14" max="14" width="14.42578125" style="7" bestFit="1" customWidth="1"/>
    <col min="15" max="15" width="14.28515625" style="7" customWidth="1"/>
    <col min="16" max="16" width="12.5703125" style="7" customWidth="1"/>
    <col min="17" max="17" width="13.85546875" style="7" customWidth="1"/>
    <col min="18" max="16384" width="9.140625" style="7"/>
  </cols>
  <sheetData>
    <row r="1" spans="2:17" ht="30" customHeight="1" x14ac:dyDescent="0.2">
      <c r="B1" s="431" t="s">
        <v>589</v>
      </c>
      <c r="C1" s="431"/>
      <c r="D1" s="431"/>
      <c r="E1" s="431"/>
      <c r="F1" s="431"/>
      <c r="G1" s="431"/>
      <c r="H1" s="431"/>
      <c r="I1" s="431"/>
      <c r="J1" s="431"/>
      <c r="K1" s="431"/>
      <c r="L1" s="431"/>
      <c r="M1" s="431"/>
      <c r="N1" s="431"/>
      <c r="O1" s="431"/>
      <c r="P1" s="431"/>
      <c r="Q1" s="431"/>
    </row>
    <row r="2" spans="2:17" ht="28.5" customHeight="1" x14ac:dyDescent="0.35">
      <c r="B2" s="440" t="s">
        <v>265</v>
      </c>
      <c r="C2" s="443" t="s">
        <v>1</v>
      </c>
      <c r="D2" s="443"/>
      <c r="E2" s="443"/>
      <c r="F2" s="443"/>
      <c r="G2" s="443"/>
      <c r="H2" s="443"/>
      <c r="I2" s="443"/>
      <c r="J2" s="443"/>
      <c r="K2" s="443"/>
      <c r="L2" s="443"/>
      <c r="M2" s="443"/>
      <c r="N2" s="443"/>
      <c r="O2" s="443"/>
      <c r="P2" s="443"/>
      <c r="Q2" s="443"/>
    </row>
    <row r="3" spans="2:17" ht="26.25" customHeight="1" x14ac:dyDescent="0.25">
      <c r="B3" s="441"/>
      <c r="C3" s="438">
        <v>2013</v>
      </c>
      <c r="D3" s="438"/>
      <c r="E3" s="438"/>
      <c r="F3" s="438">
        <v>2014</v>
      </c>
      <c r="G3" s="438"/>
      <c r="H3" s="438"/>
      <c r="I3" s="438">
        <v>2015</v>
      </c>
      <c r="J3" s="438"/>
      <c r="K3" s="438"/>
      <c r="L3" s="438">
        <v>2016</v>
      </c>
      <c r="M3" s="438"/>
      <c r="N3" s="438"/>
      <c r="O3" s="438">
        <v>2017</v>
      </c>
      <c r="P3" s="438"/>
      <c r="Q3" s="438"/>
    </row>
    <row r="4" spans="2:17" s="8" customFormat="1" ht="51" customHeight="1" x14ac:dyDescent="0.2">
      <c r="B4" s="442"/>
      <c r="C4" s="11" t="s">
        <v>2</v>
      </c>
      <c r="D4" s="11" t="s">
        <v>3</v>
      </c>
      <c r="E4" s="11" t="s">
        <v>4</v>
      </c>
      <c r="F4" s="11" t="s">
        <v>2</v>
      </c>
      <c r="G4" s="11" t="s">
        <v>3</v>
      </c>
      <c r="H4" s="11" t="s">
        <v>4</v>
      </c>
      <c r="I4" s="11" t="s">
        <v>2</v>
      </c>
      <c r="J4" s="11" t="s">
        <v>3</v>
      </c>
      <c r="K4" s="11" t="s">
        <v>4</v>
      </c>
      <c r="L4" s="11" t="s">
        <v>2</v>
      </c>
      <c r="M4" s="11" t="s">
        <v>3</v>
      </c>
      <c r="N4" s="11" t="s">
        <v>4</v>
      </c>
      <c r="O4" s="11" t="s">
        <v>2</v>
      </c>
      <c r="P4" s="11" t="s">
        <v>3</v>
      </c>
      <c r="Q4" s="11" t="s">
        <v>4</v>
      </c>
    </row>
    <row r="5" spans="2:17" s="13" customFormat="1" ht="45" customHeight="1" x14ac:dyDescent="0.2">
      <c r="B5" s="12" t="s">
        <v>5</v>
      </c>
      <c r="C5" s="43">
        <v>1104754</v>
      </c>
      <c r="D5" s="43">
        <v>279855</v>
      </c>
      <c r="E5" s="43">
        <v>1384609</v>
      </c>
      <c r="F5" s="43">
        <v>1146815</v>
      </c>
      <c r="G5" s="43">
        <v>279334</v>
      </c>
      <c r="H5" s="43">
        <v>1426149</v>
      </c>
      <c r="I5" s="43">
        <v>1250941</v>
      </c>
      <c r="J5" s="43">
        <v>343459</v>
      </c>
      <c r="K5" s="43">
        <v>1594400</v>
      </c>
      <c r="L5" s="43">
        <v>1170333</v>
      </c>
      <c r="M5" s="43">
        <v>350916</v>
      </c>
      <c r="N5" s="43">
        <v>1521249</v>
      </c>
      <c r="O5" s="43">
        <v>1055474</v>
      </c>
      <c r="P5" s="43">
        <v>329148</v>
      </c>
      <c r="Q5" s="43">
        <v>1384622</v>
      </c>
    </row>
    <row r="6" spans="2:17" s="13" customFormat="1" ht="45" customHeight="1" x14ac:dyDescent="0.2">
      <c r="B6" s="12" t="s">
        <v>6</v>
      </c>
      <c r="C6" s="43">
        <v>1268440</v>
      </c>
      <c r="D6" s="43">
        <v>350503</v>
      </c>
      <c r="E6" s="43">
        <v>1618943</v>
      </c>
      <c r="F6" s="43">
        <v>1352184</v>
      </c>
      <c r="G6" s="43">
        <v>356071</v>
      </c>
      <c r="H6" s="43">
        <v>1708255</v>
      </c>
      <c r="I6" s="43">
        <v>1383343</v>
      </c>
      <c r="J6" s="43">
        <v>368037</v>
      </c>
      <c r="K6" s="43">
        <v>1751380</v>
      </c>
      <c r="L6" s="43">
        <v>1240633</v>
      </c>
      <c r="M6" s="43">
        <v>390644</v>
      </c>
      <c r="N6" s="43">
        <v>1631277</v>
      </c>
      <c r="O6" s="43">
        <v>1159833</v>
      </c>
      <c r="P6" s="43">
        <v>335058</v>
      </c>
      <c r="Q6" s="43">
        <v>1494891</v>
      </c>
    </row>
    <row r="7" spans="2:17" s="13" customFormat="1" ht="45" customHeight="1" x14ac:dyDescent="0.2">
      <c r="B7" s="12" t="s">
        <v>7</v>
      </c>
      <c r="C7" s="43">
        <v>1841154</v>
      </c>
      <c r="D7" s="43">
        <v>371462</v>
      </c>
      <c r="E7" s="43">
        <v>2212616</v>
      </c>
      <c r="F7" s="43">
        <v>1851980</v>
      </c>
      <c r="G7" s="43">
        <v>345905</v>
      </c>
      <c r="H7" s="43">
        <v>2197885</v>
      </c>
      <c r="I7" s="43">
        <v>1895940</v>
      </c>
      <c r="J7" s="43">
        <v>374022</v>
      </c>
      <c r="K7" s="43">
        <v>2269962</v>
      </c>
      <c r="L7" s="43">
        <v>1652511</v>
      </c>
      <c r="M7" s="43">
        <v>381960</v>
      </c>
      <c r="N7" s="43">
        <v>2034471</v>
      </c>
      <c r="O7" s="43">
        <v>1587007</v>
      </c>
      <c r="P7" s="43">
        <v>357935</v>
      </c>
      <c r="Q7" s="43">
        <v>1944942</v>
      </c>
    </row>
    <row r="8" spans="2:17" s="13" customFormat="1" ht="45" customHeight="1" x14ac:dyDescent="0.2">
      <c r="B8" s="12" t="s">
        <v>8</v>
      </c>
      <c r="C8" s="43">
        <v>2451031</v>
      </c>
      <c r="D8" s="43">
        <v>445048</v>
      </c>
      <c r="E8" s="43">
        <v>2896079</v>
      </c>
      <c r="F8" s="43">
        <v>2652071</v>
      </c>
      <c r="G8" s="43">
        <v>358556</v>
      </c>
      <c r="H8" s="43">
        <v>3010627</v>
      </c>
      <c r="I8" s="43">
        <v>2437263</v>
      </c>
      <c r="J8" s="43">
        <v>331219</v>
      </c>
      <c r="K8" s="43">
        <v>2768482</v>
      </c>
      <c r="L8" s="43">
        <v>1753045</v>
      </c>
      <c r="M8" s="43">
        <v>466574</v>
      </c>
      <c r="N8" s="43">
        <v>2219619</v>
      </c>
      <c r="O8" s="43">
        <v>2070322</v>
      </c>
      <c r="P8" s="43">
        <v>428167</v>
      </c>
      <c r="Q8" s="43">
        <v>2498489</v>
      </c>
    </row>
    <row r="9" spans="2:17" s="13" customFormat="1" ht="45" customHeight="1" x14ac:dyDescent="0.2">
      <c r="B9" s="12" t="s">
        <v>9</v>
      </c>
      <c r="C9" s="43">
        <v>3810236</v>
      </c>
      <c r="D9" s="43">
        <v>463236</v>
      </c>
      <c r="E9" s="43">
        <v>4273472</v>
      </c>
      <c r="F9" s="43">
        <v>3900096</v>
      </c>
      <c r="G9" s="43">
        <v>430837</v>
      </c>
      <c r="H9" s="43">
        <v>4330933</v>
      </c>
      <c r="I9" s="43">
        <v>3804158</v>
      </c>
      <c r="J9" s="43">
        <v>383628</v>
      </c>
      <c r="K9" s="43">
        <v>4187786</v>
      </c>
      <c r="L9" s="43">
        <v>2485411</v>
      </c>
      <c r="M9" s="43">
        <v>543963</v>
      </c>
      <c r="N9" s="43">
        <v>3029374</v>
      </c>
      <c r="O9" s="43">
        <v>2889873</v>
      </c>
      <c r="P9" s="43">
        <v>498687</v>
      </c>
      <c r="Q9" s="43">
        <v>3388560</v>
      </c>
    </row>
    <row r="10" spans="2:17" s="13" customFormat="1" ht="45" customHeight="1" x14ac:dyDescent="0.2">
      <c r="B10" s="12" t="s">
        <v>10</v>
      </c>
      <c r="C10" s="43">
        <v>4073906</v>
      </c>
      <c r="D10" s="43">
        <v>532770</v>
      </c>
      <c r="E10" s="43">
        <v>4606676</v>
      </c>
      <c r="F10" s="43">
        <v>4335075</v>
      </c>
      <c r="G10" s="43">
        <v>459487</v>
      </c>
      <c r="H10" s="43">
        <v>4794562</v>
      </c>
      <c r="I10" s="43">
        <v>4123109</v>
      </c>
      <c r="J10" s="43">
        <v>359512</v>
      </c>
      <c r="K10" s="43">
        <v>4482621</v>
      </c>
      <c r="L10" s="43">
        <v>2438293</v>
      </c>
      <c r="M10" s="43">
        <v>463846</v>
      </c>
      <c r="N10" s="43">
        <v>2902139</v>
      </c>
      <c r="O10" s="43">
        <v>3486940</v>
      </c>
      <c r="P10" s="43">
        <v>475476</v>
      </c>
      <c r="Q10" s="43">
        <v>3962416</v>
      </c>
    </row>
    <row r="11" spans="2:17" s="13" customFormat="1" ht="45" customHeight="1" x14ac:dyDescent="0.2">
      <c r="B11" s="12" t="s">
        <v>11</v>
      </c>
      <c r="C11" s="43">
        <v>4593511</v>
      </c>
      <c r="D11" s="43">
        <v>589959</v>
      </c>
      <c r="E11" s="43">
        <v>5183470</v>
      </c>
      <c r="F11" s="43">
        <v>5214519</v>
      </c>
      <c r="G11" s="43">
        <v>615088</v>
      </c>
      <c r="H11" s="43">
        <v>5829607</v>
      </c>
      <c r="I11" s="43">
        <v>5480502</v>
      </c>
      <c r="J11" s="43">
        <v>650711</v>
      </c>
      <c r="K11" s="43">
        <v>6131213</v>
      </c>
      <c r="L11" s="43">
        <v>3468202</v>
      </c>
      <c r="M11" s="43">
        <v>743328</v>
      </c>
      <c r="N11" s="43">
        <v>4211530</v>
      </c>
      <c r="O11" s="43">
        <v>5075961</v>
      </c>
      <c r="P11" s="43">
        <v>769973</v>
      </c>
      <c r="Q11" s="43">
        <v>5845934</v>
      </c>
    </row>
    <row r="12" spans="2:17" s="13" customFormat="1" ht="45" customHeight="1" x14ac:dyDescent="0.2">
      <c r="B12" s="12" t="s">
        <v>12</v>
      </c>
      <c r="C12" s="43">
        <v>4945999</v>
      </c>
      <c r="D12" s="43">
        <v>583097</v>
      </c>
      <c r="E12" s="43">
        <v>5529096</v>
      </c>
      <c r="F12" s="43">
        <v>5283333</v>
      </c>
      <c r="G12" s="43">
        <v>533644</v>
      </c>
      <c r="H12" s="43">
        <v>5816977</v>
      </c>
      <c r="I12" s="43">
        <v>5130967</v>
      </c>
      <c r="J12" s="43">
        <v>525116</v>
      </c>
      <c r="K12" s="43">
        <v>5656083</v>
      </c>
      <c r="L12" s="43">
        <v>3183003</v>
      </c>
      <c r="M12" s="43">
        <v>526500</v>
      </c>
      <c r="N12" s="43">
        <v>3709503</v>
      </c>
      <c r="O12" s="43">
        <v>4658463</v>
      </c>
      <c r="P12" s="43">
        <v>647375</v>
      </c>
      <c r="Q12" s="43">
        <v>5305838</v>
      </c>
    </row>
    <row r="13" spans="2:17" s="13" customFormat="1" ht="45" customHeight="1" x14ac:dyDescent="0.2">
      <c r="B13" s="12" t="s">
        <v>13</v>
      </c>
      <c r="C13" s="43">
        <v>4266133</v>
      </c>
      <c r="D13" s="43">
        <v>440483</v>
      </c>
      <c r="E13" s="43">
        <v>4706616</v>
      </c>
      <c r="F13" s="43">
        <v>4352429</v>
      </c>
      <c r="G13" s="43">
        <v>420822</v>
      </c>
      <c r="H13" s="43">
        <v>4773251</v>
      </c>
      <c r="I13" s="43">
        <v>4251870</v>
      </c>
      <c r="J13" s="43">
        <v>456162</v>
      </c>
      <c r="K13" s="43">
        <v>4708032</v>
      </c>
      <c r="L13" s="43">
        <v>2855397</v>
      </c>
      <c r="M13" s="43">
        <v>556757</v>
      </c>
      <c r="N13" s="43">
        <v>3412154</v>
      </c>
      <c r="O13" s="43">
        <v>4076630</v>
      </c>
      <c r="P13" s="43">
        <v>615342</v>
      </c>
      <c r="Q13" s="43">
        <v>4691972</v>
      </c>
    </row>
    <row r="14" spans="2:17" s="13" customFormat="1" ht="45" customHeight="1" x14ac:dyDescent="0.2">
      <c r="B14" s="12" t="s">
        <v>14</v>
      </c>
      <c r="C14" s="43">
        <v>3402460</v>
      </c>
      <c r="D14" s="43">
        <v>376660</v>
      </c>
      <c r="E14" s="43">
        <v>3779120</v>
      </c>
      <c r="F14" s="43">
        <v>3439554</v>
      </c>
      <c r="G14" s="43">
        <v>381732</v>
      </c>
      <c r="H14" s="43">
        <v>3821286</v>
      </c>
      <c r="I14" s="43">
        <v>3301194</v>
      </c>
      <c r="J14" s="43">
        <v>387490</v>
      </c>
      <c r="K14" s="43">
        <v>3688684</v>
      </c>
      <c r="L14" s="43">
        <v>2449948</v>
      </c>
      <c r="M14" s="43">
        <v>403482</v>
      </c>
      <c r="N14" s="43">
        <v>2853430</v>
      </c>
      <c r="O14" s="43">
        <v>2992947</v>
      </c>
      <c r="P14" s="43">
        <v>388744</v>
      </c>
      <c r="Q14" s="43">
        <v>3381691</v>
      </c>
    </row>
    <row r="15" spans="2:17" s="13" customFormat="1" ht="45" customHeight="1" x14ac:dyDescent="0.2">
      <c r="B15" s="12" t="s">
        <v>15</v>
      </c>
      <c r="C15" s="43">
        <v>1709479</v>
      </c>
      <c r="D15" s="43">
        <v>258264</v>
      </c>
      <c r="E15" s="43">
        <v>1967743</v>
      </c>
      <c r="F15" s="43">
        <v>1729803</v>
      </c>
      <c r="G15" s="43">
        <v>295936</v>
      </c>
      <c r="H15" s="43">
        <v>2025739</v>
      </c>
      <c r="I15" s="43">
        <v>1720554</v>
      </c>
      <c r="J15" s="43">
        <v>334995</v>
      </c>
      <c r="K15" s="43">
        <v>2055549</v>
      </c>
      <c r="L15" s="43">
        <v>1353280</v>
      </c>
      <c r="M15" s="43">
        <v>346669</v>
      </c>
      <c r="N15" s="43">
        <v>1699949</v>
      </c>
      <c r="O15" s="43">
        <v>1652795</v>
      </c>
      <c r="P15" s="43">
        <v>340534</v>
      </c>
      <c r="Q15" s="43">
        <v>1993329</v>
      </c>
    </row>
    <row r="16" spans="2:17" s="13" customFormat="1" ht="45" customHeight="1" x14ac:dyDescent="0.2">
      <c r="B16" s="12" t="s">
        <v>16</v>
      </c>
      <c r="C16" s="43">
        <v>1442995</v>
      </c>
      <c r="D16" s="43">
        <v>259336</v>
      </c>
      <c r="E16" s="43">
        <v>1702331</v>
      </c>
      <c r="F16" s="43">
        <v>1580041</v>
      </c>
      <c r="G16" s="43">
        <v>311934</v>
      </c>
      <c r="H16" s="43">
        <v>1891975</v>
      </c>
      <c r="I16" s="43">
        <v>1464791</v>
      </c>
      <c r="J16" s="43">
        <v>355086</v>
      </c>
      <c r="K16" s="43">
        <v>1819877</v>
      </c>
      <c r="L16" s="43">
        <v>1302157</v>
      </c>
      <c r="M16" s="43">
        <v>379828</v>
      </c>
      <c r="N16" s="43">
        <v>1681985</v>
      </c>
      <c r="O16" s="43">
        <v>1703789</v>
      </c>
      <c r="P16" s="43">
        <v>373351</v>
      </c>
      <c r="Q16" s="43">
        <v>2077140</v>
      </c>
    </row>
    <row r="17" spans="2:17" s="13" customFormat="1" ht="42" customHeight="1" x14ac:dyDescent="0.2">
      <c r="B17" s="12" t="s">
        <v>17</v>
      </c>
      <c r="C17" s="44">
        <v>34910098</v>
      </c>
      <c r="D17" s="44">
        <v>4950673</v>
      </c>
      <c r="E17" s="44">
        <v>39860771</v>
      </c>
      <c r="F17" s="44">
        <v>36837900</v>
      </c>
      <c r="G17" s="44">
        <v>4789346</v>
      </c>
      <c r="H17" s="44">
        <v>41627246</v>
      </c>
      <c r="I17" s="44">
        <v>36244632</v>
      </c>
      <c r="J17" s="44">
        <v>4869437</v>
      </c>
      <c r="K17" s="44">
        <v>41114069</v>
      </c>
      <c r="L17" s="44">
        <v>25352213</v>
      </c>
      <c r="M17" s="44">
        <v>5554467</v>
      </c>
      <c r="N17" s="44">
        <v>30906680</v>
      </c>
      <c r="O17" s="44">
        <v>32410034</v>
      </c>
      <c r="P17" s="44">
        <v>5559790</v>
      </c>
      <c r="Q17" s="44">
        <v>37969824</v>
      </c>
    </row>
    <row r="18" spans="2:17" s="13" customFormat="1" ht="11.25" customHeight="1" x14ac:dyDescent="0.2">
      <c r="B18" s="14"/>
      <c r="C18" s="15"/>
      <c r="D18" s="15"/>
      <c r="E18" s="15"/>
      <c r="F18" s="15"/>
      <c r="G18" s="15"/>
      <c r="H18" s="15"/>
      <c r="I18" s="15"/>
      <c r="J18" s="15"/>
      <c r="K18" s="15"/>
      <c r="L18" s="15"/>
      <c r="M18" s="15"/>
      <c r="N18" s="15"/>
      <c r="O18" s="15"/>
      <c r="P18" s="15"/>
      <c r="Q18" s="15"/>
    </row>
    <row r="19" spans="2:17" ht="19.5" customHeight="1" x14ac:dyDescent="0.2">
      <c r="B19" s="432" t="s">
        <v>18</v>
      </c>
      <c r="C19" s="433"/>
      <c r="D19" s="433"/>
      <c r="E19" s="433"/>
      <c r="F19" s="433"/>
      <c r="G19" s="433"/>
      <c r="H19" s="433"/>
      <c r="I19" s="433"/>
      <c r="J19" s="433"/>
      <c r="K19" s="433"/>
      <c r="L19" s="433"/>
      <c r="M19" s="433"/>
      <c r="N19" s="433"/>
      <c r="O19" s="433"/>
      <c r="P19" s="433"/>
      <c r="Q19" s="433"/>
    </row>
    <row r="20" spans="2:17" ht="19.5" customHeight="1" x14ac:dyDescent="0.2">
      <c r="B20" s="432" t="s">
        <v>19</v>
      </c>
      <c r="C20" s="433"/>
      <c r="D20" s="433"/>
      <c r="E20" s="433"/>
      <c r="F20" s="433"/>
      <c r="G20" s="433"/>
      <c r="H20" s="433"/>
      <c r="I20" s="433"/>
      <c r="J20" s="433"/>
      <c r="K20" s="433"/>
      <c r="L20" s="433"/>
      <c r="M20" s="433"/>
      <c r="N20" s="433"/>
      <c r="O20" s="433"/>
      <c r="P20" s="433"/>
      <c r="Q20" s="433"/>
    </row>
    <row r="21" spans="2:17" ht="7.5" customHeight="1" x14ac:dyDescent="0.2">
      <c r="B21" s="9"/>
    </row>
    <row r="22" spans="2:17" ht="7.5" customHeight="1" x14ac:dyDescent="0.2">
      <c r="B22" s="9"/>
    </row>
    <row r="23" spans="2:17" s="18" customFormat="1" ht="7.5" customHeight="1" x14ac:dyDescent="0.2">
      <c r="B23" s="17"/>
    </row>
    <row r="24" spans="2:17" s="18" customFormat="1" ht="7.5" customHeight="1" x14ac:dyDescent="0.2">
      <c r="B24" s="17"/>
    </row>
    <row r="25" spans="2:17" s="18" customFormat="1" ht="7.5" customHeight="1" x14ac:dyDescent="0.2">
      <c r="B25" s="17"/>
    </row>
    <row r="26" spans="2:17" s="18" customFormat="1" ht="7.5" customHeight="1" x14ac:dyDescent="0.2">
      <c r="B26" s="17"/>
    </row>
    <row r="27" spans="2:17" ht="7.5" customHeight="1" x14ac:dyDescent="0.2">
      <c r="B27" s="9"/>
    </row>
    <row r="28" spans="2:17" ht="7.5" customHeight="1" x14ac:dyDescent="0.2">
      <c r="B28" s="9"/>
    </row>
    <row r="29" spans="2:17" ht="7.5" customHeight="1" x14ac:dyDescent="0.2">
      <c r="B29" s="9"/>
    </row>
    <row r="30" spans="2:17" ht="7.5" customHeight="1" x14ac:dyDescent="0.2">
      <c r="B30" s="9"/>
    </row>
    <row r="31" spans="2:17" ht="30" customHeight="1" x14ac:dyDescent="0.2">
      <c r="B31" s="431" t="s">
        <v>589</v>
      </c>
      <c r="C31" s="431"/>
      <c r="D31" s="431"/>
      <c r="E31" s="431"/>
      <c r="F31" s="431"/>
      <c r="G31" s="431"/>
      <c r="H31" s="431"/>
      <c r="I31" s="431"/>
      <c r="J31" s="431"/>
      <c r="K31" s="431"/>
      <c r="L31" s="431"/>
      <c r="M31" s="431"/>
      <c r="N31" s="431"/>
      <c r="O31" s="431"/>
      <c r="P31" s="431"/>
      <c r="Q31" s="431"/>
    </row>
    <row r="32" spans="2:17" ht="7.5" customHeight="1" x14ac:dyDescent="0.2"/>
    <row r="33" spans="2:17" ht="28.5" customHeight="1" x14ac:dyDescent="0.3">
      <c r="B33" s="440" t="s">
        <v>265</v>
      </c>
      <c r="C33" s="439" t="s">
        <v>1</v>
      </c>
      <c r="D33" s="439"/>
      <c r="E33" s="439"/>
      <c r="F33" s="439"/>
      <c r="G33" s="439"/>
      <c r="H33" s="439"/>
      <c r="I33" s="439"/>
      <c r="J33" s="439"/>
      <c r="K33" s="439"/>
      <c r="L33" s="439"/>
      <c r="M33" s="439"/>
      <c r="N33" s="439"/>
      <c r="O33" s="439"/>
      <c r="P33" s="439"/>
      <c r="Q33" s="439"/>
    </row>
    <row r="34" spans="2:17" ht="28.5" customHeight="1" x14ac:dyDescent="0.25">
      <c r="B34" s="441"/>
      <c r="C34" s="438">
        <v>2018</v>
      </c>
      <c r="D34" s="438"/>
      <c r="E34" s="438"/>
      <c r="F34" s="438">
        <v>2019</v>
      </c>
      <c r="G34" s="438"/>
      <c r="H34" s="438"/>
      <c r="I34" s="438">
        <v>2020</v>
      </c>
      <c r="J34" s="438"/>
      <c r="K34" s="438"/>
      <c r="L34" s="438">
        <v>2021</v>
      </c>
      <c r="M34" s="438"/>
      <c r="N34" s="438"/>
      <c r="O34" s="438">
        <v>2022</v>
      </c>
      <c r="P34" s="438"/>
      <c r="Q34" s="438"/>
    </row>
    <row r="35" spans="2:17" s="8" customFormat="1" ht="47.25" customHeight="1" x14ac:dyDescent="0.2">
      <c r="B35" s="442"/>
      <c r="C35" s="21" t="s">
        <v>2</v>
      </c>
      <c r="D35" s="21" t="s">
        <v>3</v>
      </c>
      <c r="E35" s="21" t="s">
        <v>4</v>
      </c>
      <c r="F35" s="21" t="s">
        <v>2</v>
      </c>
      <c r="G35" s="21" t="s">
        <v>3</v>
      </c>
      <c r="H35" s="21" t="s">
        <v>4</v>
      </c>
      <c r="I35" s="21" t="s">
        <v>2</v>
      </c>
      <c r="J35" s="21" t="s">
        <v>3</v>
      </c>
      <c r="K35" s="21" t="s">
        <v>4</v>
      </c>
      <c r="L35" s="21" t="s">
        <v>2</v>
      </c>
      <c r="M35" s="21" t="s">
        <v>3</v>
      </c>
      <c r="N35" s="21" t="s">
        <v>4</v>
      </c>
      <c r="O35" s="21" t="s">
        <v>2</v>
      </c>
      <c r="P35" s="21" t="s">
        <v>3</v>
      </c>
      <c r="Q35" s="21" t="s">
        <v>4</v>
      </c>
    </row>
    <row r="36" spans="2:17" s="13" customFormat="1" ht="45" customHeight="1" x14ac:dyDescent="0.2">
      <c r="B36" s="12" t="s">
        <v>5</v>
      </c>
      <c r="C36" s="43">
        <v>1461570</v>
      </c>
      <c r="D36" s="43">
        <v>431167</v>
      </c>
      <c r="E36" s="43">
        <v>1892737</v>
      </c>
      <c r="F36" s="43">
        <v>1539496</v>
      </c>
      <c r="G36" s="43">
        <v>460146</v>
      </c>
      <c r="H36" s="43">
        <v>1999642</v>
      </c>
      <c r="I36" s="43">
        <v>1787435</v>
      </c>
      <c r="J36" s="43">
        <v>499575</v>
      </c>
      <c r="K36" s="43">
        <v>2287010</v>
      </c>
      <c r="L36" s="43">
        <v>509787</v>
      </c>
      <c r="M36" s="43">
        <v>217514</v>
      </c>
      <c r="N36" s="43">
        <v>727301</v>
      </c>
      <c r="O36" s="43">
        <v>1281666</v>
      </c>
      <c r="P36" s="43">
        <v>472638</v>
      </c>
      <c r="Q36" s="43">
        <v>1754304</v>
      </c>
    </row>
    <row r="37" spans="2:17" s="13" customFormat="1" ht="45" customHeight="1" x14ac:dyDescent="0.2">
      <c r="B37" s="12" t="s">
        <v>6</v>
      </c>
      <c r="C37" s="43">
        <v>1527070</v>
      </c>
      <c r="D37" s="43">
        <v>405616</v>
      </c>
      <c r="E37" s="43">
        <v>1932686</v>
      </c>
      <c r="F37" s="43">
        <v>1670238</v>
      </c>
      <c r="G37" s="43">
        <v>443671</v>
      </c>
      <c r="H37" s="43">
        <v>2113909</v>
      </c>
      <c r="I37" s="43">
        <v>1733112</v>
      </c>
      <c r="J37" s="43">
        <v>463341</v>
      </c>
      <c r="K37" s="43">
        <v>2196453</v>
      </c>
      <c r="L37" s="43">
        <v>537976</v>
      </c>
      <c r="M37" s="43">
        <v>226338</v>
      </c>
      <c r="N37" s="43">
        <v>764314</v>
      </c>
      <c r="O37" s="43">
        <v>1541393</v>
      </c>
      <c r="P37" s="43">
        <v>463623</v>
      </c>
      <c r="Q37" s="43">
        <v>2005016</v>
      </c>
    </row>
    <row r="38" spans="2:17" s="13" customFormat="1" ht="45" customHeight="1" x14ac:dyDescent="0.2">
      <c r="B38" s="12" t="s">
        <v>7</v>
      </c>
      <c r="C38" s="43">
        <v>2139766</v>
      </c>
      <c r="D38" s="43">
        <v>441435</v>
      </c>
      <c r="E38" s="43">
        <v>2581201</v>
      </c>
      <c r="F38" s="43">
        <v>2232358</v>
      </c>
      <c r="G38" s="43">
        <v>513801</v>
      </c>
      <c r="H38" s="43">
        <v>2746159</v>
      </c>
      <c r="I38" s="43">
        <v>718097</v>
      </c>
      <c r="J38" s="43">
        <v>250440</v>
      </c>
      <c r="K38" s="43">
        <v>968537</v>
      </c>
      <c r="L38" s="43">
        <v>905323</v>
      </c>
      <c r="M38" s="43">
        <v>293048</v>
      </c>
      <c r="N38" s="43">
        <v>1198371</v>
      </c>
      <c r="O38" s="43">
        <v>2079565</v>
      </c>
      <c r="P38" s="43">
        <v>472568</v>
      </c>
      <c r="Q38" s="43">
        <v>2552133</v>
      </c>
    </row>
    <row r="39" spans="2:17" s="13" customFormat="1" ht="45" customHeight="1" x14ac:dyDescent="0.2">
      <c r="B39" s="12" t="s">
        <v>8</v>
      </c>
      <c r="C39" s="43">
        <v>2655561</v>
      </c>
      <c r="D39" s="43">
        <v>556915</v>
      </c>
      <c r="E39" s="43">
        <v>3212476</v>
      </c>
      <c r="F39" s="43">
        <v>3293176</v>
      </c>
      <c r="G39" s="43">
        <v>516643</v>
      </c>
      <c r="H39" s="43">
        <v>3809819</v>
      </c>
      <c r="I39" s="43">
        <v>24238</v>
      </c>
      <c r="J39" s="43">
        <v>1</v>
      </c>
      <c r="K39" s="43">
        <v>24239</v>
      </c>
      <c r="L39" s="43">
        <v>790687</v>
      </c>
      <c r="M39" s="43">
        <v>281809</v>
      </c>
      <c r="N39" s="43">
        <v>1072496</v>
      </c>
      <c r="O39" s="43">
        <v>2574423</v>
      </c>
      <c r="P39" s="43">
        <v>549793</v>
      </c>
      <c r="Q39" s="43">
        <v>3124216</v>
      </c>
    </row>
    <row r="40" spans="2:17" s="13" customFormat="1" ht="45" customHeight="1" x14ac:dyDescent="0.2">
      <c r="B40" s="12" t="s">
        <v>9</v>
      </c>
      <c r="C40" s="43">
        <v>3678440</v>
      </c>
      <c r="D40" s="43">
        <v>527997</v>
      </c>
      <c r="E40" s="43">
        <v>4206437</v>
      </c>
      <c r="F40" s="43">
        <v>4022254</v>
      </c>
      <c r="G40" s="43">
        <v>489766</v>
      </c>
      <c r="H40" s="43">
        <v>4512020</v>
      </c>
      <c r="I40" s="43">
        <v>29829</v>
      </c>
      <c r="J40" s="43">
        <v>563</v>
      </c>
      <c r="K40" s="43">
        <v>30392</v>
      </c>
      <c r="L40" s="43">
        <v>936282</v>
      </c>
      <c r="M40" s="43">
        <v>318391</v>
      </c>
      <c r="N40" s="43">
        <v>1254673</v>
      </c>
      <c r="O40" s="43">
        <v>3873212</v>
      </c>
      <c r="P40" s="43">
        <v>656919</v>
      </c>
      <c r="Q40" s="43">
        <v>4530131</v>
      </c>
    </row>
    <row r="41" spans="2:17" s="13" customFormat="1" ht="45" customHeight="1" x14ac:dyDescent="0.2">
      <c r="B41" s="12" t="s">
        <v>10</v>
      </c>
      <c r="C41" s="43">
        <v>4505594</v>
      </c>
      <c r="D41" s="43">
        <v>585902</v>
      </c>
      <c r="E41" s="43">
        <v>5091496</v>
      </c>
      <c r="F41" s="43">
        <v>5318984</v>
      </c>
      <c r="G41" s="43">
        <v>650997</v>
      </c>
      <c r="H41" s="43">
        <v>5969981</v>
      </c>
      <c r="I41" s="43">
        <v>214768</v>
      </c>
      <c r="J41" s="43">
        <v>1640</v>
      </c>
      <c r="K41" s="43">
        <v>216408</v>
      </c>
      <c r="L41" s="43">
        <v>2047596</v>
      </c>
      <c r="M41" s="43">
        <v>493276</v>
      </c>
      <c r="N41" s="43">
        <v>2540872</v>
      </c>
      <c r="O41" s="43">
        <v>5014821</v>
      </c>
      <c r="P41" s="43">
        <v>549997</v>
      </c>
      <c r="Q41" s="43">
        <v>5564818</v>
      </c>
    </row>
    <row r="42" spans="2:17" s="13" customFormat="1" ht="45" customHeight="1" x14ac:dyDescent="0.2">
      <c r="B42" s="12" t="s">
        <v>11</v>
      </c>
      <c r="C42" s="43">
        <v>5671801</v>
      </c>
      <c r="D42" s="43">
        <v>859869</v>
      </c>
      <c r="E42" s="43">
        <v>6531670</v>
      </c>
      <c r="F42" s="43">
        <v>6617380</v>
      </c>
      <c r="G42" s="43">
        <v>796507</v>
      </c>
      <c r="H42" s="43">
        <v>7413887</v>
      </c>
      <c r="I42" s="43">
        <v>932927</v>
      </c>
      <c r="J42" s="43">
        <v>448877</v>
      </c>
      <c r="K42" s="43">
        <v>1381804</v>
      </c>
      <c r="L42" s="43">
        <v>4360952</v>
      </c>
      <c r="M42" s="43">
        <v>959040</v>
      </c>
      <c r="N42" s="43">
        <v>5319992</v>
      </c>
      <c r="O42" s="43">
        <v>6664970</v>
      </c>
      <c r="P42" s="43">
        <v>1055722</v>
      </c>
      <c r="Q42" s="43">
        <v>7720692</v>
      </c>
    </row>
    <row r="43" spans="2:17" s="13" customFormat="1" ht="45" customHeight="1" x14ac:dyDescent="0.2">
      <c r="B43" s="12" t="s">
        <v>12</v>
      </c>
      <c r="C43" s="43">
        <v>5383332</v>
      </c>
      <c r="D43" s="43">
        <v>775265</v>
      </c>
      <c r="E43" s="43">
        <v>6158597</v>
      </c>
      <c r="F43" s="43">
        <v>6307508</v>
      </c>
      <c r="G43" s="43">
        <v>708822</v>
      </c>
      <c r="H43" s="43">
        <v>7016330</v>
      </c>
      <c r="I43" s="43">
        <v>1814701</v>
      </c>
      <c r="J43" s="43">
        <v>377550</v>
      </c>
      <c r="K43" s="43">
        <v>2192251</v>
      </c>
      <c r="L43" s="43">
        <v>3982168</v>
      </c>
      <c r="M43" s="43">
        <v>648166</v>
      </c>
      <c r="N43" s="43">
        <v>4630334</v>
      </c>
      <c r="O43" s="43">
        <v>6304770</v>
      </c>
      <c r="P43" s="43">
        <v>697452</v>
      </c>
      <c r="Q43" s="43">
        <v>7002222</v>
      </c>
    </row>
    <row r="44" spans="2:17" s="13" customFormat="1" ht="45" customHeight="1" x14ac:dyDescent="0.2">
      <c r="B44" s="12" t="s">
        <v>13</v>
      </c>
      <c r="C44" s="43">
        <v>4792818</v>
      </c>
      <c r="D44" s="43">
        <v>633027</v>
      </c>
      <c r="E44" s="43">
        <v>5425845</v>
      </c>
      <c r="F44" s="43">
        <v>5426818</v>
      </c>
      <c r="G44" s="43">
        <v>555971</v>
      </c>
      <c r="H44" s="43">
        <v>5982789</v>
      </c>
      <c r="I44" s="43">
        <v>2203482</v>
      </c>
      <c r="J44" s="43">
        <v>330894</v>
      </c>
      <c r="K44" s="43">
        <v>2534376</v>
      </c>
      <c r="L44" s="43">
        <v>3513453</v>
      </c>
      <c r="M44" s="43">
        <v>485852</v>
      </c>
      <c r="N44" s="43">
        <v>3999305</v>
      </c>
      <c r="O44" s="43">
        <v>5475453</v>
      </c>
      <c r="P44" s="43">
        <v>517914</v>
      </c>
      <c r="Q44" s="43">
        <v>5993367</v>
      </c>
    </row>
    <row r="45" spans="2:17" s="13" customFormat="1" ht="45" customHeight="1" x14ac:dyDescent="0.2">
      <c r="B45" s="12" t="s">
        <v>14</v>
      </c>
      <c r="C45" s="43">
        <v>3755467</v>
      </c>
      <c r="D45" s="43">
        <v>483406</v>
      </c>
      <c r="E45" s="43">
        <v>4238873</v>
      </c>
      <c r="F45" s="43">
        <v>4291574</v>
      </c>
      <c r="G45" s="43">
        <v>526427</v>
      </c>
      <c r="H45" s="43">
        <v>4818001</v>
      </c>
      <c r="I45" s="43">
        <v>1742303</v>
      </c>
      <c r="J45" s="43">
        <v>301698</v>
      </c>
      <c r="K45" s="43">
        <v>2044001</v>
      </c>
      <c r="L45" s="43">
        <v>3471540</v>
      </c>
      <c r="M45" s="43">
        <v>495823</v>
      </c>
      <c r="N45" s="43">
        <v>3967363</v>
      </c>
      <c r="O45" s="43">
        <v>4803198</v>
      </c>
      <c r="P45" s="43">
        <v>569922</v>
      </c>
      <c r="Q45" s="43">
        <v>5373120</v>
      </c>
    </row>
    <row r="46" spans="2:17" s="13" customFormat="1" ht="45" customHeight="1" x14ac:dyDescent="0.2">
      <c r="B46" s="12" t="s">
        <v>15</v>
      </c>
      <c r="C46" s="43">
        <v>1966277</v>
      </c>
      <c r="D46" s="43">
        <v>439481</v>
      </c>
      <c r="E46" s="43">
        <v>2405758</v>
      </c>
      <c r="F46" s="43">
        <v>2190622</v>
      </c>
      <c r="G46" s="43">
        <v>502529</v>
      </c>
      <c r="H46" s="43">
        <v>2693151</v>
      </c>
      <c r="I46" s="43">
        <v>833991</v>
      </c>
      <c r="J46" s="43">
        <v>270843</v>
      </c>
      <c r="K46" s="43">
        <v>1104834</v>
      </c>
      <c r="L46" s="43">
        <v>1763982</v>
      </c>
      <c r="M46" s="43">
        <v>317261</v>
      </c>
      <c r="N46" s="43">
        <v>2081243</v>
      </c>
      <c r="O46" s="43">
        <v>2551483</v>
      </c>
      <c r="P46" s="43">
        <v>402877</v>
      </c>
      <c r="Q46" s="43">
        <v>2954360</v>
      </c>
    </row>
    <row r="47" spans="2:17" s="13" customFormat="1" ht="45" customHeight="1" x14ac:dyDescent="0.2">
      <c r="B47" s="12" t="s">
        <v>16</v>
      </c>
      <c r="C47" s="43">
        <v>1950705</v>
      </c>
      <c r="D47" s="43">
        <v>484111</v>
      </c>
      <c r="E47" s="43">
        <v>2434816</v>
      </c>
      <c r="F47" s="43">
        <v>2147878</v>
      </c>
      <c r="G47" s="43">
        <v>523633</v>
      </c>
      <c r="H47" s="43">
        <v>2671511</v>
      </c>
      <c r="I47" s="43">
        <v>699330</v>
      </c>
      <c r="J47" s="43">
        <v>291566</v>
      </c>
      <c r="K47" s="43">
        <v>990896</v>
      </c>
      <c r="L47" s="43">
        <v>1892520</v>
      </c>
      <c r="M47" s="43">
        <v>590177</v>
      </c>
      <c r="N47" s="43">
        <v>2482697</v>
      </c>
      <c r="O47" s="43">
        <v>2399441</v>
      </c>
      <c r="P47" s="43">
        <v>413693</v>
      </c>
      <c r="Q47" s="43">
        <v>2813134</v>
      </c>
    </row>
    <row r="48" spans="2:17" s="13" customFormat="1" ht="42" customHeight="1" x14ac:dyDescent="0.2">
      <c r="B48" s="12" t="s">
        <v>17</v>
      </c>
      <c r="C48" s="44">
        <v>39488401</v>
      </c>
      <c r="D48" s="44">
        <v>6624191</v>
      </c>
      <c r="E48" s="44">
        <v>46112592</v>
      </c>
      <c r="F48" s="44">
        <v>45058286</v>
      </c>
      <c r="G48" s="44">
        <v>6688913</v>
      </c>
      <c r="H48" s="44">
        <v>51747199</v>
      </c>
      <c r="I48" s="44">
        <v>12734213</v>
      </c>
      <c r="J48" s="44">
        <v>3236988</v>
      </c>
      <c r="K48" s="44">
        <v>15971201</v>
      </c>
      <c r="L48" s="44">
        <v>24712266</v>
      </c>
      <c r="M48" s="44">
        <v>5326695</v>
      </c>
      <c r="N48" s="44">
        <v>30038961</v>
      </c>
      <c r="O48" s="44">
        <v>44564395</v>
      </c>
      <c r="P48" s="44">
        <v>6823118</v>
      </c>
      <c r="Q48" s="44">
        <v>51387513</v>
      </c>
    </row>
    <row r="50" spans="2:17" x14ac:dyDescent="0.2">
      <c r="B50" s="432" t="s">
        <v>18</v>
      </c>
      <c r="C50" s="433"/>
      <c r="D50" s="433"/>
      <c r="E50" s="433"/>
      <c r="F50" s="433"/>
      <c r="G50" s="433"/>
      <c r="H50" s="433"/>
      <c r="I50" s="433"/>
      <c r="J50" s="433"/>
      <c r="K50" s="433"/>
      <c r="L50" s="433"/>
      <c r="M50" s="433"/>
      <c r="N50" s="433"/>
      <c r="O50" s="433"/>
      <c r="P50" s="433"/>
      <c r="Q50" s="433"/>
    </row>
    <row r="51" spans="2:17" x14ac:dyDescent="0.2">
      <c r="B51" s="432" t="s">
        <v>19</v>
      </c>
      <c r="C51" s="433"/>
      <c r="D51" s="433"/>
      <c r="E51" s="433"/>
      <c r="F51" s="433"/>
      <c r="G51" s="433"/>
      <c r="H51" s="433"/>
      <c r="I51" s="433"/>
      <c r="J51" s="433"/>
      <c r="K51" s="433"/>
      <c r="L51" s="433"/>
      <c r="M51" s="433"/>
      <c r="N51" s="433"/>
      <c r="O51" s="433"/>
      <c r="P51" s="433"/>
      <c r="Q51" s="433"/>
    </row>
  </sheetData>
  <mergeCells count="20">
    <mergeCell ref="B1:Q1"/>
    <mergeCell ref="C33:Q33"/>
    <mergeCell ref="B33:B35"/>
    <mergeCell ref="B2:B4"/>
    <mergeCell ref="C2:Q2"/>
    <mergeCell ref="C3:E3"/>
    <mergeCell ref="F3:H3"/>
    <mergeCell ref="I3:K3"/>
    <mergeCell ref="L3:N3"/>
    <mergeCell ref="O3:Q3"/>
    <mergeCell ref="B19:Q19"/>
    <mergeCell ref="B20:Q20"/>
    <mergeCell ref="C34:E34"/>
    <mergeCell ref="F34:H34"/>
    <mergeCell ref="I34:K34"/>
    <mergeCell ref="L34:N34"/>
    <mergeCell ref="B31:Q31"/>
    <mergeCell ref="B50:Q50"/>
    <mergeCell ref="B51:Q51"/>
    <mergeCell ref="O34:Q34"/>
  </mergeCells>
  <printOptions horizontalCentered="1"/>
  <pageMargins left="0.35433070866141736" right="0.35433070866141736" top="0.74803149606299213" bottom="0.74803149606299213" header="0.31496062992125984" footer="0.31496062992125984"/>
  <pageSetup scale="59" orientation="landscape" r:id="rId1"/>
  <headerFooter alignWithMargins="0"/>
  <rowBreaks count="1" manualBreakCount="1">
    <brk id="30"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L19"/>
  <sheetViews>
    <sheetView view="pageBreakPreview" zoomScaleNormal="100" zoomScaleSheetLayoutView="100" workbookViewId="0"/>
  </sheetViews>
  <sheetFormatPr defaultColWidth="9.140625" defaultRowHeight="12.75" x14ac:dyDescent="0.2"/>
  <cols>
    <col min="2" max="2" width="14.7109375" style="6" customWidth="1"/>
    <col min="3" max="12" width="14.7109375" customWidth="1"/>
  </cols>
  <sheetData>
    <row r="1" spans="2:12" ht="30" customHeight="1" x14ac:dyDescent="0.2">
      <c r="B1" s="444" t="s">
        <v>590</v>
      </c>
      <c r="C1" s="445"/>
      <c r="D1" s="445"/>
      <c r="E1" s="445"/>
      <c r="F1" s="445"/>
      <c r="G1" s="445"/>
      <c r="H1" s="445"/>
      <c r="I1" s="445"/>
      <c r="J1" s="445"/>
      <c r="K1" s="445"/>
      <c r="L1" s="445"/>
    </row>
    <row r="2" spans="2:12" s="16" customFormat="1" ht="14.25" customHeight="1" x14ac:dyDescent="0.2">
      <c r="B2" s="22"/>
      <c r="C2" s="23"/>
      <c r="D2" s="23"/>
      <c r="E2" s="23"/>
      <c r="F2" s="23"/>
      <c r="G2" s="23"/>
      <c r="H2" s="23"/>
      <c r="I2" s="23"/>
      <c r="J2" s="23"/>
      <c r="K2" s="23"/>
      <c r="L2" s="23"/>
    </row>
    <row r="3" spans="2:12" ht="30" customHeight="1" x14ac:dyDescent="0.2">
      <c r="B3" s="440" t="s">
        <v>265</v>
      </c>
      <c r="C3" s="446" t="s">
        <v>1</v>
      </c>
      <c r="D3" s="447"/>
      <c r="E3" s="447"/>
      <c r="F3" s="447"/>
      <c r="G3" s="447"/>
      <c r="H3" s="447"/>
      <c r="I3" s="447"/>
      <c r="J3" s="447"/>
      <c r="K3" s="447"/>
      <c r="L3" s="448"/>
    </row>
    <row r="4" spans="2:12" ht="30" customHeight="1" x14ac:dyDescent="0.2">
      <c r="B4" s="442"/>
      <c r="C4" s="21">
        <v>2013</v>
      </c>
      <c r="D4" s="21">
        <v>2014</v>
      </c>
      <c r="E4" s="21">
        <v>2015</v>
      </c>
      <c r="F4" s="21">
        <v>2016</v>
      </c>
      <c r="G4" s="21">
        <v>2017</v>
      </c>
      <c r="H4" s="21">
        <v>2018</v>
      </c>
      <c r="I4" s="21">
        <v>2019</v>
      </c>
      <c r="J4" s="21">
        <v>2020</v>
      </c>
      <c r="K4" s="21">
        <v>2021</v>
      </c>
      <c r="L4" s="21">
        <v>2022</v>
      </c>
    </row>
    <row r="5" spans="2:12" ht="30" customHeight="1" x14ac:dyDescent="0.2">
      <c r="B5" s="12" t="s">
        <v>5</v>
      </c>
      <c r="C5" s="41">
        <v>21853</v>
      </c>
      <c r="D5" s="41">
        <v>15453</v>
      </c>
      <c r="E5" s="41">
        <v>13974</v>
      </c>
      <c r="F5" s="41">
        <v>4041</v>
      </c>
      <c r="G5" s="41">
        <v>4726</v>
      </c>
      <c r="H5" s="41">
        <v>5021</v>
      </c>
      <c r="I5" s="41">
        <v>8357</v>
      </c>
      <c r="J5" s="41">
        <v>16769</v>
      </c>
      <c r="K5" s="41">
        <v>4800</v>
      </c>
      <c r="L5" s="41">
        <v>4110</v>
      </c>
    </row>
    <row r="6" spans="2:12" ht="30" customHeight="1" x14ac:dyDescent="0.2">
      <c r="B6" s="12" t="s">
        <v>6</v>
      </c>
      <c r="C6" s="41">
        <v>15488</v>
      </c>
      <c r="D6" s="41">
        <v>10917</v>
      </c>
      <c r="E6" s="41">
        <v>12514</v>
      </c>
      <c r="F6" s="41">
        <v>3965</v>
      </c>
      <c r="G6" s="41">
        <v>3624</v>
      </c>
      <c r="H6" s="41">
        <v>4541</v>
      </c>
      <c r="I6" s="41">
        <v>9460</v>
      </c>
      <c r="J6" s="41">
        <v>9935</v>
      </c>
      <c r="K6" s="41">
        <v>4288</v>
      </c>
      <c r="L6" s="41">
        <v>4081</v>
      </c>
    </row>
    <row r="7" spans="2:12" ht="30" customHeight="1" x14ac:dyDescent="0.2">
      <c r="B7" s="12" t="s">
        <v>7</v>
      </c>
      <c r="C7" s="41">
        <v>40405</v>
      </c>
      <c r="D7" s="41">
        <v>16701</v>
      </c>
      <c r="E7" s="41">
        <v>24962</v>
      </c>
      <c r="F7" s="41">
        <v>21660</v>
      </c>
      <c r="G7" s="41">
        <v>9695</v>
      </c>
      <c r="H7" s="41">
        <v>6480</v>
      </c>
      <c r="I7" s="41">
        <v>14444</v>
      </c>
      <c r="J7" s="41">
        <v>6800</v>
      </c>
      <c r="K7" s="41">
        <v>4913</v>
      </c>
      <c r="L7" s="41">
        <v>569</v>
      </c>
    </row>
    <row r="8" spans="2:12" ht="30" customHeight="1" x14ac:dyDescent="0.2">
      <c r="B8" s="12" t="s">
        <v>8</v>
      </c>
      <c r="C8" s="41">
        <v>137605</v>
      </c>
      <c r="D8" s="41">
        <v>104964</v>
      </c>
      <c r="E8" s="41">
        <v>114747</v>
      </c>
      <c r="F8" s="41">
        <v>46367</v>
      </c>
      <c r="G8" s="41">
        <v>34193</v>
      </c>
      <c r="H8" s="41">
        <v>15136</v>
      </c>
      <c r="I8" s="41">
        <v>34930</v>
      </c>
      <c r="J8" s="41">
        <v>2558</v>
      </c>
      <c r="K8" s="41">
        <v>5420</v>
      </c>
      <c r="L8" s="41">
        <v>32207</v>
      </c>
    </row>
    <row r="9" spans="2:12" ht="30" customHeight="1" x14ac:dyDescent="0.2">
      <c r="B9" s="12" t="s">
        <v>9</v>
      </c>
      <c r="C9" s="41">
        <v>232944</v>
      </c>
      <c r="D9" s="41">
        <v>202729</v>
      </c>
      <c r="E9" s="41">
        <v>188855</v>
      </c>
      <c r="F9" s="41">
        <v>96034</v>
      </c>
      <c r="G9" s="41">
        <v>47873</v>
      </c>
      <c r="H9" s="41">
        <v>38906</v>
      </c>
      <c r="I9" s="41">
        <v>59617</v>
      </c>
      <c r="J9" s="41">
        <v>2653</v>
      </c>
      <c r="K9" s="41">
        <v>5293</v>
      </c>
      <c r="L9" s="41">
        <v>86437</v>
      </c>
    </row>
    <row r="10" spans="2:12" ht="30" customHeight="1" x14ac:dyDescent="0.2">
      <c r="B10" s="12" t="s">
        <v>10</v>
      </c>
      <c r="C10" s="41">
        <v>221783</v>
      </c>
      <c r="D10" s="41">
        <v>212714</v>
      </c>
      <c r="E10" s="41">
        <v>226200</v>
      </c>
      <c r="F10" s="41">
        <v>104350</v>
      </c>
      <c r="G10" s="41">
        <v>42100</v>
      </c>
      <c r="H10" s="41">
        <v>42223</v>
      </c>
      <c r="I10" s="41">
        <v>61235</v>
      </c>
      <c r="J10" s="41">
        <v>5505</v>
      </c>
      <c r="K10" s="41">
        <v>9940</v>
      </c>
      <c r="L10" s="41">
        <v>108370</v>
      </c>
    </row>
    <row r="11" spans="2:12" ht="30" customHeight="1" x14ac:dyDescent="0.2">
      <c r="B11" s="12" t="s">
        <v>11</v>
      </c>
      <c r="C11" s="41">
        <v>295937</v>
      </c>
      <c r="D11" s="41">
        <v>291479</v>
      </c>
      <c r="E11" s="41">
        <v>251248</v>
      </c>
      <c r="F11" s="41">
        <v>69574</v>
      </c>
      <c r="G11" s="41">
        <v>46752</v>
      </c>
      <c r="H11" s="41">
        <v>54386</v>
      </c>
      <c r="I11" s="41">
        <v>78952</v>
      </c>
      <c r="J11" s="41">
        <v>5190</v>
      </c>
      <c r="K11" s="41">
        <v>14581</v>
      </c>
      <c r="L11" s="41">
        <v>126187</v>
      </c>
    </row>
    <row r="12" spans="2:12" ht="30" customHeight="1" x14ac:dyDescent="0.2">
      <c r="B12" s="12" t="s">
        <v>12</v>
      </c>
      <c r="C12" s="41">
        <v>315626</v>
      </c>
      <c r="D12" s="41">
        <v>284514</v>
      </c>
      <c r="E12" s="41">
        <v>247621</v>
      </c>
      <c r="F12" s="41">
        <v>84306</v>
      </c>
      <c r="G12" s="41">
        <v>53414</v>
      </c>
      <c r="H12" s="41">
        <v>59442</v>
      </c>
      <c r="I12" s="41">
        <v>86741</v>
      </c>
      <c r="J12" s="41">
        <v>6852</v>
      </c>
      <c r="K12" s="41">
        <v>23523</v>
      </c>
      <c r="L12" s="41">
        <v>166535</v>
      </c>
    </row>
    <row r="13" spans="2:12" ht="30" customHeight="1" x14ac:dyDescent="0.2">
      <c r="B13" s="12" t="s">
        <v>13</v>
      </c>
      <c r="C13" s="41">
        <v>304676</v>
      </c>
      <c r="D13" s="41">
        <v>271349</v>
      </c>
      <c r="E13" s="41">
        <v>248214</v>
      </c>
      <c r="F13" s="41">
        <v>84518</v>
      </c>
      <c r="G13" s="41">
        <v>61211</v>
      </c>
      <c r="H13" s="41">
        <v>52702</v>
      </c>
      <c r="I13" s="41">
        <v>78086</v>
      </c>
      <c r="J13" s="41">
        <v>5769</v>
      </c>
      <c r="K13" s="41">
        <v>14296</v>
      </c>
      <c r="L13" s="41">
        <v>161267</v>
      </c>
    </row>
    <row r="14" spans="2:12" ht="30" customHeight="1" x14ac:dyDescent="0.2">
      <c r="B14" s="12" t="s">
        <v>14</v>
      </c>
      <c r="C14" s="41">
        <v>343172</v>
      </c>
      <c r="D14" s="41">
        <v>298008</v>
      </c>
      <c r="E14" s="41">
        <v>222569</v>
      </c>
      <c r="F14" s="41">
        <v>80478</v>
      </c>
      <c r="G14" s="41">
        <v>40720</v>
      </c>
      <c r="H14" s="41">
        <v>49386</v>
      </c>
      <c r="I14" s="41">
        <v>55243</v>
      </c>
      <c r="J14" s="41">
        <v>3852</v>
      </c>
      <c r="K14" s="41">
        <v>10158</v>
      </c>
      <c r="L14" s="41">
        <v>176786</v>
      </c>
    </row>
    <row r="15" spans="2:12" ht="30" customHeight="1" x14ac:dyDescent="0.2">
      <c r="B15" s="12" t="s">
        <v>15</v>
      </c>
      <c r="C15" s="41">
        <v>114250</v>
      </c>
      <c r="D15" s="41">
        <v>80806</v>
      </c>
      <c r="E15" s="41">
        <v>75058</v>
      </c>
      <c r="F15" s="41">
        <v>17524</v>
      </c>
      <c r="G15" s="41">
        <v>16432</v>
      </c>
      <c r="H15" s="41">
        <v>9676</v>
      </c>
      <c r="I15" s="41">
        <v>35051</v>
      </c>
      <c r="J15" s="41">
        <v>5898</v>
      </c>
      <c r="K15" s="41">
        <v>10242</v>
      </c>
      <c r="L15" s="41">
        <v>57384</v>
      </c>
    </row>
    <row r="16" spans="2:12" ht="30" customHeight="1" x14ac:dyDescent="0.2">
      <c r="B16" s="12" t="s">
        <v>16</v>
      </c>
      <c r="C16" s="41">
        <v>22124</v>
      </c>
      <c r="D16" s="41">
        <v>26368</v>
      </c>
      <c r="E16" s="41">
        <v>9733</v>
      </c>
      <c r="F16" s="41">
        <v>5074</v>
      </c>
      <c r="G16" s="41">
        <v>7838</v>
      </c>
      <c r="H16" s="41">
        <v>6979</v>
      </c>
      <c r="I16" s="41">
        <v>33201</v>
      </c>
      <c r="J16" s="41">
        <v>5453</v>
      </c>
      <c r="K16" s="41">
        <v>6066</v>
      </c>
      <c r="L16" s="41">
        <v>10781</v>
      </c>
    </row>
    <row r="17" spans="2:12" ht="30" customHeight="1" x14ac:dyDescent="0.2">
      <c r="B17" s="24" t="s">
        <v>17</v>
      </c>
      <c r="C17" s="42">
        <v>2065863</v>
      </c>
      <c r="D17" s="42">
        <v>1816002</v>
      </c>
      <c r="E17" s="42">
        <v>1635695</v>
      </c>
      <c r="F17" s="42">
        <v>617891</v>
      </c>
      <c r="G17" s="42">
        <v>368578</v>
      </c>
      <c r="H17" s="42">
        <v>344878</v>
      </c>
      <c r="I17" s="42">
        <v>555317</v>
      </c>
      <c r="J17" s="42">
        <v>77234</v>
      </c>
      <c r="K17" s="42">
        <v>113520</v>
      </c>
      <c r="L17" s="42">
        <v>934714</v>
      </c>
    </row>
    <row r="18" spans="2:12" s="16" customFormat="1" ht="30" customHeight="1" x14ac:dyDescent="0.2">
      <c r="B18" s="5"/>
      <c r="C18" s="2"/>
      <c r="D18" s="2"/>
      <c r="E18" s="2"/>
      <c r="F18" s="2"/>
      <c r="G18" s="2"/>
      <c r="H18" s="2"/>
      <c r="I18" s="2"/>
      <c r="J18" s="2"/>
      <c r="K18" s="2"/>
      <c r="L18" s="2"/>
    </row>
    <row r="19" spans="2:12" ht="30" customHeight="1" x14ac:dyDescent="0.25">
      <c r="B19" s="449" t="s">
        <v>18</v>
      </c>
      <c r="C19" s="450"/>
      <c r="D19" s="450"/>
      <c r="E19" s="450"/>
      <c r="F19" s="450"/>
      <c r="G19" s="450"/>
      <c r="H19" s="450"/>
      <c r="I19" s="450"/>
      <c r="J19" s="450"/>
      <c r="K19" s="450"/>
      <c r="L19" s="450"/>
    </row>
  </sheetData>
  <mergeCells count="4">
    <mergeCell ref="B1:L1"/>
    <mergeCell ref="C3:L3"/>
    <mergeCell ref="B19:L19"/>
    <mergeCell ref="B3:B4"/>
  </mergeCells>
  <printOptions horizontalCentered="1"/>
  <pageMargins left="0.70866141732283472" right="0.70866141732283472" top="0.74803149606299213" bottom="0.74803149606299213" header="0.31496062992125984" footer="0.31496062992125984"/>
  <pageSetup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33</vt:i4>
      </vt:variant>
    </vt:vector>
  </HeadingPairs>
  <TitlesOfParts>
    <vt:vector size="60" baseType="lpstr">
      <vt:lpstr>Kapak</vt:lpstr>
      <vt:lpstr>Toplam Ziyaretçi Sayısı</vt:lpstr>
      <vt:lpstr>Kişiler</vt:lpstr>
      <vt:lpstr>Açıklamalar-Yöntem</vt:lpstr>
      <vt:lpstr>Önsöz</vt:lpstr>
      <vt:lpstr>Kavramlar-Tanımlar</vt:lpstr>
      <vt:lpstr>İçindekiler</vt:lpstr>
      <vt:lpstr>A-Yıl-Aya Göre G. Ziyaretçi</vt:lpstr>
      <vt:lpstr>B-Yıl-Ay Göre Günübirlikçi</vt:lpstr>
      <vt:lpstr>C-Mil Göre G.Yabancı</vt:lpstr>
      <vt:lpstr>T1-Yıl-Aya Göre G. Yabancı</vt:lpstr>
      <vt:lpstr>T2-Mil-TaşıtA. Göre G.Yabancı</vt:lpstr>
      <vt:lpstr>T3-Ay-TaşıtA. Göre G.Yabancı</vt:lpstr>
      <vt:lpstr>T4-İl-TaşıtA. Göre G.Yabancı</vt:lpstr>
      <vt:lpstr>T5-SınırK.-Ay Göre G.Yabancı</vt:lpstr>
      <vt:lpstr>T6-Mil-Yıl Göre G.Yabancı</vt:lpstr>
      <vt:lpstr>T7-Mil-Ay Göre G.Yabancı</vt:lpstr>
      <vt:lpstr>T8-Mil-SınırK Göre G.Yabancı</vt:lpstr>
      <vt:lpstr>T9-Ay-Yıl Göre Y.Günübirlikçi</vt:lpstr>
      <vt:lpstr>T10-SınırK. Ay Göre Y.Günübirl.</vt:lpstr>
      <vt:lpstr>T11-GirişK-Mil.GöreY.Günübirl.</vt:lpstr>
      <vt:lpstr>T12-SınırK.-Yıl Göre Y.Günübir.</vt:lpstr>
      <vt:lpstr>T13-Yıl-Ay Göre Ç.Ziyaretçi</vt:lpstr>
      <vt:lpstr>T14-Mil-TaşıtA. Göre Ç.Yabancı</vt:lpstr>
      <vt:lpstr>T15-Ay-TaşıtA. Göre Ç Yabancı</vt:lpstr>
      <vt:lpstr>T16-SınırK.-TaşıtA Göre Ç.Yab.</vt:lpstr>
      <vt:lpstr>T17-SınırK.-Ay Göre Ç.Yabancı</vt:lpstr>
      <vt:lpstr>'Açıklamalar-Yöntem'!Yazdırma_Alanı</vt:lpstr>
      <vt:lpstr>'A-Yıl-Aya Göre G. Ziyaretçi'!Yazdırma_Alanı</vt:lpstr>
      <vt:lpstr>'B-Yıl-Ay Göre Günübirlikçi'!Yazdırma_Alanı</vt:lpstr>
      <vt:lpstr>'C-Mil Göre G.Yabancı'!Yazdırma_Alanı</vt:lpstr>
      <vt:lpstr>İçindekiler!Yazdırma_Alanı</vt:lpstr>
      <vt:lpstr>Kapak!Yazdırma_Alanı</vt:lpstr>
      <vt:lpstr>'Kavramlar-Tanımlar'!Yazdırma_Alanı</vt:lpstr>
      <vt:lpstr>Kişiler!Yazdırma_Alanı</vt:lpstr>
      <vt:lpstr>Önsöz!Yazdırma_Alanı</vt:lpstr>
      <vt:lpstr>'T10-SınırK. Ay Göre Y.Günübirl.'!Yazdırma_Alanı</vt:lpstr>
      <vt:lpstr>'T11-GirişK-Mil.GöreY.Günübirl.'!Yazdırma_Alanı</vt:lpstr>
      <vt:lpstr>'T12-SınırK.-Yıl Göre Y.Günübir.'!Yazdırma_Alanı</vt:lpstr>
      <vt:lpstr>'T13-Yıl-Ay Göre Ç.Ziyaretçi'!Yazdırma_Alanı</vt:lpstr>
      <vt:lpstr>'T14-Mil-TaşıtA. Göre Ç.Yabancı'!Yazdırma_Alanı</vt:lpstr>
      <vt:lpstr>'T15-Ay-TaşıtA. Göre Ç Yabancı'!Yazdırma_Alanı</vt:lpstr>
      <vt:lpstr>'T16-SınırK.-TaşıtA Göre Ç.Yab.'!Yazdırma_Alanı</vt:lpstr>
      <vt:lpstr>'T17-SınırK.-Ay Göre Ç.Yabancı'!Yazdırma_Alanı</vt:lpstr>
      <vt:lpstr>'T1-Yıl-Aya Göre G. Yabancı'!Yazdırma_Alanı</vt:lpstr>
      <vt:lpstr>'T2-Mil-TaşıtA. Göre G.Yabancı'!Yazdırma_Alanı</vt:lpstr>
      <vt:lpstr>'T3-Ay-TaşıtA. Göre G.Yabancı'!Yazdırma_Alanı</vt:lpstr>
      <vt:lpstr>'T4-İl-TaşıtA. Göre G.Yabancı'!Yazdırma_Alanı</vt:lpstr>
      <vt:lpstr>'T5-SınırK.-Ay Göre G.Yabancı'!Yazdırma_Alanı</vt:lpstr>
      <vt:lpstr>'T6-Mil-Yıl Göre G.Yabancı'!Yazdırma_Alanı</vt:lpstr>
      <vt:lpstr>'T7-Mil-Ay Göre G.Yabancı'!Yazdırma_Alanı</vt:lpstr>
      <vt:lpstr>'T8-Mil-SınırK Göre G.Yabancı'!Yazdırma_Alanı</vt:lpstr>
      <vt:lpstr>'T9-Ay-Yıl Göre Y.Günübirlikçi'!Yazdırma_Alanı</vt:lpstr>
      <vt:lpstr>'Toplam Ziyaretçi Sayısı'!Yazdırma_Alanı</vt:lpstr>
      <vt:lpstr>'C-Mil Göre G.Yabancı'!Yazdırma_Başlıkları</vt:lpstr>
      <vt:lpstr>'T11-GirişK-Mil.GöreY.Günübirl.'!Yazdırma_Başlıkları</vt:lpstr>
      <vt:lpstr>'T17-SınırK.-Ay Göre Ç.Yabancı'!Yazdırma_Başlıkları</vt:lpstr>
      <vt:lpstr>'T2-Mil-TaşıtA. Göre G.Yabancı'!Yazdırma_Başlıkları</vt:lpstr>
      <vt:lpstr>'T5-SınırK.-Ay Göre G.Yabancı'!Yazdırma_Başlıkları</vt:lpstr>
      <vt:lpstr>'T8-Mil-SınırK Göre G.Yabancı'!Yazdırma_Başlıkları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win10</cp:lastModifiedBy>
  <cp:lastPrinted>2023-02-16T12:00:13Z</cp:lastPrinted>
  <dcterms:created xsi:type="dcterms:W3CDTF">2022-02-23T07:31:09Z</dcterms:created>
  <dcterms:modified xsi:type="dcterms:W3CDTF">2023-03-02T18:56:58Z</dcterms:modified>
</cp:coreProperties>
</file>